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835" tabRatio="955" activeTab="2"/>
  </bookViews>
  <sheets>
    <sheet name="Exhibit &amp; Schedules===&gt;" sheetId="1" r:id="rId1"/>
    <sheet name="Index" sheetId="80" r:id="rId2"/>
    <sheet name="Sch M-1.1-G" sheetId="82" r:id="rId3"/>
    <sheet name="Sch M-1.2-G" sheetId="81" r:id="rId4"/>
    <sheet name="Sch M-1.3 Pg.1" sheetId="5" r:id="rId5"/>
    <sheet name="Sch M-1.3 Pg. 2-8" sheetId="6" r:id="rId6"/>
    <sheet name="Revenue Summary B" sheetId="7" r:id="rId7"/>
    <sheet name="Exh P11-Gas Supply Exp" sheetId="26" r:id="rId8"/>
    <sheet name="Exh P12-Temp Adj" sheetId="28" r:id="rId9"/>
    <sheet name="12-MO Billed Summary RETAIL" sheetId="32" r:id="rId10"/>
    <sheet name="Summary SBR-Transport" sheetId="30" r:id="rId11"/>
    <sheet name="SBR" sheetId="31" r:id="rId12"/>
    <sheet name="Mar16-Aug16 Billed-RETAIL" sheetId="33" r:id="rId13"/>
    <sheet name="Sept16-Feb17 Transport" sheetId="87" r:id="rId14"/>
    <sheet name="Mar16-Aug16 FT-TS-Cashout-LG&amp;E" sheetId="34" r:id="rId15"/>
    <sheet name="Forecasted Customer Cts" sheetId="66" r:id="rId16"/>
    <sheet name="Forecasted Calendar Month Usage" sheetId="67" r:id="rId17"/>
    <sheet name="Fin Forecast" sheetId="85" r:id="rId18"/>
    <sheet name="Data-Retail" sheetId="38" r:id="rId19"/>
    <sheet name="Adjustments" sheetId="39" r:id="rId20"/>
    <sheet name="Data FT-TS-Cashout-P" sheetId="40" r:id="rId21"/>
    <sheet name="Data-Cashout" sheetId="41" r:id="rId22"/>
    <sheet name="Data LGE SC MC" sheetId="42" r:id="rId23"/>
    <sheet name="Retail Rates" sheetId="43" r:id="rId24"/>
    <sheet name="Rate Categories" sheetId="44" r:id="rId25"/>
    <sheet name="GSC-DSM-GLT Factors" sheetId="45" r:id="rId26"/>
    <sheet name="Sales by Rates===&gt;" sheetId="46" r:id="rId27"/>
    <sheet name="SBR Mar16 - Aug16" sheetId="60" r:id="rId28"/>
    <sheet name="Bruise Report-Tariff" sheetId="47" r:id="rId29"/>
    <sheet name="Bruise Report-Cashouts" sheetId="48" r:id="rId30"/>
  </sheets>
  <externalReferences>
    <externalReference r:id="rId31"/>
    <externalReference r:id="rId32"/>
  </externalReferences>
  <definedNames>
    <definedName name="_xlnm._FilterDatabase" localSheetId="9" hidden="1">'12-MO Billed Summary RETAIL'!$A$5:$E$16</definedName>
    <definedName name="_xlnm._FilterDatabase" localSheetId="19" hidden="1">Adjustments!$A$5:$E$22</definedName>
    <definedName name="_xlnm._FilterDatabase" localSheetId="29" hidden="1">'Bruise Report-Cashouts'!$A$4:$D$46</definedName>
    <definedName name="_xlnm._FilterDatabase" localSheetId="28" hidden="1">'Bruise Report-Tariff'!$A$4:$D$76</definedName>
    <definedName name="_xlnm._FilterDatabase" localSheetId="20" hidden="1">'Data FT-TS-Cashout-P'!$A$13:$AH$2260</definedName>
    <definedName name="_xlnm._FilterDatabase" localSheetId="22" hidden="1">'Data LGE SC MC'!$A$3:$AH$77</definedName>
    <definedName name="_xlnm._FilterDatabase" localSheetId="21" hidden="1">'Data-Cashout'!$A$2:$AI$418</definedName>
    <definedName name="_xlnm._FilterDatabase" localSheetId="18" hidden="1">'Data-Retail'!$A$3:$AJ$659</definedName>
    <definedName name="_xlnm._FilterDatabase" localSheetId="17" hidden="1">'Fin Forecast'!$A$3:$V$545</definedName>
    <definedName name="_xlnm._FilterDatabase" localSheetId="16" hidden="1">'Forecasted Calendar Month Usage'!$A$4:$BY$39</definedName>
    <definedName name="_xlnm._FilterDatabase" localSheetId="15" hidden="1">'Forecasted Customer Cts'!$A$4:$BY$39</definedName>
    <definedName name="_xlnm._FilterDatabase" localSheetId="12" hidden="1">'Mar16-Aug16 Billed-RETAIL'!$C$5:$G$143</definedName>
    <definedName name="_xlnm._FilterDatabase" localSheetId="14" hidden="1">'Mar16-Aug16 FT-TS-Cashout-LG&amp;E'!$B$6:$X$6</definedName>
    <definedName name="_xlnm._FilterDatabase" localSheetId="24" hidden="1">'Rate Categories'!$A$1:$G$28</definedName>
    <definedName name="_xlnm._FilterDatabase" localSheetId="23" hidden="1">'Retail Rates'!$B$6:$E$34</definedName>
    <definedName name="_xlnm._FilterDatabase" localSheetId="27" hidden="1">'SBR Mar16 - Aug16'!$A$15:$AH$315</definedName>
    <definedName name="BNE_MESSAGES_HIDDEN" localSheetId="27" hidden="1">#REF!</definedName>
    <definedName name="BNE_MESSAGES_HIDDEN" localSheetId="5" hidden="1">#REF!</definedName>
    <definedName name="BNE_MESSAGES_HIDDEN" hidden="1">#REF!</definedName>
    <definedName name="DolUnitFactor">[1]ListsValues!$M$29</definedName>
    <definedName name="L_SBR_Rate_Category">[2]SBR!$C$3:$C$935</definedName>
    <definedName name="L_SBR_RateClass">[2]SBR!$E$3:$E$935</definedName>
    <definedName name="L_SBR_Revenue_Month">[2]SBR!$B$3:$B$935</definedName>
    <definedName name="L_SBR_Revenue_Total">[2]SBR!$F$3:$F$935</definedName>
    <definedName name="_xlnm.Print_Area" localSheetId="29">'Bruise Report-Cashouts'!$A$1:$D$77</definedName>
    <definedName name="_xlnm.Print_Area" localSheetId="28">'Bruise Report-Tariff'!$A$1:$D$30</definedName>
    <definedName name="_xlnm.Print_Area" localSheetId="20">'Data FT-TS-Cashout-P'!$A$9:$H$1044</definedName>
    <definedName name="_xlnm.Print_Area" localSheetId="18">'Data-Retail'!$A$3:$X$39</definedName>
    <definedName name="_xlnm.Print_Area" localSheetId="6">'Revenue Summary B'!$A$1:$J$45</definedName>
    <definedName name="_xlnm.Print_Area" localSheetId="11">SBR!$A$56:$AO$82</definedName>
    <definedName name="_xlnm.Print_Area" localSheetId="3">'Sch M-1.2-G'!$A$1:$I$21</definedName>
    <definedName name="_xlnm.Print_Area" localSheetId="5">'Sch M-1.3 Pg. 2-8'!$C$1:$J$329</definedName>
    <definedName name="_xlnm.Print_Area" localSheetId="4">'Sch M-1.3 Pg.1'!$A$1:$G$31</definedName>
    <definedName name="_xlnm.Print_Titles" localSheetId="6">'Revenue Summary B'!$B:$B</definedName>
  </definedNames>
  <calcPr calcId="152511"/>
</workbook>
</file>

<file path=xl/calcChain.xml><?xml version="1.0" encoding="utf-8"?>
<calcChain xmlns="http://schemas.openxmlformats.org/spreadsheetml/2006/main">
  <c r="L72" i="87" l="1"/>
  <c r="N72" i="87" s="1"/>
  <c r="L71" i="87"/>
  <c r="N71" i="87" s="1"/>
  <c r="L70" i="87"/>
  <c r="N70" i="87" s="1"/>
  <c r="L68" i="87"/>
  <c r="N68" i="87" s="1"/>
  <c r="L67" i="87"/>
  <c r="N67" i="87" s="1"/>
  <c r="I710" i="34"/>
  <c r="I716" i="34"/>
  <c r="AA35" i="28" l="1"/>
  <c r="XFD54" i="28"/>
  <c r="C23" i="5" l="1"/>
  <c r="D23" i="5"/>
  <c r="F21" i="5"/>
  <c r="D21" i="5"/>
  <c r="E13" i="5"/>
  <c r="E11" i="5"/>
  <c r="C42" i="48" l="1"/>
  <c r="C41" i="48"/>
  <c r="C32" i="48"/>
  <c r="C30" i="48"/>
  <c r="C29" i="48"/>
  <c r="C20" i="48"/>
  <c r="C18" i="48"/>
  <c r="C17" i="48"/>
  <c r="C14" i="48"/>
  <c r="C12" i="48"/>
  <c r="C11" i="48"/>
  <c r="C9" i="48"/>
  <c r="C8" i="48"/>
  <c r="C6" i="48"/>
  <c r="C5" i="48"/>
  <c r="C29" i="47"/>
  <c r="C78" i="47" s="1"/>
  <c r="I52" i="45"/>
  <c r="G52" i="45"/>
  <c r="I51" i="45"/>
  <c r="G51" i="45"/>
  <c r="I50" i="45"/>
  <c r="G50" i="45"/>
  <c r="I49" i="45"/>
  <c r="G49" i="45"/>
  <c r="I48" i="45"/>
  <c r="G48" i="45"/>
  <c r="I47" i="45"/>
  <c r="G47" i="45"/>
  <c r="I46" i="45"/>
  <c r="G46" i="45"/>
  <c r="I45" i="45"/>
  <c r="G45" i="45"/>
  <c r="I44" i="45"/>
  <c r="G44" i="45"/>
  <c r="I43" i="45"/>
  <c r="G43" i="45"/>
  <c r="I42" i="45"/>
  <c r="G42" i="45"/>
  <c r="I41" i="45"/>
  <c r="G41" i="45"/>
  <c r="I40" i="45"/>
  <c r="G40" i="45"/>
  <c r="I39" i="45"/>
  <c r="G39" i="45"/>
  <c r="I38" i="45"/>
  <c r="G38" i="45"/>
  <c r="I37" i="45"/>
  <c r="G37" i="45"/>
  <c r="I36" i="45"/>
  <c r="G36" i="45"/>
  <c r="I35" i="45"/>
  <c r="G35" i="45"/>
  <c r="I34" i="45"/>
  <c r="G34" i="45"/>
  <c r="I33" i="45"/>
  <c r="G33" i="45"/>
  <c r="I32" i="45"/>
  <c r="G32" i="45"/>
  <c r="I31" i="45"/>
  <c r="G31" i="45"/>
  <c r="I30" i="45"/>
  <c r="G30" i="45"/>
  <c r="I29" i="45"/>
  <c r="G29" i="45"/>
  <c r="I28" i="45"/>
  <c r="G28" i="45"/>
  <c r="I27" i="45"/>
  <c r="G27" i="45"/>
  <c r="I26" i="45"/>
  <c r="G26" i="45"/>
  <c r="I25" i="45"/>
  <c r="G25" i="45"/>
  <c r="I24" i="45"/>
  <c r="G24" i="45"/>
  <c r="I23" i="45"/>
  <c r="G23" i="45"/>
  <c r="I22" i="45"/>
  <c r="G22" i="45"/>
  <c r="I21" i="45"/>
  <c r="G21" i="45"/>
  <c r="I20" i="45"/>
  <c r="G20" i="45"/>
  <c r="I19" i="45"/>
  <c r="G19" i="45"/>
  <c r="I18" i="45"/>
  <c r="G18" i="45"/>
  <c r="I17" i="45"/>
  <c r="G17" i="45"/>
  <c r="I16" i="45"/>
  <c r="G16" i="45"/>
  <c r="I15" i="45"/>
  <c r="G15" i="45"/>
  <c r="I14" i="45"/>
  <c r="G14" i="45"/>
  <c r="I13" i="45"/>
  <c r="G13" i="45"/>
  <c r="I12" i="45"/>
  <c r="G12" i="45"/>
  <c r="I11" i="45"/>
  <c r="G11" i="45"/>
  <c r="I10" i="45"/>
  <c r="G10" i="45"/>
  <c r="I9" i="45"/>
  <c r="G9" i="45"/>
  <c r="B28" i="44"/>
  <c r="B27" i="44"/>
  <c r="B26" i="44"/>
  <c r="B25" i="44"/>
  <c r="B24" i="44"/>
  <c r="B23" i="44"/>
  <c r="B22" i="44"/>
  <c r="B21" i="44"/>
  <c r="B20" i="44"/>
  <c r="B19" i="44"/>
  <c r="B18" i="44"/>
  <c r="B17" i="44"/>
  <c r="B16" i="44"/>
  <c r="B15" i="44"/>
  <c r="B14" i="44"/>
  <c r="B13" i="44"/>
  <c r="B12" i="44"/>
  <c r="B11" i="44"/>
  <c r="B10" i="44"/>
  <c r="B9" i="44"/>
  <c r="B8" i="44"/>
  <c r="B7" i="44"/>
  <c r="B6" i="44"/>
  <c r="B5" i="44"/>
  <c r="B4" i="44"/>
  <c r="B3" i="44"/>
  <c r="B2" i="44"/>
  <c r="J55" i="43"/>
  <c r="H53" i="43"/>
  <c r="H52" i="43"/>
  <c r="H51" i="43"/>
  <c r="J50" i="43"/>
  <c r="H49" i="43"/>
  <c r="H47" i="43"/>
  <c r="L391" i="34" s="1"/>
  <c r="H46" i="43"/>
  <c r="L457" i="34" s="1"/>
  <c r="L458" i="34" s="1"/>
  <c r="F46" i="43"/>
  <c r="H45" i="43"/>
  <c r="M220" i="34" s="1"/>
  <c r="M221" i="34" s="1"/>
  <c r="F45" i="43"/>
  <c r="O39" i="43"/>
  <c r="C39" i="43"/>
  <c r="D39" i="43" s="1"/>
  <c r="E39" i="43" s="1"/>
  <c r="F39" i="43" s="1"/>
  <c r="G39" i="43" s="1"/>
  <c r="H39" i="43" s="1"/>
  <c r="I39" i="43" s="1"/>
  <c r="J39" i="43" s="1"/>
  <c r="K39" i="43" s="1"/>
  <c r="L39" i="43" s="1"/>
  <c r="C34" i="43"/>
  <c r="C33" i="43"/>
  <c r="C32" i="43"/>
  <c r="B412" i="38" s="1"/>
  <c r="C31" i="43"/>
  <c r="C30" i="43"/>
  <c r="B380" i="38" s="1"/>
  <c r="I29" i="43"/>
  <c r="C29" i="43"/>
  <c r="B379" i="38" s="1"/>
  <c r="I28" i="43"/>
  <c r="C28" i="43"/>
  <c r="I27" i="43"/>
  <c r="C27" i="43"/>
  <c r="B375" i="38" s="1"/>
  <c r="I26" i="43"/>
  <c r="C26" i="43"/>
  <c r="B372" i="38" s="1"/>
  <c r="C25" i="43"/>
  <c r="C24" i="43"/>
  <c r="B626" i="38" s="1"/>
  <c r="C23" i="43"/>
  <c r="C22" i="43"/>
  <c r="C21" i="43"/>
  <c r="C20" i="43"/>
  <c r="B431" i="38" s="1"/>
  <c r="I19" i="43"/>
  <c r="C19" i="43"/>
  <c r="B428" i="38" s="1"/>
  <c r="C18" i="43"/>
  <c r="I17" i="43"/>
  <c r="C17" i="43"/>
  <c r="I16" i="43"/>
  <c r="C16" i="43"/>
  <c r="I15" i="43"/>
  <c r="I56" i="6" s="1"/>
  <c r="C15" i="43"/>
  <c r="C14" i="43"/>
  <c r="C13" i="43"/>
  <c r="C12" i="43"/>
  <c r="B45" i="38" s="1"/>
  <c r="C11" i="43"/>
  <c r="C10" i="43"/>
  <c r="B155" i="38" s="1"/>
  <c r="C9" i="43"/>
  <c r="C8" i="43"/>
  <c r="C7" i="43"/>
  <c r="C2" i="43"/>
  <c r="D2" i="43" s="1"/>
  <c r="E2" i="43" s="1"/>
  <c r="F2" i="43" s="1"/>
  <c r="G2" i="43" s="1"/>
  <c r="H2" i="43" s="1"/>
  <c r="I2" i="43" s="1"/>
  <c r="J2" i="43" s="1"/>
  <c r="K2" i="43" s="1"/>
  <c r="L2" i="43" s="1"/>
  <c r="J480" i="41"/>
  <c r="J479" i="41"/>
  <c r="J478" i="41"/>
  <c r="J477" i="41"/>
  <c r="J476" i="41"/>
  <c r="J475" i="41"/>
  <c r="J474" i="41"/>
  <c r="J473" i="41"/>
  <c r="J472" i="41"/>
  <c r="J471" i="41"/>
  <c r="J470" i="41"/>
  <c r="J469" i="41"/>
  <c r="J468" i="41"/>
  <c r="J467" i="41"/>
  <c r="J466" i="41"/>
  <c r="J465" i="41"/>
  <c r="J464" i="41"/>
  <c r="J463" i="41"/>
  <c r="J462" i="41"/>
  <c r="J461" i="41"/>
  <c r="J460" i="41"/>
  <c r="J459" i="41"/>
  <c r="J458" i="41"/>
  <c r="J457" i="41"/>
  <c r="J456" i="41"/>
  <c r="J455" i="41"/>
  <c r="J454" i="41"/>
  <c r="J453" i="41"/>
  <c r="J452" i="41"/>
  <c r="J451" i="41"/>
  <c r="J450" i="41"/>
  <c r="J449" i="41"/>
  <c r="J448" i="41"/>
  <c r="J447" i="41"/>
  <c r="J446" i="41"/>
  <c r="J445" i="41"/>
  <c r="J444" i="41"/>
  <c r="J443" i="41"/>
  <c r="J442" i="41"/>
  <c r="J441" i="41"/>
  <c r="J440" i="41"/>
  <c r="J439" i="41"/>
  <c r="J438" i="41"/>
  <c r="J437" i="41"/>
  <c r="J436" i="41"/>
  <c r="J435" i="41"/>
  <c r="J434" i="41"/>
  <c r="J433" i="41"/>
  <c r="J432" i="41"/>
  <c r="J431" i="41"/>
  <c r="J430" i="41"/>
  <c r="J429" i="41"/>
  <c r="J428" i="41"/>
  <c r="J427" i="41"/>
  <c r="J426" i="41"/>
  <c r="J425" i="41"/>
  <c r="J424" i="41"/>
  <c r="J423" i="41"/>
  <c r="J422" i="41"/>
  <c r="J421" i="41"/>
  <c r="J420" i="41"/>
  <c r="J419" i="41"/>
  <c r="J418" i="41"/>
  <c r="J417" i="41"/>
  <c r="J416" i="41"/>
  <c r="J415" i="41"/>
  <c r="J414" i="41"/>
  <c r="J413" i="41"/>
  <c r="J412" i="41"/>
  <c r="J411" i="41"/>
  <c r="J410" i="41"/>
  <c r="J409" i="41"/>
  <c r="J408" i="41"/>
  <c r="J407" i="41"/>
  <c r="J406" i="41"/>
  <c r="J405" i="41"/>
  <c r="J404" i="41"/>
  <c r="J403" i="41"/>
  <c r="J402" i="41"/>
  <c r="J401" i="41"/>
  <c r="J400" i="41"/>
  <c r="J399" i="41"/>
  <c r="J398" i="41"/>
  <c r="J397" i="41"/>
  <c r="J396" i="41"/>
  <c r="J395" i="41"/>
  <c r="J394" i="41"/>
  <c r="J393" i="41"/>
  <c r="J392" i="41"/>
  <c r="J391" i="41"/>
  <c r="J390" i="41"/>
  <c r="J389" i="41"/>
  <c r="J388" i="41"/>
  <c r="J387" i="41"/>
  <c r="J386" i="41"/>
  <c r="J385" i="41"/>
  <c r="J384" i="41"/>
  <c r="J383" i="41"/>
  <c r="J382" i="41"/>
  <c r="J381" i="41"/>
  <c r="J380" i="41"/>
  <c r="J379" i="41"/>
  <c r="J378" i="41"/>
  <c r="J377" i="41"/>
  <c r="J376" i="41"/>
  <c r="J375" i="41"/>
  <c r="J374" i="41"/>
  <c r="J373" i="41"/>
  <c r="J372" i="41"/>
  <c r="J371" i="41"/>
  <c r="J370" i="41"/>
  <c r="J369" i="41"/>
  <c r="J368" i="41"/>
  <c r="J367" i="41"/>
  <c r="J366" i="41"/>
  <c r="J365" i="41"/>
  <c r="J364" i="41"/>
  <c r="J363" i="41"/>
  <c r="J362" i="41"/>
  <c r="J361" i="41"/>
  <c r="J360" i="41"/>
  <c r="J359" i="41"/>
  <c r="J358" i="41"/>
  <c r="J357" i="41"/>
  <c r="J356" i="41"/>
  <c r="J355" i="41"/>
  <c r="J354" i="41"/>
  <c r="J353" i="41"/>
  <c r="J352" i="41"/>
  <c r="J351" i="41"/>
  <c r="J350" i="41"/>
  <c r="J349" i="41"/>
  <c r="J348" i="41"/>
  <c r="J347" i="41"/>
  <c r="J346" i="41"/>
  <c r="J345" i="41"/>
  <c r="J344" i="41"/>
  <c r="J343" i="41"/>
  <c r="J342" i="41"/>
  <c r="J341" i="41"/>
  <c r="J340" i="41"/>
  <c r="J339" i="41"/>
  <c r="J338" i="41"/>
  <c r="J337" i="41"/>
  <c r="J336" i="41"/>
  <c r="J335" i="41"/>
  <c r="J334" i="41"/>
  <c r="J333" i="41"/>
  <c r="J332" i="41"/>
  <c r="J331" i="41"/>
  <c r="J330" i="41"/>
  <c r="J329" i="41"/>
  <c r="J328" i="41"/>
  <c r="J327" i="41"/>
  <c r="J326" i="41"/>
  <c r="J325" i="41"/>
  <c r="J324" i="41"/>
  <c r="J323" i="41"/>
  <c r="J322" i="41"/>
  <c r="J321" i="41"/>
  <c r="J320" i="41"/>
  <c r="J319" i="41"/>
  <c r="J318" i="41"/>
  <c r="J317" i="41"/>
  <c r="J316" i="41"/>
  <c r="J315" i="41"/>
  <c r="J314" i="41"/>
  <c r="J313" i="41"/>
  <c r="J312" i="41"/>
  <c r="J311" i="41"/>
  <c r="J310" i="41"/>
  <c r="J309" i="41"/>
  <c r="J308" i="41"/>
  <c r="J307" i="41"/>
  <c r="J306" i="41"/>
  <c r="J305" i="41"/>
  <c r="J304" i="41"/>
  <c r="J303" i="41"/>
  <c r="J302" i="41"/>
  <c r="J301" i="41"/>
  <c r="J300" i="41"/>
  <c r="J299" i="41"/>
  <c r="J298" i="41"/>
  <c r="J297" i="41"/>
  <c r="J296" i="41"/>
  <c r="J295" i="41"/>
  <c r="J294" i="41"/>
  <c r="J293" i="41"/>
  <c r="J292" i="41"/>
  <c r="J291" i="41"/>
  <c r="J290" i="41"/>
  <c r="J289" i="41"/>
  <c r="J288" i="41"/>
  <c r="J287" i="41"/>
  <c r="J286" i="41"/>
  <c r="J285" i="41"/>
  <c r="J284" i="41"/>
  <c r="J283" i="41"/>
  <c r="J282" i="41"/>
  <c r="J281" i="41"/>
  <c r="J280" i="41"/>
  <c r="J279" i="41"/>
  <c r="J278" i="41"/>
  <c r="J277" i="41"/>
  <c r="J276" i="41"/>
  <c r="J275" i="41"/>
  <c r="J274" i="41"/>
  <c r="J273" i="41"/>
  <c r="J272" i="41"/>
  <c r="J271" i="41"/>
  <c r="J270" i="41"/>
  <c r="J269" i="41"/>
  <c r="J268" i="41"/>
  <c r="J267" i="41"/>
  <c r="J266" i="41"/>
  <c r="J265" i="41"/>
  <c r="J264" i="41"/>
  <c r="J263" i="41"/>
  <c r="J262" i="41"/>
  <c r="J261" i="41"/>
  <c r="J260" i="41"/>
  <c r="J259" i="41"/>
  <c r="J258" i="41"/>
  <c r="J257" i="41"/>
  <c r="J256" i="41"/>
  <c r="J255" i="41"/>
  <c r="J254" i="41"/>
  <c r="J253" i="41"/>
  <c r="J252" i="41"/>
  <c r="J251" i="41"/>
  <c r="J250" i="41"/>
  <c r="J249" i="41"/>
  <c r="J248" i="41"/>
  <c r="J247" i="41"/>
  <c r="J246" i="41"/>
  <c r="J245" i="41"/>
  <c r="J244" i="41"/>
  <c r="J243" i="41"/>
  <c r="J242" i="41"/>
  <c r="J241" i="41"/>
  <c r="J240" i="41"/>
  <c r="J239" i="41"/>
  <c r="J238" i="41"/>
  <c r="J237" i="41"/>
  <c r="J236" i="41"/>
  <c r="J235" i="41"/>
  <c r="J234" i="41"/>
  <c r="J233" i="41"/>
  <c r="J232" i="41"/>
  <c r="J231" i="41"/>
  <c r="J230" i="41"/>
  <c r="J229" i="41"/>
  <c r="J228" i="41"/>
  <c r="J227" i="41"/>
  <c r="J226" i="41"/>
  <c r="J225" i="41"/>
  <c r="J224" i="41"/>
  <c r="J223" i="41"/>
  <c r="J222" i="41"/>
  <c r="J221" i="41"/>
  <c r="J220" i="41"/>
  <c r="J219" i="41"/>
  <c r="J218" i="41"/>
  <c r="J217" i="41"/>
  <c r="J216" i="41"/>
  <c r="J215" i="41"/>
  <c r="J214" i="41"/>
  <c r="J213" i="41"/>
  <c r="J212" i="41"/>
  <c r="J211" i="41"/>
  <c r="J210" i="41"/>
  <c r="J209" i="41"/>
  <c r="J208" i="41"/>
  <c r="J207" i="41"/>
  <c r="J206" i="41"/>
  <c r="J205" i="41"/>
  <c r="J204" i="41"/>
  <c r="J203" i="41"/>
  <c r="J202" i="41"/>
  <c r="J201" i="41"/>
  <c r="J200" i="41"/>
  <c r="J199" i="41"/>
  <c r="J198" i="41"/>
  <c r="J197" i="41"/>
  <c r="J196" i="41"/>
  <c r="J195" i="41"/>
  <c r="J194" i="41"/>
  <c r="J193" i="41"/>
  <c r="J192" i="41"/>
  <c r="J191" i="41"/>
  <c r="J190" i="41"/>
  <c r="J189" i="41"/>
  <c r="J188" i="41"/>
  <c r="J187" i="41"/>
  <c r="J186" i="41"/>
  <c r="J185" i="41"/>
  <c r="J184" i="41"/>
  <c r="J183" i="41"/>
  <c r="J182" i="41"/>
  <c r="J181" i="41"/>
  <c r="J180" i="41"/>
  <c r="J179" i="41"/>
  <c r="J178" i="41"/>
  <c r="J177" i="41"/>
  <c r="J176" i="41"/>
  <c r="J175" i="41"/>
  <c r="J174" i="41"/>
  <c r="J173" i="41"/>
  <c r="J172" i="41"/>
  <c r="J171" i="41"/>
  <c r="J170" i="41"/>
  <c r="J169" i="41"/>
  <c r="J168" i="41"/>
  <c r="J167" i="41"/>
  <c r="J166" i="41"/>
  <c r="J165" i="41"/>
  <c r="J164" i="41"/>
  <c r="J163" i="41"/>
  <c r="J162" i="41"/>
  <c r="J161" i="41"/>
  <c r="J160" i="41"/>
  <c r="J159" i="41"/>
  <c r="J158" i="41"/>
  <c r="J157" i="41"/>
  <c r="J156" i="41"/>
  <c r="J155" i="41"/>
  <c r="J154" i="41"/>
  <c r="J153" i="41"/>
  <c r="J152" i="41"/>
  <c r="J151" i="41"/>
  <c r="J150" i="41"/>
  <c r="J149" i="41"/>
  <c r="J148" i="41"/>
  <c r="J147" i="41"/>
  <c r="J146" i="41"/>
  <c r="J145" i="41"/>
  <c r="J144" i="41"/>
  <c r="J143" i="41"/>
  <c r="J142" i="41"/>
  <c r="J141" i="41"/>
  <c r="J140" i="41"/>
  <c r="J139" i="41"/>
  <c r="J138" i="41"/>
  <c r="J137" i="41"/>
  <c r="J136" i="41"/>
  <c r="J135" i="41"/>
  <c r="J134" i="41"/>
  <c r="J133" i="41"/>
  <c r="J132" i="41"/>
  <c r="J131" i="41"/>
  <c r="J130" i="41"/>
  <c r="J129" i="41"/>
  <c r="J128" i="41"/>
  <c r="J127" i="41"/>
  <c r="J126" i="41"/>
  <c r="J125" i="41"/>
  <c r="J124" i="41"/>
  <c r="J123" i="41"/>
  <c r="J122" i="41"/>
  <c r="J121" i="41"/>
  <c r="J120" i="41"/>
  <c r="J119" i="41"/>
  <c r="J118" i="41"/>
  <c r="J117" i="41"/>
  <c r="J116" i="41"/>
  <c r="J115" i="41"/>
  <c r="J114" i="41"/>
  <c r="J113" i="41"/>
  <c r="J112" i="41"/>
  <c r="J111" i="41"/>
  <c r="J110" i="41"/>
  <c r="J109" i="41"/>
  <c r="J108" i="41"/>
  <c r="J107" i="41"/>
  <c r="J106" i="41"/>
  <c r="J105" i="41"/>
  <c r="J104" i="41"/>
  <c r="J103" i="41"/>
  <c r="J102" i="41"/>
  <c r="J101" i="41"/>
  <c r="J100" i="41"/>
  <c r="J99" i="41"/>
  <c r="J98" i="41"/>
  <c r="J97" i="41"/>
  <c r="J96" i="41"/>
  <c r="J95" i="41"/>
  <c r="J94" i="41"/>
  <c r="J93" i="41"/>
  <c r="J92" i="41"/>
  <c r="J91" i="41"/>
  <c r="J90" i="41"/>
  <c r="J89" i="41"/>
  <c r="J88" i="41"/>
  <c r="J87" i="41"/>
  <c r="J86" i="41"/>
  <c r="J85" i="41"/>
  <c r="J84" i="41"/>
  <c r="J83" i="41"/>
  <c r="J82" i="41"/>
  <c r="J81" i="41"/>
  <c r="J80" i="41"/>
  <c r="J79" i="41"/>
  <c r="J78" i="41"/>
  <c r="J77" i="41"/>
  <c r="J76" i="41"/>
  <c r="J75" i="41"/>
  <c r="J74" i="41"/>
  <c r="J73" i="41"/>
  <c r="J72" i="41"/>
  <c r="J71" i="41"/>
  <c r="J70" i="41"/>
  <c r="J69" i="41"/>
  <c r="J68" i="41"/>
  <c r="J67" i="41"/>
  <c r="J66" i="41"/>
  <c r="J65" i="41"/>
  <c r="J64" i="41"/>
  <c r="J63" i="41"/>
  <c r="J62" i="41"/>
  <c r="J61" i="41"/>
  <c r="J60" i="41"/>
  <c r="J59" i="41"/>
  <c r="J58" i="41"/>
  <c r="J57" i="41"/>
  <c r="J56" i="41"/>
  <c r="J55" i="41"/>
  <c r="J54" i="41"/>
  <c r="J53" i="41"/>
  <c r="J52" i="41"/>
  <c r="J51" i="41"/>
  <c r="J50" i="41"/>
  <c r="J49" i="41"/>
  <c r="J48" i="41"/>
  <c r="J47" i="41"/>
  <c r="J46" i="41"/>
  <c r="J45" i="41"/>
  <c r="J44" i="41"/>
  <c r="J43" i="41"/>
  <c r="J42" i="41"/>
  <c r="J41" i="41"/>
  <c r="J40" i="41"/>
  <c r="J39" i="41"/>
  <c r="J38" i="41"/>
  <c r="J37" i="41"/>
  <c r="J36" i="41"/>
  <c r="J35" i="41"/>
  <c r="J34" i="41"/>
  <c r="J33" i="41"/>
  <c r="J32" i="41"/>
  <c r="J31" i="41"/>
  <c r="J30" i="41"/>
  <c r="J29" i="41"/>
  <c r="J28" i="41"/>
  <c r="J27" i="41"/>
  <c r="J26" i="41"/>
  <c r="J25" i="41"/>
  <c r="J24" i="41"/>
  <c r="J23" i="41"/>
  <c r="J22" i="41"/>
  <c r="J21" i="41"/>
  <c r="J20" i="41"/>
  <c r="J19" i="41"/>
  <c r="J18" i="41"/>
  <c r="J17" i="41"/>
  <c r="J16" i="41"/>
  <c r="J15" i="41"/>
  <c r="J14" i="41"/>
  <c r="J13" i="41"/>
  <c r="J12" i="41"/>
  <c r="J11" i="41"/>
  <c r="J10" i="41"/>
  <c r="J9" i="41"/>
  <c r="J8" i="41"/>
  <c r="J7" i="41"/>
  <c r="J6" i="41"/>
  <c r="J5" i="41"/>
  <c r="J4" i="41"/>
  <c r="J3" i="41"/>
  <c r="E68" i="39"/>
  <c r="E56" i="39"/>
  <c r="E44" i="39"/>
  <c r="E32" i="39"/>
  <c r="L22" i="39"/>
  <c r="E21" i="39"/>
  <c r="E11" i="39"/>
  <c r="A7" i="39"/>
  <c r="A8" i="39" s="1"/>
  <c r="A9" i="39" s="1"/>
  <c r="A10" i="39" s="1"/>
  <c r="A11" i="39" s="1"/>
  <c r="A12" i="39" s="1"/>
  <c r="A13" i="39" s="1"/>
  <c r="A14" i="39" s="1"/>
  <c r="A16" i="39" s="1"/>
  <c r="A17" i="39" s="1"/>
  <c r="A18" i="39" s="1"/>
  <c r="A19" i="39" s="1"/>
  <c r="A20" i="39" s="1"/>
  <c r="A21" i="39" s="1"/>
  <c r="A22" i="39" s="1"/>
  <c r="A23" i="39" s="1"/>
  <c r="A24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50" i="39" s="1"/>
  <c r="A51" i="39" s="1"/>
  <c r="A52" i="39" s="1"/>
  <c r="A53" i="39" s="1"/>
  <c r="A54" i="39" s="1"/>
  <c r="A55" i="39" s="1"/>
  <c r="A56" i="39" s="1"/>
  <c r="A57" i="39" s="1"/>
  <c r="A58" i="39" s="1"/>
  <c r="B6" i="39"/>
  <c r="B3" i="39"/>
  <c r="C3" i="39" s="1"/>
  <c r="D3" i="39" s="1"/>
  <c r="E3" i="39" s="1"/>
  <c r="F3" i="39" s="1"/>
  <c r="G3" i="39" s="1"/>
  <c r="H3" i="39" s="1"/>
  <c r="I3" i="39" s="1"/>
  <c r="J3" i="39" s="1"/>
  <c r="K3" i="39" s="1"/>
  <c r="L3" i="39" s="1"/>
  <c r="M3" i="39" s="1"/>
  <c r="N3" i="39" s="1"/>
  <c r="O3" i="39" s="1"/>
  <c r="P3" i="39" s="1"/>
  <c r="C659" i="38"/>
  <c r="B659" i="38"/>
  <c r="C658" i="38"/>
  <c r="C657" i="38"/>
  <c r="C656" i="38"/>
  <c r="B656" i="38"/>
  <c r="C655" i="38"/>
  <c r="B655" i="38"/>
  <c r="C654" i="38"/>
  <c r="B654" i="38"/>
  <c r="C653" i="38"/>
  <c r="B653" i="38"/>
  <c r="C652" i="38"/>
  <c r="B652" i="38"/>
  <c r="C651" i="38"/>
  <c r="B651" i="38"/>
  <c r="C650" i="38"/>
  <c r="B650" i="38"/>
  <c r="C649" i="38"/>
  <c r="B649" i="38"/>
  <c r="C648" i="38"/>
  <c r="B648" i="38"/>
  <c r="C647" i="38"/>
  <c r="B647" i="38"/>
  <c r="C646" i="38"/>
  <c r="B646" i="38"/>
  <c r="C645" i="38"/>
  <c r="B645" i="38"/>
  <c r="C644" i="38"/>
  <c r="B644" i="38"/>
  <c r="C643" i="38"/>
  <c r="B643" i="38"/>
  <c r="C642" i="38"/>
  <c r="B642" i="38"/>
  <c r="C641" i="38"/>
  <c r="B641" i="38"/>
  <c r="C640" i="38"/>
  <c r="B640" i="38"/>
  <c r="C639" i="38"/>
  <c r="B639" i="38"/>
  <c r="C638" i="38"/>
  <c r="B638" i="38"/>
  <c r="C637" i="38"/>
  <c r="B637" i="38"/>
  <c r="C636" i="38"/>
  <c r="B636" i="38"/>
  <c r="C635" i="38"/>
  <c r="B635" i="38"/>
  <c r="C634" i="38"/>
  <c r="B634" i="38"/>
  <c r="C633" i="38"/>
  <c r="B633" i="38"/>
  <c r="C632" i="38"/>
  <c r="B632" i="38"/>
  <c r="C631" i="38"/>
  <c r="B631" i="38"/>
  <c r="C630" i="38"/>
  <c r="C629" i="38"/>
  <c r="B629" i="38"/>
  <c r="C628" i="38"/>
  <c r="C627" i="38"/>
  <c r="B627" i="38"/>
  <c r="C626" i="38"/>
  <c r="C625" i="38"/>
  <c r="B625" i="38"/>
  <c r="C624" i="38"/>
  <c r="C623" i="38"/>
  <c r="C622" i="38"/>
  <c r="C621" i="38"/>
  <c r="C620" i="38"/>
  <c r="B620" i="38"/>
  <c r="C619" i="38"/>
  <c r="C618" i="38"/>
  <c r="C617" i="38"/>
  <c r="C616" i="38"/>
  <c r="C615" i="38"/>
  <c r="C614" i="38"/>
  <c r="C613" i="38"/>
  <c r="C612" i="38"/>
  <c r="C611" i="38"/>
  <c r="C610" i="38"/>
  <c r="C609" i="38"/>
  <c r="C608" i="38"/>
  <c r="C607" i="38"/>
  <c r="C606" i="38"/>
  <c r="C605" i="38"/>
  <c r="C604" i="38"/>
  <c r="C603" i="38"/>
  <c r="C602" i="38"/>
  <c r="C601" i="38"/>
  <c r="C600" i="38"/>
  <c r="C599" i="38"/>
  <c r="C598" i="38"/>
  <c r="C597" i="38"/>
  <c r="C596" i="38"/>
  <c r="C595" i="38"/>
  <c r="C594" i="38"/>
  <c r="C593" i="38"/>
  <c r="C592" i="38"/>
  <c r="C591" i="38"/>
  <c r="C590" i="38"/>
  <c r="C589" i="38"/>
  <c r="C588" i="38"/>
  <c r="C587" i="38"/>
  <c r="C586" i="38"/>
  <c r="C585" i="38"/>
  <c r="C584" i="38"/>
  <c r="C583" i="38"/>
  <c r="C582" i="38"/>
  <c r="C581" i="38"/>
  <c r="C580" i="38"/>
  <c r="C579" i="38"/>
  <c r="C578" i="38"/>
  <c r="C577" i="38"/>
  <c r="C576" i="38"/>
  <c r="C575" i="38"/>
  <c r="C574" i="38"/>
  <c r="C573" i="38"/>
  <c r="C572" i="38"/>
  <c r="C571" i="38"/>
  <c r="C570" i="38"/>
  <c r="C569" i="38"/>
  <c r="C568" i="38"/>
  <c r="C567" i="38"/>
  <c r="C566" i="38"/>
  <c r="C565" i="38"/>
  <c r="C564" i="38"/>
  <c r="C563" i="38"/>
  <c r="C562" i="38"/>
  <c r="C561" i="38"/>
  <c r="C560" i="38"/>
  <c r="C559" i="38"/>
  <c r="C558" i="38"/>
  <c r="C557" i="38"/>
  <c r="C556" i="38"/>
  <c r="C555" i="38"/>
  <c r="C554" i="38"/>
  <c r="C553" i="38"/>
  <c r="B553" i="38"/>
  <c r="C552" i="38"/>
  <c r="B552" i="38"/>
  <c r="C551" i="38"/>
  <c r="B551" i="38"/>
  <c r="C550" i="38"/>
  <c r="B550" i="38"/>
  <c r="C549" i="38"/>
  <c r="B549" i="38"/>
  <c r="C548" i="38"/>
  <c r="B548" i="38"/>
  <c r="C547" i="38"/>
  <c r="B547" i="38"/>
  <c r="C546" i="38"/>
  <c r="B546" i="38"/>
  <c r="C545" i="38"/>
  <c r="B545" i="38"/>
  <c r="C544" i="38"/>
  <c r="B544" i="38"/>
  <c r="C543" i="38"/>
  <c r="B543" i="38"/>
  <c r="C542" i="38"/>
  <c r="B542" i="38"/>
  <c r="C541" i="38"/>
  <c r="B541" i="38"/>
  <c r="C540" i="38"/>
  <c r="B540" i="38"/>
  <c r="C539" i="38"/>
  <c r="B539" i="38"/>
  <c r="C538" i="38"/>
  <c r="B538" i="38"/>
  <c r="C537" i="38"/>
  <c r="B537" i="38"/>
  <c r="C536" i="38"/>
  <c r="B536" i="38"/>
  <c r="C535" i="38"/>
  <c r="B535" i="38"/>
  <c r="C534" i="38"/>
  <c r="B534" i="38"/>
  <c r="C533" i="38"/>
  <c r="B533" i="38"/>
  <c r="C532" i="38"/>
  <c r="B532" i="38"/>
  <c r="C531" i="38"/>
  <c r="B531" i="38"/>
  <c r="C530" i="38"/>
  <c r="B530" i="38"/>
  <c r="C529" i="38"/>
  <c r="B529" i="38"/>
  <c r="C528" i="38"/>
  <c r="B528" i="38"/>
  <c r="C527" i="38"/>
  <c r="B527" i="38"/>
  <c r="C526" i="38"/>
  <c r="B526" i="38"/>
  <c r="C525" i="38"/>
  <c r="B525" i="38"/>
  <c r="C524" i="38"/>
  <c r="B524" i="38"/>
  <c r="C523" i="38"/>
  <c r="B523" i="38"/>
  <c r="C522" i="38"/>
  <c r="B522" i="38"/>
  <c r="C521" i="38"/>
  <c r="B521" i="38"/>
  <c r="C520" i="38"/>
  <c r="B520" i="38"/>
  <c r="C519" i="38"/>
  <c r="B519" i="38"/>
  <c r="C518" i="38"/>
  <c r="B518" i="38"/>
  <c r="C517" i="38"/>
  <c r="B517" i="38"/>
  <c r="C516" i="38"/>
  <c r="B516" i="38"/>
  <c r="C515" i="38"/>
  <c r="B515" i="38"/>
  <c r="C514" i="38"/>
  <c r="B514" i="38"/>
  <c r="C513" i="38"/>
  <c r="B513" i="38"/>
  <c r="C512" i="38"/>
  <c r="B512" i="38"/>
  <c r="C511" i="38"/>
  <c r="B511" i="38"/>
  <c r="C510" i="38"/>
  <c r="B510" i="38"/>
  <c r="C509" i="38"/>
  <c r="B509" i="38"/>
  <c r="C508" i="38"/>
  <c r="B508" i="38"/>
  <c r="C507" i="38"/>
  <c r="B507" i="38"/>
  <c r="C506" i="38"/>
  <c r="B506" i="38"/>
  <c r="C505" i="38"/>
  <c r="B505" i="38"/>
  <c r="C504" i="38"/>
  <c r="B504" i="38"/>
  <c r="C503" i="38"/>
  <c r="B503" i="38"/>
  <c r="C502" i="38"/>
  <c r="B502" i="38"/>
  <c r="C501" i="38"/>
  <c r="B501" i="38"/>
  <c r="C500" i="38"/>
  <c r="B500" i="38"/>
  <c r="C499" i="38"/>
  <c r="B499" i="38"/>
  <c r="C498" i="38"/>
  <c r="B498" i="38"/>
  <c r="C497" i="38"/>
  <c r="B497" i="38"/>
  <c r="C496" i="38"/>
  <c r="B496" i="38"/>
  <c r="C495" i="38"/>
  <c r="B495" i="38"/>
  <c r="C494" i="38"/>
  <c r="B494" i="38"/>
  <c r="C493" i="38"/>
  <c r="B493" i="38"/>
  <c r="C492" i="38"/>
  <c r="B492" i="38"/>
  <c r="C491" i="38"/>
  <c r="B491" i="38"/>
  <c r="C490" i="38"/>
  <c r="B490" i="38"/>
  <c r="C489" i="38"/>
  <c r="B489" i="38"/>
  <c r="C488" i="38"/>
  <c r="B488" i="38"/>
  <c r="C487" i="38"/>
  <c r="B487" i="38"/>
  <c r="C486" i="38"/>
  <c r="B486" i="38"/>
  <c r="C485" i="38"/>
  <c r="B485" i="38"/>
  <c r="C484" i="38"/>
  <c r="B484" i="38"/>
  <c r="C483" i="38"/>
  <c r="B483" i="38"/>
  <c r="C482" i="38"/>
  <c r="B482" i="38"/>
  <c r="C481" i="38"/>
  <c r="B481" i="38"/>
  <c r="C480" i="38"/>
  <c r="C479" i="38"/>
  <c r="C478" i="38"/>
  <c r="C477" i="38"/>
  <c r="B477" i="38"/>
  <c r="C476" i="38"/>
  <c r="B476" i="38"/>
  <c r="C475" i="38"/>
  <c r="B475" i="38"/>
  <c r="C474" i="38"/>
  <c r="B474" i="38"/>
  <c r="C473" i="38"/>
  <c r="B473" i="38"/>
  <c r="C472" i="38"/>
  <c r="B472" i="38"/>
  <c r="C471" i="38"/>
  <c r="B471" i="38"/>
  <c r="C470" i="38"/>
  <c r="B470" i="38"/>
  <c r="C469" i="38"/>
  <c r="B469" i="38"/>
  <c r="C468" i="38"/>
  <c r="B468" i="38"/>
  <c r="C467" i="38"/>
  <c r="B467" i="38"/>
  <c r="C466" i="38"/>
  <c r="B466" i="38"/>
  <c r="C465" i="38"/>
  <c r="B465" i="38"/>
  <c r="C464" i="38"/>
  <c r="B464" i="38"/>
  <c r="C463" i="38"/>
  <c r="B463" i="38"/>
  <c r="C462" i="38"/>
  <c r="B462" i="38"/>
  <c r="C461" i="38"/>
  <c r="B461" i="38"/>
  <c r="C460" i="38"/>
  <c r="B460" i="38"/>
  <c r="C459" i="38"/>
  <c r="B459" i="38"/>
  <c r="C458" i="38"/>
  <c r="B458" i="38"/>
  <c r="C457" i="38"/>
  <c r="B457" i="38"/>
  <c r="C456" i="38"/>
  <c r="B456" i="38"/>
  <c r="C455" i="38"/>
  <c r="B455" i="38"/>
  <c r="C454" i="38"/>
  <c r="B454" i="38"/>
  <c r="C453" i="38"/>
  <c r="B453" i="38"/>
  <c r="C452" i="38"/>
  <c r="B452" i="38"/>
  <c r="C451" i="38"/>
  <c r="B451" i="38"/>
  <c r="C450" i="38"/>
  <c r="C449" i="38"/>
  <c r="B449" i="38"/>
  <c r="C448" i="38"/>
  <c r="C447" i="38"/>
  <c r="B447" i="38"/>
  <c r="C446" i="38"/>
  <c r="C445" i="38"/>
  <c r="C444" i="38"/>
  <c r="C443" i="38"/>
  <c r="C442" i="38"/>
  <c r="C441" i="38"/>
  <c r="B441" i="38"/>
  <c r="C440" i="38"/>
  <c r="C439" i="38"/>
  <c r="C438" i="38"/>
  <c r="C437" i="38"/>
  <c r="B437" i="38"/>
  <c r="C436" i="38"/>
  <c r="C435" i="38"/>
  <c r="C434" i="38"/>
  <c r="C433" i="38"/>
  <c r="B433" i="38"/>
  <c r="C432" i="38"/>
  <c r="C431" i="38"/>
  <c r="C430" i="38"/>
  <c r="B430" i="38"/>
  <c r="C429" i="38"/>
  <c r="B429" i="38"/>
  <c r="C428" i="38"/>
  <c r="C427" i="38"/>
  <c r="B427" i="38"/>
  <c r="C426" i="38"/>
  <c r="B426" i="38"/>
  <c r="C425" i="38"/>
  <c r="B425" i="38"/>
  <c r="C424" i="38"/>
  <c r="B424" i="38"/>
  <c r="C423" i="38"/>
  <c r="B423" i="38"/>
  <c r="C422" i="38"/>
  <c r="B422" i="38"/>
  <c r="C421" i="38"/>
  <c r="B421" i="38"/>
  <c r="C420" i="38"/>
  <c r="B420" i="38"/>
  <c r="C419" i="38"/>
  <c r="B419" i="38"/>
  <c r="C418" i="38"/>
  <c r="B418" i="38"/>
  <c r="C417" i="38"/>
  <c r="B417" i="38"/>
  <c r="C416" i="38"/>
  <c r="B416" i="38"/>
  <c r="C415" i="38"/>
  <c r="B415" i="38"/>
  <c r="C414" i="38"/>
  <c r="B414" i="38"/>
  <c r="C413" i="38"/>
  <c r="B413" i="38"/>
  <c r="C412" i="38"/>
  <c r="C411" i="38"/>
  <c r="B411" i="38"/>
  <c r="C410" i="38"/>
  <c r="B410" i="38"/>
  <c r="C409" i="38"/>
  <c r="B409" i="38"/>
  <c r="C408" i="38"/>
  <c r="B408" i="38"/>
  <c r="C407" i="38"/>
  <c r="B407" i="38"/>
  <c r="C406" i="38"/>
  <c r="B406" i="38"/>
  <c r="C405" i="38"/>
  <c r="B405" i="38"/>
  <c r="C404" i="38"/>
  <c r="B404" i="38"/>
  <c r="C403" i="38"/>
  <c r="B403" i="38"/>
  <c r="C402" i="38"/>
  <c r="B402" i="38"/>
  <c r="C401" i="38"/>
  <c r="B401" i="38"/>
  <c r="C400" i="38"/>
  <c r="B400" i="38"/>
  <c r="C399" i="38"/>
  <c r="B399" i="38"/>
  <c r="C398" i="38"/>
  <c r="B398" i="38"/>
  <c r="C397" i="38"/>
  <c r="B397" i="38"/>
  <c r="C396" i="38"/>
  <c r="B396" i="38"/>
  <c r="C395" i="38"/>
  <c r="B395" i="38"/>
  <c r="C394" i="38"/>
  <c r="B394" i="38"/>
  <c r="C393" i="38"/>
  <c r="B393" i="38"/>
  <c r="C392" i="38"/>
  <c r="B392" i="38"/>
  <c r="C391" i="38"/>
  <c r="B391" i="38"/>
  <c r="C390" i="38"/>
  <c r="B390" i="38"/>
  <c r="C389" i="38"/>
  <c r="B389" i="38"/>
  <c r="C388" i="38"/>
  <c r="B388" i="38"/>
  <c r="C387" i="38"/>
  <c r="B387" i="38"/>
  <c r="C386" i="38"/>
  <c r="C385" i="38"/>
  <c r="B385" i="38"/>
  <c r="C384" i="38"/>
  <c r="C383" i="38"/>
  <c r="C382" i="38"/>
  <c r="C381" i="38"/>
  <c r="B381" i="38"/>
  <c r="C380" i="38"/>
  <c r="C379" i="38"/>
  <c r="C378" i="38"/>
  <c r="C377" i="38"/>
  <c r="B377" i="38"/>
  <c r="C376" i="38"/>
  <c r="C375" i="38"/>
  <c r="C374" i="38"/>
  <c r="C373" i="38"/>
  <c r="B373" i="38"/>
  <c r="C372" i="38"/>
  <c r="C371" i="38"/>
  <c r="B371" i="38"/>
  <c r="C370" i="38"/>
  <c r="C369" i="38"/>
  <c r="C368" i="38"/>
  <c r="B368" i="38"/>
  <c r="C367" i="38"/>
  <c r="B367" i="38"/>
  <c r="C366" i="38"/>
  <c r="C365" i="38"/>
  <c r="B365" i="38"/>
  <c r="C364" i="38"/>
  <c r="B364" i="38"/>
  <c r="C363" i="38"/>
  <c r="B363" i="38"/>
  <c r="C362" i="38"/>
  <c r="B362" i="38"/>
  <c r="C361" i="38"/>
  <c r="B361" i="38"/>
  <c r="C360" i="38"/>
  <c r="B360" i="38"/>
  <c r="C359" i="38"/>
  <c r="B359" i="38"/>
  <c r="C358" i="38"/>
  <c r="B358" i="38"/>
  <c r="C357" i="38"/>
  <c r="B357" i="38"/>
  <c r="C356" i="38"/>
  <c r="B356" i="38"/>
  <c r="C355" i="38"/>
  <c r="B355" i="38"/>
  <c r="C354" i="38"/>
  <c r="B354" i="38"/>
  <c r="C353" i="38"/>
  <c r="B353" i="38"/>
  <c r="C352" i="38"/>
  <c r="B352" i="38"/>
  <c r="C351" i="38"/>
  <c r="B351" i="38"/>
  <c r="C350" i="38"/>
  <c r="B350" i="38"/>
  <c r="C349" i="38"/>
  <c r="B349" i="38"/>
  <c r="C348" i="38"/>
  <c r="B348" i="38"/>
  <c r="C347" i="38"/>
  <c r="B347" i="38"/>
  <c r="C346" i="38"/>
  <c r="B346" i="38"/>
  <c r="C345" i="38"/>
  <c r="B345" i="38"/>
  <c r="C344" i="38"/>
  <c r="B344" i="38"/>
  <c r="C343" i="38"/>
  <c r="B343" i="38"/>
  <c r="C342" i="38"/>
  <c r="B342" i="38"/>
  <c r="C341" i="38"/>
  <c r="B341" i="38"/>
  <c r="C340" i="38"/>
  <c r="B340" i="38"/>
  <c r="C339" i="38"/>
  <c r="B339" i="38"/>
  <c r="C338" i="38"/>
  <c r="B338" i="38"/>
  <c r="C337" i="38"/>
  <c r="B337" i="38"/>
  <c r="C336" i="38"/>
  <c r="B336" i="38"/>
  <c r="C335" i="38"/>
  <c r="B335" i="38"/>
  <c r="C334" i="38"/>
  <c r="B334" i="38"/>
  <c r="C333" i="38"/>
  <c r="B333" i="38"/>
  <c r="C332" i="38"/>
  <c r="B332" i="38"/>
  <c r="C331" i="38"/>
  <c r="B331" i="38"/>
  <c r="C330" i="38"/>
  <c r="B330" i="38"/>
  <c r="C329" i="38"/>
  <c r="B329" i="38"/>
  <c r="C328" i="38"/>
  <c r="B328" i="38"/>
  <c r="C327" i="38"/>
  <c r="B327" i="38"/>
  <c r="C326" i="38"/>
  <c r="B326" i="38"/>
  <c r="C325" i="38"/>
  <c r="B325" i="38"/>
  <c r="C324" i="38"/>
  <c r="B324" i="38"/>
  <c r="C323" i="38"/>
  <c r="B323" i="38"/>
  <c r="C322" i="38"/>
  <c r="B322" i="38"/>
  <c r="C321" i="38"/>
  <c r="B321" i="38"/>
  <c r="C320" i="38"/>
  <c r="B320" i="38"/>
  <c r="C319" i="38"/>
  <c r="B319" i="38"/>
  <c r="C318" i="38"/>
  <c r="B318" i="38"/>
  <c r="C317" i="38"/>
  <c r="B317" i="38"/>
  <c r="C316" i="38"/>
  <c r="B316" i="38"/>
  <c r="C315" i="38"/>
  <c r="B315" i="38"/>
  <c r="C314" i="38"/>
  <c r="C313" i="38"/>
  <c r="C312" i="38"/>
  <c r="B312" i="38"/>
  <c r="C311" i="38"/>
  <c r="B311" i="38"/>
  <c r="C310" i="38"/>
  <c r="B310" i="38"/>
  <c r="C309" i="38"/>
  <c r="B309" i="38"/>
  <c r="C308" i="38"/>
  <c r="B308" i="38"/>
  <c r="C307" i="38"/>
  <c r="B307" i="38"/>
  <c r="C306" i="38"/>
  <c r="B306" i="38"/>
  <c r="C305" i="38"/>
  <c r="B305" i="38"/>
  <c r="C304" i="38"/>
  <c r="B304" i="38"/>
  <c r="C303" i="38"/>
  <c r="B303" i="38"/>
  <c r="C302" i="38"/>
  <c r="B302" i="38"/>
  <c r="C301" i="38"/>
  <c r="B301" i="38"/>
  <c r="C300" i="38"/>
  <c r="B300" i="38"/>
  <c r="C299" i="38"/>
  <c r="B299" i="38"/>
  <c r="C298" i="38"/>
  <c r="B298" i="38"/>
  <c r="C297" i="38"/>
  <c r="B297" i="38"/>
  <c r="C296" i="38"/>
  <c r="B296" i="38"/>
  <c r="C295" i="38"/>
  <c r="B295" i="38"/>
  <c r="C294" i="38"/>
  <c r="B294" i="38"/>
  <c r="C293" i="38"/>
  <c r="B293" i="38"/>
  <c r="C292" i="38"/>
  <c r="B292" i="38"/>
  <c r="C291" i="38"/>
  <c r="B291" i="38"/>
  <c r="C290" i="38"/>
  <c r="B290" i="38"/>
  <c r="C289" i="38"/>
  <c r="B289" i="38"/>
  <c r="C288" i="38"/>
  <c r="B288" i="38"/>
  <c r="C287" i="38"/>
  <c r="B287" i="38"/>
  <c r="C286" i="38"/>
  <c r="B286" i="38"/>
  <c r="C285" i="38"/>
  <c r="B285" i="38"/>
  <c r="C284" i="38"/>
  <c r="B284" i="38"/>
  <c r="C283" i="38"/>
  <c r="B283" i="38"/>
  <c r="C282" i="38"/>
  <c r="B282" i="38"/>
  <c r="C281" i="38"/>
  <c r="B281" i="38"/>
  <c r="C280" i="38"/>
  <c r="B280" i="38"/>
  <c r="C279" i="38"/>
  <c r="B279" i="38"/>
  <c r="C278" i="38"/>
  <c r="B278" i="38"/>
  <c r="C277" i="38"/>
  <c r="B277" i="38"/>
  <c r="C276" i="38"/>
  <c r="B276" i="38"/>
  <c r="C275" i="38"/>
  <c r="B275" i="38"/>
  <c r="C274" i="38"/>
  <c r="B274" i="38"/>
  <c r="C273" i="38"/>
  <c r="B273" i="38"/>
  <c r="C272" i="38"/>
  <c r="B272" i="38"/>
  <c r="C271" i="38"/>
  <c r="C270" i="38"/>
  <c r="C269" i="38"/>
  <c r="B269" i="38"/>
  <c r="C268" i="38"/>
  <c r="B268" i="38"/>
  <c r="C267" i="38"/>
  <c r="B267" i="38"/>
  <c r="C266" i="38"/>
  <c r="C265" i="38"/>
  <c r="C264" i="38"/>
  <c r="B264" i="38"/>
  <c r="C263" i="38"/>
  <c r="B263" i="38"/>
  <c r="C262" i="38"/>
  <c r="B262" i="38"/>
  <c r="C261" i="38"/>
  <c r="B261" i="38"/>
  <c r="C260" i="38"/>
  <c r="B260" i="38"/>
  <c r="C259" i="38"/>
  <c r="B259" i="38"/>
  <c r="C258" i="38"/>
  <c r="B258" i="38"/>
  <c r="C257" i="38"/>
  <c r="C256" i="38"/>
  <c r="C255" i="38"/>
  <c r="B255" i="38"/>
  <c r="C254" i="38"/>
  <c r="B254" i="38"/>
  <c r="C253" i="38"/>
  <c r="B253" i="38"/>
  <c r="C252" i="38"/>
  <c r="B252" i="38"/>
  <c r="C251" i="38"/>
  <c r="B251" i="38"/>
  <c r="C250" i="38"/>
  <c r="C249" i="38"/>
  <c r="B249" i="38"/>
  <c r="C248" i="38"/>
  <c r="C247" i="38"/>
  <c r="B247" i="38"/>
  <c r="C246" i="38"/>
  <c r="B246" i="38"/>
  <c r="C245" i="38"/>
  <c r="C244" i="38"/>
  <c r="B244" i="38"/>
  <c r="C243" i="38"/>
  <c r="B243" i="38"/>
  <c r="C242" i="38"/>
  <c r="B242" i="38"/>
  <c r="C241" i="38"/>
  <c r="B241" i="38"/>
  <c r="C240" i="38"/>
  <c r="B240" i="38"/>
  <c r="C239" i="38"/>
  <c r="B239" i="38"/>
  <c r="C238" i="38"/>
  <c r="B238" i="38"/>
  <c r="C237" i="38"/>
  <c r="B237" i="38"/>
  <c r="C236" i="38"/>
  <c r="B236" i="38"/>
  <c r="C235" i="38"/>
  <c r="B235" i="38"/>
  <c r="C234" i="38"/>
  <c r="B234" i="38"/>
  <c r="C233" i="38"/>
  <c r="B233" i="38"/>
  <c r="C232" i="38"/>
  <c r="B232" i="38"/>
  <c r="C231" i="38"/>
  <c r="B231" i="38"/>
  <c r="C230" i="38"/>
  <c r="B230" i="38"/>
  <c r="C229" i="38"/>
  <c r="B229" i="38"/>
  <c r="C228" i="38"/>
  <c r="B228" i="38"/>
  <c r="C227" i="38"/>
  <c r="B227" i="38"/>
  <c r="C226" i="38"/>
  <c r="B226" i="38"/>
  <c r="C225" i="38"/>
  <c r="B225" i="38"/>
  <c r="C224" i="38"/>
  <c r="B224" i="38"/>
  <c r="C223" i="38"/>
  <c r="B223" i="38"/>
  <c r="C222" i="38"/>
  <c r="B222" i="38"/>
  <c r="C221" i="38"/>
  <c r="B221" i="38"/>
  <c r="C220" i="38"/>
  <c r="B220" i="38"/>
  <c r="C219" i="38"/>
  <c r="B219" i="38"/>
  <c r="C218" i="38"/>
  <c r="B218" i="38"/>
  <c r="C217" i="38"/>
  <c r="B217" i="38"/>
  <c r="C216" i="38"/>
  <c r="B216" i="38"/>
  <c r="C215" i="38"/>
  <c r="B215" i="38"/>
  <c r="C214" i="38"/>
  <c r="C213" i="38"/>
  <c r="C212" i="38"/>
  <c r="C211" i="38"/>
  <c r="B211" i="38"/>
  <c r="C210" i="38"/>
  <c r="B210" i="38"/>
  <c r="C209" i="38"/>
  <c r="B209" i="38"/>
  <c r="C208" i="38"/>
  <c r="B208" i="38"/>
  <c r="C207" i="38"/>
  <c r="B207" i="38"/>
  <c r="C206" i="38"/>
  <c r="B206" i="38"/>
  <c r="C205" i="38"/>
  <c r="B205" i="38"/>
  <c r="C204" i="38"/>
  <c r="B204" i="38"/>
  <c r="C203" i="38"/>
  <c r="B203" i="38"/>
  <c r="C202" i="38"/>
  <c r="B202" i="38"/>
  <c r="C201" i="38"/>
  <c r="B201" i="38"/>
  <c r="C200" i="38"/>
  <c r="B200" i="38"/>
  <c r="C199" i="38"/>
  <c r="B199" i="38"/>
  <c r="C198" i="38"/>
  <c r="B198" i="38"/>
  <c r="C197" i="38"/>
  <c r="B197" i="38"/>
  <c r="C196" i="38"/>
  <c r="B196" i="38"/>
  <c r="C195" i="38"/>
  <c r="B195" i="38"/>
  <c r="C194" i="38"/>
  <c r="B194" i="38"/>
  <c r="C193" i="38"/>
  <c r="B193" i="38"/>
  <c r="C192" i="38"/>
  <c r="B192" i="38"/>
  <c r="C191" i="38"/>
  <c r="B191" i="38"/>
  <c r="C190" i="38"/>
  <c r="B190" i="38"/>
  <c r="C189" i="38"/>
  <c r="B189" i="38"/>
  <c r="C188" i="38"/>
  <c r="B188" i="38"/>
  <c r="C187" i="38"/>
  <c r="B187" i="38"/>
  <c r="C186" i="38"/>
  <c r="B186" i="38"/>
  <c r="C185" i="38"/>
  <c r="B185" i="38"/>
  <c r="C184" i="38"/>
  <c r="B184" i="38"/>
  <c r="C183" i="38"/>
  <c r="B183" i="38"/>
  <c r="C182" i="38"/>
  <c r="B182" i="38"/>
  <c r="C181" i="38"/>
  <c r="B181" i="38"/>
  <c r="C180" i="38"/>
  <c r="B180" i="38"/>
  <c r="C179" i="38"/>
  <c r="B179" i="38"/>
  <c r="C178" i="38"/>
  <c r="B178" i="38"/>
  <c r="C177" i="38"/>
  <c r="B177" i="38"/>
  <c r="C176" i="38"/>
  <c r="B176" i="38"/>
  <c r="C175" i="38"/>
  <c r="B175" i="38"/>
  <c r="C174" i="38"/>
  <c r="B174" i="38"/>
  <c r="C173" i="38"/>
  <c r="B173" i="38"/>
  <c r="C172" i="38"/>
  <c r="B172" i="38"/>
  <c r="C171" i="38"/>
  <c r="B171" i="38"/>
  <c r="C170" i="38"/>
  <c r="B170" i="38"/>
  <c r="C169" i="38"/>
  <c r="B169" i="38"/>
  <c r="C168" i="38"/>
  <c r="B168" i="38"/>
  <c r="C167" i="38"/>
  <c r="B167" i="38"/>
  <c r="C166" i="38"/>
  <c r="B166" i="38"/>
  <c r="C165" i="38"/>
  <c r="B165" i="38"/>
  <c r="C164" i="38"/>
  <c r="C163" i="38"/>
  <c r="B163" i="38"/>
  <c r="C162" i="38"/>
  <c r="B162" i="38"/>
  <c r="C161" i="38"/>
  <c r="B161" i="38"/>
  <c r="C160" i="38"/>
  <c r="C159" i="38"/>
  <c r="C158" i="38"/>
  <c r="C157" i="38"/>
  <c r="C156" i="38"/>
  <c r="C155" i="38"/>
  <c r="C154" i="38"/>
  <c r="C153" i="38"/>
  <c r="C152" i="38"/>
  <c r="C151" i="38"/>
  <c r="C150" i="38"/>
  <c r="C149" i="38"/>
  <c r="B149" i="38"/>
  <c r="C148" i="38"/>
  <c r="C147" i="38"/>
  <c r="B147" i="38"/>
  <c r="C146" i="38"/>
  <c r="B146" i="38"/>
  <c r="C145" i="38"/>
  <c r="B145" i="38"/>
  <c r="C144" i="38"/>
  <c r="B144" i="38"/>
  <c r="C143" i="38"/>
  <c r="B143" i="38"/>
  <c r="C142" i="38"/>
  <c r="B142" i="38"/>
  <c r="C141" i="38"/>
  <c r="B141" i="38"/>
  <c r="C140" i="38"/>
  <c r="B140" i="38"/>
  <c r="C139" i="38"/>
  <c r="B139" i="38"/>
  <c r="C138" i="38"/>
  <c r="B138" i="38"/>
  <c r="C137" i="38"/>
  <c r="B137" i="38"/>
  <c r="C136" i="38"/>
  <c r="B136" i="38"/>
  <c r="C135" i="38"/>
  <c r="B135" i="38"/>
  <c r="C134" i="38"/>
  <c r="B134" i="38"/>
  <c r="C133" i="38"/>
  <c r="B133" i="38"/>
  <c r="C132" i="38"/>
  <c r="B132" i="38"/>
  <c r="C131" i="38"/>
  <c r="B131" i="38"/>
  <c r="C130" i="38"/>
  <c r="B130" i="38"/>
  <c r="C129" i="38"/>
  <c r="B129" i="38"/>
  <c r="C128" i="38"/>
  <c r="B128" i="38"/>
  <c r="C127" i="38"/>
  <c r="B127" i="38"/>
  <c r="C126" i="38"/>
  <c r="B126" i="38"/>
  <c r="C125" i="38"/>
  <c r="B125" i="38"/>
  <c r="C124" i="38"/>
  <c r="B124" i="38"/>
  <c r="C123" i="38"/>
  <c r="B123" i="38"/>
  <c r="C122" i="38"/>
  <c r="B122" i="38"/>
  <c r="C121" i="38"/>
  <c r="B121" i="38"/>
  <c r="C120" i="38"/>
  <c r="B120" i="38"/>
  <c r="C119" i="38"/>
  <c r="B119" i="38"/>
  <c r="C118" i="38"/>
  <c r="B118" i="38"/>
  <c r="C117" i="38"/>
  <c r="B117" i="38"/>
  <c r="C116" i="38"/>
  <c r="B116" i="38"/>
  <c r="C115" i="38"/>
  <c r="B115" i="38"/>
  <c r="C114" i="38"/>
  <c r="B114" i="38"/>
  <c r="C113" i="38"/>
  <c r="B113" i="38"/>
  <c r="C112" i="38"/>
  <c r="B112" i="38"/>
  <c r="C111" i="38"/>
  <c r="B111" i="38"/>
  <c r="C110" i="38"/>
  <c r="B110" i="38"/>
  <c r="C109" i="38"/>
  <c r="B109" i="38"/>
  <c r="C108" i="38"/>
  <c r="B108" i="38"/>
  <c r="C107" i="38"/>
  <c r="B107" i="38"/>
  <c r="C106" i="38"/>
  <c r="B106" i="38"/>
  <c r="C105" i="38"/>
  <c r="B105" i="38"/>
  <c r="C104" i="38"/>
  <c r="B104" i="38"/>
  <c r="C103" i="38"/>
  <c r="B103" i="38"/>
  <c r="C102" i="38"/>
  <c r="B102" i="38"/>
  <c r="C101" i="38"/>
  <c r="B101" i="38"/>
  <c r="C100" i="38"/>
  <c r="B100" i="38"/>
  <c r="C99" i="38"/>
  <c r="B99" i="38"/>
  <c r="C98" i="38"/>
  <c r="B98" i="38"/>
  <c r="C97" i="38"/>
  <c r="B97" i="38"/>
  <c r="C96" i="38"/>
  <c r="B96" i="38"/>
  <c r="C95" i="38"/>
  <c r="B95" i="38"/>
  <c r="C94" i="38"/>
  <c r="B94" i="38"/>
  <c r="C93" i="38"/>
  <c r="B93" i="38"/>
  <c r="C92" i="38"/>
  <c r="C91" i="38"/>
  <c r="C90" i="38"/>
  <c r="C89" i="38"/>
  <c r="B89" i="38"/>
  <c r="C88" i="38"/>
  <c r="B88" i="38"/>
  <c r="C87" i="38"/>
  <c r="B87" i="38"/>
  <c r="C86" i="38"/>
  <c r="B86" i="38"/>
  <c r="C85" i="38"/>
  <c r="B85" i="38"/>
  <c r="C84" i="38"/>
  <c r="B84" i="38"/>
  <c r="C83" i="38"/>
  <c r="B83" i="38"/>
  <c r="C82" i="38"/>
  <c r="B82" i="38"/>
  <c r="C81" i="38"/>
  <c r="B81" i="38"/>
  <c r="C80" i="38"/>
  <c r="B80" i="38"/>
  <c r="C79" i="38"/>
  <c r="B79" i="38"/>
  <c r="C78" i="38"/>
  <c r="B78" i="38"/>
  <c r="C77" i="38"/>
  <c r="B77" i="38"/>
  <c r="C76" i="38"/>
  <c r="B76" i="38"/>
  <c r="C75" i="38"/>
  <c r="B75" i="38"/>
  <c r="C74" i="38"/>
  <c r="B74" i="38"/>
  <c r="C73" i="38"/>
  <c r="B73" i="38"/>
  <c r="C72" i="38"/>
  <c r="B72" i="38"/>
  <c r="C71" i="38"/>
  <c r="B71" i="38"/>
  <c r="C70" i="38"/>
  <c r="B70" i="38"/>
  <c r="C69" i="38"/>
  <c r="B69" i="38"/>
  <c r="C68" i="38"/>
  <c r="B68" i="38"/>
  <c r="C67" i="38"/>
  <c r="B67" i="38"/>
  <c r="C66" i="38"/>
  <c r="B66" i="38"/>
  <c r="C65" i="38"/>
  <c r="B65" i="38"/>
  <c r="C64" i="38"/>
  <c r="B64" i="38"/>
  <c r="C63" i="38"/>
  <c r="B63" i="38"/>
  <c r="C62" i="38"/>
  <c r="B62" i="38"/>
  <c r="C61" i="38"/>
  <c r="B61" i="38"/>
  <c r="C60" i="38"/>
  <c r="B60" i="38"/>
  <c r="C59" i="38"/>
  <c r="B59" i="38"/>
  <c r="C58" i="38"/>
  <c r="B58" i="38"/>
  <c r="C57" i="38"/>
  <c r="B57" i="38"/>
  <c r="C56" i="38"/>
  <c r="B56" i="38"/>
  <c r="C55" i="38"/>
  <c r="B55" i="38"/>
  <c r="C54" i="38"/>
  <c r="B54" i="38"/>
  <c r="C53" i="38"/>
  <c r="B53" i="38"/>
  <c r="C52" i="38"/>
  <c r="B52" i="38"/>
  <c r="C51" i="38"/>
  <c r="C50" i="38"/>
  <c r="C49" i="38"/>
  <c r="B49" i="38"/>
  <c r="C48" i="38"/>
  <c r="B48" i="38"/>
  <c r="C47" i="38"/>
  <c r="B47" i="38"/>
  <c r="C46" i="38"/>
  <c r="B46" i="38"/>
  <c r="C45" i="38"/>
  <c r="C44" i="38"/>
  <c r="B44" i="38"/>
  <c r="C43" i="38"/>
  <c r="B43" i="38"/>
  <c r="C42" i="38"/>
  <c r="B42" i="38"/>
  <c r="C41" i="38"/>
  <c r="B41" i="38"/>
  <c r="C40" i="38"/>
  <c r="B40" i="38"/>
  <c r="C39" i="38"/>
  <c r="B39" i="38"/>
  <c r="C38" i="38"/>
  <c r="B38" i="38"/>
  <c r="C37" i="38"/>
  <c r="B37" i="38"/>
  <c r="C36" i="38"/>
  <c r="B36" i="38"/>
  <c r="C35" i="38"/>
  <c r="B35" i="38"/>
  <c r="C34" i="38"/>
  <c r="C33" i="38"/>
  <c r="B33" i="38"/>
  <c r="C32" i="38"/>
  <c r="C31" i="38"/>
  <c r="B31" i="38"/>
  <c r="C30" i="38"/>
  <c r="B30" i="38"/>
  <c r="C29" i="38"/>
  <c r="C28" i="38"/>
  <c r="B28" i="38"/>
  <c r="C27" i="38"/>
  <c r="B27" i="38"/>
  <c r="C26" i="38"/>
  <c r="B26" i="38"/>
  <c r="C25" i="38"/>
  <c r="B25" i="38"/>
  <c r="C24" i="38"/>
  <c r="B24" i="38"/>
  <c r="C23" i="38"/>
  <c r="B23" i="38"/>
  <c r="C22" i="38"/>
  <c r="B22" i="38"/>
  <c r="C21" i="38"/>
  <c r="B21" i="38"/>
  <c r="C20" i="38"/>
  <c r="B20" i="38"/>
  <c r="C19" i="38"/>
  <c r="B19" i="38"/>
  <c r="C18" i="38"/>
  <c r="B18" i="38"/>
  <c r="C17" i="38"/>
  <c r="B17" i="38"/>
  <c r="C16" i="38"/>
  <c r="B16" i="38"/>
  <c r="C15" i="38"/>
  <c r="B15" i="38"/>
  <c r="C14" i="38"/>
  <c r="B14" i="38"/>
  <c r="C13" i="38"/>
  <c r="B13" i="38"/>
  <c r="C12" i="38"/>
  <c r="B12" i="38"/>
  <c r="C11" i="38"/>
  <c r="B11" i="38"/>
  <c r="C10" i="38"/>
  <c r="B10" i="38"/>
  <c r="C9" i="38"/>
  <c r="B9" i="38"/>
  <c r="C8" i="38"/>
  <c r="B8" i="38"/>
  <c r="C7" i="38"/>
  <c r="B7" i="38"/>
  <c r="C6" i="38"/>
  <c r="B6" i="38"/>
  <c r="C5" i="38"/>
  <c r="B5" i="38"/>
  <c r="I639" i="34"/>
  <c r="I636" i="34"/>
  <c r="I635" i="34"/>
  <c r="E635" i="34"/>
  <c r="D635" i="34"/>
  <c r="B635" i="34"/>
  <c r="I634" i="34"/>
  <c r="E634" i="34"/>
  <c r="D634" i="34"/>
  <c r="B634" i="34"/>
  <c r="E633" i="34"/>
  <c r="D633" i="34"/>
  <c r="B633" i="34"/>
  <c r="I632" i="34"/>
  <c r="E632" i="34"/>
  <c r="D632" i="34"/>
  <c r="B632" i="34"/>
  <c r="E631" i="34"/>
  <c r="D631" i="34"/>
  <c r="B631" i="34"/>
  <c r="E630" i="34"/>
  <c r="D630" i="34"/>
  <c r="B630" i="34"/>
  <c r="O629" i="34"/>
  <c r="N629" i="34"/>
  <c r="M629" i="34"/>
  <c r="L629" i="34"/>
  <c r="K629" i="34"/>
  <c r="J629" i="34"/>
  <c r="I629" i="34"/>
  <c r="E629" i="34"/>
  <c r="D629" i="34"/>
  <c r="B629" i="34"/>
  <c r="O628" i="34"/>
  <c r="N628" i="34"/>
  <c r="M628" i="34"/>
  <c r="L628" i="34"/>
  <c r="K628" i="34"/>
  <c r="J628" i="34"/>
  <c r="I628" i="34"/>
  <c r="E628" i="34"/>
  <c r="D628" i="34"/>
  <c r="B628" i="34"/>
  <c r="O627" i="34"/>
  <c r="N627" i="34"/>
  <c r="M627" i="34"/>
  <c r="L627" i="34"/>
  <c r="K627" i="34"/>
  <c r="J627" i="34"/>
  <c r="I627" i="34"/>
  <c r="E627" i="34"/>
  <c r="D627" i="34"/>
  <c r="B627" i="34"/>
  <c r="I626" i="34"/>
  <c r="AA45" i="31" s="1"/>
  <c r="S33" i="30" s="1"/>
  <c r="E626" i="34"/>
  <c r="D626" i="34"/>
  <c r="B626" i="34"/>
  <c r="P625" i="34"/>
  <c r="D620" i="34"/>
  <c r="B620" i="34"/>
  <c r="D619" i="34"/>
  <c r="B619" i="34"/>
  <c r="I618" i="34"/>
  <c r="D618" i="34"/>
  <c r="B618" i="34"/>
  <c r="D617" i="34"/>
  <c r="B617" i="34"/>
  <c r="D616" i="34"/>
  <c r="B616" i="34"/>
  <c r="I615" i="34"/>
  <c r="D615" i="34"/>
  <c r="B615" i="34"/>
  <c r="D614" i="34"/>
  <c r="B614" i="34"/>
  <c r="I613" i="34"/>
  <c r="D613" i="34"/>
  <c r="B613" i="34"/>
  <c r="D612" i="34"/>
  <c r="B612" i="34"/>
  <c r="D611" i="34"/>
  <c r="B611" i="34"/>
  <c r="O610" i="34"/>
  <c r="M610" i="34"/>
  <c r="K610" i="34"/>
  <c r="I610" i="34"/>
  <c r="D610" i="34"/>
  <c r="B610" i="34"/>
  <c r="O609" i="34"/>
  <c r="N609" i="34"/>
  <c r="M609" i="34"/>
  <c r="L609" i="34"/>
  <c r="K609" i="34"/>
  <c r="J609" i="34"/>
  <c r="I609" i="34"/>
  <c r="D609" i="34"/>
  <c r="B609" i="34"/>
  <c r="I608" i="34"/>
  <c r="D608" i="34"/>
  <c r="B608" i="34"/>
  <c r="I599" i="34"/>
  <c r="E597" i="34"/>
  <c r="D597" i="34"/>
  <c r="B597" i="34"/>
  <c r="I596" i="34"/>
  <c r="E596" i="34"/>
  <c r="D596" i="34"/>
  <c r="B596" i="34"/>
  <c r="I595" i="34"/>
  <c r="E595" i="34"/>
  <c r="D595" i="34"/>
  <c r="B595" i="34"/>
  <c r="I594" i="34"/>
  <c r="E594" i="34"/>
  <c r="D594" i="34"/>
  <c r="B594" i="34"/>
  <c r="E593" i="34"/>
  <c r="D593" i="34"/>
  <c r="B593" i="34"/>
  <c r="E592" i="34"/>
  <c r="D592" i="34"/>
  <c r="B592" i="34"/>
  <c r="E591" i="34"/>
  <c r="D591" i="34"/>
  <c r="B591" i="34"/>
  <c r="E590" i="34"/>
  <c r="D590" i="34"/>
  <c r="B590" i="34"/>
  <c r="E589" i="34"/>
  <c r="D589" i="34"/>
  <c r="B589" i="34"/>
  <c r="E588" i="34"/>
  <c r="D588" i="34"/>
  <c r="B588" i="34"/>
  <c r="E587" i="34"/>
  <c r="D587" i="34"/>
  <c r="B587" i="34"/>
  <c r="O586" i="34"/>
  <c r="N586" i="34"/>
  <c r="M586" i="34"/>
  <c r="L586" i="34"/>
  <c r="K586" i="34"/>
  <c r="J586" i="34"/>
  <c r="I586" i="34"/>
  <c r="E586" i="34"/>
  <c r="D586" i="34"/>
  <c r="B586" i="34"/>
  <c r="E585" i="34"/>
  <c r="D585" i="34"/>
  <c r="B585" i="34"/>
  <c r="N584" i="34"/>
  <c r="L584" i="34"/>
  <c r="J584" i="34"/>
  <c r="E584" i="34"/>
  <c r="D584" i="34"/>
  <c r="B584" i="34"/>
  <c r="O583" i="34"/>
  <c r="O589" i="34" s="1"/>
  <c r="N583" i="34"/>
  <c r="N589" i="34" s="1"/>
  <c r="M583" i="34"/>
  <c r="M589" i="34" s="1"/>
  <c r="L583" i="34"/>
  <c r="L589" i="34" s="1"/>
  <c r="K583" i="34"/>
  <c r="K589" i="34" s="1"/>
  <c r="J583" i="34"/>
  <c r="J589" i="34" s="1"/>
  <c r="I583" i="34"/>
  <c r="I589" i="34" s="1"/>
  <c r="E583" i="34"/>
  <c r="D583" i="34"/>
  <c r="B583" i="34"/>
  <c r="O582" i="34"/>
  <c r="N582" i="34"/>
  <c r="M582" i="34"/>
  <c r="L582" i="34"/>
  <c r="K582" i="34"/>
  <c r="J582" i="34"/>
  <c r="I582" i="34"/>
  <c r="E582" i="34"/>
  <c r="D582" i="34"/>
  <c r="B582" i="34"/>
  <c r="E581" i="34"/>
  <c r="D581" i="34"/>
  <c r="B581" i="34"/>
  <c r="I580" i="34"/>
  <c r="E580" i="34"/>
  <c r="D580" i="34"/>
  <c r="B580" i="34"/>
  <c r="P579" i="34"/>
  <c r="E579" i="34"/>
  <c r="D579" i="34"/>
  <c r="B579" i="34"/>
  <c r="J577" i="34"/>
  <c r="J636" i="34" s="1"/>
  <c r="D565" i="34"/>
  <c r="D564" i="34"/>
  <c r="D563" i="34"/>
  <c r="D562" i="34"/>
  <c r="D561" i="34"/>
  <c r="D560" i="34"/>
  <c r="D559" i="34"/>
  <c r="D558" i="34"/>
  <c r="D557" i="34"/>
  <c r="D556" i="34"/>
  <c r="O555" i="34"/>
  <c r="N555" i="34"/>
  <c r="M555" i="34"/>
  <c r="L555" i="34"/>
  <c r="K555" i="34"/>
  <c r="J555" i="34"/>
  <c r="I555" i="34"/>
  <c r="D555" i="34"/>
  <c r="O554" i="34"/>
  <c r="N554" i="34"/>
  <c r="M554" i="34"/>
  <c r="L554" i="34"/>
  <c r="K554" i="34"/>
  <c r="J554" i="34"/>
  <c r="I554" i="34"/>
  <c r="D554" i="34"/>
  <c r="D553" i="34"/>
  <c r="D552" i="34"/>
  <c r="D551" i="34"/>
  <c r="D547" i="34"/>
  <c r="D546" i="34"/>
  <c r="D545" i="34"/>
  <c r="D544" i="34"/>
  <c r="D543" i="34"/>
  <c r="D542" i="34"/>
  <c r="D541" i="34"/>
  <c r="D540" i="34"/>
  <c r="D539" i="34"/>
  <c r="D538" i="34"/>
  <c r="D537" i="34"/>
  <c r="D536" i="34"/>
  <c r="L535" i="34"/>
  <c r="L536" i="34" s="1"/>
  <c r="D535" i="34"/>
  <c r="O534" i="34"/>
  <c r="N534" i="34"/>
  <c r="M534" i="34"/>
  <c r="L534" i="34"/>
  <c r="K534" i="34"/>
  <c r="J534" i="34"/>
  <c r="I534" i="34"/>
  <c r="D534" i="34"/>
  <c r="D533" i="34"/>
  <c r="D532" i="34"/>
  <c r="D531" i="34"/>
  <c r="D530" i="34"/>
  <c r="D529" i="34"/>
  <c r="D518" i="34"/>
  <c r="D517" i="34"/>
  <c r="D516" i="34"/>
  <c r="D515" i="34"/>
  <c r="D514" i="34"/>
  <c r="D513" i="34"/>
  <c r="D512" i="34"/>
  <c r="D511" i="34"/>
  <c r="D510" i="34"/>
  <c r="D509" i="34"/>
  <c r="O508" i="34"/>
  <c r="N508" i="34"/>
  <c r="M508" i="34"/>
  <c r="L508" i="34"/>
  <c r="K508" i="34"/>
  <c r="J508" i="34"/>
  <c r="I508" i="34"/>
  <c r="D508" i="34"/>
  <c r="O507" i="34"/>
  <c r="N507" i="34"/>
  <c r="M507" i="34"/>
  <c r="L507" i="34"/>
  <c r="K507" i="34"/>
  <c r="J507" i="34"/>
  <c r="I507" i="34"/>
  <c r="D507" i="34"/>
  <c r="D506" i="34"/>
  <c r="D505" i="34"/>
  <c r="D504" i="34"/>
  <c r="D501" i="34"/>
  <c r="E500" i="34"/>
  <c r="D500" i="34"/>
  <c r="E499" i="34"/>
  <c r="D499" i="34"/>
  <c r="E498" i="34"/>
  <c r="D498" i="34"/>
  <c r="E497" i="34"/>
  <c r="D497" i="34"/>
  <c r="K496" i="34"/>
  <c r="E496" i="34"/>
  <c r="D496" i="34"/>
  <c r="E495" i="34"/>
  <c r="D495" i="34"/>
  <c r="E494" i="34"/>
  <c r="D494" i="34"/>
  <c r="E493" i="34"/>
  <c r="D493" i="34"/>
  <c r="E492" i="34"/>
  <c r="D492" i="34"/>
  <c r="E491" i="34"/>
  <c r="D491" i="34"/>
  <c r="E490" i="34"/>
  <c r="D490" i="34"/>
  <c r="E489" i="34"/>
  <c r="D489" i="34"/>
  <c r="O488" i="34"/>
  <c r="N488" i="34"/>
  <c r="M488" i="34"/>
  <c r="L488" i="34"/>
  <c r="K488" i="34"/>
  <c r="J488" i="34"/>
  <c r="I488" i="34"/>
  <c r="E488" i="34"/>
  <c r="D488" i="34"/>
  <c r="E487" i="34"/>
  <c r="D487" i="34"/>
  <c r="E486" i="34"/>
  <c r="D486" i="34"/>
  <c r="E485" i="34"/>
  <c r="D485" i="34"/>
  <c r="S484" i="34"/>
  <c r="E484" i="34"/>
  <c r="D484" i="34"/>
  <c r="S483" i="34"/>
  <c r="E483" i="34"/>
  <c r="D483" i="34"/>
  <c r="E473" i="34"/>
  <c r="D473" i="34"/>
  <c r="E472" i="34"/>
  <c r="D472" i="34"/>
  <c r="E471" i="34"/>
  <c r="D471" i="34"/>
  <c r="E470" i="34"/>
  <c r="D470" i="34"/>
  <c r="E469" i="34"/>
  <c r="D469" i="34"/>
  <c r="E468" i="34"/>
  <c r="D468" i="34"/>
  <c r="E467" i="34"/>
  <c r="D467" i="34"/>
  <c r="E466" i="34"/>
  <c r="D466" i="34"/>
  <c r="E465" i="34"/>
  <c r="D465" i="34"/>
  <c r="E464" i="34"/>
  <c r="D464" i="34"/>
  <c r="E463" i="34"/>
  <c r="D463" i="34"/>
  <c r="E461" i="34"/>
  <c r="D461" i="34"/>
  <c r="E460" i="34"/>
  <c r="D460" i="34"/>
  <c r="E459" i="34"/>
  <c r="D459" i="34"/>
  <c r="E458" i="34"/>
  <c r="D458" i="34"/>
  <c r="E457" i="34"/>
  <c r="D457" i="34"/>
  <c r="O456" i="34"/>
  <c r="N456" i="34"/>
  <c r="M456" i="34"/>
  <c r="L456" i="34"/>
  <c r="K456" i="34"/>
  <c r="J456" i="34"/>
  <c r="I456" i="34"/>
  <c r="E456" i="34"/>
  <c r="D456" i="34"/>
  <c r="E455" i="34"/>
  <c r="D455" i="34"/>
  <c r="E454" i="34"/>
  <c r="D454" i="34"/>
  <c r="E453" i="34"/>
  <c r="D453" i="34"/>
  <c r="E452" i="34"/>
  <c r="D452" i="34"/>
  <c r="E451" i="34"/>
  <c r="D451" i="34"/>
  <c r="E441" i="34"/>
  <c r="D441" i="34"/>
  <c r="E440" i="34"/>
  <c r="D440" i="34"/>
  <c r="E439" i="34"/>
  <c r="D439" i="34"/>
  <c r="E438" i="34"/>
  <c r="D438" i="34"/>
  <c r="E437" i="34"/>
  <c r="D437" i="34"/>
  <c r="E436" i="34"/>
  <c r="D436" i="34"/>
  <c r="P435" i="34"/>
  <c r="E435" i="34"/>
  <c r="D435" i="34"/>
  <c r="E434" i="34"/>
  <c r="D434" i="34"/>
  <c r="E433" i="34"/>
  <c r="D433" i="34"/>
  <c r="E432" i="34"/>
  <c r="D432" i="34"/>
  <c r="E431" i="34"/>
  <c r="D431" i="34"/>
  <c r="E429" i="34"/>
  <c r="D429" i="34"/>
  <c r="E428" i="34"/>
  <c r="D428" i="34"/>
  <c r="E427" i="34"/>
  <c r="D427" i="34"/>
  <c r="E426" i="34"/>
  <c r="D426" i="34"/>
  <c r="N425" i="34"/>
  <c r="N426" i="34" s="1"/>
  <c r="E425" i="34"/>
  <c r="D425" i="34"/>
  <c r="O424" i="34"/>
  <c r="N424" i="34"/>
  <c r="M424" i="34"/>
  <c r="L424" i="34"/>
  <c r="K424" i="34"/>
  <c r="J424" i="34"/>
  <c r="I424" i="34"/>
  <c r="E424" i="34"/>
  <c r="D424" i="34"/>
  <c r="E423" i="34"/>
  <c r="D423" i="34"/>
  <c r="E422" i="34"/>
  <c r="D422" i="34"/>
  <c r="E421" i="34"/>
  <c r="D421" i="34"/>
  <c r="E420" i="34"/>
  <c r="D420" i="34"/>
  <c r="E419" i="34"/>
  <c r="D419" i="34"/>
  <c r="E409" i="34"/>
  <c r="D409" i="34"/>
  <c r="E408" i="34"/>
  <c r="D408" i="34"/>
  <c r="E407" i="34"/>
  <c r="D407" i="34"/>
  <c r="E406" i="34"/>
  <c r="D406" i="34"/>
  <c r="E405" i="34"/>
  <c r="D405" i="34"/>
  <c r="E404" i="34"/>
  <c r="D404" i="34"/>
  <c r="O403" i="34"/>
  <c r="M403" i="34"/>
  <c r="K403" i="34"/>
  <c r="I403" i="34"/>
  <c r="E403" i="34"/>
  <c r="D403" i="34"/>
  <c r="E402" i="34"/>
  <c r="D402" i="34"/>
  <c r="E399" i="34"/>
  <c r="D399" i="34"/>
  <c r="E398" i="34"/>
  <c r="D398" i="34"/>
  <c r="E397" i="34"/>
  <c r="D397" i="34"/>
  <c r="E396" i="34"/>
  <c r="D396" i="34"/>
  <c r="E395" i="34"/>
  <c r="D395" i="34"/>
  <c r="E394" i="34"/>
  <c r="D394" i="34"/>
  <c r="E393" i="34"/>
  <c r="D393" i="34"/>
  <c r="E392" i="34"/>
  <c r="D392" i="34"/>
  <c r="N391" i="34"/>
  <c r="J391" i="34"/>
  <c r="E391" i="34"/>
  <c r="D391" i="34"/>
  <c r="E390" i="34"/>
  <c r="D390" i="34"/>
  <c r="E379" i="34"/>
  <c r="D379" i="34"/>
  <c r="P378" i="34"/>
  <c r="E378" i="34"/>
  <c r="D378" i="34"/>
  <c r="E377" i="34"/>
  <c r="D377" i="34"/>
  <c r="E376" i="34"/>
  <c r="D376" i="34"/>
  <c r="E375" i="34"/>
  <c r="D375" i="34"/>
  <c r="E374" i="34"/>
  <c r="D374" i="34"/>
  <c r="E373" i="34"/>
  <c r="D373" i="34"/>
  <c r="E372" i="34"/>
  <c r="D372" i="34"/>
  <c r="E371" i="34"/>
  <c r="D371" i="34"/>
  <c r="N370" i="34"/>
  <c r="L370" i="34"/>
  <c r="J370" i="34"/>
  <c r="E370" i="34"/>
  <c r="D370" i="34"/>
  <c r="E369" i="34"/>
  <c r="D369" i="34"/>
  <c r="E361" i="34"/>
  <c r="D361" i="34"/>
  <c r="E360" i="34"/>
  <c r="D360" i="34"/>
  <c r="E359" i="34"/>
  <c r="D359" i="34"/>
  <c r="E358" i="34"/>
  <c r="D358" i="34"/>
  <c r="E357" i="34"/>
  <c r="D357" i="34"/>
  <c r="E356" i="34"/>
  <c r="D356" i="34"/>
  <c r="M355" i="34"/>
  <c r="I355" i="34"/>
  <c r="E355" i="34"/>
  <c r="D355" i="34"/>
  <c r="E354" i="34"/>
  <c r="D354" i="34"/>
  <c r="I348" i="34"/>
  <c r="I364" i="34" s="1"/>
  <c r="I343" i="34"/>
  <c r="I338" i="34"/>
  <c r="D338" i="34"/>
  <c r="D337" i="34"/>
  <c r="I336" i="34"/>
  <c r="D336" i="34"/>
  <c r="D335" i="34"/>
  <c r="D334" i="34"/>
  <c r="I333" i="34"/>
  <c r="D333" i="34"/>
  <c r="D332" i="34"/>
  <c r="I331" i="34"/>
  <c r="D331" i="34"/>
  <c r="D330" i="34"/>
  <c r="O329" i="34"/>
  <c r="N329" i="34"/>
  <c r="M329" i="34"/>
  <c r="L329" i="34"/>
  <c r="K329" i="34"/>
  <c r="J329" i="34"/>
  <c r="I329" i="34"/>
  <c r="D329" i="34"/>
  <c r="O328" i="34"/>
  <c r="N328" i="34"/>
  <c r="M328" i="34"/>
  <c r="L328" i="34"/>
  <c r="K328" i="34"/>
  <c r="J328" i="34"/>
  <c r="I328" i="34"/>
  <c r="D328" i="34"/>
  <c r="D327" i="34"/>
  <c r="I326" i="34"/>
  <c r="I678" i="34" s="1"/>
  <c r="D326" i="34"/>
  <c r="D325" i="34"/>
  <c r="I321" i="34"/>
  <c r="E321" i="34"/>
  <c r="D321" i="34"/>
  <c r="E320" i="34"/>
  <c r="D320" i="34"/>
  <c r="I319" i="34"/>
  <c r="E319" i="34"/>
  <c r="D319" i="34"/>
  <c r="E318" i="34"/>
  <c r="D318" i="34"/>
  <c r="E317" i="34"/>
  <c r="D317" i="34"/>
  <c r="E316" i="34"/>
  <c r="D316" i="34"/>
  <c r="I315" i="34"/>
  <c r="E315" i="34"/>
  <c r="D315" i="34"/>
  <c r="E314" i="34"/>
  <c r="D314" i="34"/>
  <c r="I313" i="34"/>
  <c r="E313" i="34"/>
  <c r="D313" i="34"/>
  <c r="E312" i="34"/>
  <c r="D312" i="34"/>
  <c r="E311" i="34"/>
  <c r="D311" i="34"/>
  <c r="L310" i="34"/>
  <c r="L311" i="34" s="1"/>
  <c r="E310" i="34"/>
  <c r="D310" i="34"/>
  <c r="O309" i="34"/>
  <c r="N309" i="34"/>
  <c r="M309" i="34"/>
  <c r="L309" i="34"/>
  <c r="K309" i="34"/>
  <c r="J309" i="34"/>
  <c r="I309" i="34"/>
  <c r="E309" i="34"/>
  <c r="D309" i="34"/>
  <c r="E308" i="34"/>
  <c r="D308" i="34"/>
  <c r="I307" i="34"/>
  <c r="I673" i="34" s="1"/>
  <c r="E307" i="34"/>
  <c r="D307" i="34"/>
  <c r="E306" i="34"/>
  <c r="D306" i="34"/>
  <c r="E305" i="34"/>
  <c r="D305" i="34"/>
  <c r="E304" i="34"/>
  <c r="D304" i="34"/>
  <c r="P301" i="34"/>
  <c r="P299" i="34"/>
  <c r="I299" i="34"/>
  <c r="P295" i="34"/>
  <c r="D295" i="34"/>
  <c r="P294" i="34"/>
  <c r="D294" i="34"/>
  <c r="P293" i="34"/>
  <c r="D293" i="34"/>
  <c r="P292" i="34"/>
  <c r="D292" i="34"/>
  <c r="P291" i="34"/>
  <c r="D291" i="34"/>
  <c r="P290" i="34"/>
  <c r="I290" i="34"/>
  <c r="D290" i="34"/>
  <c r="D289" i="34"/>
  <c r="I288" i="34"/>
  <c r="D288" i="34"/>
  <c r="D287" i="34"/>
  <c r="O286" i="34"/>
  <c r="N286" i="34"/>
  <c r="M286" i="34"/>
  <c r="L286" i="34"/>
  <c r="K286" i="34"/>
  <c r="J286" i="34"/>
  <c r="I286" i="34"/>
  <c r="D286" i="34"/>
  <c r="O285" i="34"/>
  <c r="N285" i="34"/>
  <c r="M285" i="34"/>
  <c r="L285" i="34"/>
  <c r="K285" i="34"/>
  <c r="J285" i="34"/>
  <c r="I285" i="34"/>
  <c r="D285" i="34"/>
  <c r="D284" i="34"/>
  <c r="P283" i="34"/>
  <c r="I283" i="34"/>
  <c r="D283" i="34"/>
  <c r="P282" i="34"/>
  <c r="D282" i="34"/>
  <c r="P280" i="34"/>
  <c r="E280" i="34"/>
  <c r="D280" i="34"/>
  <c r="P279" i="34"/>
  <c r="E279" i="34"/>
  <c r="D279" i="34"/>
  <c r="P278" i="34"/>
  <c r="E278" i="34"/>
  <c r="D278" i="34"/>
  <c r="P277" i="34"/>
  <c r="E277" i="34"/>
  <c r="D277" i="34"/>
  <c r="P276" i="34"/>
  <c r="E276" i="34"/>
  <c r="D276" i="34"/>
  <c r="P275" i="34"/>
  <c r="E275" i="34"/>
  <c r="D275" i="34"/>
  <c r="P274" i="34"/>
  <c r="I274" i="34"/>
  <c r="E274" i="34"/>
  <c r="D274" i="34"/>
  <c r="E273" i="34"/>
  <c r="D273" i="34"/>
  <c r="I272" i="34"/>
  <c r="E272" i="34"/>
  <c r="D272" i="34"/>
  <c r="E271" i="34"/>
  <c r="D271" i="34"/>
  <c r="E270" i="34"/>
  <c r="D270" i="34"/>
  <c r="M269" i="34"/>
  <c r="M270" i="34" s="1"/>
  <c r="E269" i="34"/>
  <c r="D269" i="34"/>
  <c r="O268" i="34"/>
  <c r="M268" i="34"/>
  <c r="K268" i="34"/>
  <c r="I268" i="34"/>
  <c r="E268" i="34"/>
  <c r="D268" i="34"/>
  <c r="E267" i="34"/>
  <c r="D267" i="34"/>
  <c r="P266" i="34"/>
  <c r="I266" i="34"/>
  <c r="E266" i="34"/>
  <c r="D266" i="34"/>
  <c r="P265" i="34"/>
  <c r="E265" i="34"/>
  <c r="D265" i="34"/>
  <c r="P264" i="34"/>
  <c r="E264" i="34"/>
  <c r="D264" i="34"/>
  <c r="P263" i="34"/>
  <c r="E263" i="34"/>
  <c r="D263" i="34"/>
  <c r="I256" i="34"/>
  <c r="D252" i="34"/>
  <c r="I251" i="34"/>
  <c r="D251" i="34"/>
  <c r="D250" i="34"/>
  <c r="D249" i="34"/>
  <c r="I248" i="34"/>
  <c r="D248" i="34"/>
  <c r="I247" i="34"/>
  <c r="D247" i="34"/>
  <c r="D246" i="34"/>
  <c r="D245" i="34"/>
  <c r="D244" i="34"/>
  <c r="O243" i="34"/>
  <c r="N243" i="34"/>
  <c r="M243" i="34"/>
  <c r="L243" i="34"/>
  <c r="K243" i="34"/>
  <c r="J243" i="34"/>
  <c r="I243" i="34"/>
  <c r="D243" i="34"/>
  <c r="O242" i="34"/>
  <c r="N242" i="34"/>
  <c r="M242" i="34"/>
  <c r="L242" i="34"/>
  <c r="K242" i="34"/>
  <c r="J242" i="34"/>
  <c r="I242" i="34"/>
  <c r="D242" i="34"/>
  <c r="O241" i="34"/>
  <c r="N241" i="34"/>
  <c r="M241" i="34"/>
  <c r="L241" i="34"/>
  <c r="K241" i="34"/>
  <c r="J241" i="34"/>
  <c r="I241" i="34"/>
  <c r="D241" i="34"/>
  <c r="D240" i="34"/>
  <c r="I239" i="34"/>
  <c r="I677" i="34" s="1"/>
  <c r="D239" i="34"/>
  <c r="D238" i="34"/>
  <c r="D237" i="34"/>
  <c r="E233" i="34"/>
  <c r="D233" i="34"/>
  <c r="E232" i="34"/>
  <c r="D232" i="34"/>
  <c r="I231" i="34"/>
  <c r="E231" i="34"/>
  <c r="D231" i="34"/>
  <c r="E230" i="34"/>
  <c r="D230" i="34"/>
  <c r="E229" i="34"/>
  <c r="D229" i="34"/>
  <c r="E228" i="34"/>
  <c r="D228" i="34"/>
  <c r="E227" i="34"/>
  <c r="D227" i="34"/>
  <c r="I226" i="34"/>
  <c r="I695" i="34" s="1"/>
  <c r="E226" i="34"/>
  <c r="D226" i="34"/>
  <c r="I225" i="34"/>
  <c r="E225" i="34"/>
  <c r="D225" i="34"/>
  <c r="E224" i="34"/>
  <c r="D224" i="34"/>
  <c r="E223" i="34"/>
  <c r="D223" i="34"/>
  <c r="E222" i="34"/>
  <c r="D222" i="34"/>
  <c r="E221" i="34"/>
  <c r="D221" i="34"/>
  <c r="E220" i="34"/>
  <c r="D220" i="34"/>
  <c r="O219" i="34"/>
  <c r="K219" i="34"/>
  <c r="E219" i="34"/>
  <c r="D219" i="34"/>
  <c r="O218" i="34"/>
  <c r="N218" i="34"/>
  <c r="M218" i="34"/>
  <c r="L218" i="34"/>
  <c r="K218" i="34"/>
  <c r="J218" i="34"/>
  <c r="I218" i="34"/>
  <c r="E218" i="34"/>
  <c r="D218" i="34"/>
  <c r="E217" i="34"/>
  <c r="D217" i="34"/>
  <c r="I216" i="34"/>
  <c r="E216" i="34"/>
  <c r="D216" i="34"/>
  <c r="E215" i="34"/>
  <c r="D215" i="34"/>
  <c r="E214" i="34"/>
  <c r="D214" i="34"/>
  <c r="E213" i="34"/>
  <c r="D213" i="34"/>
  <c r="E212" i="34"/>
  <c r="D212" i="34"/>
  <c r="I204" i="34"/>
  <c r="S201" i="34"/>
  <c r="D200" i="34"/>
  <c r="D199" i="34"/>
  <c r="D198" i="34"/>
  <c r="I197" i="34"/>
  <c r="D197" i="34"/>
  <c r="S196" i="34"/>
  <c r="D196" i="34"/>
  <c r="S195" i="34"/>
  <c r="D195" i="34"/>
  <c r="O194" i="34"/>
  <c r="N194" i="34"/>
  <c r="M194" i="34"/>
  <c r="L194" i="34"/>
  <c r="K194" i="34"/>
  <c r="J194" i="34"/>
  <c r="I194" i="34"/>
  <c r="D194" i="34"/>
  <c r="D193" i="34"/>
  <c r="D189" i="34"/>
  <c r="I187" i="34"/>
  <c r="D187" i="34"/>
  <c r="R186" i="34"/>
  <c r="I186" i="34"/>
  <c r="D186" i="34"/>
  <c r="D185" i="34"/>
  <c r="I184" i="34"/>
  <c r="D184" i="34"/>
  <c r="I183" i="34"/>
  <c r="D183" i="34"/>
  <c r="S182" i="34"/>
  <c r="D182" i="34"/>
  <c r="S181" i="34"/>
  <c r="D181" i="34"/>
  <c r="I180" i="34"/>
  <c r="D180" i="34"/>
  <c r="D179" i="34"/>
  <c r="O178" i="34"/>
  <c r="N178" i="34"/>
  <c r="M178" i="34"/>
  <c r="L178" i="34"/>
  <c r="K178" i="34"/>
  <c r="J178" i="34"/>
  <c r="I178" i="34"/>
  <c r="D178" i="34"/>
  <c r="O177" i="34"/>
  <c r="N177" i="34"/>
  <c r="M177" i="34"/>
  <c r="L177" i="34"/>
  <c r="K177" i="34"/>
  <c r="J177" i="34"/>
  <c r="I177" i="34"/>
  <c r="D177" i="34"/>
  <c r="I176" i="34"/>
  <c r="D176" i="34"/>
  <c r="D175" i="34"/>
  <c r="P170" i="34"/>
  <c r="E169" i="34"/>
  <c r="D169" i="34"/>
  <c r="P168" i="34"/>
  <c r="I168" i="34"/>
  <c r="E168" i="34"/>
  <c r="D168" i="34"/>
  <c r="P167" i="34"/>
  <c r="E167" i="34"/>
  <c r="D167" i="34"/>
  <c r="P166" i="34"/>
  <c r="E166" i="34"/>
  <c r="D166" i="34"/>
  <c r="P165" i="34"/>
  <c r="E165" i="34"/>
  <c r="D165" i="34"/>
  <c r="P164" i="34"/>
  <c r="E164" i="34"/>
  <c r="D164" i="34"/>
  <c r="P163" i="34"/>
  <c r="E163" i="34"/>
  <c r="D163" i="34"/>
  <c r="P162" i="34"/>
  <c r="R162" i="34" s="1"/>
  <c r="I162" i="34"/>
  <c r="E162" i="34"/>
  <c r="D162" i="34"/>
  <c r="E161" i="34"/>
  <c r="D161" i="34"/>
  <c r="I160" i="34"/>
  <c r="E160" i="34"/>
  <c r="D160" i="34"/>
  <c r="I159" i="34"/>
  <c r="E159" i="34"/>
  <c r="D159" i="34"/>
  <c r="E158" i="34"/>
  <c r="D158" i="34"/>
  <c r="K157" i="34"/>
  <c r="K158" i="34" s="1"/>
  <c r="E157" i="34"/>
  <c r="D157" i="34"/>
  <c r="O156" i="34"/>
  <c r="M156" i="34"/>
  <c r="K156" i="34"/>
  <c r="I156" i="34"/>
  <c r="E156" i="34"/>
  <c r="D156" i="34"/>
  <c r="E155" i="34"/>
  <c r="D155" i="34"/>
  <c r="P154" i="34"/>
  <c r="I154" i="34"/>
  <c r="E154" i="34"/>
  <c r="D154" i="34"/>
  <c r="P153" i="34"/>
  <c r="E153" i="34"/>
  <c r="D153" i="34"/>
  <c r="P152" i="34"/>
  <c r="E152" i="34"/>
  <c r="D152" i="34"/>
  <c r="P151" i="34"/>
  <c r="E151" i="34"/>
  <c r="D151" i="34"/>
  <c r="P150" i="34"/>
  <c r="E150" i="34"/>
  <c r="D150" i="34"/>
  <c r="P149" i="34"/>
  <c r="E149" i="34"/>
  <c r="D149" i="34"/>
  <c r="I143" i="34"/>
  <c r="E129" i="34"/>
  <c r="D129" i="34"/>
  <c r="I128" i="34"/>
  <c r="E128" i="34"/>
  <c r="D128" i="34"/>
  <c r="P127" i="34"/>
  <c r="E127" i="34"/>
  <c r="D127" i="34"/>
  <c r="I126" i="34"/>
  <c r="E126" i="34"/>
  <c r="D126" i="34"/>
  <c r="I125" i="34"/>
  <c r="E125" i="34"/>
  <c r="D125" i="34"/>
  <c r="I124" i="34"/>
  <c r="E124" i="34"/>
  <c r="D124" i="34"/>
  <c r="I123" i="34"/>
  <c r="D123" i="34"/>
  <c r="E122" i="34"/>
  <c r="D122" i="34"/>
  <c r="E121" i="34"/>
  <c r="D121" i="34"/>
  <c r="I120" i="34"/>
  <c r="E120" i="34"/>
  <c r="D120" i="34"/>
  <c r="E119" i="34"/>
  <c r="D119" i="34"/>
  <c r="E118" i="34"/>
  <c r="D118" i="34"/>
  <c r="O117" i="34"/>
  <c r="N117" i="34"/>
  <c r="M117" i="34"/>
  <c r="L117" i="34"/>
  <c r="K117" i="34"/>
  <c r="J117" i="34"/>
  <c r="I117" i="34"/>
  <c r="E117" i="34"/>
  <c r="D117" i="34"/>
  <c r="E116" i="34"/>
  <c r="D116" i="34"/>
  <c r="O115" i="34"/>
  <c r="M115" i="34"/>
  <c r="K115" i="34"/>
  <c r="I115" i="34"/>
  <c r="E115" i="34"/>
  <c r="D115" i="34"/>
  <c r="O114" i="34"/>
  <c r="N114" i="34"/>
  <c r="M114" i="34"/>
  <c r="L114" i="34"/>
  <c r="K114" i="34"/>
  <c r="J114" i="34"/>
  <c r="I114" i="34"/>
  <c r="E114" i="34"/>
  <c r="D114" i="34"/>
  <c r="I113" i="34"/>
  <c r="I668" i="34" s="1"/>
  <c r="E113" i="34"/>
  <c r="D113" i="34"/>
  <c r="E112" i="34"/>
  <c r="D112" i="34"/>
  <c r="E108" i="34"/>
  <c r="D108" i="34"/>
  <c r="I107" i="34"/>
  <c r="E107" i="34"/>
  <c r="D107" i="34"/>
  <c r="P106" i="34"/>
  <c r="E106" i="34"/>
  <c r="D106" i="34"/>
  <c r="I105" i="34"/>
  <c r="E105" i="34"/>
  <c r="D105" i="34"/>
  <c r="I104" i="34"/>
  <c r="E104" i="34"/>
  <c r="D104" i="34"/>
  <c r="I103" i="34"/>
  <c r="E103" i="34"/>
  <c r="D103" i="34"/>
  <c r="E102" i="34"/>
  <c r="D102" i="34"/>
  <c r="E101" i="34"/>
  <c r="D101" i="34"/>
  <c r="E100" i="34"/>
  <c r="D100" i="34"/>
  <c r="I99" i="34"/>
  <c r="E99" i="34"/>
  <c r="D99" i="34"/>
  <c r="E98" i="34"/>
  <c r="D98" i="34"/>
  <c r="E97" i="34"/>
  <c r="D97" i="34"/>
  <c r="O96" i="34"/>
  <c r="N96" i="34"/>
  <c r="M96" i="34"/>
  <c r="L96" i="34"/>
  <c r="K96" i="34"/>
  <c r="J96" i="34"/>
  <c r="I96" i="34"/>
  <c r="E96" i="34"/>
  <c r="D96" i="34"/>
  <c r="E95" i="34"/>
  <c r="D95" i="34"/>
  <c r="E94" i="34"/>
  <c r="D94" i="34"/>
  <c r="L93" i="34"/>
  <c r="E93" i="34"/>
  <c r="D93" i="34"/>
  <c r="O92" i="34"/>
  <c r="N92" i="34"/>
  <c r="M92" i="34"/>
  <c r="L92" i="34"/>
  <c r="K92" i="34"/>
  <c r="J92" i="34"/>
  <c r="I92" i="34"/>
  <c r="E92" i="34"/>
  <c r="D92" i="34"/>
  <c r="I91" i="34"/>
  <c r="I663" i="34" s="1"/>
  <c r="E91" i="34"/>
  <c r="D91" i="34"/>
  <c r="E90" i="34"/>
  <c r="D90" i="34"/>
  <c r="I82" i="34"/>
  <c r="P79" i="34"/>
  <c r="D78" i="34"/>
  <c r="I77" i="34"/>
  <c r="D77" i="34"/>
  <c r="I76" i="34"/>
  <c r="D76" i="34"/>
  <c r="I75" i="34"/>
  <c r="D75" i="34"/>
  <c r="I74" i="34"/>
  <c r="D74" i="34"/>
  <c r="D73" i="34"/>
  <c r="D72" i="34"/>
  <c r="L71" i="34"/>
  <c r="D71" i="34"/>
  <c r="D70" i="34"/>
  <c r="E67" i="34"/>
  <c r="D67" i="34"/>
  <c r="I66" i="34"/>
  <c r="E66" i="34"/>
  <c r="D66" i="34"/>
  <c r="I65" i="34"/>
  <c r="E65" i="34"/>
  <c r="D65" i="34"/>
  <c r="P64" i="34"/>
  <c r="E64" i="34"/>
  <c r="D64" i="34"/>
  <c r="I63" i="34"/>
  <c r="E63" i="34"/>
  <c r="D63" i="34"/>
  <c r="I62" i="34"/>
  <c r="E62" i="34"/>
  <c r="D62" i="34"/>
  <c r="I61" i="34"/>
  <c r="E61" i="34"/>
  <c r="D61" i="34"/>
  <c r="I60" i="34"/>
  <c r="D60" i="34"/>
  <c r="E59" i="34"/>
  <c r="D59" i="34"/>
  <c r="E58" i="34"/>
  <c r="D58" i="34"/>
  <c r="I57" i="34"/>
  <c r="E57" i="34"/>
  <c r="D57" i="34"/>
  <c r="E56" i="34"/>
  <c r="D56" i="34"/>
  <c r="E55" i="34"/>
  <c r="D55" i="34"/>
  <c r="O54" i="34"/>
  <c r="N54" i="34"/>
  <c r="M54" i="34"/>
  <c r="L54" i="34"/>
  <c r="K54" i="34"/>
  <c r="J54" i="34"/>
  <c r="I54" i="34"/>
  <c r="E54" i="34"/>
  <c r="D54" i="34"/>
  <c r="E53" i="34"/>
  <c r="D53" i="34"/>
  <c r="O52" i="34"/>
  <c r="M52" i="34"/>
  <c r="K52" i="34"/>
  <c r="I52" i="34"/>
  <c r="E52" i="34"/>
  <c r="D52" i="34"/>
  <c r="O51" i="34"/>
  <c r="N51" i="34"/>
  <c r="M51" i="34"/>
  <c r="L51" i="34"/>
  <c r="K51" i="34"/>
  <c r="J51" i="34"/>
  <c r="I51" i="34"/>
  <c r="E51" i="34"/>
  <c r="D51" i="34"/>
  <c r="I50" i="34"/>
  <c r="I667" i="34" s="1"/>
  <c r="E50" i="34"/>
  <c r="D50" i="34"/>
  <c r="E49" i="34"/>
  <c r="D49" i="34"/>
  <c r="I43" i="34"/>
  <c r="P40" i="34"/>
  <c r="D39" i="34"/>
  <c r="I38" i="34"/>
  <c r="D38" i="34"/>
  <c r="I37" i="34"/>
  <c r="D37" i="34"/>
  <c r="I36" i="34"/>
  <c r="D36" i="34"/>
  <c r="I35" i="34"/>
  <c r="D35" i="34"/>
  <c r="D34" i="34"/>
  <c r="D33" i="34"/>
  <c r="O32" i="34"/>
  <c r="N32" i="34"/>
  <c r="M32" i="34"/>
  <c r="L32" i="34"/>
  <c r="K32" i="34"/>
  <c r="J32" i="34"/>
  <c r="I32" i="34"/>
  <c r="D32" i="34"/>
  <c r="D31" i="34"/>
  <c r="E28" i="34"/>
  <c r="D28" i="34"/>
  <c r="B28" i="34"/>
  <c r="I27" i="34"/>
  <c r="E27" i="34"/>
  <c r="D27" i="34"/>
  <c r="B27" i="34"/>
  <c r="E26" i="34"/>
  <c r="D26" i="34"/>
  <c r="B26" i="34"/>
  <c r="I25" i="34"/>
  <c r="E25" i="34"/>
  <c r="D25" i="34"/>
  <c r="B25" i="34"/>
  <c r="I24" i="34"/>
  <c r="E24" i="34"/>
  <c r="D24" i="34"/>
  <c r="B24" i="34"/>
  <c r="I23" i="34"/>
  <c r="E23" i="34"/>
  <c r="D23" i="34"/>
  <c r="B23" i="34"/>
  <c r="I22" i="34"/>
  <c r="E22" i="34"/>
  <c r="D22" i="34"/>
  <c r="B22" i="34"/>
  <c r="E21" i="34"/>
  <c r="D21" i="34"/>
  <c r="B21" i="34"/>
  <c r="E20" i="34"/>
  <c r="D20" i="34"/>
  <c r="B20" i="34"/>
  <c r="I19" i="34"/>
  <c r="E19" i="34"/>
  <c r="D19" i="34"/>
  <c r="B19" i="34"/>
  <c r="E18" i="34"/>
  <c r="D18" i="34"/>
  <c r="B18" i="34"/>
  <c r="E17" i="34"/>
  <c r="D17" i="34"/>
  <c r="B17" i="34"/>
  <c r="O16" i="34"/>
  <c r="N16" i="34"/>
  <c r="M16" i="34"/>
  <c r="L16" i="34"/>
  <c r="K16" i="34"/>
  <c r="J16" i="34"/>
  <c r="I16" i="34"/>
  <c r="E16" i="34"/>
  <c r="D16" i="34"/>
  <c r="B16" i="34"/>
  <c r="E15" i="34"/>
  <c r="D15" i="34"/>
  <c r="B15" i="34"/>
  <c r="L14" i="34"/>
  <c r="E14" i="34"/>
  <c r="D14" i="34"/>
  <c r="B14" i="34"/>
  <c r="O13" i="34"/>
  <c r="N13" i="34"/>
  <c r="M13" i="34"/>
  <c r="L13" i="34"/>
  <c r="K13" i="34"/>
  <c r="J13" i="34"/>
  <c r="I13" i="34"/>
  <c r="E13" i="34"/>
  <c r="D13" i="34"/>
  <c r="B13" i="34"/>
  <c r="I12" i="34"/>
  <c r="I662" i="34" s="1"/>
  <c r="E12" i="34"/>
  <c r="D12" i="34"/>
  <c r="B12" i="34"/>
  <c r="E11" i="34"/>
  <c r="D11" i="34"/>
  <c r="B11" i="34"/>
  <c r="I5" i="34"/>
  <c r="I53" i="34" s="1"/>
  <c r="J4" i="34"/>
  <c r="BN47" i="87"/>
  <c r="AZ47" i="87" s="1"/>
  <c r="BM47" i="87"/>
  <c r="BL47" i="87"/>
  <c r="BK47" i="87"/>
  <c r="BJ47" i="87"/>
  <c r="BI47" i="87"/>
  <c r="BH47" i="87"/>
  <c r="BG47" i="87"/>
  <c r="AW47" i="87" s="1"/>
  <c r="BT47" i="87" s="1"/>
  <c r="BF47" i="87"/>
  <c r="AX47" i="87" s="1"/>
  <c r="AC47" i="87"/>
  <c r="AV47" i="87" s="1"/>
  <c r="U47" i="87"/>
  <c r="S47" i="87"/>
  <c r="AB47" i="87" s="1"/>
  <c r="AT47" i="87" s="1"/>
  <c r="R47" i="87"/>
  <c r="Q47" i="87"/>
  <c r="P47" i="87"/>
  <c r="Y47" i="87" s="1"/>
  <c r="AR47" i="87" s="1"/>
  <c r="O47" i="87"/>
  <c r="N47" i="87"/>
  <c r="K47" i="87"/>
  <c r="H47" i="87"/>
  <c r="G47" i="87"/>
  <c r="F47" i="87"/>
  <c r="BN46" i="87"/>
  <c r="AZ46" i="87" s="1"/>
  <c r="BM46" i="87"/>
  <c r="BL46" i="87"/>
  <c r="BK46" i="87"/>
  <c r="BJ46" i="87"/>
  <c r="BI46" i="87"/>
  <c r="BH46" i="87"/>
  <c r="AY46" i="87" s="1"/>
  <c r="BG46" i="87"/>
  <c r="AW46" i="87" s="1"/>
  <c r="BT46" i="87" s="1"/>
  <c r="BF46" i="87"/>
  <c r="AX46" i="87" s="1"/>
  <c r="AC46" i="87"/>
  <c r="AV46" i="87" s="1"/>
  <c r="U46" i="87"/>
  <c r="AF46" i="87" s="1"/>
  <c r="BA46" i="87" s="1"/>
  <c r="S46" i="87"/>
  <c r="AB46" i="87" s="1"/>
  <c r="AT46" i="87" s="1"/>
  <c r="R46" i="87"/>
  <c r="Q46" i="87"/>
  <c r="P46" i="87"/>
  <c r="Y46" i="87" s="1"/>
  <c r="AR46" i="87" s="1"/>
  <c r="O46" i="87"/>
  <c r="K46" i="87"/>
  <c r="H46" i="87"/>
  <c r="G46" i="87"/>
  <c r="F46" i="87"/>
  <c r="BN45" i="87"/>
  <c r="AZ45" i="87" s="1"/>
  <c r="BM45" i="87"/>
  <c r="BL45" i="87"/>
  <c r="BK45" i="87"/>
  <c r="BJ45" i="87"/>
  <c r="BI45" i="87"/>
  <c r="BH45" i="87"/>
  <c r="AY45" i="87" s="1"/>
  <c r="BG45" i="87"/>
  <c r="AW45" i="87" s="1"/>
  <c r="BF45" i="87"/>
  <c r="AX45" i="87" s="1"/>
  <c r="AC45" i="87"/>
  <c r="AV45" i="87" s="1"/>
  <c r="U45" i="87"/>
  <c r="AF45" i="87" s="1"/>
  <c r="BA45" i="87" s="1"/>
  <c r="S45" i="87"/>
  <c r="AB45" i="87" s="1"/>
  <c r="AT45" i="87" s="1"/>
  <c r="R45" i="87"/>
  <c r="Q45" i="87"/>
  <c r="P45" i="87"/>
  <c r="Y45" i="87" s="1"/>
  <c r="AR45" i="87" s="1"/>
  <c r="O45" i="87"/>
  <c r="K45" i="87"/>
  <c r="H45" i="87"/>
  <c r="G45" i="87"/>
  <c r="F45" i="87"/>
  <c r="BN44" i="87"/>
  <c r="AZ44" i="87" s="1"/>
  <c r="BM44" i="87"/>
  <c r="BL44" i="87"/>
  <c r="BK44" i="87"/>
  <c r="BJ44" i="87"/>
  <c r="BI44" i="87"/>
  <c r="BH44" i="87"/>
  <c r="AY44" i="87" s="1"/>
  <c r="BG44" i="87"/>
  <c r="AW44" i="87" s="1"/>
  <c r="BF44" i="87"/>
  <c r="AC44" i="87"/>
  <c r="AV44" i="87" s="1"/>
  <c r="U44" i="87"/>
  <c r="AF44" i="87" s="1"/>
  <c r="BA44" i="87" s="1"/>
  <c r="S44" i="87"/>
  <c r="AB44" i="87" s="1"/>
  <c r="AT44" i="87" s="1"/>
  <c r="R44" i="87"/>
  <c r="Q44" i="87"/>
  <c r="P44" i="87"/>
  <c r="O44" i="87"/>
  <c r="X44" i="87" s="1"/>
  <c r="AQ44" i="87" s="1"/>
  <c r="K44" i="87"/>
  <c r="J44" i="87"/>
  <c r="G44" i="87"/>
  <c r="F44" i="87"/>
  <c r="BN43" i="87"/>
  <c r="AZ43" i="87" s="1"/>
  <c r="BM43" i="87"/>
  <c r="BL43" i="87"/>
  <c r="BK43" i="87"/>
  <c r="BJ43" i="87"/>
  <c r="BI43" i="87"/>
  <c r="BH43" i="87"/>
  <c r="AY43" i="87" s="1"/>
  <c r="BG43" i="87"/>
  <c r="AW43" i="87" s="1"/>
  <c r="BT43" i="87" s="1"/>
  <c r="BF43" i="87"/>
  <c r="AX43" i="87" s="1"/>
  <c r="AC43" i="87"/>
  <c r="AV43" i="87" s="1"/>
  <c r="U43" i="87"/>
  <c r="AF43" i="87" s="1"/>
  <c r="BA43" i="87" s="1"/>
  <c r="S43" i="87"/>
  <c r="AB43" i="87" s="1"/>
  <c r="AT43" i="87" s="1"/>
  <c r="R43" i="87"/>
  <c r="Q43" i="87"/>
  <c r="P43" i="87"/>
  <c r="Y43" i="87" s="1"/>
  <c r="AR43" i="87" s="1"/>
  <c r="O43" i="87"/>
  <c r="K43" i="87"/>
  <c r="H43" i="87"/>
  <c r="AD43" i="87" s="1"/>
  <c r="G43" i="87"/>
  <c r="F43" i="87"/>
  <c r="BN42" i="87"/>
  <c r="AZ42" i="87" s="1"/>
  <c r="BM42" i="87"/>
  <c r="BL42" i="87"/>
  <c r="BK42" i="87"/>
  <c r="BJ42" i="87"/>
  <c r="BI42" i="87"/>
  <c r="BH42" i="87"/>
  <c r="AY42" i="87" s="1"/>
  <c r="BG42" i="87"/>
  <c r="AW42" i="87" s="1"/>
  <c r="BF42" i="87"/>
  <c r="AX42" i="87" s="1"/>
  <c r="AC42" i="87"/>
  <c r="AV42" i="87" s="1"/>
  <c r="U42" i="87"/>
  <c r="AF42" i="87" s="1"/>
  <c r="BA42" i="87" s="1"/>
  <c r="S42" i="87"/>
  <c r="AB42" i="87" s="1"/>
  <c r="AT42" i="87" s="1"/>
  <c r="R42" i="87"/>
  <c r="Q42" i="87"/>
  <c r="P42" i="87"/>
  <c r="Y42" i="87" s="1"/>
  <c r="AR42" i="87" s="1"/>
  <c r="O42" i="87"/>
  <c r="K42" i="87"/>
  <c r="H42" i="87"/>
  <c r="G42" i="87"/>
  <c r="F42" i="87"/>
  <c r="BN40" i="87"/>
  <c r="BM40" i="87"/>
  <c r="BL40" i="87"/>
  <c r="BK40" i="87"/>
  <c r="BJ40" i="87"/>
  <c r="BI40" i="87"/>
  <c r="BH40" i="87"/>
  <c r="AY40" i="87" s="1"/>
  <c r="BG40" i="87"/>
  <c r="AW40" i="87" s="1"/>
  <c r="BT40" i="87" s="1"/>
  <c r="BF40" i="87"/>
  <c r="AC40" i="87"/>
  <c r="AV40" i="87" s="1"/>
  <c r="U40" i="87"/>
  <c r="S40" i="87"/>
  <c r="AB40" i="87" s="1"/>
  <c r="AT40" i="87" s="1"/>
  <c r="R40" i="87"/>
  <c r="Q40" i="87"/>
  <c r="P40" i="87"/>
  <c r="Y40" i="87" s="1"/>
  <c r="AR40" i="87" s="1"/>
  <c r="O40" i="87"/>
  <c r="N40" i="87"/>
  <c r="K40" i="87"/>
  <c r="H40" i="87"/>
  <c r="G40" i="87"/>
  <c r="F40" i="87"/>
  <c r="BN39" i="87"/>
  <c r="AZ39" i="87" s="1"/>
  <c r="BM39" i="87"/>
  <c r="BL39" i="87"/>
  <c r="BK39" i="87"/>
  <c r="BJ39" i="87"/>
  <c r="BI39" i="87"/>
  <c r="BH39" i="87"/>
  <c r="AY39" i="87" s="1"/>
  <c r="BG39" i="87"/>
  <c r="AW39" i="87" s="1"/>
  <c r="BF39" i="87"/>
  <c r="AC39" i="87"/>
  <c r="AV39" i="87" s="1"/>
  <c r="U39" i="87"/>
  <c r="AF39" i="87" s="1"/>
  <c r="BA39" i="87" s="1"/>
  <c r="S39" i="87"/>
  <c r="AB39" i="87" s="1"/>
  <c r="AT39" i="87" s="1"/>
  <c r="R39" i="87"/>
  <c r="Q39" i="87"/>
  <c r="P39" i="87"/>
  <c r="Y39" i="87" s="1"/>
  <c r="AR39" i="87" s="1"/>
  <c r="O39" i="87"/>
  <c r="K39" i="87"/>
  <c r="H39" i="87"/>
  <c r="G39" i="87"/>
  <c r="F39" i="87"/>
  <c r="BN38" i="87"/>
  <c r="AZ38" i="87" s="1"/>
  <c r="BM38" i="87"/>
  <c r="BL38" i="87"/>
  <c r="BK38" i="87"/>
  <c r="BJ38" i="87"/>
  <c r="BI38" i="87"/>
  <c r="BH38" i="87"/>
  <c r="AY38" i="87" s="1"/>
  <c r="BG38" i="87"/>
  <c r="AW38" i="87" s="1"/>
  <c r="BF38" i="87"/>
  <c r="AX38" i="87" s="1"/>
  <c r="AC38" i="87"/>
  <c r="AV38" i="87" s="1"/>
  <c r="U38" i="87"/>
  <c r="AF38" i="87" s="1"/>
  <c r="BA38" i="87" s="1"/>
  <c r="S38" i="87"/>
  <c r="AB38" i="87" s="1"/>
  <c r="AT38" i="87" s="1"/>
  <c r="R38" i="87"/>
  <c r="Q38" i="87"/>
  <c r="P38" i="87"/>
  <c r="Y38" i="87" s="1"/>
  <c r="AR38" i="87" s="1"/>
  <c r="O38" i="87"/>
  <c r="K38" i="87"/>
  <c r="H38" i="87"/>
  <c r="AD38" i="87" s="1"/>
  <c r="G38" i="87"/>
  <c r="F38" i="87"/>
  <c r="BN37" i="87"/>
  <c r="AZ37" i="87" s="1"/>
  <c r="BM37" i="87"/>
  <c r="BL37" i="87"/>
  <c r="BK37" i="87"/>
  <c r="BJ37" i="87"/>
  <c r="BI37" i="87"/>
  <c r="BH37" i="87"/>
  <c r="AY37" i="87" s="1"/>
  <c r="BG37" i="87"/>
  <c r="BF37" i="87"/>
  <c r="AX37" i="87" s="1"/>
  <c r="AC37" i="87"/>
  <c r="AV37" i="87" s="1"/>
  <c r="U37" i="87"/>
  <c r="AF37" i="87" s="1"/>
  <c r="BA37" i="87" s="1"/>
  <c r="S37" i="87"/>
  <c r="AB37" i="87" s="1"/>
  <c r="AT37" i="87" s="1"/>
  <c r="R37" i="87"/>
  <c r="Q37" i="87"/>
  <c r="P37" i="87"/>
  <c r="O37" i="87"/>
  <c r="X37" i="87" s="1"/>
  <c r="AQ37" i="87" s="1"/>
  <c r="K37" i="87"/>
  <c r="J37" i="87"/>
  <c r="AD37" i="87" s="1"/>
  <c r="G37" i="87"/>
  <c r="F37" i="87"/>
  <c r="BN36" i="87"/>
  <c r="AZ36" i="87" s="1"/>
  <c r="BM36" i="87"/>
  <c r="BL36" i="87"/>
  <c r="BK36" i="87"/>
  <c r="BJ36" i="87"/>
  <c r="BI36" i="87"/>
  <c r="BH36" i="87"/>
  <c r="AY36" i="87" s="1"/>
  <c r="BG36" i="87"/>
  <c r="AW36" i="87" s="1"/>
  <c r="BT36" i="87" s="1"/>
  <c r="BF36" i="87"/>
  <c r="AC36" i="87"/>
  <c r="AV36" i="87" s="1"/>
  <c r="U36" i="87"/>
  <c r="AF36" i="87" s="1"/>
  <c r="BA36" i="87" s="1"/>
  <c r="S36" i="87"/>
  <c r="AB36" i="87" s="1"/>
  <c r="AT36" i="87" s="1"/>
  <c r="R36" i="87"/>
  <c r="Q36" i="87"/>
  <c r="P36" i="87"/>
  <c r="Y36" i="87" s="1"/>
  <c r="AR36" i="87" s="1"/>
  <c r="O36" i="87"/>
  <c r="K36" i="87"/>
  <c r="H36" i="87"/>
  <c r="G36" i="87"/>
  <c r="F36" i="87"/>
  <c r="BN35" i="87"/>
  <c r="AZ35" i="87" s="1"/>
  <c r="BM35" i="87"/>
  <c r="BL35" i="87"/>
  <c r="BK35" i="87"/>
  <c r="BJ35" i="87"/>
  <c r="BI35" i="87"/>
  <c r="BH35" i="87"/>
  <c r="AY35" i="87" s="1"/>
  <c r="BG35" i="87"/>
  <c r="AW35" i="87" s="1"/>
  <c r="BF35" i="87"/>
  <c r="AC35" i="87"/>
  <c r="AV35" i="87" s="1"/>
  <c r="U35" i="87"/>
  <c r="AF35" i="87" s="1"/>
  <c r="BA35" i="87" s="1"/>
  <c r="S35" i="87"/>
  <c r="AB35" i="87" s="1"/>
  <c r="AT35" i="87" s="1"/>
  <c r="R35" i="87"/>
  <c r="Q35" i="87"/>
  <c r="P35" i="87"/>
  <c r="Y35" i="87" s="1"/>
  <c r="AR35" i="87" s="1"/>
  <c r="O35" i="87"/>
  <c r="K35" i="87"/>
  <c r="H35" i="87"/>
  <c r="G35" i="87"/>
  <c r="F35" i="87"/>
  <c r="BN33" i="87"/>
  <c r="AZ33" i="87" s="1"/>
  <c r="BM33" i="87"/>
  <c r="BL33" i="87"/>
  <c r="BK33" i="87"/>
  <c r="BJ33" i="87"/>
  <c r="BI33" i="87"/>
  <c r="BH33" i="87"/>
  <c r="AY33" i="87" s="1"/>
  <c r="BG33" i="87"/>
  <c r="AW33" i="87" s="1"/>
  <c r="BT33" i="87" s="1"/>
  <c r="BF33" i="87"/>
  <c r="AX33" i="87" s="1"/>
  <c r="AC33" i="87"/>
  <c r="AV33" i="87" s="1"/>
  <c r="U33" i="87"/>
  <c r="S33" i="87"/>
  <c r="AB33" i="87" s="1"/>
  <c r="AT33" i="87" s="1"/>
  <c r="R33" i="87"/>
  <c r="Q33" i="87"/>
  <c r="P33" i="87"/>
  <c r="Y33" i="87" s="1"/>
  <c r="AR33" i="87" s="1"/>
  <c r="O33" i="87"/>
  <c r="N33" i="87"/>
  <c r="K33" i="87"/>
  <c r="H33" i="87"/>
  <c r="AD33" i="87" s="1"/>
  <c r="G33" i="87"/>
  <c r="F33" i="87"/>
  <c r="BN32" i="87"/>
  <c r="AZ32" i="87" s="1"/>
  <c r="BM32" i="87"/>
  <c r="BL32" i="87"/>
  <c r="BK32" i="87"/>
  <c r="BJ32" i="87"/>
  <c r="BI32" i="87"/>
  <c r="BH32" i="87"/>
  <c r="AY32" i="87" s="1"/>
  <c r="BG32" i="87"/>
  <c r="AW32" i="87" s="1"/>
  <c r="BT32" i="87" s="1"/>
  <c r="BF32" i="87"/>
  <c r="AX32" i="87" s="1"/>
  <c r="AC32" i="87"/>
  <c r="AV32" i="87" s="1"/>
  <c r="U32" i="87"/>
  <c r="AF32" i="87" s="1"/>
  <c r="BA32" i="87" s="1"/>
  <c r="S32" i="87"/>
  <c r="AB32" i="87" s="1"/>
  <c r="AT32" i="87" s="1"/>
  <c r="R32" i="87"/>
  <c r="Q32" i="87"/>
  <c r="P32" i="87"/>
  <c r="Y32" i="87" s="1"/>
  <c r="AR32" i="87" s="1"/>
  <c r="O32" i="87"/>
  <c r="K32" i="87"/>
  <c r="H32" i="87"/>
  <c r="G32" i="87"/>
  <c r="F32" i="87"/>
  <c r="BN31" i="87"/>
  <c r="AZ31" i="87" s="1"/>
  <c r="BM31" i="87"/>
  <c r="BL31" i="87"/>
  <c r="BK31" i="87"/>
  <c r="BJ31" i="87"/>
  <c r="BI31" i="87"/>
  <c r="BH31" i="87"/>
  <c r="BG31" i="87"/>
  <c r="AW31" i="87" s="1"/>
  <c r="BF31" i="87"/>
  <c r="AX31" i="87" s="1"/>
  <c r="AY31" i="87"/>
  <c r="AC31" i="87"/>
  <c r="AV31" i="87" s="1"/>
  <c r="U31" i="87"/>
  <c r="AF31" i="87" s="1"/>
  <c r="BA31" i="87" s="1"/>
  <c r="S31" i="87"/>
  <c r="AB31" i="87" s="1"/>
  <c r="AT31" i="87" s="1"/>
  <c r="R31" i="87"/>
  <c r="Q31" i="87"/>
  <c r="P31" i="87"/>
  <c r="Y31" i="87" s="1"/>
  <c r="AR31" i="87" s="1"/>
  <c r="O31" i="87"/>
  <c r="K31" i="87"/>
  <c r="AA31" i="87" s="1"/>
  <c r="AS31" i="87" s="1"/>
  <c r="H31" i="87"/>
  <c r="G31" i="87"/>
  <c r="F31" i="87"/>
  <c r="BN30" i="87"/>
  <c r="AZ30" i="87" s="1"/>
  <c r="BM30" i="87"/>
  <c r="BL30" i="87"/>
  <c r="BK30" i="87"/>
  <c r="BJ30" i="87"/>
  <c r="BI30" i="87"/>
  <c r="BH30" i="87"/>
  <c r="AY30" i="87" s="1"/>
  <c r="BG30" i="87"/>
  <c r="AW30" i="87" s="1"/>
  <c r="BF30" i="87"/>
  <c r="AC30" i="87"/>
  <c r="AV30" i="87" s="1"/>
  <c r="U30" i="87"/>
  <c r="AF30" i="87" s="1"/>
  <c r="BA30" i="87" s="1"/>
  <c r="S30" i="87"/>
  <c r="R30" i="87"/>
  <c r="Q30" i="87"/>
  <c r="P30" i="87"/>
  <c r="O30" i="87"/>
  <c r="X30" i="87" s="1"/>
  <c r="AQ30" i="87" s="1"/>
  <c r="K30" i="87"/>
  <c r="L30" i="87" s="1"/>
  <c r="J30" i="87"/>
  <c r="G30" i="87"/>
  <c r="F30" i="87"/>
  <c r="BN29" i="87"/>
  <c r="AZ29" i="87" s="1"/>
  <c r="BM29" i="87"/>
  <c r="BL29" i="87"/>
  <c r="BK29" i="87"/>
  <c r="BJ29" i="87"/>
  <c r="BI29" i="87"/>
  <c r="BH29" i="87"/>
  <c r="AY29" i="87" s="1"/>
  <c r="BG29" i="87"/>
  <c r="AW29" i="87" s="1"/>
  <c r="BT29" i="87" s="1"/>
  <c r="BF29" i="87"/>
  <c r="AC29" i="87"/>
  <c r="AV29" i="87" s="1"/>
  <c r="U29" i="87"/>
  <c r="AF29" i="87" s="1"/>
  <c r="BA29" i="87" s="1"/>
  <c r="S29" i="87"/>
  <c r="AB29" i="87" s="1"/>
  <c r="AT29" i="87" s="1"/>
  <c r="R29" i="87"/>
  <c r="Q29" i="87"/>
  <c r="P29" i="87"/>
  <c r="Y29" i="87" s="1"/>
  <c r="AR29" i="87" s="1"/>
  <c r="O29" i="87"/>
  <c r="K29" i="87"/>
  <c r="H29" i="87"/>
  <c r="G29" i="87"/>
  <c r="F29" i="87"/>
  <c r="BN28" i="87"/>
  <c r="AZ28" i="87" s="1"/>
  <c r="BM28" i="87"/>
  <c r="BL28" i="87"/>
  <c r="BK28" i="87"/>
  <c r="BJ28" i="87"/>
  <c r="BI28" i="87"/>
  <c r="BH28" i="87"/>
  <c r="AY28" i="87" s="1"/>
  <c r="BG28" i="87"/>
  <c r="AW28" i="87" s="1"/>
  <c r="BT28" i="87" s="1"/>
  <c r="BF28" i="87"/>
  <c r="AX28" i="87" s="1"/>
  <c r="AC28" i="87"/>
  <c r="AV28" i="87" s="1"/>
  <c r="U28" i="87"/>
  <c r="AF28" i="87" s="1"/>
  <c r="BA28" i="87" s="1"/>
  <c r="S28" i="87"/>
  <c r="AB28" i="87" s="1"/>
  <c r="AT28" i="87" s="1"/>
  <c r="R28" i="87"/>
  <c r="Q28" i="87"/>
  <c r="P28" i="87"/>
  <c r="Y28" i="87" s="1"/>
  <c r="AR28" i="87" s="1"/>
  <c r="O28" i="87"/>
  <c r="K28" i="87"/>
  <c r="AA28" i="87" s="1"/>
  <c r="AS28" i="87" s="1"/>
  <c r="H28" i="87"/>
  <c r="G28" i="87"/>
  <c r="F28" i="87"/>
  <c r="BN26" i="87"/>
  <c r="AZ26" i="87" s="1"/>
  <c r="BM26" i="87"/>
  <c r="BL26" i="87"/>
  <c r="BK26" i="87"/>
  <c r="BJ26" i="87"/>
  <c r="BI26" i="87"/>
  <c r="BH26" i="87"/>
  <c r="AY26" i="87" s="1"/>
  <c r="BG26" i="87"/>
  <c r="AW26" i="87" s="1"/>
  <c r="BF26" i="87"/>
  <c r="AX26" i="87" s="1"/>
  <c r="AC26" i="87"/>
  <c r="AV26" i="87" s="1"/>
  <c r="U26" i="87"/>
  <c r="S26" i="87"/>
  <c r="AB26" i="87" s="1"/>
  <c r="AT26" i="87" s="1"/>
  <c r="R26" i="87"/>
  <c r="Q26" i="87"/>
  <c r="P26" i="87"/>
  <c r="Y26" i="87" s="1"/>
  <c r="AR26" i="87" s="1"/>
  <c r="O26" i="87"/>
  <c r="N26" i="87"/>
  <c r="K26" i="87"/>
  <c r="H26" i="87"/>
  <c r="G26" i="87"/>
  <c r="F26" i="87"/>
  <c r="BN25" i="87"/>
  <c r="AZ25" i="87" s="1"/>
  <c r="BM25" i="87"/>
  <c r="BL25" i="87"/>
  <c r="BK25" i="87"/>
  <c r="BJ25" i="87"/>
  <c r="BI25" i="87"/>
  <c r="BH25" i="87"/>
  <c r="AY25" i="87" s="1"/>
  <c r="BG25" i="87"/>
  <c r="AW25" i="87" s="1"/>
  <c r="BF25" i="87"/>
  <c r="AX25" i="87" s="1"/>
  <c r="AC25" i="87"/>
  <c r="AV25" i="87" s="1"/>
  <c r="U25" i="87"/>
  <c r="AF25" i="87" s="1"/>
  <c r="BA25" i="87" s="1"/>
  <c r="S25" i="87"/>
  <c r="AB25" i="87" s="1"/>
  <c r="AT25" i="87" s="1"/>
  <c r="R25" i="87"/>
  <c r="Q25" i="87"/>
  <c r="P25" i="87"/>
  <c r="Y25" i="87" s="1"/>
  <c r="AR25" i="87" s="1"/>
  <c r="O25" i="87"/>
  <c r="K25" i="87"/>
  <c r="H25" i="87"/>
  <c r="G25" i="87"/>
  <c r="F25" i="87"/>
  <c r="BN24" i="87"/>
  <c r="BM24" i="87"/>
  <c r="BL24" i="87"/>
  <c r="BK24" i="87"/>
  <c r="BJ24" i="87"/>
  <c r="BI24" i="87"/>
  <c r="BH24" i="87"/>
  <c r="AY24" i="87" s="1"/>
  <c r="BG24" i="87"/>
  <c r="AW24" i="87" s="1"/>
  <c r="BF24" i="87"/>
  <c r="AC24" i="87"/>
  <c r="AV24" i="87" s="1"/>
  <c r="U24" i="87"/>
  <c r="AF24" i="87" s="1"/>
  <c r="BA24" i="87" s="1"/>
  <c r="S24" i="87"/>
  <c r="AB24" i="87" s="1"/>
  <c r="AT24" i="87" s="1"/>
  <c r="R24" i="87"/>
  <c r="Q24" i="87"/>
  <c r="P24" i="87"/>
  <c r="Y24" i="87" s="1"/>
  <c r="AR24" i="87" s="1"/>
  <c r="O24" i="87"/>
  <c r="K24" i="87"/>
  <c r="H24" i="87"/>
  <c r="G24" i="87"/>
  <c r="F24" i="87"/>
  <c r="BN23" i="87"/>
  <c r="AZ23" i="87" s="1"/>
  <c r="BM23" i="87"/>
  <c r="BL23" i="87"/>
  <c r="BK23" i="87"/>
  <c r="BJ23" i="87"/>
  <c r="BI23" i="87"/>
  <c r="BH23" i="87"/>
  <c r="AY23" i="87" s="1"/>
  <c r="BG23" i="87"/>
  <c r="AW23" i="87" s="1"/>
  <c r="BF23" i="87"/>
  <c r="AX23" i="87" s="1"/>
  <c r="AC23" i="87"/>
  <c r="AV23" i="87" s="1"/>
  <c r="U23" i="87"/>
  <c r="AF23" i="87" s="1"/>
  <c r="BA23" i="87" s="1"/>
  <c r="R23" i="87"/>
  <c r="Q23" i="87"/>
  <c r="P23" i="87"/>
  <c r="O23" i="87"/>
  <c r="X23" i="87" s="1"/>
  <c r="AQ23" i="87" s="1"/>
  <c r="K23" i="87"/>
  <c r="J23" i="87"/>
  <c r="AD23" i="87" s="1"/>
  <c r="G23" i="87"/>
  <c r="F23" i="87"/>
  <c r="BN22" i="87"/>
  <c r="AZ22" i="87" s="1"/>
  <c r="BM22" i="87"/>
  <c r="BL22" i="87"/>
  <c r="BK22" i="87"/>
  <c r="BJ22" i="87"/>
  <c r="BI22" i="87"/>
  <c r="BH22" i="87"/>
  <c r="AY22" i="87" s="1"/>
  <c r="BG22" i="87"/>
  <c r="BF22" i="87"/>
  <c r="AX22" i="87" s="1"/>
  <c r="AC22" i="87"/>
  <c r="AV22" i="87" s="1"/>
  <c r="U22" i="87"/>
  <c r="AF22" i="87" s="1"/>
  <c r="BA22" i="87" s="1"/>
  <c r="S22" i="87"/>
  <c r="AB22" i="87" s="1"/>
  <c r="AT22" i="87" s="1"/>
  <c r="R22" i="87"/>
  <c r="Q22" i="87"/>
  <c r="P22" i="87"/>
  <c r="Y22" i="87" s="1"/>
  <c r="AR22" i="87" s="1"/>
  <c r="O22" i="87"/>
  <c r="K22" i="87"/>
  <c r="AA22" i="87" s="1"/>
  <c r="AS22" i="87" s="1"/>
  <c r="H22" i="87"/>
  <c r="AD22" i="87" s="1"/>
  <c r="G22" i="87"/>
  <c r="F22" i="87"/>
  <c r="BN21" i="87"/>
  <c r="AZ21" i="87" s="1"/>
  <c r="BM21" i="87"/>
  <c r="BL21" i="87"/>
  <c r="BK21" i="87"/>
  <c r="BJ21" i="87"/>
  <c r="BI21" i="87"/>
  <c r="BH21" i="87"/>
  <c r="BG21" i="87"/>
  <c r="AW21" i="87" s="1"/>
  <c r="BF21" i="87"/>
  <c r="AY21" i="87"/>
  <c r="AC21" i="87"/>
  <c r="AV21" i="87" s="1"/>
  <c r="U21" i="87"/>
  <c r="AF21" i="87" s="1"/>
  <c r="BA21" i="87" s="1"/>
  <c r="S21" i="87"/>
  <c r="AB21" i="87" s="1"/>
  <c r="AT21" i="87" s="1"/>
  <c r="R21" i="87"/>
  <c r="Q21" i="87"/>
  <c r="P21" i="87"/>
  <c r="Y21" i="87" s="1"/>
  <c r="AR21" i="87" s="1"/>
  <c r="O21" i="87"/>
  <c r="K21" i="87"/>
  <c r="H21" i="87"/>
  <c r="G21" i="87"/>
  <c r="F21" i="87"/>
  <c r="BN19" i="87"/>
  <c r="AZ19" i="87" s="1"/>
  <c r="BM19" i="87"/>
  <c r="BL19" i="87"/>
  <c r="BK19" i="87"/>
  <c r="BJ19" i="87"/>
  <c r="BI19" i="87"/>
  <c r="BH19" i="87"/>
  <c r="AY19" i="87" s="1"/>
  <c r="BG19" i="87"/>
  <c r="AW19" i="87" s="1"/>
  <c r="BF19" i="87"/>
  <c r="AX19" i="87" s="1"/>
  <c r="AC19" i="87"/>
  <c r="AV19" i="87" s="1"/>
  <c r="U19" i="87"/>
  <c r="S19" i="87"/>
  <c r="AB19" i="87" s="1"/>
  <c r="AT19" i="87" s="1"/>
  <c r="R19" i="87"/>
  <c r="Q19" i="87"/>
  <c r="P19" i="87"/>
  <c r="Y19" i="87" s="1"/>
  <c r="AR19" i="87" s="1"/>
  <c r="O19" i="87"/>
  <c r="N19" i="87"/>
  <c r="K19" i="87"/>
  <c r="H19" i="87"/>
  <c r="AD19" i="87" s="1"/>
  <c r="G19" i="87"/>
  <c r="F19" i="87"/>
  <c r="BN18" i="87"/>
  <c r="AZ18" i="87" s="1"/>
  <c r="BM18" i="87"/>
  <c r="BL18" i="87"/>
  <c r="BK18" i="87"/>
  <c r="BJ18" i="87"/>
  <c r="BI18" i="87"/>
  <c r="BH18" i="87"/>
  <c r="AY18" i="87" s="1"/>
  <c r="BG18" i="87"/>
  <c r="AW18" i="87" s="1"/>
  <c r="BF18" i="87"/>
  <c r="AX18" i="87" s="1"/>
  <c r="AC18" i="87"/>
  <c r="AV18" i="87" s="1"/>
  <c r="U18" i="87"/>
  <c r="S18" i="87"/>
  <c r="AB18" i="87" s="1"/>
  <c r="AT18" i="87" s="1"/>
  <c r="R18" i="87"/>
  <c r="Q18" i="87"/>
  <c r="P18" i="87"/>
  <c r="Y18" i="87" s="1"/>
  <c r="AR18" i="87" s="1"/>
  <c r="O18" i="87"/>
  <c r="N18" i="87"/>
  <c r="K18" i="87"/>
  <c r="H18" i="87"/>
  <c r="G18" i="87"/>
  <c r="F18" i="87"/>
  <c r="BN17" i="87"/>
  <c r="AZ17" i="87" s="1"/>
  <c r="BM17" i="87"/>
  <c r="BL17" i="87"/>
  <c r="BK17" i="87"/>
  <c r="BJ17" i="87"/>
  <c r="BI17" i="87"/>
  <c r="BH17" i="87"/>
  <c r="AY17" i="87" s="1"/>
  <c r="BG17" i="87"/>
  <c r="AW17" i="87" s="1"/>
  <c r="BF17" i="87"/>
  <c r="AX17" i="87" s="1"/>
  <c r="AC17" i="87"/>
  <c r="AV17" i="87" s="1"/>
  <c r="U17" i="87"/>
  <c r="AF17" i="87" s="1"/>
  <c r="BA17" i="87" s="1"/>
  <c r="S17" i="87"/>
  <c r="AB17" i="87" s="1"/>
  <c r="AT17" i="87" s="1"/>
  <c r="R17" i="87"/>
  <c r="Q17" i="87"/>
  <c r="P17" i="87"/>
  <c r="Y17" i="87" s="1"/>
  <c r="AR17" i="87" s="1"/>
  <c r="O17" i="87"/>
  <c r="K17" i="87"/>
  <c r="H17" i="87"/>
  <c r="AD17" i="87" s="1"/>
  <c r="G17" i="87"/>
  <c r="F17" i="87"/>
  <c r="BN16" i="87"/>
  <c r="AZ16" i="87" s="1"/>
  <c r="BM16" i="87"/>
  <c r="BL16" i="87"/>
  <c r="BK16" i="87"/>
  <c r="BJ16" i="87"/>
  <c r="BI16" i="87"/>
  <c r="BH16" i="87"/>
  <c r="AY16" i="87" s="1"/>
  <c r="BG16" i="87"/>
  <c r="BF16" i="87"/>
  <c r="AX16" i="87" s="1"/>
  <c r="AC16" i="87"/>
  <c r="AV16" i="87" s="1"/>
  <c r="U16" i="87"/>
  <c r="AF16" i="87" s="1"/>
  <c r="BA16" i="87" s="1"/>
  <c r="R16" i="87"/>
  <c r="AA16" i="87" s="1"/>
  <c r="AS16" i="87" s="1"/>
  <c r="Q16" i="87"/>
  <c r="P16" i="87"/>
  <c r="O16" i="87"/>
  <c r="X16" i="87" s="1"/>
  <c r="AQ16" i="87" s="1"/>
  <c r="L16" i="87"/>
  <c r="J16" i="87"/>
  <c r="G16" i="87"/>
  <c r="F16" i="87"/>
  <c r="BN15" i="87"/>
  <c r="AZ15" i="87" s="1"/>
  <c r="BM15" i="87"/>
  <c r="BL15" i="87"/>
  <c r="BK15" i="87"/>
  <c r="BJ15" i="87"/>
  <c r="BI15" i="87"/>
  <c r="BH15" i="87"/>
  <c r="AY15" i="87" s="1"/>
  <c r="BG15" i="87"/>
  <c r="AW15" i="87" s="1"/>
  <c r="BT15" i="87" s="1"/>
  <c r="BF15" i="87"/>
  <c r="AC15" i="87"/>
  <c r="AV15" i="87" s="1"/>
  <c r="U15" i="87"/>
  <c r="AF15" i="87" s="1"/>
  <c r="BA15" i="87" s="1"/>
  <c r="S15" i="87"/>
  <c r="AB15" i="87" s="1"/>
  <c r="AT15" i="87" s="1"/>
  <c r="R15" i="87"/>
  <c r="Q15" i="87"/>
  <c r="P15" i="87"/>
  <c r="Y15" i="87" s="1"/>
  <c r="AR15" i="87" s="1"/>
  <c r="O15" i="87"/>
  <c r="K15" i="87"/>
  <c r="AA15" i="87" s="1"/>
  <c r="AS15" i="87" s="1"/>
  <c r="H15" i="87"/>
  <c r="G15" i="87"/>
  <c r="F15" i="87"/>
  <c r="BN14" i="87"/>
  <c r="AZ14" i="87" s="1"/>
  <c r="BM14" i="87"/>
  <c r="BL14" i="87"/>
  <c r="BK14" i="87"/>
  <c r="BJ14" i="87"/>
  <c r="BI14" i="87"/>
  <c r="BH14" i="87"/>
  <c r="BG14" i="87"/>
  <c r="AW14" i="87" s="1"/>
  <c r="BF14" i="87"/>
  <c r="AX14" i="87" s="1"/>
  <c r="AY14" i="87"/>
  <c r="AC14" i="87"/>
  <c r="AV14" i="87" s="1"/>
  <c r="U14" i="87"/>
  <c r="AF14" i="87" s="1"/>
  <c r="BA14" i="87" s="1"/>
  <c r="S14" i="87"/>
  <c r="AB14" i="87" s="1"/>
  <c r="AT14" i="87" s="1"/>
  <c r="R14" i="87"/>
  <c r="Q14" i="87"/>
  <c r="P14" i="87"/>
  <c r="Y14" i="87" s="1"/>
  <c r="AR14" i="87" s="1"/>
  <c r="O14" i="87"/>
  <c r="K14" i="87"/>
  <c r="H14" i="87"/>
  <c r="G14" i="87"/>
  <c r="F14" i="87"/>
  <c r="D14" i="87"/>
  <c r="D15" i="87" s="1"/>
  <c r="D16" i="87" s="1"/>
  <c r="D17" i="87" s="1"/>
  <c r="D18" i="87" s="1"/>
  <c r="D19" i="87" s="1"/>
  <c r="BN12" i="87"/>
  <c r="AZ12" i="87" s="1"/>
  <c r="BM12" i="87"/>
  <c r="BL12" i="87"/>
  <c r="BK12" i="87"/>
  <c r="BJ12" i="87"/>
  <c r="BI12" i="87"/>
  <c r="BH12" i="87"/>
  <c r="AY12" i="87" s="1"/>
  <c r="BG12" i="87"/>
  <c r="BF12" i="87"/>
  <c r="AC12" i="87"/>
  <c r="AV12" i="87" s="1"/>
  <c r="U12" i="87"/>
  <c r="S12" i="87"/>
  <c r="AB12" i="87" s="1"/>
  <c r="AT12" i="87" s="1"/>
  <c r="R12" i="87"/>
  <c r="Q12" i="87"/>
  <c r="P12" i="87"/>
  <c r="Y12" i="87" s="1"/>
  <c r="AR12" i="87" s="1"/>
  <c r="O12" i="87"/>
  <c r="N12" i="87"/>
  <c r="K12" i="87"/>
  <c r="H12" i="87"/>
  <c r="G12" i="87"/>
  <c r="F12" i="87"/>
  <c r="D12" i="87"/>
  <c r="BN11" i="87"/>
  <c r="BM11" i="87"/>
  <c r="BL11" i="87"/>
  <c r="BK11" i="87"/>
  <c r="BJ11" i="87"/>
  <c r="BI11" i="87"/>
  <c r="BH11" i="87"/>
  <c r="AY11" i="87" s="1"/>
  <c r="BG11" i="87"/>
  <c r="BF11" i="87"/>
  <c r="AX11" i="87" s="1"/>
  <c r="AC11" i="87"/>
  <c r="AV11" i="87" s="1"/>
  <c r="U11" i="87"/>
  <c r="S11" i="87"/>
  <c r="AB11" i="87" s="1"/>
  <c r="AT11" i="87" s="1"/>
  <c r="R11" i="87"/>
  <c r="Q11" i="87"/>
  <c r="P11" i="87"/>
  <c r="Y11" i="87" s="1"/>
  <c r="AR11" i="87" s="1"/>
  <c r="O11" i="87"/>
  <c r="N11" i="87"/>
  <c r="K11" i="87"/>
  <c r="H11" i="87"/>
  <c r="G11" i="87"/>
  <c r="F11" i="87"/>
  <c r="D11" i="87"/>
  <c r="BN10" i="87"/>
  <c r="BM10" i="87"/>
  <c r="BL10" i="87"/>
  <c r="BK10" i="87"/>
  <c r="BJ10" i="87"/>
  <c r="BI10" i="87"/>
  <c r="BH10" i="87"/>
  <c r="AY10" i="87" s="1"/>
  <c r="BG10" i="87"/>
  <c r="BF10" i="87"/>
  <c r="AX10" i="87" s="1"/>
  <c r="AC10" i="87"/>
  <c r="AV10" i="87" s="1"/>
  <c r="U10" i="87"/>
  <c r="AF10" i="87" s="1"/>
  <c r="BA10" i="87" s="1"/>
  <c r="S10" i="87"/>
  <c r="AB10" i="87" s="1"/>
  <c r="AT10" i="87" s="1"/>
  <c r="R10" i="87"/>
  <c r="Q10" i="87"/>
  <c r="P10" i="87"/>
  <c r="Y10" i="87" s="1"/>
  <c r="AR10" i="87" s="1"/>
  <c r="O10" i="87"/>
  <c r="K10" i="87"/>
  <c r="H10" i="87"/>
  <c r="AD10" i="87" s="1"/>
  <c r="G10" i="87"/>
  <c r="F10" i="87"/>
  <c r="D10" i="87"/>
  <c r="BN9" i="87"/>
  <c r="BM9" i="87"/>
  <c r="BL9" i="87"/>
  <c r="BK9" i="87"/>
  <c r="BJ9" i="87"/>
  <c r="BI9" i="87"/>
  <c r="BH9" i="87"/>
  <c r="AY9" i="87" s="1"/>
  <c r="BG9" i="87"/>
  <c r="BF9" i="87"/>
  <c r="AC9" i="87"/>
  <c r="U9" i="87"/>
  <c r="AF9" i="87" s="1"/>
  <c r="BA9" i="87" s="1"/>
  <c r="S9" i="87"/>
  <c r="R9" i="87"/>
  <c r="AA9" i="87" s="1"/>
  <c r="AS9" i="87" s="1"/>
  <c r="Q9" i="87"/>
  <c r="P9" i="87"/>
  <c r="O9" i="87"/>
  <c r="X9" i="87" s="1"/>
  <c r="AQ9" i="87" s="1"/>
  <c r="L9" i="87"/>
  <c r="J9" i="87"/>
  <c r="G9" i="87"/>
  <c r="F9" i="87"/>
  <c r="D9" i="87"/>
  <c r="BN8" i="87"/>
  <c r="BM8" i="87"/>
  <c r="BL8" i="87"/>
  <c r="BK8" i="87"/>
  <c r="BJ8" i="87"/>
  <c r="BI8" i="87"/>
  <c r="BH8" i="87"/>
  <c r="AY8" i="87" s="1"/>
  <c r="BG8" i="87"/>
  <c r="BF8" i="87"/>
  <c r="AC8" i="87"/>
  <c r="AV8" i="87" s="1"/>
  <c r="U8" i="87"/>
  <c r="AF8" i="87" s="1"/>
  <c r="BA8" i="87" s="1"/>
  <c r="S8" i="87"/>
  <c r="AB8" i="87" s="1"/>
  <c r="AT8" i="87" s="1"/>
  <c r="R8" i="87"/>
  <c r="Q8" i="87"/>
  <c r="P8" i="87"/>
  <c r="Y8" i="87" s="1"/>
  <c r="AR8" i="87" s="1"/>
  <c r="O8" i="87"/>
  <c r="K8" i="87"/>
  <c r="H8" i="87"/>
  <c r="G8" i="87"/>
  <c r="F8" i="87"/>
  <c r="D8" i="87"/>
  <c r="C8" i="87"/>
  <c r="C9" i="87" s="1"/>
  <c r="C10" i="87" s="1"/>
  <c r="C11" i="87" s="1"/>
  <c r="C12" i="87" s="1"/>
  <c r="C14" i="87" s="1"/>
  <c r="C15" i="87" s="1"/>
  <c r="C16" i="87" s="1"/>
  <c r="C17" i="87" s="1"/>
  <c r="C18" i="87" s="1"/>
  <c r="C19" i="87" s="1"/>
  <c r="C21" i="87" s="1"/>
  <c r="C22" i="87" s="1"/>
  <c r="C23" i="87" s="1"/>
  <c r="C24" i="87" s="1"/>
  <c r="C25" i="87" s="1"/>
  <c r="C26" i="87" s="1"/>
  <c r="C28" i="87" s="1"/>
  <c r="C29" i="87" s="1"/>
  <c r="C30" i="87" s="1"/>
  <c r="C31" i="87" s="1"/>
  <c r="C32" i="87" s="1"/>
  <c r="C33" i="87" s="1"/>
  <c r="C35" i="87" s="1"/>
  <c r="C36" i="87" s="1"/>
  <c r="C37" i="87" s="1"/>
  <c r="C38" i="87" s="1"/>
  <c r="C39" i="87" s="1"/>
  <c r="C40" i="87" s="1"/>
  <c r="C42" i="87" s="1"/>
  <c r="C43" i="87" s="1"/>
  <c r="C44" i="87" s="1"/>
  <c r="C45" i="87" s="1"/>
  <c r="C46" i="87" s="1"/>
  <c r="C47" i="87" s="1"/>
  <c r="BN7" i="87"/>
  <c r="BM7" i="87"/>
  <c r="BL7" i="87"/>
  <c r="BK7" i="87"/>
  <c r="BJ7" i="87"/>
  <c r="BI7" i="87"/>
  <c r="BH7" i="87"/>
  <c r="AY7" i="87" s="1"/>
  <c r="BG7" i="87"/>
  <c r="AW7" i="87" s="1"/>
  <c r="BT7" i="87" s="1"/>
  <c r="BF7" i="87"/>
  <c r="AC7" i="87"/>
  <c r="U7" i="87"/>
  <c r="AF7" i="87" s="1"/>
  <c r="BA7" i="87" s="1"/>
  <c r="S7" i="87"/>
  <c r="AB7" i="87" s="1"/>
  <c r="AT7" i="87" s="1"/>
  <c r="R7" i="87"/>
  <c r="Q7" i="87"/>
  <c r="P7" i="87"/>
  <c r="Y7" i="87" s="1"/>
  <c r="AR7" i="87" s="1"/>
  <c r="O7" i="87"/>
  <c r="K7" i="87"/>
  <c r="H7" i="87"/>
  <c r="G7" i="87"/>
  <c r="F7" i="87"/>
  <c r="D3" i="87"/>
  <c r="E3" i="87" s="1"/>
  <c r="F3" i="87" s="1"/>
  <c r="G3" i="87" s="1"/>
  <c r="H3" i="87" s="1"/>
  <c r="I3" i="87" s="1"/>
  <c r="J3" i="87" s="1"/>
  <c r="K3" i="87" s="1"/>
  <c r="L3" i="87" s="1"/>
  <c r="N3" i="87" s="1"/>
  <c r="O3" i="87" s="1"/>
  <c r="P3" i="87" s="1"/>
  <c r="Q3" i="87" s="1"/>
  <c r="R3" i="87" s="1"/>
  <c r="S3" i="87" s="1"/>
  <c r="T3" i="87" s="1"/>
  <c r="U3" i="87" s="1"/>
  <c r="V3" i="87" s="1"/>
  <c r="W3" i="87" s="1"/>
  <c r="X3" i="87" s="1"/>
  <c r="Y3" i="87" s="1"/>
  <c r="Z3" i="87" s="1"/>
  <c r="AA3" i="87" s="1"/>
  <c r="AB3" i="87" s="1"/>
  <c r="AC3" i="87" s="1"/>
  <c r="AD3" i="87" s="1"/>
  <c r="AE3" i="87" s="1"/>
  <c r="AF3" i="87" s="1"/>
  <c r="AG3" i="87" s="1"/>
  <c r="AH3" i="87" s="1"/>
  <c r="AI3" i="87" s="1"/>
  <c r="AJ3" i="87" s="1"/>
  <c r="AK3" i="87" s="1"/>
  <c r="AL3" i="87" s="1"/>
  <c r="AM3" i="87" s="1"/>
  <c r="AN3" i="87" s="1"/>
  <c r="AO3" i="87" s="1"/>
  <c r="AP3" i="87" s="1"/>
  <c r="AQ3" i="87" s="1"/>
  <c r="AR3" i="87" s="1"/>
  <c r="AS3" i="87" s="1"/>
  <c r="AT3" i="87" s="1"/>
  <c r="AW3" i="87" s="1"/>
  <c r="AX3" i="87" s="1"/>
  <c r="AY3" i="87" s="1"/>
  <c r="BA3" i="87" s="1"/>
  <c r="BB3" i="87" s="1"/>
  <c r="BC3" i="87" s="1"/>
  <c r="BD3" i="87" s="1"/>
  <c r="BE3" i="87" s="1"/>
  <c r="BF3" i="87" s="1"/>
  <c r="BG3" i="87" s="1"/>
  <c r="BH3" i="87" s="1"/>
  <c r="BJ3" i="87" s="1"/>
  <c r="BK3" i="87" s="1"/>
  <c r="BL3" i="87" s="1"/>
  <c r="BM3" i="87" s="1"/>
  <c r="E145" i="33"/>
  <c r="E144" i="33"/>
  <c r="BG144" i="33" s="1"/>
  <c r="E143" i="33"/>
  <c r="Q143" i="33" s="1"/>
  <c r="AA143" i="33" s="1"/>
  <c r="E142" i="33"/>
  <c r="BD142" i="33" s="1"/>
  <c r="AT142" i="33" s="1"/>
  <c r="BP142" i="33" s="1"/>
  <c r="E141" i="33"/>
  <c r="T141" i="33" s="1"/>
  <c r="E140" i="33"/>
  <c r="BI140" i="33" s="1"/>
  <c r="E139" i="33"/>
  <c r="BH139" i="33" s="1"/>
  <c r="E138" i="33"/>
  <c r="N138" i="33" s="1"/>
  <c r="E137" i="33"/>
  <c r="BJ137" i="33" s="1"/>
  <c r="AW137" i="33" s="1"/>
  <c r="E136" i="33"/>
  <c r="O136" i="33" s="1"/>
  <c r="E135" i="33"/>
  <c r="E133" i="33"/>
  <c r="E132" i="33"/>
  <c r="F132" i="33" s="1"/>
  <c r="E131" i="33"/>
  <c r="BJ131" i="33" s="1"/>
  <c r="AW131" i="33" s="1"/>
  <c r="E130" i="33"/>
  <c r="E129" i="33"/>
  <c r="N129" i="33" s="1"/>
  <c r="E128" i="33"/>
  <c r="E127" i="33"/>
  <c r="S127" i="33" s="1"/>
  <c r="E126" i="33"/>
  <c r="BD126" i="33" s="1"/>
  <c r="AT126" i="33" s="1"/>
  <c r="BP126" i="33" s="1"/>
  <c r="E125" i="33"/>
  <c r="S125" i="33" s="1"/>
  <c r="E124" i="33"/>
  <c r="E123" i="33"/>
  <c r="BC123" i="33" s="1"/>
  <c r="E121" i="33"/>
  <c r="E120" i="33"/>
  <c r="E119" i="33"/>
  <c r="E118" i="33"/>
  <c r="BJ118" i="33" s="1"/>
  <c r="AW118" i="33" s="1"/>
  <c r="E117" i="33"/>
  <c r="U117" i="33" s="1"/>
  <c r="AE117" i="33" s="1"/>
  <c r="E116" i="33"/>
  <c r="E115" i="33"/>
  <c r="BJ115" i="33" s="1"/>
  <c r="AW115" i="33" s="1"/>
  <c r="E114" i="33"/>
  <c r="E113" i="33"/>
  <c r="S113" i="33" s="1"/>
  <c r="E112" i="33"/>
  <c r="BI112" i="33" s="1"/>
  <c r="E111" i="33"/>
  <c r="S111" i="33" s="1"/>
  <c r="E109" i="33"/>
  <c r="BG109" i="33" s="1"/>
  <c r="E108" i="33"/>
  <c r="U108" i="33" s="1"/>
  <c r="AE108" i="33" s="1"/>
  <c r="E107" i="33"/>
  <c r="T107" i="33" s="1"/>
  <c r="E106" i="33"/>
  <c r="U106" i="33" s="1"/>
  <c r="AE106" i="33" s="1"/>
  <c r="E105" i="33"/>
  <c r="E104" i="33"/>
  <c r="E103" i="33"/>
  <c r="Q103" i="33" s="1"/>
  <c r="AA103" i="33" s="1"/>
  <c r="E102" i="33"/>
  <c r="E101" i="33"/>
  <c r="BD101" i="33" s="1"/>
  <c r="AT101" i="33" s="1"/>
  <c r="E100" i="33"/>
  <c r="BJ100" i="33" s="1"/>
  <c r="AW100" i="33" s="1"/>
  <c r="E99" i="33"/>
  <c r="N99" i="33" s="1"/>
  <c r="E97" i="33"/>
  <c r="E96" i="33"/>
  <c r="BI96" i="33" s="1"/>
  <c r="E95" i="33"/>
  <c r="T95" i="33" s="1"/>
  <c r="E94" i="33"/>
  <c r="BJ94" i="33" s="1"/>
  <c r="AW94" i="33" s="1"/>
  <c r="E93" i="33"/>
  <c r="BD93" i="33" s="1"/>
  <c r="AT93" i="33" s="1"/>
  <c r="BP93" i="33" s="1"/>
  <c r="E92" i="33"/>
  <c r="S92" i="33" s="1"/>
  <c r="E91" i="33"/>
  <c r="BC91" i="33" s="1"/>
  <c r="E90" i="33"/>
  <c r="N90" i="33" s="1"/>
  <c r="E89" i="33"/>
  <c r="E88" i="33"/>
  <c r="S88" i="33" s="1"/>
  <c r="E87" i="33"/>
  <c r="BI87" i="33" s="1"/>
  <c r="E85" i="33"/>
  <c r="E84" i="33"/>
  <c r="S84" i="33" s="1"/>
  <c r="E83" i="33"/>
  <c r="E82" i="33"/>
  <c r="Q82" i="33" s="1"/>
  <c r="AA82" i="33" s="1"/>
  <c r="E81" i="33"/>
  <c r="E80" i="33"/>
  <c r="BJ80" i="33" s="1"/>
  <c r="AW80" i="33" s="1"/>
  <c r="E79" i="33"/>
  <c r="E78" i="33"/>
  <c r="Q78" i="33" s="1"/>
  <c r="E77" i="33"/>
  <c r="BC77" i="33" s="1"/>
  <c r="E76" i="33"/>
  <c r="G76" i="33" s="1"/>
  <c r="E75" i="33"/>
  <c r="E73" i="33"/>
  <c r="U73" i="33" s="1"/>
  <c r="AE73" i="33" s="1"/>
  <c r="E72" i="33"/>
  <c r="T72" i="33" s="1"/>
  <c r="E71" i="33"/>
  <c r="P71" i="33" s="1"/>
  <c r="E70" i="33"/>
  <c r="E69" i="33"/>
  <c r="Q69" i="33" s="1"/>
  <c r="E68" i="33"/>
  <c r="S68" i="33" s="1"/>
  <c r="E67" i="33"/>
  <c r="E66" i="33"/>
  <c r="N66" i="33" s="1"/>
  <c r="N65" i="33"/>
  <c r="E65" i="33"/>
  <c r="C64" i="39" s="1"/>
  <c r="E64" i="33"/>
  <c r="N64" i="33" s="1"/>
  <c r="E63" i="33"/>
  <c r="Q63" i="33" s="1"/>
  <c r="E61" i="33"/>
  <c r="E60" i="33"/>
  <c r="S60" i="33" s="1"/>
  <c r="E59" i="33"/>
  <c r="E58" i="33"/>
  <c r="Q58" i="33" s="1"/>
  <c r="E57" i="33"/>
  <c r="U57" i="33" s="1"/>
  <c r="AE57" i="33" s="1"/>
  <c r="E56" i="33"/>
  <c r="G56" i="33" s="1"/>
  <c r="E55" i="39" s="1"/>
  <c r="E55" i="33"/>
  <c r="E54" i="33"/>
  <c r="C53" i="39" s="1"/>
  <c r="E53" i="33"/>
  <c r="E52" i="33"/>
  <c r="O52" i="33" s="1"/>
  <c r="E51" i="33"/>
  <c r="N51" i="33" s="1"/>
  <c r="E49" i="33"/>
  <c r="P49" i="33" s="1"/>
  <c r="E48" i="33"/>
  <c r="E47" i="33"/>
  <c r="S47" i="33" s="1"/>
  <c r="E46" i="33"/>
  <c r="T46" i="33" s="1"/>
  <c r="E45" i="33"/>
  <c r="O45" i="33" s="1"/>
  <c r="E44" i="33"/>
  <c r="N44" i="33" s="1"/>
  <c r="E43" i="33"/>
  <c r="O43" i="33" s="1"/>
  <c r="E42" i="33"/>
  <c r="O42" i="33" s="1"/>
  <c r="E41" i="33"/>
  <c r="C40" i="39" s="1"/>
  <c r="E40" i="33"/>
  <c r="T40" i="33" s="1"/>
  <c r="E39" i="33"/>
  <c r="C38" i="39" s="1"/>
  <c r="E37" i="33"/>
  <c r="T37" i="33" s="1"/>
  <c r="E36" i="33"/>
  <c r="T36" i="33" s="1"/>
  <c r="E35" i="33"/>
  <c r="G35" i="33" s="1"/>
  <c r="E34" i="39" s="1"/>
  <c r="E34" i="33"/>
  <c r="C33" i="39" s="1"/>
  <c r="E33" i="33"/>
  <c r="C32" i="39" s="1"/>
  <c r="E32" i="33"/>
  <c r="C31" i="39" s="1"/>
  <c r="E31" i="33"/>
  <c r="C30" i="39" s="1"/>
  <c r="E30" i="33"/>
  <c r="E29" i="33"/>
  <c r="T29" i="33" s="1"/>
  <c r="E28" i="33"/>
  <c r="Q28" i="33" s="1"/>
  <c r="E27" i="33"/>
  <c r="T27" i="33" s="1"/>
  <c r="E25" i="33"/>
  <c r="C24" i="39" s="1"/>
  <c r="E24" i="33"/>
  <c r="C23" i="39" s="1"/>
  <c r="E23" i="33"/>
  <c r="N23" i="33" s="1"/>
  <c r="E22" i="33"/>
  <c r="C21" i="39" s="1"/>
  <c r="E21" i="33"/>
  <c r="G21" i="33" s="1"/>
  <c r="E20" i="39" s="1"/>
  <c r="E20" i="33"/>
  <c r="U20" i="33" s="1"/>
  <c r="AE20" i="33" s="1"/>
  <c r="E19" i="33"/>
  <c r="S19" i="33" s="1"/>
  <c r="E18" i="33"/>
  <c r="N18" i="33" s="1"/>
  <c r="E17" i="33"/>
  <c r="D17" i="33"/>
  <c r="D22" i="33" s="1"/>
  <c r="E15" i="33"/>
  <c r="T15" i="33" s="1"/>
  <c r="D15" i="33"/>
  <c r="R14" i="33"/>
  <c r="E14" i="33"/>
  <c r="T14" i="33" s="1"/>
  <c r="D14" i="33"/>
  <c r="B13" i="39" s="1"/>
  <c r="P13" i="33"/>
  <c r="G13" i="33"/>
  <c r="E12" i="39" s="1"/>
  <c r="E13" i="33"/>
  <c r="T13" i="33" s="1"/>
  <c r="D13" i="33"/>
  <c r="BF13" i="33" s="1"/>
  <c r="E12" i="33"/>
  <c r="O12" i="33" s="1"/>
  <c r="D12" i="33"/>
  <c r="E11" i="33"/>
  <c r="Q11" i="33" s="1"/>
  <c r="D11" i="33"/>
  <c r="E10" i="33"/>
  <c r="D10" i="33"/>
  <c r="E9" i="33"/>
  <c r="N9" i="33" s="1"/>
  <c r="D9" i="33"/>
  <c r="U8" i="33"/>
  <c r="AE8" i="33" s="1"/>
  <c r="E8" i="33"/>
  <c r="O8" i="33" s="1"/>
  <c r="D8" i="33"/>
  <c r="B7" i="39" s="1"/>
  <c r="C8" i="33"/>
  <c r="C9" i="33" s="1"/>
  <c r="C10" i="33" s="1"/>
  <c r="C11" i="33" s="1"/>
  <c r="C12" i="33" s="1"/>
  <c r="C13" i="33" s="1"/>
  <c r="C14" i="33" s="1"/>
  <c r="C15" i="33" s="1"/>
  <c r="C17" i="33" s="1"/>
  <c r="C18" i="33" s="1"/>
  <c r="C19" i="33" s="1"/>
  <c r="C20" i="33" s="1"/>
  <c r="C21" i="33" s="1"/>
  <c r="C22" i="33" s="1"/>
  <c r="C23" i="33" s="1"/>
  <c r="C24" i="33" s="1"/>
  <c r="C25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9" i="33" s="1"/>
  <c r="C40" i="33" s="1"/>
  <c r="C41" i="33" s="1"/>
  <c r="C42" i="33" s="1"/>
  <c r="C43" i="33" s="1"/>
  <c r="C44" i="33" s="1"/>
  <c r="C45" i="33" s="1"/>
  <c r="C46" i="33" s="1"/>
  <c r="C47" i="33" s="1"/>
  <c r="C48" i="33" s="1"/>
  <c r="C49" i="33" s="1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3" i="33" s="1"/>
  <c r="C64" i="33" s="1"/>
  <c r="C65" i="33" s="1"/>
  <c r="C66" i="33" s="1"/>
  <c r="C67" i="33" s="1"/>
  <c r="C68" i="33" s="1"/>
  <c r="C69" i="33" s="1"/>
  <c r="C70" i="33" s="1"/>
  <c r="C71" i="33" s="1"/>
  <c r="V7" i="33"/>
  <c r="R7" i="33"/>
  <c r="E7" i="33"/>
  <c r="D3" i="33"/>
  <c r="E3" i="33" s="1"/>
  <c r="F3" i="33" s="1"/>
  <c r="G3" i="33" s="1"/>
  <c r="H3" i="33" s="1"/>
  <c r="I3" i="33" s="1"/>
  <c r="J3" i="33" s="1"/>
  <c r="K3" i="33" s="1"/>
  <c r="L3" i="33" s="1"/>
  <c r="M3" i="33" s="1"/>
  <c r="N3" i="33" s="1"/>
  <c r="O3" i="33" s="1"/>
  <c r="P3" i="33" s="1"/>
  <c r="Q3" i="33" s="1"/>
  <c r="R3" i="33" s="1"/>
  <c r="S3" i="33" s="1"/>
  <c r="T3" i="33" s="1"/>
  <c r="U3" i="33" s="1"/>
  <c r="V3" i="33" s="1"/>
  <c r="W3" i="33" s="1"/>
  <c r="X3" i="33" s="1"/>
  <c r="Y3" i="33" s="1"/>
  <c r="Z3" i="33" s="1"/>
  <c r="AA3" i="33" s="1"/>
  <c r="AB3" i="33" s="1"/>
  <c r="AC3" i="33" s="1"/>
  <c r="AD3" i="33" s="1"/>
  <c r="AE3" i="33" s="1"/>
  <c r="AF3" i="33" s="1"/>
  <c r="AG3" i="33" s="1"/>
  <c r="AH3" i="33" s="1"/>
  <c r="AI3" i="33" s="1"/>
  <c r="AJ3" i="33" s="1"/>
  <c r="AK3" i="33" s="1"/>
  <c r="AL3" i="33" s="1"/>
  <c r="AM3" i="33" s="1"/>
  <c r="AN3" i="33" s="1"/>
  <c r="AO3" i="33" s="1"/>
  <c r="AP3" i="33" s="1"/>
  <c r="AQ3" i="33" s="1"/>
  <c r="AR3" i="33" s="1"/>
  <c r="AS3" i="33" s="1"/>
  <c r="AT3" i="33" s="1"/>
  <c r="AU3" i="33" s="1"/>
  <c r="AV3" i="33" s="1"/>
  <c r="AX3" i="33" s="1"/>
  <c r="AY3" i="33" s="1"/>
  <c r="AZ3" i="33" s="1"/>
  <c r="BA3" i="33" s="1"/>
  <c r="BB3" i="33" s="1"/>
  <c r="BC3" i="33" s="1"/>
  <c r="BD3" i="33" s="1"/>
  <c r="BE3" i="33" s="1"/>
  <c r="BF3" i="33" s="1"/>
  <c r="BG3" i="33" s="1"/>
  <c r="BH3" i="33" s="1"/>
  <c r="BI3" i="33" s="1"/>
  <c r="R24" i="28"/>
  <c r="AA23" i="28"/>
  <c r="O22" i="28"/>
  <c r="M22" i="28"/>
  <c r="AG21" i="28"/>
  <c r="AF21" i="28"/>
  <c r="AH19" i="28"/>
  <c r="Z31" i="28" s="1"/>
  <c r="R19" i="28"/>
  <c r="O19" i="28"/>
  <c r="M19" i="28"/>
  <c r="M20" i="28" s="1"/>
  <c r="R18" i="28"/>
  <c r="O18" i="28"/>
  <c r="M18" i="28"/>
  <c r="AH17" i="28"/>
  <c r="Z19" i="28" s="1"/>
  <c r="R15" i="28"/>
  <c r="AG13" i="28"/>
  <c r="AF13" i="28"/>
  <c r="AH11" i="28"/>
  <c r="AB31" i="28" s="1"/>
  <c r="E13" i="28" s="1"/>
  <c r="AH9" i="28"/>
  <c r="AB19" i="28" s="1"/>
  <c r="E11" i="28" s="1"/>
  <c r="Y9" i="28"/>
  <c r="Z8" i="28"/>
  <c r="N5" i="28"/>
  <c r="M4" i="28"/>
  <c r="L4" i="28"/>
  <c r="D40" i="26"/>
  <c r="B35" i="26"/>
  <c r="B36" i="26" s="1"/>
  <c r="B37" i="26" s="1"/>
  <c r="B38" i="26" s="1"/>
  <c r="B39" i="26" s="1"/>
  <c r="I12" i="26"/>
  <c r="I23" i="26" s="1"/>
  <c r="H12" i="26"/>
  <c r="H23" i="26" s="1"/>
  <c r="G12" i="26"/>
  <c r="G23" i="26" s="1"/>
  <c r="F12" i="26"/>
  <c r="F23" i="26" s="1"/>
  <c r="E12" i="26"/>
  <c r="E23" i="26" s="1"/>
  <c r="D12" i="26"/>
  <c r="D23" i="26" s="1"/>
  <c r="E5" i="26"/>
  <c r="F5" i="26" s="1"/>
  <c r="G5" i="26" s="1"/>
  <c r="H5" i="26" s="1"/>
  <c r="I5" i="26" s="1"/>
  <c r="I4" i="26"/>
  <c r="H4" i="26"/>
  <c r="G4" i="26"/>
  <c r="F4" i="26"/>
  <c r="E4" i="26"/>
  <c r="V315" i="60"/>
  <c r="M315" i="60"/>
  <c r="V314" i="60"/>
  <c r="M314" i="60"/>
  <c r="V313" i="60"/>
  <c r="M313" i="60"/>
  <c r="V312" i="60"/>
  <c r="M312" i="60"/>
  <c r="V311" i="60"/>
  <c r="M311" i="60"/>
  <c r="V310" i="60"/>
  <c r="M310" i="60"/>
  <c r="V309" i="60"/>
  <c r="M309" i="60"/>
  <c r="V308" i="60"/>
  <c r="M308" i="60"/>
  <c r="V307" i="60"/>
  <c r="M307" i="60"/>
  <c r="V306" i="60"/>
  <c r="M306" i="60"/>
  <c r="V305" i="60"/>
  <c r="M305" i="60"/>
  <c r="V304" i="60"/>
  <c r="M304" i="60"/>
  <c r="V303" i="60"/>
  <c r="M303" i="60"/>
  <c r="V302" i="60"/>
  <c r="M302" i="60"/>
  <c r="V301" i="60"/>
  <c r="M301" i="60"/>
  <c r="V300" i="60"/>
  <c r="M300" i="60"/>
  <c r="V299" i="60"/>
  <c r="M299" i="60"/>
  <c r="V298" i="60"/>
  <c r="M298" i="60"/>
  <c r="V297" i="60"/>
  <c r="M297" i="60"/>
  <c r="V296" i="60"/>
  <c r="M296" i="60"/>
  <c r="V295" i="60"/>
  <c r="M295" i="60"/>
  <c r="V294" i="60"/>
  <c r="M294" i="60"/>
  <c r="V293" i="60"/>
  <c r="M293" i="60"/>
  <c r="V292" i="60"/>
  <c r="M292" i="60"/>
  <c r="V291" i="60"/>
  <c r="M291" i="60"/>
  <c r="V290" i="60"/>
  <c r="M290" i="60"/>
  <c r="AG289" i="60"/>
  <c r="AF289" i="60"/>
  <c r="AE289" i="60"/>
  <c r="AD289" i="60"/>
  <c r="AC289" i="60"/>
  <c r="AB289" i="60"/>
  <c r="AA289" i="60"/>
  <c r="Z289" i="60"/>
  <c r="Y289" i="60"/>
  <c r="X289" i="60"/>
  <c r="W289" i="60"/>
  <c r="U289" i="60"/>
  <c r="T289" i="60"/>
  <c r="S289" i="60"/>
  <c r="R289" i="60"/>
  <c r="Q289" i="60"/>
  <c r="P289" i="60"/>
  <c r="O289" i="60"/>
  <c r="N289" i="60"/>
  <c r="L289" i="60"/>
  <c r="K289" i="60"/>
  <c r="J289" i="60"/>
  <c r="I289" i="60"/>
  <c r="H289" i="60"/>
  <c r="G289" i="60"/>
  <c r="F289" i="60"/>
  <c r="E289" i="60"/>
  <c r="E317" i="60" s="1"/>
  <c r="V288" i="60"/>
  <c r="M288" i="60"/>
  <c r="V287" i="60"/>
  <c r="M287" i="60"/>
  <c r="V286" i="60"/>
  <c r="M286" i="60"/>
  <c r="V285" i="60"/>
  <c r="M285" i="60"/>
  <c r="V284" i="60"/>
  <c r="M284" i="60"/>
  <c r="V283" i="60"/>
  <c r="M283" i="60"/>
  <c r="V282" i="60"/>
  <c r="M282" i="60"/>
  <c r="V281" i="60"/>
  <c r="M281" i="60"/>
  <c r="M279" i="60"/>
  <c r="V278" i="60"/>
  <c r="M278" i="60"/>
  <c r="V277" i="60"/>
  <c r="M277" i="60"/>
  <c r="V276" i="60"/>
  <c r="M276" i="60"/>
  <c r="V275" i="60"/>
  <c r="M275" i="60"/>
  <c r="V274" i="60"/>
  <c r="M274" i="60"/>
  <c r="V273" i="60"/>
  <c r="M273" i="60"/>
  <c r="V272" i="60"/>
  <c r="M272" i="60"/>
  <c r="V271" i="60"/>
  <c r="M271" i="60"/>
  <c r="V270" i="60"/>
  <c r="M270" i="60"/>
  <c r="V269" i="60"/>
  <c r="M269" i="60"/>
  <c r="V268" i="60"/>
  <c r="M268" i="60"/>
  <c r="V267" i="60"/>
  <c r="M267" i="60"/>
  <c r="V266" i="60"/>
  <c r="M266" i="60"/>
  <c r="V265" i="60"/>
  <c r="M265" i="60"/>
  <c r="V264" i="60"/>
  <c r="M264" i="60"/>
  <c r="V263" i="60"/>
  <c r="M263" i="60"/>
  <c r="V262" i="60"/>
  <c r="M262" i="60"/>
  <c r="V261" i="60"/>
  <c r="M261" i="60"/>
  <c r="V260" i="60"/>
  <c r="M260" i="60"/>
  <c r="V259" i="60"/>
  <c r="M259" i="60"/>
  <c r="V258" i="60"/>
  <c r="M258" i="60"/>
  <c r="V257" i="60"/>
  <c r="M257" i="60"/>
  <c r="V256" i="60"/>
  <c r="M256" i="60"/>
  <c r="V255" i="60"/>
  <c r="M255" i="60"/>
  <c r="V254" i="60"/>
  <c r="M254" i="60"/>
  <c r="V253" i="60"/>
  <c r="M253" i="60"/>
  <c r="V252" i="60"/>
  <c r="M252" i="60"/>
  <c r="V251" i="60"/>
  <c r="M251" i="60"/>
  <c r="V250" i="60"/>
  <c r="M250" i="60"/>
  <c r="V249" i="60"/>
  <c r="M249" i="60"/>
  <c r="V248" i="60"/>
  <c r="M248" i="60"/>
  <c r="V247" i="60"/>
  <c r="M247" i="60"/>
  <c r="V246" i="60"/>
  <c r="M246" i="60"/>
  <c r="V245" i="60"/>
  <c r="M245" i="60"/>
  <c r="V244" i="60"/>
  <c r="M244" i="60"/>
  <c r="V243" i="60"/>
  <c r="M243" i="60"/>
  <c r="V242" i="60"/>
  <c r="M242" i="60"/>
  <c r="V241" i="60"/>
  <c r="M241" i="60"/>
  <c r="V240" i="60"/>
  <c r="M240" i="60"/>
  <c r="V239" i="60"/>
  <c r="M239" i="60"/>
  <c r="V238" i="60"/>
  <c r="V237" i="60"/>
  <c r="M237" i="60"/>
  <c r="M236" i="60"/>
  <c r="V235" i="60"/>
  <c r="M235" i="60"/>
  <c r="V234" i="60"/>
  <c r="M234" i="60"/>
  <c r="V233" i="60"/>
  <c r="M233" i="60"/>
  <c r="V232" i="60"/>
  <c r="M232" i="60"/>
  <c r="V231" i="60"/>
  <c r="M231" i="60"/>
  <c r="V230" i="60"/>
  <c r="M230" i="60"/>
  <c r="V229" i="60"/>
  <c r="M229" i="60"/>
  <c r="V228" i="60"/>
  <c r="M228" i="60"/>
  <c r="V227" i="60"/>
  <c r="M227" i="60"/>
  <c r="V226" i="60"/>
  <c r="M226" i="60"/>
  <c r="V225" i="60"/>
  <c r="M225" i="60"/>
  <c r="V224" i="60"/>
  <c r="M224" i="60"/>
  <c r="V223" i="60"/>
  <c r="M223" i="60"/>
  <c r="V222" i="60"/>
  <c r="M222" i="60"/>
  <c r="V221" i="60"/>
  <c r="M221" i="60"/>
  <c r="V220" i="60"/>
  <c r="M220" i="60"/>
  <c r="V219" i="60"/>
  <c r="M219" i="60"/>
  <c r="V218" i="60"/>
  <c r="M218" i="60"/>
  <c r="V217" i="60"/>
  <c r="M217" i="60"/>
  <c r="V216" i="60"/>
  <c r="M216" i="60"/>
  <c r="V215" i="60"/>
  <c r="M215" i="60"/>
  <c r="V214" i="60"/>
  <c r="M214" i="60"/>
  <c r="V213" i="60"/>
  <c r="M213" i="60"/>
  <c r="V212" i="60"/>
  <c r="M212" i="60"/>
  <c r="V211" i="60"/>
  <c r="M211" i="60"/>
  <c r="V210" i="60"/>
  <c r="M210" i="60"/>
  <c r="V209" i="60"/>
  <c r="M209" i="60"/>
  <c r="V208" i="60"/>
  <c r="M208" i="60"/>
  <c r="V207" i="60"/>
  <c r="M207" i="60"/>
  <c r="V206" i="60"/>
  <c r="M206" i="60"/>
  <c r="V205" i="60"/>
  <c r="M205" i="60"/>
  <c r="V204" i="60"/>
  <c r="M204" i="60"/>
  <c r="V203" i="60"/>
  <c r="M203" i="60"/>
  <c r="V202" i="60"/>
  <c r="M202" i="60"/>
  <c r="V201" i="60"/>
  <c r="M201" i="60"/>
  <c r="V200" i="60"/>
  <c r="M200" i="60"/>
  <c r="V199" i="60"/>
  <c r="M199" i="60"/>
  <c r="V198" i="60"/>
  <c r="M198" i="60"/>
  <c r="V197" i="60"/>
  <c r="M197" i="60"/>
  <c r="V196" i="60"/>
  <c r="M196" i="60"/>
  <c r="M195" i="60"/>
  <c r="M194" i="60"/>
  <c r="V193" i="60"/>
  <c r="M193" i="60"/>
  <c r="V192" i="60"/>
  <c r="M192" i="60"/>
  <c r="V191" i="60"/>
  <c r="M191" i="60"/>
  <c r="V190" i="60"/>
  <c r="M190" i="60"/>
  <c r="V189" i="60"/>
  <c r="M189" i="60"/>
  <c r="V188" i="60"/>
  <c r="M188" i="60"/>
  <c r="V187" i="60"/>
  <c r="M187" i="60"/>
  <c r="V186" i="60"/>
  <c r="M186" i="60"/>
  <c r="V185" i="60"/>
  <c r="M185" i="60"/>
  <c r="V184" i="60"/>
  <c r="M184" i="60"/>
  <c r="V183" i="60"/>
  <c r="M183" i="60"/>
  <c r="V182" i="60"/>
  <c r="M182" i="60"/>
  <c r="V181" i="60"/>
  <c r="M181" i="60"/>
  <c r="V180" i="60"/>
  <c r="M180" i="60"/>
  <c r="V179" i="60"/>
  <c r="M179" i="60"/>
  <c r="V178" i="60"/>
  <c r="M178" i="60"/>
  <c r="V177" i="60"/>
  <c r="M177" i="60"/>
  <c r="V176" i="60"/>
  <c r="M176" i="60"/>
  <c r="V175" i="60"/>
  <c r="M175" i="60"/>
  <c r="V174" i="60"/>
  <c r="M174" i="60"/>
  <c r="V173" i="60"/>
  <c r="M173" i="60"/>
  <c r="V172" i="60"/>
  <c r="M172" i="60"/>
  <c r="V171" i="60"/>
  <c r="M171" i="60"/>
  <c r="V170" i="60"/>
  <c r="M170" i="60"/>
  <c r="V169" i="60"/>
  <c r="M169" i="60"/>
  <c r="V168" i="60"/>
  <c r="M168" i="60"/>
  <c r="V167" i="60"/>
  <c r="M167" i="60"/>
  <c r="V166" i="60"/>
  <c r="M166" i="60"/>
  <c r="V165" i="60"/>
  <c r="M165" i="60"/>
  <c r="V164" i="60"/>
  <c r="M164" i="60"/>
  <c r="V163" i="60"/>
  <c r="M163" i="60"/>
  <c r="V162" i="60"/>
  <c r="M162" i="60"/>
  <c r="V161" i="60"/>
  <c r="M161" i="60"/>
  <c r="V160" i="60"/>
  <c r="M160" i="60"/>
  <c r="V159" i="60"/>
  <c r="M159" i="60"/>
  <c r="V158" i="60"/>
  <c r="M158" i="60"/>
  <c r="V157" i="60"/>
  <c r="M157" i="60"/>
  <c r="V156" i="60"/>
  <c r="M156" i="60"/>
  <c r="V155" i="60"/>
  <c r="M155" i="60"/>
  <c r="V154" i="60"/>
  <c r="M154" i="60"/>
  <c r="M152" i="60"/>
  <c r="M151" i="60"/>
  <c r="V150" i="60"/>
  <c r="M150" i="60"/>
  <c r="V149" i="60"/>
  <c r="M149" i="60"/>
  <c r="V148" i="60"/>
  <c r="M148" i="60"/>
  <c r="V147" i="60"/>
  <c r="M147" i="60"/>
  <c r="V146" i="60"/>
  <c r="M146" i="60"/>
  <c r="V145" i="60"/>
  <c r="M145" i="60"/>
  <c r="V144" i="60"/>
  <c r="M144" i="60"/>
  <c r="V143" i="60"/>
  <c r="M143" i="60"/>
  <c r="V142" i="60"/>
  <c r="M142" i="60"/>
  <c r="V141" i="60"/>
  <c r="M141" i="60"/>
  <c r="V140" i="60"/>
  <c r="M140" i="60"/>
  <c r="V139" i="60"/>
  <c r="M139" i="60"/>
  <c r="V138" i="60"/>
  <c r="M138" i="60"/>
  <c r="V137" i="60"/>
  <c r="M137" i="60"/>
  <c r="V136" i="60"/>
  <c r="M136" i="60"/>
  <c r="V135" i="60"/>
  <c r="M135" i="60"/>
  <c r="V134" i="60"/>
  <c r="M134" i="60"/>
  <c r="V133" i="60"/>
  <c r="M133" i="60"/>
  <c r="V132" i="60"/>
  <c r="M132" i="60"/>
  <c r="V131" i="60"/>
  <c r="M131" i="60"/>
  <c r="V130" i="60"/>
  <c r="M130" i="60"/>
  <c r="V129" i="60"/>
  <c r="M129" i="60"/>
  <c r="V128" i="60"/>
  <c r="M128" i="60"/>
  <c r="V127" i="60"/>
  <c r="M127" i="60"/>
  <c r="V126" i="60"/>
  <c r="M126" i="60"/>
  <c r="V125" i="60"/>
  <c r="M125" i="60"/>
  <c r="V124" i="60"/>
  <c r="M124" i="60"/>
  <c r="V123" i="60"/>
  <c r="M123" i="60"/>
  <c r="V122" i="60"/>
  <c r="M122" i="60"/>
  <c r="V121" i="60"/>
  <c r="M121" i="60"/>
  <c r="V120" i="60"/>
  <c r="M120" i="60"/>
  <c r="V119" i="60"/>
  <c r="M119" i="60"/>
  <c r="V118" i="60"/>
  <c r="M118" i="60"/>
  <c r="V117" i="60"/>
  <c r="M117" i="60"/>
  <c r="V116" i="60"/>
  <c r="M116" i="60"/>
  <c r="V115" i="60"/>
  <c r="M115" i="60"/>
  <c r="V114" i="60"/>
  <c r="M114" i="60"/>
  <c r="V113" i="60"/>
  <c r="M113" i="60"/>
  <c r="V112" i="60"/>
  <c r="M112" i="60"/>
  <c r="V111" i="60"/>
  <c r="M111" i="60"/>
  <c r="M109" i="60"/>
  <c r="M108" i="60"/>
  <c r="V107" i="60"/>
  <c r="M107" i="60"/>
  <c r="V106" i="60"/>
  <c r="M106" i="60"/>
  <c r="V105" i="60"/>
  <c r="M105" i="60"/>
  <c r="V104" i="60"/>
  <c r="M104" i="60"/>
  <c r="V103" i="60"/>
  <c r="M103" i="60"/>
  <c r="V102" i="60"/>
  <c r="M102" i="60"/>
  <c r="V100" i="60"/>
  <c r="M100" i="60"/>
  <c r="V99" i="60"/>
  <c r="M99" i="60"/>
  <c r="V98" i="60"/>
  <c r="M98" i="60"/>
  <c r="V97" i="60"/>
  <c r="M97" i="60"/>
  <c r="V96" i="60"/>
  <c r="M96" i="60"/>
  <c r="V95" i="60"/>
  <c r="M95" i="60"/>
  <c r="V94" i="60"/>
  <c r="M94" i="60"/>
  <c r="V93" i="60"/>
  <c r="M93" i="60"/>
  <c r="V92" i="60"/>
  <c r="M92" i="60"/>
  <c r="V91" i="60"/>
  <c r="M91" i="60"/>
  <c r="V90" i="60"/>
  <c r="M90" i="60"/>
  <c r="V89" i="60"/>
  <c r="M89" i="60"/>
  <c r="V88" i="60"/>
  <c r="M88" i="60"/>
  <c r="V87" i="60"/>
  <c r="M87" i="60"/>
  <c r="V86" i="60"/>
  <c r="M86" i="60"/>
  <c r="V85" i="60"/>
  <c r="M85" i="60"/>
  <c r="V84" i="60"/>
  <c r="M84" i="60"/>
  <c r="V83" i="60"/>
  <c r="M83" i="60"/>
  <c r="V82" i="60"/>
  <c r="M82" i="60"/>
  <c r="V81" i="60"/>
  <c r="M81" i="60"/>
  <c r="V80" i="60"/>
  <c r="M80" i="60"/>
  <c r="V79" i="60"/>
  <c r="M79" i="60"/>
  <c r="V78" i="60"/>
  <c r="M78" i="60"/>
  <c r="V77" i="60"/>
  <c r="M77" i="60"/>
  <c r="V76" i="60"/>
  <c r="M76" i="60"/>
  <c r="V75" i="60"/>
  <c r="M75" i="60"/>
  <c r="V74" i="60"/>
  <c r="M74" i="60"/>
  <c r="V73" i="60"/>
  <c r="M73" i="60"/>
  <c r="V72" i="60"/>
  <c r="M72" i="60"/>
  <c r="V71" i="60"/>
  <c r="M71" i="60"/>
  <c r="V70" i="60"/>
  <c r="M70" i="60"/>
  <c r="V69" i="60"/>
  <c r="M69" i="60"/>
  <c r="V68" i="60"/>
  <c r="M68" i="60"/>
  <c r="V67" i="60"/>
  <c r="M67" i="60"/>
  <c r="V66" i="60"/>
  <c r="M66" i="60"/>
  <c r="M65" i="60"/>
  <c r="V64" i="60"/>
  <c r="M64" i="60"/>
  <c r="V63" i="60"/>
  <c r="M63" i="60"/>
  <c r="V62" i="60"/>
  <c r="M62" i="60"/>
  <c r="V61" i="60"/>
  <c r="M61" i="60"/>
  <c r="V60" i="60"/>
  <c r="M60" i="60"/>
  <c r="V59" i="60"/>
  <c r="M59" i="60"/>
  <c r="V58" i="60"/>
  <c r="M58" i="60"/>
  <c r="V57" i="60"/>
  <c r="M57" i="60"/>
  <c r="V56" i="60"/>
  <c r="M56" i="60"/>
  <c r="V55" i="60"/>
  <c r="M55" i="60"/>
  <c r="V54" i="60"/>
  <c r="M54" i="60"/>
  <c r="V53" i="60"/>
  <c r="M53" i="60"/>
  <c r="V52" i="60"/>
  <c r="M52" i="60"/>
  <c r="V51" i="60"/>
  <c r="M51" i="60"/>
  <c r="V50" i="60"/>
  <c r="M50" i="60"/>
  <c r="V49" i="60"/>
  <c r="M49" i="60"/>
  <c r="V48" i="60"/>
  <c r="M48" i="60"/>
  <c r="V47" i="60"/>
  <c r="M47" i="60"/>
  <c r="V46" i="60"/>
  <c r="M46" i="60"/>
  <c r="V45" i="60"/>
  <c r="M45" i="60"/>
  <c r="V44" i="60"/>
  <c r="M44" i="60"/>
  <c r="V43" i="60"/>
  <c r="M43" i="60"/>
  <c r="V42" i="60"/>
  <c r="M42" i="60"/>
  <c r="V41" i="60"/>
  <c r="M41" i="60"/>
  <c r="V40" i="60"/>
  <c r="M40" i="60"/>
  <c r="V39" i="60"/>
  <c r="M39" i="60"/>
  <c r="V38" i="60"/>
  <c r="M38" i="60"/>
  <c r="V37" i="60"/>
  <c r="M37" i="60"/>
  <c r="V36" i="60"/>
  <c r="M36" i="60"/>
  <c r="V35" i="60"/>
  <c r="M35" i="60"/>
  <c r="V34" i="60"/>
  <c r="M34" i="60"/>
  <c r="V33" i="60"/>
  <c r="M33" i="60"/>
  <c r="V32" i="60"/>
  <c r="M32" i="60"/>
  <c r="V31" i="60"/>
  <c r="M31" i="60"/>
  <c r="V30" i="60"/>
  <c r="M30" i="60"/>
  <c r="V29" i="60"/>
  <c r="M29" i="60"/>
  <c r="V28" i="60"/>
  <c r="M28" i="60"/>
  <c r="V27" i="60"/>
  <c r="M27" i="60"/>
  <c r="V26" i="60"/>
  <c r="M26" i="60"/>
  <c r="V25" i="60"/>
  <c r="M25" i="60"/>
  <c r="V24" i="60"/>
  <c r="M24" i="60"/>
  <c r="M23" i="60"/>
  <c r="V22" i="60"/>
  <c r="M22" i="60"/>
  <c r="V21" i="60"/>
  <c r="M21" i="60"/>
  <c r="V20" i="60"/>
  <c r="M20" i="60"/>
  <c r="V19" i="60"/>
  <c r="M19" i="60"/>
  <c r="V18" i="60"/>
  <c r="M18" i="60"/>
  <c r="V17" i="60"/>
  <c r="M17" i="60"/>
  <c r="V16" i="60"/>
  <c r="M16" i="60"/>
  <c r="AX92" i="31"/>
  <c r="AW92" i="31"/>
  <c r="AV92" i="31"/>
  <c r="AU92" i="31"/>
  <c r="AT92" i="31"/>
  <c r="AS92" i="31"/>
  <c r="AR92" i="31"/>
  <c r="AQ92" i="31"/>
  <c r="AP92" i="31"/>
  <c r="AO92" i="31"/>
  <c r="AN92" i="31"/>
  <c r="AM92" i="31"/>
  <c r="AF92" i="31"/>
  <c r="AE92" i="31"/>
  <c r="AD92" i="31"/>
  <c r="AC92" i="31"/>
  <c r="AB92" i="31"/>
  <c r="AA92" i="31"/>
  <c r="K89" i="31"/>
  <c r="G89" i="31"/>
  <c r="K88" i="31"/>
  <c r="G88" i="31"/>
  <c r="M86" i="31"/>
  <c r="L86" i="31"/>
  <c r="K86" i="31"/>
  <c r="I86" i="31"/>
  <c r="H86" i="31"/>
  <c r="G86" i="31"/>
  <c r="E86" i="31"/>
  <c r="D86" i="31"/>
  <c r="AP84" i="31"/>
  <c r="M84" i="31" s="1"/>
  <c r="L84" i="31"/>
  <c r="K84" i="31"/>
  <c r="I84" i="31"/>
  <c r="H84" i="31"/>
  <c r="G84" i="31"/>
  <c r="D84" i="31"/>
  <c r="L82" i="31"/>
  <c r="H82" i="31"/>
  <c r="D82" i="31"/>
  <c r="L81" i="31"/>
  <c r="K81" i="31"/>
  <c r="H81" i="31"/>
  <c r="G81" i="31"/>
  <c r="D81" i="31"/>
  <c r="C81" i="31"/>
  <c r="AX80" i="31"/>
  <c r="AP44" i="30" s="1"/>
  <c r="AW80" i="31"/>
  <c r="AV80" i="31"/>
  <c r="AU80" i="31"/>
  <c r="AM44" i="30" s="1"/>
  <c r="AT80" i="31"/>
  <c r="Z80" i="31"/>
  <c r="Y80" i="31"/>
  <c r="X80" i="31"/>
  <c r="W80" i="31"/>
  <c r="V80" i="31"/>
  <c r="U80" i="31"/>
  <c r="L80" i="31"/>
  <c r="H80" i="31"/>
  <c r="D80" i="31"/>
  <c r="L79" i="31"/>
  <c r="K79" i="31"/>
  <c r="H79" i="31"/>
  <c r="G79" i="31"/>
  <c r="D79" i="31"/>
  <c r="C79" i="31"/>
  <c r="L78" i="31"/>
  <c r="K78" i="31"/>
  <c r="H78" i="31"/>
  <c r="G78" i="31"/>
  <c r="D78" i="31"/>
  <c r="C78" i="31"/>
  <c r="L77" i="31"/>
  <c r="K77" i="31"/>
  <c r="H77" i="31"/>
  <c r="G77" i="31"/>
  <c r="D77" i="31"/>
  <c r="C77" i="31"/>
  <c r="AX76" i="31"/>
  <c r="AP42" i="30" s="1"/>
  <c r="AW76" i="31"/>
  <c r="AW82" i="31" s="1"/>
  <c r="AV76" i="31"/>
  <c r="AV82" i="31" s="1"/>
  <c r="AU76" i="31"/>
  <c r="AU82" i="31" s="1"/>
  <c r="AT76" i="31"/>
  <c r="AL42" i="30" s="1"/>
  <c r="Z76" i="31"/>
  <c r="Z82" i="31" s="1"/>
  <c r="Y76" i="31"/>
  <c r="Y82" i="31" s="1"/>
  <c r="X76" i="31"/>
  <c r="X82" i="31" s="1"/>
  <c r="W76" i="31"/>
  <c r="W82" i="31" s="1"/>
  <c r="V76" i="31"/>
  <c r="V82" i="31" s="1"/>
  <c r="U76" i="31"/>
  <c r="U82" i="31" s="1"/>
  <c r="L76" i="31"/>
  <c r="H76" i="31"/>
  <c r="D76" i="31"/>
  <c r="K72" i="31"/>
  <c r="I72" i="31"/>
  <c r="G72" i="31"/>
  <c r="C72" i="31"/>
  <c r="K71" i="31"/>
  <c r="G71" i="31"/>
  <c r="C71" i="31"/>
  <c r="AX70" i="31"/>
  <c r="AW70" i="31"/>
  <c r="AV70" i="31"/>
  <c r="AU70" i="31"/>
  <c r="AT70" i="31"/>
  <c r="AS70" i="31"/>
  <c r="Z70" i="31"/>
  <c r="Y70" i="31"/>
  <c r="X70" i="31"/>
  <c r="W70" i="31"/>
  <c r="V70" i="31"/>
  <c r="U70" i="31"/>
  <c r="AX69" i="31"/>
  <c r="AP28" i="30" s="1"/>
  <c r="AW69" i="31"/>
  <c r="AO28" i="30" s="1"/>
  <c r="AV69" i="31"/>
  <c r="AN28" i="30" s="1"/>
  <c r="AU69" i="31"/>
  <c r="AT69" i="31"/>
  <c r="AL28" i="30" s="1"/>
  <c r="AS69" i="31"/>
  <c r="AK28" i="30" s="1"/>
  <c r="Z69" i="31"/>
  <c r="R28" i="30" s="1"/>
  <c r="Y69" i="31"/>
  <c r="Q28" i="30" s="1"/>
  <c r="X69" i="31"/>
  <c r="W69" i="31"/>
  <c r="O28" i="30" s="1"/>
  <c r="V69" i="31"/>
  <c r="N28" i="30" s="1"/>
  <c r="U69" i="31"/>
  <c r="Z68" i="31"/>
  <c r="R27" i="30" s="1"/>
  <c r="Y68" i="31"/>
  <c r="Q27" i="30" s="1"/>
  <c r="X68" i="31"/>
  <c r="P27" i="30" s="1"/>
  <c r="W68" i="31"/>
  <c r="O27" i="30" s="1"/>
  <c r="V68" i="31"/>
  <c r="N27" i="30" s="1"/>
  <c r="U68" i="31"/>
  <c r="M27" i="30" s="1"/>
  <c r="Z67" i="31"/>
  <c r="Y67" i="31"/>
  <c r="Q26" i="30" s="1"/>
  <c r="X67" i="31"/>
  <c r="P26" i="30" s="1"/>
  <c r="W67" i="31"/>
  <c r="O26" i="30" s="1"/>
  <c r="V67" i="31"/>
  <c r="U67" i="31"/>
  <c r="M26" i="30" s="1"/>
  <c r="AX64" i="31"/>
  <c r="AW64" i="31"/>
  <c r="AV64" i="31"/>
  <c r="AU64" i="31"/>
  <c r="AT64" i="31"/>
  <c r="AS64" i="31"/>
  <c r="Z63" i="31"/>
  <c r="R22" i="30" s="1"/>
  <c r="Y63" i="31"/>
  <c r="Q22" i="30" s="1"/>
  <c r="X63" i="31"/>
  <c r="P22" i="30" s="1"/>
  <c r="W63" i="31"/>
  <c r="O22" i="30" s="1"/>
  <c r="V63" i="31"/>
  <c r="N22" i="30" s="1"/>
  <c r="U63" i="31"/>
  <c r="M22" i="30" s="1"/>
  <c r="AX62" i="31"/>
  <c r="AW62" i="31"/>
  <c r="AV62" i="31"/>
  <c r="AU62" i="31"/>
  <c r="AT62" i="31"/>
  <c r="AS62" i="31"/>
  <c r="K62" i="31"/>
  <c r="G62" i="31"/>
  <c r="C62" i="31"/>
  <c r="AX61" i="31"/>
  <c r="AW61" i="31"/>
  <c r="AV61" i="31"/>
  <c r="AU61" i="31"/>
  <c r="AT61" i="31"/>
  <c r="AS61" i="31"/>
  <c r="AL61" i="31"/>
  <c r="AK61" i="31"/>
  <c r="AJ61" i="31"/>
  <c r="AI61" i="31"/>
  <c r="AH61" i="31"/>
  <c r="AG61" i="31"/>
  <c r="K61" i="31"/>
  <c r="G61" i="31"/>
  <c r="C61" i="31"/>
  <c r="Z59" i="31"/>
  <c r="Y59" i="31"/>
  <c r="X59" i="31"/>
  <c r="W59" i="31"/>
  <c r="O14" i="30" s="1"/>
  <c r="V59" i="31"/>
  <c r="U59" i="31"/>
  <c r="AX58" i="31"/>
  <c r="AW58" i="31"/>
  <c r="AV58" i="31"/>
  <c r="AU58" i="31"/>
  <c r="AT58" i="31"/>
  <c r="AS58" i="31"/>
  <c r="AL58" i="31"/>
  <c r="AK58" i="31"/>
  <c r="AJ58" i="31"/>
  <c r="AI58" i="31"/>
  <c r="AH58" i="31"/>
  <c r="AG58" i="31"/>
  <c r="K58" i="31"/>
  <c r="G58" i="31"/>
  <c r="C58" i="31"/>
  <c r="AX57" i="31"/>
  <c r="AW57" i="31"/>
  <c r="AO9" i="30" s="1"/>
  <c r="AV57" i="31"/>
  <c r="AN9" i="30" s="1"/>
  <c r="AU57" i="31"/>
  <c r="AM9" i="30" s="1"/>
  <c r="AT57" i="31"/>
  <c r="AS57" i="31"/>
  <c r="AK9" i="30" s="1"/>
  <c r="AL57" i="31"/>
  <c r="AD9" i="30" s="1"/>
  <c r="AK57" i="31"/>
  <c r="AC9" i="30" s="1"/>
  <c r="AJ57" i="31"/>
  <c r="AB9" i="30" s="1"/>
  <c r="AI57" i="31"/>
  <c r="AA9" i="30" s="1"/>
  <c r="AH57" i="31"/>
  <c r="Z9" i="30" s="1"/>
  <c r="AG57" i="31"/>
  <c r="Y9" i="30" s="1"/>
  <c r="BF56" i="31"/>
  <c r="BE56" i="31"/>
  <c r="BC56" i="31"/>
  <c r="BB56" i="31"/>
  <c r="BA56" i="31"/>
  <c r="K55" i="31"/>
  <c r="G55" i="31"/>
  <c r="O53" i="31"/>
  <c r="AL52" i="31"/>
  <c r="AK52" i="31"/>
  <c r="AJ52" i="31"/>
  <c r="AI52" i="31"/>
  <c r="AH52" i="31"/>
  <c r="AG52" i="31"/>
  <c r="L52" i="31" s="1"/>
  <c r="M52" i="31"/>
  <c r="K52" i="31"/>
  <c r="I52" i="31"/>
  <c r="G52" i="31"/>
  <c r="E52" i="31"/>
  <c r="AO50" i="31"/>
  <c r="M50" i="31" s="1"/>
  <c r="L50" i="31"/>
  <c r="I50" i="31"/>
  <c r="H50" i="31"/>
  <c r="G50" i="31"/>
  <c r="D50" i="31"/>
  <c r="T48" i="31"/>
  <c r="T53" i="31" s="1"/>
  <c r="S48" i="31"/>
  <c r="S53" i="31" s="1"/>
  <c r="R48" i="31"/>
  <c r="R53" i="31" s="1"/>
  <c r="Q48" i="31"/>
  <c r="Q53" i="31" s="1"/>
  <c r="P48" i="31"/>
  <c r="P53" i="31" s="1"/>
  <c r="O48" i="31"/>
  <c r="K47" i="31"/>
  <c r="G47" i="31"/>
  <c r="C47" i="31"/>
  <c r="K46" i="31"/>
  <c r="G46" i="31"/>
  <c r="C46" i="31"/>
  <c r="Z45" i="31"/>
  <c r="Z48" i="31" s="1"/>
  <c r="Z53" i="31" s="1"/>
  <c r="Y45" i="31"/>
  <c r="Y48" i="31" s="1"/>
  <c r="Y53" i="31" s="1"/>
  <c r="X45" i="31"/>
  <c r="X48" i="31" s="1"/>
  <c r="X53" i="31" s="1"/>
  <c r="W45" i="31"/>
  <c r="O33" i="30" s="1"/>
  <c r="V45" i="31"/>
  <c r="N33" i="30" s="1"/>
  <c r="U45" i="31"/>
  <c r="U48" i="31" s="1"/>
  <c r="BF44" i="31"/>
  <c r="BE44" i="31"/>
  <c r="BD44" i="31"/>
  <c r="BC44" i="31"/>
  <c r="BB44" i="31"/>
  <c r="BA44" i="31"/>
  <c r="Z42" i="31"/>
  <c r="Y42" i="31"/>
  <c r="X42" i="31"/>
  <c r="W42" i="31"/>
  <c r="V42" i="31"/>
  <c r="U42" i="31"/>
  <c r="M41" i="31"/>
  <c r="L41" i="31"/>
  <c r="K41" i="31"/>
  <c r="I41" i="31"/>
  <c r="H41" i="31"/>
  <c r="G41" i="31"/>
  <c r="E41" i="31"/>
  <c r="AL39" i="31"/>
  <c r="AK39" i="31"/>
  <c r="AK92" i="31" s="1"/>
  <c r="AJ39" i="31"/>
  <c r="AI39" i="31"/>
  <c r="AI92" i="31" s="1"/>
  <c r="AH39" i="31"/>
  <c r="AG39" i="31"/>
  <c r="AG92" i="31" s="1"/>
  <c r="M39" i="31"/>
  <c r="K39" i="31"/>
  <c r="I39" i="31"/>
  <c r="G39" i="31"/>
  <c r="E39" i="31"/>
  <c r="D39" i="31"/>
  <c r="C39" i="31"/>
  <c r="AR37" i="31"/>
  <c r="AQ37" i="31"/>
  <c r="AP37" i="31"/>
  <c r="BD5" i="31" s="1"/>
  <c r="AO37" i="31"/>
  <c r="BC5" i="31" s="1"/>
  <c r="L37" i="31"/>
  <c r="K37" i="31"/>
  <c r="I37" i="31"/>
  <c r="H37" i="31"/>
  <c r="G37" i="31"/>
  <c r="D37" i="31"/>
  <c r="L33" i="31"/>
  <c r="K33" i="31"/>
  <c r="H33" i="31"/>
  <c r="G33" i="31"/>
  <c r="D33" i="31"/>
  <c r="C33" i="31"/>
  <c r="L32" i="31"/>
  <c r="K32" i="31"/>
  <c r="H32" i="31"/>
  <c r="G32" i="31"/>
  <c r="D32" i="31"/>
  <c r="C32" i="31"/>
  <c r="K23" i="31"/>
  <c r="G23" i="31"/>
  <c r="C23" i="31"/>
  <c r="K22" i="31"/>
  <c r="I22" i="31"/>
  <c r="G22" i="31"/>
  <c r="C22" i="31"/>
  <c r="L21" i="31"/>
  <c r="K21" i="31"/>
  <c r="H21" i="31"/>
  <c r="G21" i="31"/>
  <c r="D21" i="31"/>
  <c r="C21" i="31"/>
  <c r="K20" i="31"/>
  <c r="G20" i="31"/>
  <c r="C20" i="31"/>
  <c r="BG17" i="31"/>
  <c r="M15" i="31"/>
  <c r="L15" i="31"/>
  <c r="K15" i="31"/>
  <c r="I15" i="31"/>
  <c r="H15" i="31"/>
  <c r="G15" i="31"/>
  <c r="E15" i="31"/>
  <c r="D15" i="31"/>
  <c r="C15" i="31"/>
  <c r="K14" i="31"/>
  <c r="G14" i="31"/>
  <c r="C14" i="31"/>
  <c r="BG10" i="31"/>
  <c r="BF5" i="31"/>
  <c r="BE5" i="31"/>
  <c r="BB5" i="31"/>
  <c r="BA5" i="31"/>
  <c r="AN5" i="31"/>
  <c r="AO5" i="31" s="1"/>
  <c r="AP5" i="31" s="1"/>
  <c r="AQ5" i="31" s="1"/>
  <c r="AR5" i="31" s="1"/>
  <c r="AP4" i="31"/>
  <c r="BD4" i="31" s="1"/>
  <c r="AO4" i="31"/>
  <c r="BC4" i="31" s="1"/>
  <c r="AN4" i="31"/>
  <c r="AM4" i="31"/>
  <c r="V3" i="31"/>
  <c r="W3" i="31" s="1"/>
  <c r="X3" i="31" s="1"/>
  <c r="Y3" i="31" s="1"/>
  <c r="Z3" i="31" s="1"/>
  <c r="O3" i="31" s="1"/>
  <c r="P3" i="31" s="1"/>
  <c r="Q3" i="31" s="1"/>
  <c r="R3" i="31" s="1"/>
  <c r="S3" i="31" s="1"/>
  <c r="T3" i="31" s="1"/>
  <c r="AJ54" i="30"/>
  <c r="AI54" i="30"/>
  <c r="AG54" i="30"/>
  <c r="AF54" i="30"/>
  <c r="AE54" i="30"/>
  <c r="AO44" i="30"/>
  <c r="AN44" i="30"/>
  <c r="AL44" i="30"/>
  <c r="AD44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P44" i="30"/>
  <c r="O44" i="30"/>
  <c r="N44" i="30"/>
  <c r="M44" i="30"/>
  <c r="AP43" i="30"/>
  <c r="AO43" i="30"/>
  <c r="AN43" i="30"/>
  <c r="AM43" i="30"/>
  <c r="AL43" i="30"/>
  <c r="AK43" i="30"/>
  <c r="AD43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AO42" i="30"/>
  <c r="AN42" i="30"/>
  <c r="AM42" i="30"/>
  <c r="AD42" i="30"/>
  <c r="AC42" i="30"/>
  <c r="AB42" i="30"/>
  <c r="AA42" i="30"/>
  <c r="AA45" i="30" s="1"/>
  <c r="Z42" i="30"/>
  <c r="Y42" i="30"/>
  <c r="X42" i="30"/>
  <c r="W42" i="30"/>
  <c r="W45" i="30" s="1"/>
  <c r="V42" i="30"/>
  <c r="U42" i="30"/>
  <c r="T42" i="30"/>
  <c r="S42" i="30"/>
  <c r="S45" i="30" s="1"/>
  <c r="Q42" i="30"/>
  <c r="M42" i="30"/>
  <c r="M45" i="30" s="1"/>
  <c r="R35" i="30"/>
  <c r="Q35" i="30"/>
  <c r="P35" i="30"/>
  <c r="O35" i="30"/>
  <c r="N35" i="30"/>
  <c r="M35" i="30"/>
  <c r="L35" i="30"/>
  <c r="K35" i="30"/>
  <c r="J35" i="30"/>
  <c r="I35" i="30"/>
  <c r="H35" i="30"/>
  <c r="G35" i="30"/>
  <c r="AP34" i="30"/>
  <c r="AO34" i="30"/>
  <c r="AN34" i="30"/>
  <c r="AM34" i="30"/>
  <c r="AL34" i="30"/>
  <c r="AK34" i="30"/>
  <c r="AD34" i="30"/>
  <c r="AC34" i="30"/>
  <c r="AB34" i="30"/>
  <c r="AA34" i="30"/>
  <c r="Z34" i="30"/>
  <c r="Y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L33" i="30"/>
  <c r="K33" i="30"/>
  <c r="J33" i="30"/>
  <c r="I33" i="30"/>
  <c r="H33" i="30"/>
  <c r="G33" i="30"/>
  <c r="AD28" i="30"/>
  <c r="AC28" i="30"/>
  <c r="AB28" i="30"/>
  <c r="AA28" i="30"/>
  <c r="Z28" i="30"/>
  <c r="Y28" i="30"/>
  <c r="P28" i="30"/>
  <c r="M28" i="30"/>
  <c r="AP23" i="30"/>
  <c r="AO23" i="30"/>
  <c r="AN23" i="30"/>
  <c r="AM23" i="30"/>
  <c r="AL23" i="30"/>
  <c r="AK23" i="30"/>
  <c r="AD23" i="30"/>
  <c r="AC23" i="30"/>
  <c r="AB23" i="30"/>
  <c r="AA23" i="30"/>
  <c r="Z23" i="30"/>
  <c r="Y23" i="30"/>
  <c r="X23" i="30"/>
  <c r="W23" i="30"/>
  <c r="V23" i="30"/>
  <c r="U23" i="30"/>
  <c r="T23" i="30"/>
  <c r="S23" i="30"/>
  <c r="B23" i="30"/>
  <c r="AP15" i="30"/>
  <c r="AO15" i="30"/>
  <c r="AN15" i="30"/>
  <c r="AM15" i="30"/>
  <c r="AL15" i="30"/>
  <c r="AK15" i="30"/>
  <c r="AD15" i="30"/>
  <c r="AC15" i="30"/>
  <c r="AB15" i="30"/>
  <c r="AA15" i="30"/>
  <c r="Z15" i="30"/>
  <c r="Y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P14" i="30"/>
  <c r="AP10" i="30"/>
  <c r="AO10" i="30"/>
  <c r="AN10" i="30"/>
  <c r="AM10" i="30"/>
  <c r="AL10" i="30"/>
  <c r="AK10" i="30"/>
  <c r="AJ10" i="30"/>
  <c r="AD10" i="30"/>
  <c r="AC10" i="30"/>
  <c r="AB10" i="30"/>
  <c r="AA10" i="30"/>
  <c r="Z10" i="30"/>
  <c r="Y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R9" i="30"/>
  <c r="Q9" i="30"/>
  <c r="P9" i="30"/>
  <c r="O9" i="30"/>
  <c r="N9" i="30"/>
  <c r="M9" i="30"/>
  <c r="L9" i="30"/>
  <c r="K9" i="30"/>
  <c r="R3" i="30"/>
  <c r="AD3" i="30" s="1"/>
  <c r="AP3" i="30" s="1"/>
  <c r="Q3" i="30"/>
  <c r="AC3" i="30" s="1"/>
  <c r="AO3" i="30" s="1"/>
  <c r="P3" i="30"/>
  <c r="AB3" i="30" s="1"/>
  <c r="AN3" i="30" s="1"/>
  <c r="O3" i="30"/>
  <c r="AA3" i="30" s="1"/>
  <c r="AM3" i="30" s="1"/>
  <c r="N3" i="30"/>
  <c r="Z3" i="30" s="1"/>
  <c r="AL3" i="30" s="1"/>
  <c r="M3" i="30"/>
  <c r="Y3" i="30" s="1"/>
  <c r="AK3" i="30" s="1"/>
  <c r="L3" i="30"/>
  <c r="X3" i="30" s="1"/>
  <c r="AJ3" i="30" s="1"/>
  <c r="K3" i="30"/>
  <c r="W3" i="30" s="1"/>
  <c r="AI3" i="30" s="1"/>
  <c r="J3" i="30"/>
  <c r="V3" i="30" s="1"/>
  <c r="AH3" i="30" s="1"/>
  <c r="I3" i="30"/>
  <c r="U3" i="30" s="1"/>
  <c r="AG3" i="30" s="1"/>
  <c r="H3" i="30"/>
  <c r="T3" i="30" s="1"/>
  <c r="AF3" i="30" s="1"/>
  <c r="G3" i="30"/>
  <c r="S3" i="30" s="1"/>
  <c r="AE3" i="30" s="1"/>
  <c r="C16" i="32"/>
  <c r="C15" i="32"/>
  <c r="E15" i="32" s="1"/>
  <c r="C14" i="32"/>
  <c r="E14" i="32" s="1"/>
  <c r="C13" i="32"/>
  <c r="D13" i="32" s="1"/>
  <c r="C12" i="32"/>
  <c r="D12" i="32" s="1"/>
  <c r="C11" i="32"/>
  <c r="D11" i="32" s="1"/>
  <c r="C10" i="32"/>
  <c r="E10" i="32" s="1"/>
  <c r="C9" i="32"/>
  <c r="C8" i="32"/>
  <c r="D8" i="32" s="1"/>
  <c r="A8" i="32"/>
  <c r="A9" i="32" s="1"/>
  <c r="A10" i="32" s="1"/>
  <c r="A11" i="32" s="1"/>
  <c r="A12" i="32" s="1"/>
  <c r="A13" i="32" s="1"/>
  <c r="A14" i="32" s="1"/>
  <c r="A15" i="32" s="1"/>
  <c r="A16" i="32" s="1"/>
  <c r="C7" i="32"/>
  <c r="D7" i="32" s="1"/>
  <c r="A7" i="32"/>
  <c r="C6" i="32"/>
  <c r="D6" i="32" s="1"/>
  <c r="B3" i="32"/>
  <c r="C3" i="32" s="1"/>
  <c r="D3" i="32" s="1"/>
  <c r="E3" i="32" s="1"/>
  <c r="F3" i="32" s="1"/>
  <c r="G3" i="32" s="1"/>
  <c r="H3" i="32" s="1"/>
  <c r="I3" i="32" s="1"/>
  <c r="J3" i="32" s="1"/>
  <c r="K3" i="32" s="1"/>
  <c r="L3" i="32" s="1"/>
  <c r="M3" i="32" s="1"/>
  <c r="N3" i="32" s="1"/>
  <c r="O3" i="32" s="1"/>
  <c r="P3" i="32" s="1"/>
  <c r="Q3" i="32" s="1"/>
  <c r="R3" i="32" s="1"/>
  <c r="S3" i="32" s="1"/>
  <c r="T3" i="32" s="1"/>
  <c r="U3" i="32" s="1"/>
  <c r="V3" i="32" s="1"/>
  <c r="W3" i="32" s="1"/>
  <c r="X3" i="32" s="1"/>
  <c r="Y3" i="32" s="1"/>
  <c r="Z3" i="32" s="1"/>
  <c r="AA3" i="32" s="1"/>
  <c r="AB3" i="32" s="1"/>
  <c r="AC3" i="32" s="1"/>
  <c r="AD3" i="32" s="1"/>
  <c r="AE3" i="32" s="1"/>
  <c r="AF3" i="32" s="1"/>
  <c r="AG3" i="32" s="1"/>
  <c r="AH3" i="32" s="1"/>
  <c r="AI3" i="32" s="1"/>
  <c r="AJ3" i="32" s="1"/>
  <c r="AK3" i="32" s="1"/>
  <c r="AL3" i="32" s="1"/>
  <c r="AM3" i="32" s="1"/>
  <c r="AN3" i="32" s="1"/>
  <c r="AO3" i="32" s="1"/>
  <c r="AP3" i="32" s="1"/>
  <c r="AQ3" i="32" s="1"/>
  <c r="AR3" i="32" s="1"/>
  <c r="AS3" i="32" s="1"/>
  <c r="AT3" i="32" s="1"/>
  <c r="AU3" i="32" s="1"/>
  <c r="AV3" i="32" s="1"/>
  <c r="AW3" i="32" s="1"/>
  <c r="AX3" i="32" s="1"/>
  <c r="AY3" i="32" s="1"/>
  <c r="AZ3" i="32" s="1"/>
  <c r="BA3" i="32" s="1"/>
  <c r="BB3" i="32" s="1"/>
  <c r="BC3" i="32" s="1"/>
  <c r="BD3" i="32" s="1"/>
  <c r="BE3" i="32" s="1"/>
  <c r="BF3" i="32" s="1"/>
  <c r="BG3" i="32" s="1"/>
  <c r="BH3" i="32" s="1"/>
  <c r="Q42" i="7"/>
  <c r="E40" i="7"/>
  <c r="I37" i="7"/>
  <c r="E37" i="7"/>
  <c r="I30" i="7"/>
  <c r="E30" i="7"/>
  <c r="G30" i="7"/>
  <c r="I316" i="6"/>
  <c r="G316" i="6"/>
  <c r="I315" i="6"/>
  <c r="I313" i="6"/>
  <c r="I286" i="6"/>
  <c r="G286" i="6"/>
  <c r="I285" i="6"/>
  <c r="I255" i="6"/>
  <c r="G255" i="6"/>
  <c r="I253" i="6"/>
  <c r="I251" i="6"/>
  <c r="I228" i="6"/>
  <c r="I208" i="6"/>
  <c r="I176" i="6"/>
  <c r="I163" i="6"/>
  <c r="I179" i="6" s="1"/>
  <c r="I161" i="6"/>
  <c r="I139" i="6"/>
  <c r="I119" i="6"/>
  <c r="I118" i="6"/>
  <c r="I114" i="6"/>
  <c r="I102" i="6"/>
  <c r="I101" i="6"/>
  <c r="I98" i="6"/>
  <c r="I115" i="6" s="1"/>
  <c r="I97" i="6"/>
  <c r="I66" i="6"/>
  <c r="J66" i="6" s="1"/>
  <c r="I63" i="6"/>
  <c r="I55" i="6"/>
  <c r="I52" i="6"/>
  <c r="I51" i="6"/>
  <c r="I17" i="6"/>
  <c r="I14" i="6"/>
  <c r="G28" i="5"/>
  <c r="G27" i="5"/>
  <c r="E25" i="5"/>
  <c r="E30" i="5" s="1"/>
  <c r="C21" i="5"/>
  <c r="AA24" i="87" l="1"/>
  <c r="AS24" i="87" s="1"/>
  <c r="AA42" i="87"/>
  <c r="AS42" i="87" s="1"/>
  <c r="BS42" i="87" s="1"/>
  <c r="AA44" i="87"/>
  <c r="AS44" i="87" s="1"/>
  <c r="BS44" i="87" s="1"/>
  <c r="AA46" i="87"/>
  <c r="AS46" i="87" s="1"/>
  <c r="BS46" i="87" s="1"/>
  <c r="AA32" i="87"/>
  <c r="AS32" i="87" s="1"/>
  <c r="AA39" i="87"/>
  <c r="AS39" i="87" s="1"/>
  <c r="Z46" i="87"/>
  <c r="AU46" i="87" s="1"/>
  <c r="AA21" i="87"/>
  <c r="AS21" i="87" s="1"/>
  <c r="BS21" i="87" s="1"/>
  <c r="AA25" i="87"/>
  <c r="AS25" i="87" s="1"/>
  <c r="AA43" i="87"/>
  <c r="AS43" i="87" s="1"/>
  <c r="AA45" i="87"/>
  <c r="AS45" i="87" s="1"/>
  <c r="BS45" i="87" s="1"/>
  <c r="AA14" i="87"/>
  <c r="AS14" i="87" s="1"/>
  <c r="BS14" i="87" s="1"/>
  <c r="Z16" i="87"/>
  <c r="AU16" i="87" s="1"/>
  <c r="Z25" i="87"/>
  <c r="AU25" i="87" s="1"/>
  <c r="AA35" i="87"/>
  <c r="AS35" i="87" s="1"/>
  <c r="BS35" i="87" s="1"/>
  <c r="AA36" i="87"/>
  <c r="AS36" i="87" s="1"/>
  <c r="BS36" i="87" s="1"/>
  <c r="AA38" i="87"/>
  <c r="AS38" i="87" s="1"/>
  <c r="I67" i="6"/>
  <c r="J67" i="6" s="1"/>
  <c r="G15" i="33"/>
  <c r="E14" i="39" s="1"/>
  <c r="BD80" i="33"/>
  <c r="AT80" i="33" s="1"/>
  <c r="BG92" i="33"/>
  <c r="H100" i="33"/>
  <c r="I157" i="34"/>
  <c r="I158" i="34" s="1"/>
  <c r="K269" i="34"/>
  <c r="K270" i="34" s="1"/>
  <c r="L425" i="34"/>
  <c r="L426" i="34" s="1"/>
  <c r="N457" i="34"/>
  <c r="N458" i="34" s="1"/>
  <c r="B148" i="38"/>
  <c r="B212" i="38"/>
  <c r="B256" i="38"/>
  <c r="B266" i="38"/>
  <c r="B374" i="38"/>
  <c r="B376" i="38"/>
  <c r="B378" i="38"/>
  <c r="B443" i="38"/>
  <c r="B445" i="38"/>
  <c r="F12" i="33"/>
  <c r="D11" i="39" s="1"/>
  <c r="M157" i="34"/>
  <c r="M158" i="34" s="1"/>
  <c r="O269" i="34"/>
  <c r="O270" i="34" s="1"/>
  <c r="J457" i="34"/>
  <c r="J458" i="34" s="1"/>
  <c r="B213" i="38"/>
  <c r="B257" i="38"/>
  <c r="B265" i="38"/>
  <c r="B444" i="38"/>
  <c r="B446" i="38"/>
  <c r="AA17" i="87"/>
  <c r="AS17" i="87" s="1"/>
  <c r="AA37" i="87"/>
  <c r="AS37" i="87" s="1"/>
  <c r="BS37" i="87" s="1"/>
  <c r="F63" i="33"/>
  <c r="D62" i="39" s="1"/>
  <c r="U39" i="33"/>
  <c r="AE39" i="33" s="1"/>
  <c r="Z7" i="87"/>
  <c r="AU7" i="87" s="1"/>
  <c r="X32" i="87"/>
  <c r="AQ32" i="87" s="1"/>
  <c r="BR32" i="87" s="1"/>
  <c r="O157" i="34"/>
  <c r="O158" i="34" s="1"/>
  <c r="I269" i="34"/>
  <c r="I270" i="34" s="1"/>
  <c r="J425" i="34"/>
  <c r="J426" i="34" s="1"/>
  <c r="L69" i="87"/>
  <c r="N69" i="87" s="1"/>
  <c r="AA11" i="87"/>
  <c r="AS11" i="87" s="1"/>
  <c r="BS11" i="87" s="1"/>
  <c r="K69" i="87"/>
  <c r="M69" i="87" s="1"/>
  <c r="P42" i="30"/>
  <c r="Y30" i="87"/>
  <c r="AR30" i="87" s="1"/>
  <c r="BR30" i="87" s="1"/>
  <c r="R17" i="33"/>
  <c r="V65" i="31"/>
  <c r="Z65" i="31"/>
  <c r="Z11" i="28"/>
  <c r="Z21" i="28" s="1"/>
  <c r="Z23" i="28"/>
  <c r="F28" i="33"/>
  <c r="D27" i="39" s="1"/>
  <c r="N58" i="33"/>
  <c r="H87" i="33"/>
  <c r="BC137" i="33"/>
  <c r="AU137" i="33" s="1"/>
  <c r="T9" i="33"/>
  <c r="O13" i="33"/>
  <c r="P15" i="33"/>
  <c r="G41" i="33"/>
  <c r="E40" i="39" s="1"/>
  <c r="T44" i="33"/>
  <c r="O46" i="33"/>
  <c r="U54" i="33"/>
  <c r="AE54" i="33" s="1"/>
  <c r="F57" i="33"/>
  <c r="D56" i="39" s="1"/>
  <c r="P63" i="33"/>
  <c r="U65" i="33"/>
  <c r="AE65" i="33" s="1"/>
  <c r="F92" i="33"/>
  <c r="J138" i="33"/>
  <c r="N144" i="33"/>
  <c r="W144" i="33" s="1"/>
  <c r="AA7" i="87"/>
  <c r="AS7" i="87" s="1"/>
  <c r="BS7" i="87" s="1"/>
  <c r="K67" i="87"/>
  <c r="M67" i="87" s="1"/>
  <c r="K72" i="87"/>
  <c r="M72" i="87" s="1"/>
  <c r="K70" i="87"/>
  <c r="M70" i="87" s="1"/>
  <c r="K68" i="87"/>
  <c r="M68" i="87" s="1"/>
  <c r="K71" i="87"/>
  <c r="M71" i="87" s="1"/>
  <c r="Z18" i="87"/>
  <c r="AU18" i="87" s="1"/>
  <c r="M33" i="30"/>
  <c r="M36" i="30" s="1"/>
  <c r="X65" i="31"/>
  <c r="V73" i="31"/>
  <c r="Z73" i="31"/>
  <c r="N14" i="30"/>
  <c r="Q33" i="30"/>
  <c r="R14" i="30"/>
  <c r="J143" i="34"/>
  <c r="J710" i="34"/>
  <c r="J716" i="34"/>
  <c r="I214" i="34"/>
  <c r="I672" i="34"/>
  <c r="U41" i="33"/>
  <c r="AE41" i="33" s="1"/>
  <c r="BH82" i="33"/>
  <c r="BH89" i="33"/>
  <c r="G89" i="33"/>
  <c r="BH102" i="33"/>
  <c r="I102" i="33"/>
  <c r="BH106" i="33"/>
  <c r="N106" i="33"/>
  <c r="W106" i="33" s="1"/>
  <c r="BC106" i="33"/>
  <c r="AU106" i="33" s="1"/>
  <c r="F106" i="33"/>
  <c r="BG139" i="33"/>
  <c r="F139" i="33"/>
  <c r="U139" i="33"/>
  <c r="AE139" i="33" s="1"/>
  <c r="O71" i="34"/>
  <c r="K71" i="34"/>
  <c r="M71" i="34"/>
  <c r="I71" i="34"/>
  <c r="N219" i="34"/>
  <c r="J219" i="34"/>
  <c r="L219" i="34"/>
  <c r="N8" i="33"/>
  <c r="BD11" i="33"/>
  <c r="U19" i="33"/>
  <c r="AE19" i="33" s="1"/>
  <c r="N39" i="33"/>
  <c r="F41" i="33"/>
  <c r="D40" i="39" s="1"/>
  <c r="F60" i="33"/>
  <c r="D59" i="39" s="1"/>
  <c r="BG81" i="33"/>
  <c r="S81" i="33"/>
  <c r="G106" i="33"/>
  <c r="S116" i="33"/>
  <c r="N116" i="33"/>
  <c r="W116" i="33" s="1"/>
  <c r="N139" i="33"/>
  <c r="W139" i="33" s="1"/>
  <c r="J14" i="34"/>
  <c r="N71" i="34"/>
  <c r="N93" i="34"/>
  <c r="I219" i="34"/>
  <c r="I213" i="34" s="1"/>
  <c r="O80" i="31" s="1"/>
  <c r="O355" i="34"/>
  <c r="B160" i="38"/>
  <c r="B159" i="38"/>
  <c r="B32" i="38"/>
  <c r="B369" i="38"/>
  <c r="B248" i="38"/>
  <c r="B383" i="38"/>
  <c r="B384" i="38"/>
  <c r="B618" i="38"/>
  <c r="B436" i="38"/>
  <c r="B434" i="38"/>
  <c r="B619" i="38"/>
  <c r="B617" i="38"/>
  <c r="B435" i="38"/>
  <c r="B622" i="38"/>
  <c r="B438" i="38"/>
  <c r="B621" i="38"/>
  <c r="B439" i="38"/>
  <c r="B657" i="38"/>
  <c r="B479" i="38"/>
  <c r="B314" i="38"/>
  <c r="B91" i="38"/>
  <c r="B658" i="38"/>
  <c r="B478" i="38"/>
  <c r="B313" i="38"/>
  <c r="B90" i="38"/>
  <c r="M457" i="34"/>
  <c r="M458" i="34" s="1"/>
  <c r="I457" i="34"/>
  <c r="I458" i="34" s="1"/>
  <c r="M425" i="34"/>
  <c r="M426" i="34" s="1"/>
  <c r="I425" i="34"/>
  <c r="I426" i="34" s="1"/>
  <c r="N269" i="34"/>
  <c r="N270" i="34" s="1"/>
  <c r="J269" i="34"/>
  <c r="J270" i="34" s="1"/>
  <c r="N157" i="34"/>
  <c r="N158" i="34" s="1"/>
  <c r="J157" i="34"/>
  <c r="J158" i="34" s="1"/>
  <c r="I46" i="43"/>
  <c r="O457" i="34"/>
  <c r="O458" i="34" s="1"/>
  <c r="K457" i="34"/>
  <c r="O425" i="34"/>
  <c r="O426" i="34" s="1"/>
  <c r="K425" i="34"/>
  <c r="K426" i="34" s="1"/>
  <c r="L269" i="34"/>
  <c r="L270" i="34" s="1"/>
  <c r="L157" i="34"/>
  <c r="L158" i="34" s="1"/>
  <c r="BH79" i="33"/>
  <c r="N79" i="33"/>
  <c r="W79" i="33" s="1"/>
  <c r="BI121" i="33"/>
  <c r="Q121" i="33"/>
  <c r="AA121" i="33" s="1"/>
  <c r="M391" i="34"/>
  <c r="I391" i="34"/>
  <c r="N355" i="34"/>
  <c r="J355" i="34"/>
  <c r="O93" i="34"/>
  <c r="K93" i="34"/>
  <c r="M14" i="34"/>
  <c r="I14" i="34"/>
  <c r="O391" i="34"/>
  <c r="K391" i="34"/>
  <c r="L355" i="34"/>
  <c r="M93" i="34"/>
  <c r="I93" i="34"/>
  <c r="O14" i="34"/>
  <c r="K14" i="34"/>
  <c r="I210" i="6"/>
  <c r="R22" i="28"/>
  <c r="BD9" i="33"/>
  <c r="G11" i="33"/>
  <c r="E10" i="39" s="1"/>
  <c r="N41" i="33"/>
  <c r="S59" i="33"/>
  <c r="F59" i="33"/>
  <c r="D58" i="39" s="1"/>
  <c r="G82" i="33"/>
  <c r="BH84" i="33"/>
  <c r="P97" i="33"/>
  <c r="Z97" i="33" s="1"/>
  <c r="BC97" i="33"/>
  <c r="AU97" i="33" s="1"/>
  <c r="BJ105" i="33"/>
  <c r="AW105" i="33" s="1"/>
  <c r="BH105" i="33"/>
  <c r="BG106" i="33"/>
  <c r="BD111" i="33"/>
  <c r="AT111" i="33" s="1"/>
  <c r="BP111" i="33" s="1"/>
  <c r="BJ111" i="33"/>
  <c r="AW111" i="33" s="1"/>
  <c r="H111" i="33"/>
  <c r="N14" i="34"/>
  <c r="J71" i="34"/>
  <c r="J93" i="34"/>
  <c r="J100" i="34" s="1"/>
  <c r="J101" i="34" s="1"/>
  <c r="M219" i="34"/>
  <c r="K355" i="34"/>
  <c r="B366" i="38"/>
  <c r="B245" i="38"/>
  <c r="B29" i="38"/>
  <c r="B616" i="38"/>
  <c r="B614" i="38"/>
  <c r="B612" i="38"/>
  <c r="B610" i="38"/>
  <c r="B608" i="38"/>
  <c r="B606" i="38"/>
  <c r="B604" i="38"/>
  <c r="B602" i="38"/>
  <c r="B600" i="38"/>
  <c r="B598" i="38"/>
  <c r="B596" i="38"/>
  <c r="B594" i="38"/>
  <c r="B592" i="38"/>
  <c r="B590" i="38"/>
  <c r="B588" i="38"/>
  <c r="B586" i="38"/>
  <c r="B584" i="38"/>
  <c r="B582" i="38"/>
  <c r="B580" i="38"/>
  <c r="B578" i="38"/>
  <c r="B576" i="38"/>
  <c r="B574" i="38"/>
  <c r="B572" i="38"/>
  <c r="B570" i="38"/>
  <c r="B568" i="38"/>
  <c r="B566" i="38"/>
  <c r="B564" i="38"/>
  <c r="B562" i="38"/>
  <c r="B560" i="38"/>
  <c r="B558" i="38"/>
  <c r="B556" i="38"/>
  <c r="B154" i="38"/>
  <c r="B152" i="38"/>
  <c r="B615" i="38"/>
  <c r="B613" i="38"/>
  <c r="B611" i="38"/>
  <c r="B609" i="38"/>
  <c r="B607" i="38"/>
  <c r="B605" i="38"/>
  <c r="B603" i="38"/>
  <c r="B601" i="38"/>
  <c r="B599" i="38"/>
  <c r="B597" i="38"/>
  <c r="B595" i="38"/>
  <c r="B593" i="38"/>
  <c r="B591" i="38"/>
  <c r="B589" i="38"/>
  <c r="B587" i="38"/>
  <c r="B585" i="38"/>
  <c r="B583" i="38"/>
  <c r="B581" i="38"/>
  <c r="B579" i="38"/>
  <c r="B577" i="38"/>
  <c r="B575" i="38"/>
  <c r="B573" i="38"/>
  <c r="B571" i="38"/>
  <c r="B569" i="38"/>
  <c r="B567" i="38"/>
  <c r="B565" i="38"/>
  <c r="B563" i="38"/>
  <c r="B561" i="38"/>
  <c r="B559" i="38"/>
  <c r="B557" i="38"/>
  <c r="B555" i="38"/>
  <c r="B153" i="38"/>
  <c r="B151" i="38"/>
  <c r="B156" i="38"/>
  <c r="B157" i="38"/>
  <c r="B440" i="38"/>
  <c r="B158" i="38"/>
  <c r="B623" i="38"/>
  <c r="B51" i="38"/>
  <c r="B630" i="38"/>
  <c r="B450" i="38"/>
  <c r="B271" i="38"/>
  <c r="BG138" i="33"/>
  <c r="X21" i="87"/>
  <c r="AQ21" i="87" s="1"/>
  <c r="BR21" i="87" s="1"/>
  <c r="X42" i="87"/>
  <c r="AQ42" i="87" s="1"/>
  <c r="BR42" i="87" s="1"/>
  <c r="AW12" i="33"/>
  <c r="AW17" i="33"/>
  <c r="U65" i="31"/>
  <c r="Y65" i="31"/>
  <c r="B10" i="30"/>
  <c r="I36" i="30"/>
  <c r="E92" i="31"/>
  <c r="U69" i="33"/>
  <c r="AE69" i="33" s="1"/>
  <c r="Q76" i="33"/>
  <c r="AA76" i="33" s="1"/>
  <c r="U82" i="33"/>
  <c r="AE82" i="33" s="1"/>
  <c r="BD87" i="33"/>
  <c r="AT87" i="33" s="1"/>
  <c r="BP87" i="33" s="1"/>
  <c r="H88" i="33"/>
  <c r="BI88" i="33"/>
  <c r="N95" i="33"/>
  <c r="BC100" i="33"/>
  <c r="AU100" i="33" s="1"/>
  <c r="U102" i="33"/>
  <c r="AE102" i="33" s="1"/>
  <c r="N115" i="33"/>
  <c r="W115" i="33" s="1"/>
  <c r="AA19" i="87"/>
  <c r="AS19" i="87" s="1"/>
  <c r="BS19" i="87" s="1"/>
  <c r="O25" i="33"/>
  <c r="BI11" i="33"/>
  <c r="N14" i="33"/>
  <c r="N21" i="33"/>
  <c r="N24" i="33"/>
  <c r="Q25" i="33"/>
  <c r="Q32" i="33"/>
  <c r="P34" i="33"/>
  <c r="N36" i="33"/>
  <c r="N54" i="33"/>
  <c r="G58" i="33"/>
  <c r="E57" i="39" s="1"/>
  <c r="U63" i="33"/>
  <c r="AE63" i="33" s="1"/>
  <c r="S76" i="33"/>
  <c r="F80" i="33"/>
  <c r="L81" i="33"/>
  <c r="F82" i="33"/>
  <c r="BD82" i="33"/>
  <c r="AT82" i="33" s="1"/>
  <c r="BP82" i="33" s="1"/>
  <c r="G84" i="33"/>
  <c r="F87" i="33"/>
  <c r="BJ87" i="33"/>
  <c r="AW87" i="33" s="1"/>
  <c r="N88" i="33"/>
  <c r="BG95" i="33"/>
  <c r="F100" i="33"/>
  <c r="BI100" i="33"/>
  <c r="F102" i="33"/>
  <c r="BG102" i="33"/>
  <c r="I105" i="33"/>
  <c r="BI111" i="33"/>
  <c r="Q115" i="33"/>
  <c r="AA115" i="33" s="1"/>
  <c r="BG121" i="33"/>
  <c r="F129" i="33"/>
  <c r="T139" i="33"/>
  <c r="BJ139" i="33"/>
  <c r="AW139" i="33" s="1"/>
  <c r="N141" i="33"/>
  <c r="X47" i="87"/>
  <c r="AQ47" i="87" s="1"/>
  <c r="BR47" i="87" s="1"/>
  <c r="T88" i="33"/>
  <c r="BI115" i="33"/>
  <c r="P129" i="33"/>
  <c r="X28" i="87"/>
  <c r="AQ28" i="87" s="1"/>
  <c r="BR28" i="87" s="1"/>
  <c r="N11" i="33"/>
  <c r="AW14" i="33"/>
  <c r="O15" i="33"/>
  <c r="F25" i="33"/>
  <c r="D24" i="39" s="1"/>
  <c r="N33" i="33"/>
  <c r="S41" i="33"/>
  <c r="T57" i="33"/>
  <c r="Q60" i="33"/>
  <c r="O63" i="33"/>
  <c r="O66" i="33"/>
  <c r="BH77" i="33"/>
  <c r="P87" i="33"/>
  <c r="F88" i="33"/>
  <c r="BH88" i="33"/>
  <c r="BD89" i="33"/>
  <c r="AT89" i="33" s="1"/>
  <c r="N93" i="33"/>
  <c r="H95" i="33"/>
  <c r="W95" i="33" s="1"/>
  <c r="P100" i="33"/>
  <c r="N101" i="33"/>
  <c r="W101" i="33" s="1"/>
  <c r="O102" i="33"/>
  <c r="T106" i="33"/>
  <c r="BJ106" i="33"/>
  <c r="AW106" i="33" s="1"/>
  <c r="P111" i="33"/>
  <c r="G115" i="33"/>
  <c r="P118" i="33"/>
  <c r="Z118" i="33" s="1"/>
  <c r="F121" i="33"/>
  <c r="BI129" i="33"/>
  <c r="T132" i="33"/>
  <c r="G139" i="33"/>
  <c r="BC139" i="33"/>
  <c r="AU139" i="33" s="1"/>
  <c r="BH140" i="33"/>
  <c r="X24" i="87"/>
  <c r="AQ24" i="87" s="1"/>
  <c r="BR24" i="87" s="1"/>
  <c r="R33" i="30"/>
  <c r="X19" i="87"/>
  <c r="AQ19" i="87" s="1"/>
  <c r="M14" i="30"/>
  <c r="U73" i="31"/>
  <c r="Y73" i="31"/>
  <c r="Q14" i="30"/>
  <c r="AD24" i="87"/>
  <c r="J12" i="34"/>
  <c r="J120" i="34"/>
  <c r="I614" i="34"/>
  <c r="I616" i="34" s="1"/>
  <c r="I717" i="34" s="1"/>
  <c r="I718" i="34" s="1"/>
  <c r="I138" i="34"/>
  <c r="J123" i="34"/>
  <c r="I166" i="34"/>
  <c r="AB9" i="87"/>
  <c r="AT9" i="87" s="1"/>
  <c r="BS9" i="87" s="1"/>
  <c r="Z32" i="87"/>
  <c r="AU32" i="87" s="1"/>
  <c r="BC32" i="87" s="1"/>
  <c r="Z38" i="87"/>
  <c r="AU38" i="87" s="1"/>
  <c r="X18" i="87"/>
  <c r="AQ18" i="87" s="1"/>
  <c r="BR18" i="87" s="1"/>
  <c r="X40" i="87"/>
  <c r="AQ40" i="87" s="1"/>
  <c r="BR40" i="87" s="1"/>
  <c r="Z14" i="87"/>
  <c r="AU14" i="87" s="1"/>
  <c r="Z30" i="87"/>
  <c r="AU30" i="87" s="1"/>
  <c r="AF33" i="87"/>
  <c r="BA33" i="87" s="1"/>
  <c r="AF12" i="87"/>
  <c r="BA12" i="87" s="1"/>
  <c r="AF19" i="87"/>
  <c r="BA19" i="87" s="1"/>
  <c r="Y23" i="87"/>
  <c r="AR23" i="87" s="1"/>
  <c r="AA33" i="87"/>
  <c r="AS33" i="87" s="1"/>
  <c r="BS33" i="87" s="1"/>
  <c r="X39" i="87"/>
  <c r="AQ39" i="87" s="1"/>
  <c r="BR39" i="87" s="1"/>
  <c r="AF40" i="87"/>
  <c r="BA40" i="87" s="1"/>
  <c r="AA40" i="87"/>
  <c r="AS40" i="87" s="1"/>
  <c r="AF47" i="87"/>
  <c r="BA47" i="87" s="1"/>
  <c r="C6" i="39"/>
  <c r="F7" i="33"/>
  <c r="D6" i="39" s="1"/>
  <c r="BJ85" i="33"/>
  <c r="AW85" i="33" s="1"/>
  <c r="P85" i="33"/>
  <c r="Z85" i="33" s="1"/>
  <c r="Q7" i="33"/>
  <c r="BF7" i="33"/>
  <c r="C8" i="39"/>
  <c r="F9" i="33"/>
  <c r="D8" i="39" s="1"/>
  <c r="BJ11" i="33"/>
  <c r="BJ14" i="33"/>
  <c r="O22" i="33"/>
  <c r="U24" i="33"/>
  <c r="AE24" i="33" s="1"/>
  <c r="N28" i="33"/>
  <c r="C34" i="39"/>
  <c r="N35" i="33"/>
  <c r="T42" i="33"/>
  <c r="N45" i="33"/>
  <c r="T45" i="33"/>
  <c r="U46" i="33"/>
  <c r="AE46" i="33" s="1"/>
  <c r="T51" i="33"/>
  <c r="F51" i="33"/>
  <c r="D50" i="39" s="1"/>
  <c r="G68" i="33"/>
  <c r="E67" i="39" s="1"/>
  <c r="BC76" i="33"/>
  <c r="AU76" i="33" s="1"/>
  <c r="BI76" i="33"/>
  <c r="H76" i="33"/>
  <c r="BH76" i="33"/>
  <c r="BJ78" i="33"/>
  <c r="AW78" i="33" s="1"/>
  <c r="S80" i="33"/>
  <c r="N80" i="33"/>
  <c r="W80" i="33" s="1"/>
  <c r="U81" i="33"/>
  <c r="AE81" i="33" s="1"/>
  <c r="BH81" i="33"/>
  <c r="K81" i="33"/>
  <c r="BG82" i="33"/>
  <c r="BC82" i="33"/>
  <c r="AU82" i="33" s="1"/>
  <c r="N82" i="33"/>
  <c r="W82" i="33" s="1"/>
  <c r="T82" i="33"/>
  <c r="BJ82" i="33"/>
  <c r="AW82" i="33" s="1"/>
  <c r="O84" i="33"/>
  <c r="BG85" i="33"/>
  <c r="T96" i="33"/>
  <c r="BD96" i="33"/>
  <c r="AT96" i="33" s="1"/>
  <c r="BP96" i="33" s="1"/>
  <c r="G96" i="33"/>
  <c r="P96" i="33"/>
  <c r="Z96" i="33" s="1"/>
  <c r="BG99" i="33"/>
  <c r="Q10" i="33"/>
  <c r="F10" i="33"/>
  <c r="D9" i="39" s="1"/>
  <c r="H7" i="33"/>
  <c r="AF7" i="33" s="1"/>
  <c r="AT7" i="33"/>
  <c r="B8" i="39"/>
  <c r="AV9" i="33"/>
  <c r="P10" i="33"/>
  <c r="BH7" i="33"/>
  <c r="K9" i="33"/>
  <c r="C10" i="39"/>
  <c r="S11" i="33"/>
  <c r="F11" i="33"/>
  <c r="D10" i="39" s="1"/>
  <c r="U11" i="33"/>
  <c r="AE11" i="33" s="1"/>
  <c r="U12" i="33"/>
  <c r="AE12" i="33" s="1"/>
  <c r="Q12" i="33"/>
  <c r="BG12" i="33"/>
  <c r="Q57" i="33"/>
  <c r="O57" i="33"/>
  <c r="C57" i="39"/>
  <c r="T58" i="33"/>
  <c r="F58" i="33"/>
  <c r="D57" i="39" s="1"/>
  <c r="U58" i="33"/>
  <c r="AE58" i="33" s="1"/>
  <c r="C59" i="39"/>
  <c r="G60" i="33"/>
  <c r="E59" i="39" s="1"/>
  <c r="Q68" i="33"/>
  <c r="BG79" i="33"/>
  <c r="U79" i="33"/>
  <c r="AE79" i="33" s="1"/>
  <c r="Q94" i="33"/>
  <c r="AA94" i="33" s="1"/>
  <c r="N94" i="33"/>
  <c r="W94" i="33" s="1"/>
  <c r="U94" i="33"/>
  <c r="AE94" i="33" s="1"/>
  <c r="O96" i="33"/>
  <c r="C27" i="39"/>
  <c r="U28" i="33"/>
  <c r="AE28" i="33" s="1"/>
  <c r="G28" i="33"/>
  <c r="E27" i="39" s="1"/>
  <c r="S28" i="33"/>
  <c r="T59" i="33"/>
  <c r="Q59" i="33"/>
  <c r="N70" i="33"/>
  <c r="Q70" i="33"/>
  <c r="BI84" i="33"/>
  <c r="O94" i="33"/>
  <c r="Y94" i="33" s="1"/>
  <c r="U96" i="33"/>
  <c r="AE96" i="33" s="1"/>
  <c r="P55" i="33"/>
  <c r="S55" i="33"/>
  <c r="T64" i="33"/>
  <c r="U64" i="33"/>
  <c r="AE64" i="33" s="1"/>
  <c r="C67" i="39"/>
  <c r="F68" i="33"/>
  <c r="D67" i="39" s="1"/>
  <c r="BJ107" i="33"/>
  <c r="AW107" i="33" s="1"/>
  <c r="T112" i="33"/>
  <c r="BD113" i="33"/>
  <c r="AT113" i="33" s="1"/>
  <c r="BP113" i="33" s="1"/>
  <c r="Q123" i="33"/>
  <c r="AA123" i="33" s="1"/>
  <c r="BI123" i="33"/>
  <c r="BH12" i="33"/>
  <c r="V14" i="33"/>
  <c r="U25" i="33"/>
  <c r="AE25" i="33" s="1"/>
  <c r="Q41" i="33"/>
  <c r="T63" i="33"/>
  <c r="G87" i="33"/>
  <c r="S87" i="33"/>
  <c r="N92" i="33"/>
  <c r="W92" i="33" s="1"/>
  <c r="K95" i="33"/>
  <c r="BJ95" i="33"/>
  <c r="AW95" i="33" s="1"/>
  <c r="G100" i="33"/>
  <c r="S100" i="33"/>
  <c r="G102" i="33"/>
  <c r="Q102" i="33"/>
  <c r="AA102" i="33" s="1"/>
  <c r="BD102" i="33"/>
  <c r="AT102" i="33" s="1"/>
  <c r="BP102" i="33" s="1"/>
  <c r="Q105" i="33"/>
  <c r="AA105" i="33" s="1"/>
  <c r="Q106" i="33"/>
  <c r="AA106" i="33" s="1"/>
  <c r="BD106" i="33"/>
  <c r="AT106" i="33" s="1"/>
  <c r="BP106" i="33" s="1"/>
  <c r="F107" i="33"/>
  <c r="G112" i="33"/>
  <c r="U112" i="33"/>
  <c r="AE112" i="33" s="1"/>
  <c r="F113" i="33"/>
  <c r="BJ113" i="33"/>
  <c r="AW113" i="33" s="1"/>
  <c r="BC118" i="33"/>
  <c r="BC121" i="33"/>
  <c r="AU121" i="33" s="1"/>
  <c r="G123" i="33"/>
  <c r="S123" i="33"/>
  <c r="T126" i="33"/>
  <c r="BG129" i="33"/>
  <c r="Q131" i="33"/>
  <c r="AA131" i="33" s="1"/>
  <c r="BC132" i="33"/>
  <c r="K136" i="33"/>
  <c r="F137" i="33"/>
  <c r="BG137" i="33"/>
  <c r="N142" i="33"/>
  <c r="W142" i="33" s="1"/>
  <c r="P144" i="33"/>
  <c r="Z144" i="33" s="1"/>
  <c r="N107" i="33"/>
  <c r="H112" i="33"/>
  <c r="BH112" i="33"/>
  <c r="P113" i="33"/>
  <c r="Z113" i="33" s="1"/>
  <c r="BG118" i="33"/>
  <c r="H123" i="33"/>
  <c r="U123" i="33"/>
  <c r="AE123" i="33" s="1"/>
  <c r="U136" i="33"/>
  <c r="AE136" i="33" s="1"/>
  <c r="N137" i="33"/>
  <c r="W137" i="33" s="1"/>
  <c r="BI137" i="33"/>
  <c r="S142" i="33"/>
  <c r="BD144" i="33"/>
  <c r="AT144" i="33" s="1"/>
  <c r="O87" i="33"/>
  <c r="BG87" i="33"/>
  <c r="BC95" i="33"/>
  <c r="AU95" i="33" s="1"/>
  <c r="O100" i="33"/>
  <c r="BG100" i="33"/>
  <c r="N102" i="33"/>
  <c r="W102" i="33" s="1"/>
  <c r="BI102" i="33"/>
  <c r="F105" i="33"/>
  <c r="BG105" i="33"/>
  <c r="O112" i="33"/>
  <c r="BJ112" i="33"/>
  <c r="AW112" i="33" s="1"/>
  <c r="BH115" i="33"/>
  <c r="N118" i="33"/>
  <c r="W118" i="33" s="1"/>
  <c r="O121" i="33"/>
  <c r="K123" i="33"/>
  <c r="BH123" i="33"/>
  <c r="BI125" i="33"/>
  <c r="BD136" i="33"/>
  <c r="AT136" i="33" s="1"/>
  <c r="BP136" i="33" s="1"/>
  <c r="P137" i="33"/>
  <c r="Z137" i="33" s="1"/>
  <c r="Q139" i="33"/>
  <c r="AA139" i="33" s="1"/>
  <c r="BD139" i="33"/>
  <c r="AT139" i="33" s="1"/>
  <c r="BP139" i="33" s="1"/>
  <c r="N140" i="33"/>
  <c r="W140" i="33" s="1"/>
  <c r="BC141" i="33"/>
  <c r="AU141" i="33" s="1"/>
  <c r="BC142" i="33"/>
  <c r="AU142" i="33" s="1"/>
  <c r="F144" i="33"/>
  <c r="BH144" i="33"/>
  <c r="U45" i="30"/>
  <c r="Y45" i="30"/>
  <c r="AC45" i="30"/>
  <c r="AH54" i="30"/>
  <c r="BG5" i="31"/>
  <c r="E37" i="31"/>
  <c r="AJ92" i="31"/>
  <c r="H52" i="31"/>
  <c r="Q45" i="30"/>
  <c r="G42" i="31"/>
  <c r="E50" i="31"/>
  <c r="D52" i="31"/>
  <c r="M37" i="31"/>
  <c r="K42" i="31"/>
  <c r="BG44" i="31"/>
  <c r="K45" i="31"/>
  <c r="C23" i="30"/>
  <c r="Q29" i="30"/>
  <c r="Q30" i="30" s="1"/>
  <c r="D14" i="32"/>
  <c r="M15" i="28"/>
  <c r="M24" i="28"/>
  <c r="N4" i="28"/>
  <c r="E23" i="28"/>
  <c r="P18" i="28"/>
  <c r="P19" i="28"/>
  <c r="P22" i="28"/>
  <c r="AH13" i="28"/>
  <c r="C78" i="48"/>
  <c r="M289" i="60"/>
  <c r="I491" i="34"/>
  <c r="BC75" i="33"/>
  <c r="AU75" i="33" s="1"/>
  <c r="S75" i="33"/>
  <c r="BJ75" i="33"/>
  <c r="AW75" i="33" s="1"/>
  <c r="K75" i="33"/>
  <c r="BH75" i="33"/>
  <c r="H75" i="33"/>
  <c r="BG83" i="33"/>
  <c r="K83" i="33"/>
  <c r="S83" i="33"/>
  <c r="BI83" i="33"/>
  <c r="H83" i="33"/>
  <c r="O83" i="33"/>
  <c r="T83" i="33"/>
  <c r="AA29" i="87"/>
  <c r="AS29" i="87" s="1"/>
  <c r="BS29" i="87" s="1"/>
  <c r="Z44" i="87"/>
  <c r="AU44" i="87" s="1"/>
  <c r="D10" i="32"/>
  <c r="C7" i="39"/>
  <c r="S8" i="33"/>
  <c r="G8" i="33"/>
  <c r="E7" i="39" s="1"/>
  <c r="Q8" i="33"/>
  <c r="F8" i="33"/>
  <c r="D7" i="39" s="1"/>
  <c r="BH117" i="33"/>
  <c r="S117" i="33"/>
  <c r="J117" i="33"/>
  <c r="K117" i="33"/>
  <c r="Q117" i="33"/>
  <c r="AA117" i="33" s="1"/>
  <c r="BG117" i="33"/>
  <c r="I117" i="33"/>
  <c r="BJ117" i="33"/>
  <c r="AW117" i="33" s="1"/>
  <c r="P117" i="33"/>
  <c r="BI128" i="33"/>
  <c r="BH128" i="33"/>
  <c r="P128" i="33"/>
  <c r="Z128" i="33" s="1"/>
  <c r="T128" i="33"/>
  <c r="BJ128" i="33"/>
  <c r="AW128" i="33" s="1"/>
  <c r="F128" i="33"/>
  <c r="N128" i="33"/>
  <c r="W128" i="33" s="1"/>
  <c r="BD130" i="33"/>
  <c r="AT130" i="33" s="1"/>
  <c r="BP130" i="33" s="1"/>
  <c r="G130" i="33"/>
  <c r="O130" i="33"/>
  <c r="Y130" i="33" s="1"/>
  <c r="BH130" i="33"/>
  <c r="Q130" i="33"/>
  <c r="AA130" i="33" s="1"/>
  <c r="U130" i="33"/>
  <c r="AE130" i="33" s="1"/>
  <c r="Q135" i="33"/>
  <c r="AA135" i="33" s="1"/>
  <c r="BI135" i="33"/>
  <c r="O135" i="33"/>
  <c r="E9" i="32"/>
  <c r="D9" i="32"/>
  <c r="C16" i="39"/>
  <c r="BI17" i="33"/>
  <c r="AT17" i="33"/>
  <c r="L17" i="33"/>
  <c r="BC17" i="33"/>
  <c r="O17" i="33"/>
  <c r="BF17" i="33"/>
  <c r="Q17" i="33"/>
  <c r="G17" i="33"/>
  <c r="E16" i="39" s="1"/>
  <c r="U17" i="33"/>
  <c r="AE17" i="33" s="1"/>
  <c r="F17" i="33"/>
  <c r="D16" i="39" s="1"/>
  <c r="C29" i="39"/>
  <c r="U30" i="33"/>
  <c r="AE30" i="33" s="1"/>
  <c r="Q30" i="33"/>
  <c r="G30" i="33"/>
  <c r="E29" i="39" s="1"/>
  <c r="C47" i="39"/>
  <c r="U48" i="33"/>
  <c r="AE48" i="33" s="1"/>
  <c r="N48" i="33"/>
  <c r="S48" i="33"/>
  <c r="G48" i="33"/>
  <c r="E47" i="39" s="1"/>
  <c r="Q48" i="33"/>
  <c r="F48" i="33"/>
  <c r="D47" i="39" s="1"/>
  <c r="P53" i="33"/>
  <c r="G53" i="33"/>
  <c r="E52" i="39" s="1"/>
  <c r="O53" i="33"/>
  <c r="S67" i="33"/>
  <c r="O67" i="33"/>
  <c r="F67" i="33"/>
  <c r="D66" i="39" s="1"/>
  <c r="BJ90" i="33"/>
  <c r="AW90" i="33" s="1"/>
  <c r="BG90" i="33"/>
  <c r="T90" i="33"/>
  <c r="L90" i="33"/>
  <c r="F90" i="33"/>
  <c r="BI90" i="33"/>
  <c r="U90" i="33"/>
  <c r="AE90" i="33" s="1"/>
  <c r="K90" i="33"/>
  <c r="BH90" i="33"/>
  <c r="Q90" i="33"/>
  <c r="I90" i="33"/>
  <c r="W90" i="33" s="1"/>
  <c r="BC90" i="33"/>
  <c r="P90" i="33"/>
  <c r="G90" i="33"/>
  <c r="N17" i="33"/>
  <c r="P37" i="33"/>
  <c r="G37" i="33"/>
  <c r="E36" i="39" s="1"/>
  <c r="O37" i="33"/>
  <c r="O48" i="33"/>
  <c r="T53" i="33"/>
  <c r="G61" i="33"/>
  <c r="E60" i="39" s="1"/>
  <c r="T61" i="33"/>
  <c r="P72" i="33"/>
  <c r="O72" i="33"/>
  <c r="G72" i="33"/>
  <c r="E71" i="39" s="1"/>
  <c r="T75" i="33"/>
  <c r="C9" i="39"/>
  <c r="U10" i="33"/>
  <c r="AE10" i="33" s="1"/>
  <c r="N10" i="33"/>
  <c r="T10" i="33"/>
  <c r="G10" i="33"/>
  <c r="E9" i="39" s="1"/>
  <c r="BH14" i="33"/>
  <c r="AV14" i="33"/>
  <c r="K14" i="33"/>
  <c r="BF14" i="33"/>
  <c r="Q14" i="33"/>
  <c r="G14" i="33"/>
  <c r="E13" i="39" s="1"/>
  <c r="BE14" i="33"/>
  <c r="U14" i="33"/>
  <c r="AE14" i="33" s="1"/>
  <c r="P14" i="33"/>
  <c r="F14" i="33"/>
  <c r="D13" i="39" s="1"/>
  <c r="S17" i="33"/>
  <c r="U71" i="33"/>
  <c r="AE71" i="33" s="1"/>
  <c r="N71" i="33"/>
  <c r="T71" i="33"/>
  <c r="G71" i="33"/>
  <c r="E70" i="39" s="1"/>
  <c r="Q71" i="33"/>
  <c r="F71" i="33"/>
  <c r="D70" i="39" s="1"/>
  <c r="BH78" i="33"/>
  <c r="L78" i="33"/>
  <c r="AA78" i="33" s="1"/>
  <c r="U78" i="33"/>
  <c r="AE78" i="33" s="1"/>
  <c r="I78" i="33"/>
  <c r="BD78" i="33"/>
  <c r="AT78" i="33" s="1"/>
  <c r="BP78" i="33" s="1"/>
  <c r="J78" i="33"/>
  <c r="BJ91" i="33"/>
  <c r="AW91" i="33" s="1"/>
  <c r="U91" i="33"/>
  <c r="AE91" i="33" s="1"/>
  <c r="G91" i="33"/>
  <c r="S91" i="33"/>
  <c r="BG91" i="33"/>
  <c r="O91" i="33"/>
  <c r="Y91" i="33" s="1"/>
  <c r="BD91" i="33"/>
  <c r="AT91" i="33" s="1"/>
  <c r="BP91" i="33" s="1"/>
  <c r="N91" i="33"/>
  <c r="W91" i="33" s="1"/>
  <c r="O108" i="33"/>
  <c r="BJ108" i="33"/>
  <c r="AW108" i="33" s="1"/>
  <c r="T108" i="33"/>
  <c r="BC108" i="33"/>
  <c r="AU108" i="33" s="1"/>
  <c r="F108" i="33"/>
  <c r="BI108" i="33"/>
  <c r="P108" i="33"/>
  <c r="Z108" i="33" s="1"/>
  <c r="BD128" i="33"/>
  <c r="AT128" i="33" s="1"/>
  <c r="BP128" i="33" s="1"/>
  <c r="BJ145" i="33"/>
  <c r="AW145" i="33" s="1"/>
  <c r="BC145" i="33"/>
  <c r="F145" i="33"/>
  <c r="BI145" i="33"/>
  <c r="P145" i="33"/>
  <c r="Z145" i="33" s="1"/>
  <c r="BG145" i="33"/>
  <c r="T145" i="33"/>
  <c r="N145" i="33"/>
  <c r="W145" i="33" s="1"/>
  <c r="Q22" i="33"/>
  <c r="T34" i="33"/>
  <c r="O39" i="33"/>
  <c r="P46" i="33"/>
  <c r="P54" i="33"/>
  <c r="P64" i="33"/>
  <c r="O65" i="33"/>
  <c r="BI93" i="33"/>
  <c r="T93" i="33"/>
  <c r="K93" i="33"/>
  <c r="P93" i="33"/>
  <c r="BH93" i="33"/>
  <c r="BJ99" i="33"/>
  <c r="AW99" i="33" s="1"/>
  <c r="BC99" i="33"/>
  <c r="AU99" i="33" s="1"/>
  <c r="O99" i="33"/>
  <c r="F99" i="33"/>
  <c r="P99" i="33"/>
  <c r="BH99" i="33"/>
  <c r="O535" i="34"/>
  <c r="O536" i="34" s="1"/>
  <c r="K535" i="34"/>
  <c r="K536" i="34" s="1"/>
  <c r="N489" i="34"/>
  <c r="N490" i="34" s="1"/>
  <c r="J489" i="34"/>
  <c r="J490" i="34" s="1"/>
  <c r="M310" i="34"/>
  <c r="M311" i="34" s="1"/>
  <c r="I310" i="34"/>
  <c r="I311" i="34" s="1"/>
  <c r="L220" i="34"/>
  <c r="L221" i="34" s="1"/>
  <c r="I45" i="43"/>
  <c r="M535" i="34"/>
  <c r="M536" i="34" s="1"/>
  <c r="I535" i="34"/>
  <c r="I536" i="34" s="1"/>
  <c r="L489" i="34"/>
  <c r="O310" i="34"/>
  <c r="O311" i="34" s="1"/>
  <c r="K310" i="34"/>
  <c r="K311" i="34" s="1"/>
  <c r="N220" i="34"/>
  <c r="N221" i="34" s="1"/>
  <c r="J220" i="34"/>
  <c r="J221" i="34" s="1"/>
  <c r="M489" i="34"/>
  <c r="M490" i="34" s="1"/>
  <c r="J310" i="34"/>
  <c r="J311" i="34" s="1"/>
  <c r="I220" i="34"/>
  <c r="I221" i="34" s="1"/>
  <c r="N535" i="34"/>
  <c r="N536" i="34" s="1"/>
  <c r="K489" i="34"/>
  <c r="K490" i="34" s="1"/>
  <c r="O220" i="34"/>
  <c r="O221" i="34" s="1"/>
  <c r="L7" i="33"/>
  <c r="AA7" i="33" s="1"/>
  <c r="S7" i="33"/>
  <c r="AV7" i="33"/>
  <c r="BJ7" i="33"/>
  <c r="P9" i="33"/>
  <c r="BH9" i="33"/>
  <c r="O11" i="33"/>
  <c r="AT11" i="33"/>
  <c r="BP11" i="33" s="1"/>
  <c r="T12" i="33"/>
  <c r="G19" i="33"/>
  <c r="E18" i="39" s="1"/>
  <c r="F22" i="33"/>
  <c r="D21" i="39" s="1"/>
  <c r="S22" i="33"/>
  <c r="F24" i="33"/>
  <c r="D23" i="39" s="1"/>
  <c r="Q24" i="33"/>
  <c r="S25" i="33"/>
  <c r="O28" i="33"/>
  <c r="F32" i="33"/>
  <c r="D31" i="39" s="1"/>
  <c r="U32" i="33"/>
  <c r="AE32" i="33" s="1"/>
  <c r="F34" i="33"/>
  <c r="D33" i="39" s="1"/>
  <c r="F36" i="33"/>
  <c r="D35" i="39" s="1"/>
  <c r="Q36" i="33"/>
  <c r="F39" i="33"/>
  <c r="D38" i="39" s="1"/>
  <c r="Q39" i="33"/>
  <c r="O41" i="33"/>
  <c r="F46" i="33"/>
  <c r="D45" i="39" s="1"/>
  <c r="S46" i="33"/>
  <c r="N47" i="33"/>
  <c r="N49" i="33"/>
  <c r="F54" i="33"/>
  <c r="D53" i="39" s="1"/>
  <c r="Q54" i="33"/>
  <c r="F55" i="33"/>
  <c r="D54" i="39" s="1"/>
  <c r="T56" i="33"/>
  <c r="P57" i="33"/>
  <c r="P58" i="33"/>
  <c r="N60" i="33"/>
  <c r="U60" i="33"/>
  <c r="AE60" i="33" s="1"/>
  <c r="F64" i="33"/>
  <c r="D63" i="39" s="1"/>
  <c r="Q64" i="33"/>
  <c r="F65" i="33"/>
  <c r="D64" i="39" s="1"/>
  <c r="Q65" i="33"/>
  <c r="N68" i="33"/>
  <c r="U68" i="33"/>
  <c r="AE68" i="33" s="1"/>
  <c r="G73" i="33"/>
  <c r="E72" i="39" s="1"/>
  <c r="K76" i="33"/>
  <c r="U76" i="33"/>
  <c r="AE76" i="33" s="1"/>
  <c r="F79" i="33"/>
  <c r="Q79" i="33"/>
  <c r="AA79" i="33" s="1"/>
  <c r="BC79" i="33"/>
  <c r="AU79" i="33" s="1"/>
  <c r="BJ79" i="33"/>
  <c r="AW79" i="33" s="1"/>
  <c r="P80" i="33"/>
  <c r="Z80" i="33" s="1"/>
  <c r="BG84" i="33"/>
  <c r="N84" i="33"/>
  <c r="W84" i="33" s="1"/>
  <c r="U84" i="33"/>
  <c r="AE84" i="33" s="1"/>
  <c r="G85" i="33"/>
  <c r="U85" i="33"/>
  <c r="AE85" i="33" s="1"/>
  <c r="BJ88" i="33"/>
  <c r="AW88" i="33" s="1"/>
  <c r="BC88" i="33"/>
  <c r="AU88" i="33" s="1"/>
  <c r="P88" i="33"/>
  <c r="G88" i="33"/>
  <c r="O88" i="33"/>
  <c r="BG88" i="33"/>
  <c r="F93" i="33"/>
  <c r="Q93" i="33"/>
  <c r="BG94" i="33"/>
  <c r="G99" i="33"/>
  <c r="S99" i="33"/>
  <c r="BI99" i="33"/>
  <c r="P103" i="33"/>
  <c r="Z103" i="33" s="1"/>
  <c r="BH107" i="33"/>
  <c r="K107" i="33"/>
  <c r="U107" i="33"/>
  <c r="AE107" i="33" s="1"/>
  <c r="BC111" i="33"/>
  <c r="AU111" i="33" s="1"/>
  <c r="Q111" i="33"/>
  <c r="AA111" i="33" s="1"/>
  <c r="G111" i="33"/>
  <c r="K111" i="33"/>
  <c r="U111" i="33"/>
  <c r="AE111" i="33" s="1"/>
  <c r="Q118" i="33"/>
  <c r="AA118" i="33" s="1"/>
  <c r="BJ127" i="33"/>
  <c r="AW127" i="33" s="1"/>
  <c r="U127" i="33"/>
  <c r="AE127" i="33" s="1"/>
  <c r="BH132" i="33"/>
  <c r="BI132" i="33"/>
  <c r="P132" i="33"/>
  <c r="Z132" i="33" s="1"/>
  <c r="N132" i="33"/>
  <c r="W132" i="33" s="1"/>
  <c r="BG132" i="33"/>
  <c r="BS40" i="87"/>
  <c r="N310" i="34"/>
  <c r="N311" i="34" s="1"/>
  <c r="I489" i="34"/>
  <c r="I490" i="34" s="1"/>
  <c r="B624" i="38"/>
  <c r="B442" i="38"/>
  <c r="B382" i="38"/>
  <c r="B480" i="38"/>
  <c r="B214" i="38"/>
  <c r="B92" i="38"/>
  <c r="B554" i="38"/>
  <c r="B432" i="38"/>
  <c r="B370" i="38"/>
  <c r="B250" i="38"/>
  <c r="B150" i="38"/>
  <c r="B34" i="38"/>
  <c r="B628" i="38"/>
  <c r="B448" i="38"/>
  <c r="B386" i="38"/>
  <c r="B270" i="38"/>
  <c r="B164" i="38"/>
  <c r="B50" i="38"/>
  <c r="O24" i="33"/>
  <c r="S32" i="33"/>
  <c r="O36" i="33"/>
  <c r="P79" i="33"/>
  <c r="Z79" i="33" s="1"/>
  <c r="BI79" i="33"/>
  <c r="BI85" i="33"/>
  <c r="BD85" i="33"/>
  <c r="AT85" i="33" s="1"/>
  <c r="Q85" i="33"/>
  <c r="AA85" i="33" s="1"/>
  <c r="F85" i="33"/>
  <c r="T85" i="33"/>
  <c r="BH85" i="33"/>
  <c r="O7" i="33"/>
  <c r="U7" i="33"/>
  <c r="AE7" i="33" s="1"/>
  <c r="BD7" i="33"/>
  <c r="BG10" i="33"/>
  <c r="Q19" i="33"/>
  <c r="N22" i="33"/>
  <c r="U22" i="33"/>
  <c r="AE22" i="33" s="1"/>
  <c r="G24" i="33"/>
  <c r="E23" i="39" s="1"/>
  <c r="S24" i="33"/>
  <c r="O32" i="33"/>
  <c r="N34" i="33"/>
  <c r="G36" i="33"/>
  <c r="E35" i="39" s="1"/>
  <c r="G39" i="33"/>
  <c r="E38" i="39" s="1"/>
  <c r="S39" i="33"/>
  <c r="G46" i="33"/>
  <c r="E45" i="39" s="1"/>
  <c r="G54" i="33"/>
  <c r="E53" i="39" s="1"/>
  <c r="T54" i="33"/>
  <c r="O60" i="33"/>
  <c r="G64" i="33"/>
  <c r="E63" i="39" s="1"/>
  <c r="G65" i="33"/>
  <c r="E64" i="39" s="1"/>
  <c r="S65" i="33"/>
  <c r="O68" i="33"/>
  <c r="Q73" i="33"/>
  <c r="P76" i="33"/>
  <c r="Z76" i="33" s="1"/>
  <c r="G79" i="33"/>
  <c r="T79" i="33"/>
  <c r="BD79" i="33"/>
  <c r="AT79" i="33" s="1"/>
  <c r="BC80" i="33"/>
  <c r="AU80" i="33" s="1"/>
  <c r="N85" i="33"/>
  <c r="W85" i="33" s="1"/>
  <c r="BJ92" i="33"/>
  <c r="AW92" i="33" s="1"/>
  <c r="O92" i="33"/>
  <c r="T92" i="33"/>
  <c r="I93" i="33"/>
  <c r="W93" i="33" s="1"/>
  <c r="U93" i="33"/>
  <c r="AE93" i="33" s="1"/>
  <c r="H99" i="33"/>
  <c r="W99" i="33" s="1"/>
  <c r="T99" i="33"/>
  <c r="BD116" i="33"/>
  <c r="AT116" i="33" s="1"/>
  <c r="BP116" i="33" s="1"/>
  <c r="P116" i="33"/>
  <c r="Z116" i="33" s="1"/>
  <c r="BC116" i="33"/>
  <c r="AU116" i="33" s="1"/>
  <c r="F116" i="33"/>
  <c r="BJ116" i="33"/>
  <c r="AW116" i="33" s="1"/>
  <c r="BH118" i="33"/>
  <c r="BD118" i="33"/>
  <c r="AT118" i="33" s="1"/>
  <c r="BP118" i="33" s="1"/>
  <c r="T118" i="33"/>
  <c r="G118" i="33"/>
  <c r="BI118" i="33"/>
  <c r="U118" i="33"/>
  <c r="AE118" i="33" s="1"/>
  <c r="F118" i="33"/>
  <c r="K220" i="34"/>
  <c r="K221" i="34" s="1"/>
  <c r="O489" i="34"/>
  <c r="O490" i="34" s="1"/>
  <c r="J535" i="34"/>
  <c r="J536" i="34" s="1"/>
  <c r="P82" i="33"/>
  <c r="Z82" i="33" s="1"/>
  <c r="BI82" i="33"/>
  <c r="N87" i="33"/>
  <c r="T87" i="33"/>
  <c r="BH87" i="33"/>
  <c r="N100" i="33"/>
  <c r="T100" i="33"/>
  <c r="BH100" i="33"/>
  <c r="K102" i="33"/>
  <c r="S102" i="33"/>
  <c r="BC102" i="33"/>
  <c r="AU102" i="33" s="1"/>
  <c r="BJ102" i="33"/>
  <c r="AW102" i="33" s="1"/>
  <c r="S105" i="33"/>
  <c r="P106" i="33"/>
  <c r="Z106" i="33" s="1"/>
  <c r="BI106" i="33"/>
  <c r="BC113" i="33"/>
  <c r="AU113" i="33" s="1"/>
  <c r="N113" i="33"/>
  <c r="W113" i="33" s="1"/>
  <c r="T121" i="33"/>
  <c r="G121" i="33"/>
  <c r="S121" i="33"/>
  <c r="BH129" i="33"/>
  <c r="BC129" i="33"/>
  <c r="AU129" i="33" s="1"/>
  <c r="J129" i="33"/>
  <c r="T129" i="33"/>
  <c r="BH136" i="33"/>
  <c r="X14" i="87"/>
  <c r="AQ14" i="87" s="1"/>
  <c r="BR14" i="87" s="1"/>
  <c r="X36" i="87"/>
  <c r="AQ36" i="87" s="1"/>
  <c r="BR36" i="87" s="1"/>
  <c r="X38" i="87"/>
  <c r="AQ38" i="87" s="1"/>
  <c r="BR38" i="87" s="1"/>
  <c r="X45" i="87"/>
  <c r="AQ45" i="87" s="1"/>
  <c r="BR45" i="87" s="1"/>
  <c r="S23" i="87"/>
  <c r="AB23" i="87" s="1"/>
  <c r="AT23" i="87" s="1"/>
  <c r="S16" i="87"/>
  <c r="AB16" i="87" s="1"/>
  <c r="AT16" i="87" s="1"/>
  <c r="BS16" i="87" s="1"/>
  <c r="L268" i="34"/>
  <c r="N156" i="34"/>
  <c r="J156" i="34"/>
  <c r="N268" i="34"/>
  <c r="J268" i="34"/>
  <c r="L156" i="34"/>
  <c r="L403" i="34"/>
  <c r="M370" i="34"/>
  <c r="I370" i="34"/>
  <c r="L115" i="34"/>
  <c r="L52" i="34"/>
  <c r="N403" i="34"/>
  <c r="J403" i="34"/>
  <c r="O370" i="34"/>
  <c r="K370" i="34"/>
  <c r="N115" i="34"/>
  <c r="J115" i="34"/>
  <c r="N52" i="34"/>
  <c r="J52" i="34"/>
  <c r="L610" i="34"/>
  <c r="O584" i="34"/>
  <c r="K584" i="34"/>
  <c r="N610" i="34"/>
  <c r="J610" i="34"/>
  <c r="M584" i="34"/>
  <c r="I584" i="34"/>
  <c r="I590" i="34" s="1"/>
  <c r="I591" i="34" s="1"/>
  <c r="I593" i="34" s="1"/>
  <c r="I597" i="34" s="1"/>
  <c r="I711" i="34" s="1"/>
  <c r="I712" i="34" s="1"/>
  <c r="BH143" i="33"/>
  <c r="H143" i="33"/>
  <c r="AF18" i="87"/>
  <c r="BA18" i="87" s="1"/>
  <c r="BJ142" i="33"/>
  <c r="AW142" i="33" s="1"/>
  <c r="T144" i="33"/>
  <c r="BJ144" i="33"/>
  <c r="AW144" i="33" s="1"/>
  <c r="AF11" i="87"/>
  <c r="BA11" i="87" s="1"/>
  <c r="X15" i="87"/>
  <c r="AQ15" i="87" s="1"/>
  <c r="BR15" i="87" s="1"/>
  <c r="AF26" i="87"/>
  <c r="BA26" i="87" s="1"/>
  <c r="X35" i="87"/>
  <c r="AQ35" i="87" s="1"/>
  <c r="BR35" i="87" s="1"/>
  <c r="I175" i="34"/>
  <c r="I304" i="34"/>
  <c r="I325" i="34"/>
  <c r="I658" i="34" s="1"/>
  <c r="Q112" i="33"/>
  <c r="AA112" i="33" s="1"/>
  <c r="S115" i="33"/>
  <c r="P123" i="33"/>
  <c r="T137" i="33"/>
  <c r="P139" i="33"/>
  <c r="Z139" i="33" s="1"/>
  <c r="BI139" i="33"/>
  <c r="S140" i="33"/>
  <c r="AA18" i="87"/>
  <c r="AS18" i="87" s="1"/>
  <c r="BS18" i="87" s="1"/>
  <c r="BS31" i="87"/>
  <c r="X46" i="87"/>
  <c r="AQ46" i="87" s="1"/>
  <c r="AA47" i="87"/>
  <c r="AS47" i="87" s="1"/>
  <c r="BS47" i="87" s="1"/>
  <c r="I136" i="34"/>
  <c r="I137" i="34"/>
  <c r="A59" i="39"/>
  <c r="A60" i="39" s="1"/>
  <c r="A62" i="39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BS39" i="87"/>
  <c r="BD33" i="87"/>
  <c r="AA10" i="87"/>
  <c r="AS10" i="87" s="1"/>
  <c r="BS10" i="87" s="1"/>
  <c r="AA26" i="87"/>
  <c r="AS26" i="87" s="1"/>
  <c r="BS26" i="87" s="1"/>
  <c r="AA12" i="87"/>
  <c r="AS12" i="87" s="1"/>
  <c r="BS12" i="87" s="1"/>
  <c r="U53" i="31"/>
  <c r="P29" i="30"/>
  <c r="P30" i="30" s="1"/>
  <c r="W65" i="31"/>
  <c r="W73" i="31"/>
  <c r="Z10" i="87"/>
  <c r="AU10" i="87" s="1"/>
  <c r="Z11" i="87"/>
  <c r="AU11" i="87" s="1"/>
  <c r="AD14" i="87"/>
  <c r="Y16" i="87"/>
  <c r="AR16" i="87" s="1"/>
  <c r="BR16" i="87" s="1"/>
  <c r="AD16" i="87"/>
  <c r="AD21" i="87"/>
  <c r="Z24" i="87"/>
  <c r="AU24" i="87" s="1"/>
  <c r="Z33" i="87"/>
  <c r="AU33" i="87" s="1"/>
  <c r="X33" i="87"/>
  <c r="AQ33" i="87" s="1"/>
  <c r="AD44" i="87"/>
  <c r="AD46" i="87"/>
  <c r="P33" i="30"/>
  <c r="C45" i="31"/>
  <c r="C53" i="31" s="1"/>
  <c r="V48" i="31"/>
  <c r="V53" i="31" s="1"/>
  <c r="X73" i="31"/>
  <c r="AD7" i="87"/>
  <c r="AD18" i="87"/>
  <c r="Z21" i="87"/>
  <c r="AU21" i="87" s="1"/>
  <c r="AD30" i="87"/>
  <c r="AD32" i="87"/>
  <c r="Y44" i="87"/>
  <c r="AR44" i="87" s="1"/>
  <c r="BR44" i="87" s="1"/>
  <c r="N26" i="30"/>
  <c r="N29" i="30" s="1"/>
  <c r="N30" i="30" s="1"/>
  <c r="R26" i="30"/>
  <c r="R29" i="30" s="1"/>
  <c r="R30" i="30" s="1"/>
  <c r="Q36" i="30"/>
  <c r="G45" i="31"/>
  <c r="AD11" i="87"/>
  <c r="Y37" i="87"/>
  <c r="AR37" i="87" s="1"/>
  <c r="BR37" i="87" s="1"/>
  <c r="J24" i="34"/>
  <c r="J61" i="34"/>
  <c r="J91" i="34"/>
  <c r="J663" i="34" s="1"/>
  <c r="J599" i="34"/>
  <c r="J343" i="34"/>
  <c r="J336" i="34"/>
  <c r="J326" i="34"/>
  <c r="J678" i="34" s="1"/>
  <c r="J315" i="34"/>
  <c r="J304" i="34" s="1"/>
  <c r="J654" i="34" s="1"/>
  <c r="J290" i="34"/>
  <c r="J348" i="34"/>
  <c r="J338" i="34"/>
  <c r="J319" i="34"/>
  <c r="J307" i="34"/>
  <c r="J673" i="34" s="1"/>
  <c r="J299" i="34"/>
  <c r="J272" i="34"/>
  <c r="J239" i="34"/>
  <c r="J677" i="34" s="1"/>
  <c r="J333" i="34"/>
  <c r="J325" i="34" s="1"/>
  <c r="J331" i="34"/>
  <c r="J274" i="34"/>
  <c r="J271" i="34"/>
  <c r="J279" i="34" s="1"/>
  <c r="J248" i="34"/>
  <c r="AM81" i="31" s="1"/>
  <c r="J247" i="34"/>
  <c r="J237" i="34" s="1"/>
  <c r="J283" i="34"/>
  <c r="J231" i="34"/>
  <c r="J187" i="34"/>
  <c r="J168" i="34"/>
  <c r="J288" i="34"/>
  <c r="J226" i="34"/>
  <c r="J695" i="34" s="1"/>
  <c r="J225" i="34"/>
  <c r="J180" i="34"/>
  <c r="J160" i="34"/>
  <c r="J128" i="34"/>
  <c r="J126" i="34"/>
  <c r="J113" i="34"/>
  <c r="J668" i="34" s="1"/>
  <c r="J107" i="34"/>
  <c r="J105" i="34"/>
  <c r="J66" i="34"/>
  <c r="J60" i="34"/>
  <c r="J57" i="34"/>
  <c r="J49" i="34" s="1"/>
  <c r="J649" i="34" s="1"/>
  <c r="J43" i="34"/>
  <c r="J27" i="34"/>
  <c r="J313" i="34"/>
  <c r="J256" i="34"/>
  <c r="J251" i="34"/>
  <c r="J183" i="34"/>
  <c r="J162" i="34"/>
  <c r="J159" i="34"/>
  <c r="J125" i="34"/>
  <c r="J104" i="34"/>
  <c r="J99" i="34"/>
  <c r="J65" i="34"/>
  <c r="J63" i="34"/>
  <c r="J50" i="34"/>
  <c r="J667" i="34" s="1"/>
  <c r="J38" i="34"/>
  <c r="J37" i="34"/>
  <c r="J36" i="34"/>
  <c r="J35" i="34"/>
  <c r="J31" i="34" s="1"/>
  <c r="J647" i="34" s="1"/>
  <c r="J25" i="34"/>
  <c r="J23" i="34"/>
  <c r="J197" i="34"/>
  <c r="J321" i="34"/>
  <c r="J266" i="34"/>
  <c r="J216" i="34"/>
  <c r="J204" i="34"/>
  <c r="J186" i="34"/>
  <c r="J184" i="34"/>
  <c r="J176" i="34"/>
  <c r="AA61" i="31" s="1"/>
  <c r="H61" i="31" s="1"/>
  <c r="J154" i="34"/>
  <c r="J150" i="34" s="1"/>
  <c r="J124" i="34"/>
  <c r="J103" i="34"/>
  <c r="J82" i="34"/>
  <c r="J62" i="34"/>
  <c r="K4" i="34"/>
  <c r="J5" i="34"/>
  <c r="J19" i="34"/>
  <c r="J11" i="34" s="1"/>
  <c r="J645" i="34" s="1"/>
  <c r="J22" i="34"/>
  <c r="J74" i="34"/>
  <c r="J75" i="34"/>
  <c r="AM77" i="31" s="1"/>
  <c r="I77" i="31" s="1"/>
  <c r="J76" i="34"/>
  <c r="AM78" i="31" s="1"/>
  <c r="I78" i="31" s="1"/>
  <c r="J77" i="34"/>
  <c r="I15" i="34"/>
  <c r="I116" i="34"/>
  <c r="I149" i="34"/>
  <c r="O57" i="31" s="1"/>
  <c r="G9" i="30" s="1"/>
  <c r="I312" i="34"/>
  <c r="I320" i="34" s="1"/>
  <c r="I538" i="34"/>
  <c r="I537" i="34"/>
  <c r="I460" i="34"/>
  <c r="I556" i="34"/>
  <c r="I428" i="34"/>
  <c r="I557" i="34"/>
  <c r="I492" i="34"/>
  <c r="I459" i="34"/>
  <c r="I356" i="34"/>
  <c r="I330" i="34"/>
  <c r="I337" i="34" s="1"/>
  <c r="I585" i="34"/>
  <c r="I510" i="34"/>
  <c r="I427" i="34"/>
  <c r="I392" i="34"/>
  <c r="I349" i="34"/>
  <c r="I244" i="34"/>
  <c r="I250" i="34" s="1"/>
  <c r="I287" i="34"/>
  <c r="I294" i="34" s="1"/>
  <c r="I271" i="34"/>
  <c r="I279" i="34" s="1"/>
  <c r="I222" i="34"/>
  <c r="I230" i="34" s="1"/>
  <c r="I179" i="34"/>
  <c r="I94" i="34"/>
  <c r="I102" i="34" s="1"/>
  <c r="I133" i="34" s="1"/>
  <c r="I509" i="34"/>
  <c r="I95" i="34"/>
  <c r="I112" i="34"/>
  <c r="I650" i="34" s="1"/>
  <c r="I193" i="34"/>
  <c r="I518" i="34"/>
  <c r="I517" i="34"/>
  <c r="I513" i="34"/>
  <c r="I504" i="34" s="1"/>
  <c r="I501" i="34"/>
  <c r="I500" i="34"/>
  <c r="I495" i="34"/>
  <c r="I464" i="34"/>
  <c r="I451" i="34" s="1"/>
  <c r="I438" i="34"/>
  <c r="I565" i="34"/>
  <c r="I546" i="34"/>
  <c r="I523" i="34"/>
  <c r="I470" i="34"/>
  <c r="I467" i="34"/>
  <c r="I444" i="34"/>
  <c r="I432" i="34"/>
  <c r="I419" i="34" s="1"/>
  <c r="I505" i="34"/>
  <c r="I680" i="34" s="1"/>
  <c r="I390" i="34"/>
  <c r="I666" i="34" s="1"/>
  <c r="I379" i="34"/>
  <c r="I560" i="34"/>
  <c r="I551" i="34" s="1"/>
  <c r="I461" i="34"/>
  <c r="I454" i="34"/>
  <c r="I422" i="34"/>
  <c r="I397" i="34"/>
  <c r="I382" i="34"/>
  <c r="I369" i="34"/>
  <c r="I670" i="34" s="1"/>
  <c r="I361" i="34"/>
  <c r="I486" i="34"/>
  <c r="I435" i="34"/>
  <c r="I429" i="34"/>
  <c r="I412" i="34"/>
  <c r="I374" i="34"/>
  <c r="I570" i="34"/>
  <c r="I552" i="34"/>
  <c r="I681" i="34" s="1"/>
  <c r="I532" i="34"/>
  <c r="I676" i="34" s="1"/>
  <c r="I354" i="34"/>
  <c r="I564" i="34"/>
  <c r="I541" i="34"/>
  <c r="I407" i="34"/>
  <c r="I402" i="34"/>
  <c r="I198" i="34"/>
  <c r="I238" i="34"/>
  <c r="I282" i="34"/>
  <c r="J282" i="34"/>
  <c r="I278" i="34"/>
  <c r="P589" i="34"/>
  <c r="I483" i="34"/>
  <c r="I496" i="34" s="1"/>
  <c r="O42" i="30"/>
  <c r="O45" i="30" s="1"/>
  <c r="AT82" i="31"/>
  <c r="AX82" i="31"/>
  <c r="AD8" i="87"/>
  <c r="Z8" i="87"/>
  <c r="AU8" i="87" s="1"/>
  <c r="X8" i="87"/>
  <c r="AQ8" i="87" s="1"/>
  <c r="BR8" i="87" s="1"/>
  <c r="BS25" i="87"/>
  <c r="AA8" i="87"/>
  <c r="AS8" i="87" s="1"/>
  <c r="BS8" i="87" s="1"/>
  <c r="AV7" i="87"/>
  <c r="AS76" i="31" s="1"/>
  <c r="AX7" i="87"/>
  <c r="BR7" i="87"/>
  <c r="Z9" i="87"/>
  <c r="AU9" i="87" s="1"/>
  <c r="AD9" i="87"/>
  <c r="X11" i="87"/>
  <c r="AQ11" i="87" s="1"/>
  <c r="BR11" i="87" s="1"/>
  <c r="Z15" i="87"/>
  <c r="AU15" i="87" s="1"/>
  <c r="AD15" i="87"/>
  <c r="BS15" i="87"/>
  <c r="BS17" i="87"/>
  <c r="Z19" i="87"/>
  <c r="AU19" i="87" s="1"/>
  <c r="D21" i="87"/>
  <c r="AA23" i="87"/>
  <c r="AS23" i="87" s="1"/>
  <c r="BD11" i="87"/>
  <c r="AZ11" i="87"/>
  <c r="Z12" i="87"/>
  <c r="AU12" i="87" s="1"/>
  <c r="AD12" i="87"/>
  <c r="X17" i="87"/>
  <c r="AQ17" i="87" s="1"/>
  <c r="BR17" i="87" s="1"/>
  <c r="BD19" i="87"/>
  <c r="X22" i="87"/>
  <c r="AQ22" i="87" s="1"/>
  <c r="BR22" i="87" s="1"/>
  <c r="BD23" i="87"/>
  <c r="X25" i="87"/>
  <c r="AQ25" i="87" s="1"/>
  <c r="BR25" i="87" s="1"/>
  <c r="AD26" i="87"/>
  <c r="Z26" i="87"/>
  <c r="AU26" i="87" s="1"/>
  <c r="X26" i="87"/>
  <c r="AQ26" i="87" s="1"/>
  <c r="BR26" i="87" s="1"/>
  <c r="AD29" i="87"/>
  <c r="Z29" i="87"/>
  <c r="AU29" i="87" s="1"/>
  <c r="X29" i="87"/>
  <c r="AQ29" i="87" s="1"/>
  <c r="BR29" i="87" s="1"/>
  <c r="AB30" i="87"/>
  <c r="AT30" i="87" s="1"/>
  <c r="BS22" i="87"/>
  <c r="BS24" i="87"/>
  <c r="AD25" i="87"/>
  <c r="BS32" i="87"/>
  <c r="X7" i="87"/>
  <c r="AQ7" i="87" s="1"/>
  <c r="AZ8" i="87"/>
  <c r="Y9" i="87"/>
  <c r="AR9" i="87" s="1"/>
  <c r="BR9" i="87" s="1"/>
  <c r="AV9" i="87"/>
  <c r="AS80" i="31" s="1"/>
  <c r="AK44" i="30" s="1"/>
  <c r="X10" i="87"/>
  <c r="AQ10" i="87" s="1"/>
  <c r="BR10" i="87" s="1"/>
  <c r="AZ10" i="87"/>
  <c r="X12" i="87"/>
  <c r="AQ12" i="87" s="1"/>
  <c r="BR12" i="87" s="1"/>
  <c r="Z17" i="87"/>
  <c r="AU17" i="87" s="1"/>
  <c r="BR19" i="87"/>
  <c r="Z22" i="87"/>
  <c r="AU22" i="87" s="1"/>
  <c r="Z23" i="87"/>
  <c r="AU23" i="87" s="1"/>
  <c r="AD31" i="87"/>
  <c r="Z31" i="87"/>
  <c r="AU31" i="87" s="1"/>
  <c r="X31" i="87"/>
  <c r="AQ31" i="87" s="1"/>
  <c r="BR31" i="87" s="1"/>
  <c r="BS38" i="87"/>
  <c r="Z42" i="87"/>
  <c r="AU42" i="87" s="1"/>
  <c r="AD42" i="87"/>
  <c r="X43" i="87"/>
  <c r="AQ43" i="87" s="1"/>
  <c r="BR43" i="87" s="1"/>
  <c r="BS43" i="87"/>
  <c r="Z45" i="87"/>
  <c r="AU45" i="87" s="1"/>
  <c r="AD45" i="87"/>
  <c r="Z47" i="87"/>
  <c r="AU47" i="87" s="1"/>
  <c r="AD47" i="87"/>
  <c r="Z28" i="87"/>
  <c r="AU28" i="87" s="1"/>
  <c r="AD28" i="87"/>
  <c r="BS28" i="87"/>
  <c r="AA30" i="87"/>
  <c r="AS30" i="87" s="1"/>
  <c r="Z35" i="87"/>
  <c r="AU35" i="87" s="1"/>
  <c r="AD35" i="87"/>
  <c r="Z36" i="87"/>
  <c r="AU36" i="87" s="1"/>
  <c r="AD36" i="87"/>
  <c r="Z39" i="87"/>
  <c r="AU39" i="87" s="1"/>
  <c r="AD39" i="87"/>
  <c r="Z40" i="87"/>
  <c r="AU40" i="87" s="1"/>
  <c r="AD40" i="87"/>
  <c r="BD43" i="87"/>
  <c r="BD32" i="87"/>
  <c r="BE32" i="87" s="1"/>
  <c r="BD35" i="87"/>
  <c r="Z43" i="87"/>
  <c r="AU43" i="87" s="1"/>
  <c r="Z37" i="87"/>
  <c r="AU37" i="87" s="1"/>
  <c r="BD46" i="87"/>
  <c r="BE46" i="87" s="1"/>
  <c r="C75" i="33"/>
  <c r="C76" i="33" s="1"/>
  <c r="C77" i="33" s="1"/>
  <c r="C78" i="33" s="1"/>
  <c r="C79" i="33" s="1"/>
  <c r="C80" i="33" s="1"/>
  <c r="C81" i="33" s="1"/>
  <c r="C82" i="33" s="1"/>
  <c r="C83" i="33" s="1"/>
  <c r="C72" i="33"/>
  <c r="C73" i="33" s="1"/>
  <c r="B21" i="39"/>
  <c r="BJ22" i="33"/>
  <c r="BF22" i="33"/>
  <c r="AT22" i="33"/>
  <c r="V22" i="33"/>
  <c r="R22" i="33"/>
  <c r="BH22" i="33"/>
  <c r="BD22" i="33"/>
  <c r="AV22" i="33"/>
  <c r="K22" i="33"/>
  <c r="BI22" i="33"/>
  <c r="AW22" i="33"/>
  <c r="BG22" i="33"/>
  <c r="AU22" i="33"/>
  <c r="BE22" i="33"/>
  <c r="BC22" i="33"/>
  <c r="L22" i="33"/>
  <c r="B14" i="39"/>
  <c r="BI15" i="33"/>
  <c r="BE15" i="33"/>
  <c r="AW15" i="33"/>
  <c r="L15" i="33"/>
  <c r="K15" i="33"/>
  <c r="R15" i="33"/>
  <c r="AT15" i="33"/>
  <c r="BC15" i="33"/>
  <c r="BH15" i="33"/>
  <c r="G7" i="33"/>
  <c r="N7" i="33"/>
  <c r="AW7" i="33"/>
  <c r="BE7" i="33"/>
  <c r="BI7" i="33"/>
  <c r="K8" i="33"/>
  <c r="P8" i="33"/>
  <c r="T8" i="33"/>
  <c r="AU8" i="33"/>
  <c r="BC8" i="33"/>
  <c r="BG8" i="33"/>
  <c r="G9" i="33"/>
  <c r="E8" i="39" s="1"/>
  <c r="L9" i="33"/>
  <c r="Q9" i="33"/>
  <c r="U9" i="33"/>
  <c r="AE9" i="33" s="1"/>
  <c r="AW9" i="33"/>
  <c r="BE9" i="33"/>
  <c r="BI9" i="33"/>
  <c r="O10" i="33"/>
  <c r="S10" i="33"/>
  <c r="AW10" i="33"/>
  <c r="BF10" i="33"/>
  <c r="AV11" i="33"/>
  <c r="BE11" i="33"/>
  <c r="P12" i="33"/>
  <c r="BC12" i="33"/>
  <c r="C12" i="39"/>
  <c r="U13" i="33"/>
  <c r="AE13" i="33" s="1"/>
  <c r="Q13" i="33"/>
  <c r="F13" i="33"/>
  <c r="D12" i="39" s="1"/>
  <c r="N13" i="33"/>
  <c r="S13" i="33"/>
  <c r="AU13" i="33"/>
  <c r="BD13" i="33"/>
  <c r="BJ13" i="33"/>
  <c r="C13" i="39"/>
  <c r="S14" i="33"/>
  <c r="O14" i="33"/>
  <c r="L14" i="33"/>
  <c r="AT14" i="33"/>
  <c r="BD14" i="33"/>
  <c r="BI14" i="33"/>
  <c r="C14" i="39"/>
  <c r="U15" i="33"/>
  <c r="AE15" i="33" s="1"/>
  <c r="Q15" i="33"/>
  <c r="F15" i="33"/>
  <c r="D14" i="39" s="1"/>
  <c r="N15" i="33"/>
  <c r="S15" i="33"/>
  <c r="AU15" i="33"/>
  <c r="BD15" i="33"/>
  <c r="BJ15" i="33"/>
  <c r="AU17" i="33"/>
  <c r="BE17" i="33"/>
  <c r="C20" i="39"/>
  <c r="S21" i="33"/>
  <c r="O21" i="33"/>
  <c r="U21" i="33"/>
  <c r="AE21" i="33" s="1"/>
  <c r="Q21" i="33"/>
  <c r="F21" i="33"/>
  <c r="D20" i="39" s="1"/>
  <c r="P21" i="33"/>
  <c r="C26" i="39"/>
  <c r="S27" i="33"/>
  <c r="O27" i="33"/>
  <c r="N27" i="33"/>
  <c r="G27" i="33"/>
  <c r="E26" i="39" s="1"/>
  <c r="U27" i="33"/>
  <c r="AE27" i="33" s="1"/>
  <c r="Q27" i="33"/>
  <c r="F27" i="33"/>
  <c r="D26" i="39" s="1"/>
  <c r="L8" i="33"/>
  <c r="AA8" i="33" s="1"/>
  <c r="AV8" i="33"/>
  <c r="BD8" i="33"/>
  <c r="BH8" i="33"/>
  <c r="R9" i="33"/>
  <c r="V9" i="33"/>
  <c r="AT9" i="33"/>
  <c r="BF9" i="33"/>
  <c r="BJ9" i="33"/>
  <c r="K10" i="33"/>
  <c r="Z10" i="33" s="1"/>
  <c r="B10" i="39"/>
  <c r="BG11" i="33"/>
  <c r="BC11" i="33"/>
  <c r="AU11" i="33"/>
  <c r="K11" i="33"/>
  <c r="H11" i="33"/>
  <c r="V11" i="33"/>
  <c r="AW11" i="33"/>
  <c r="BF11" i="33"/>
  <c r="B11" i="39"/>
  <c r="BJ12" i="33"/>
  <c r="BF12" i="33"/>
  <c r="AT12" i="33"/>
  <c r="V12" i="33"/>
  <c r="R12" i="33"/>
  <c r="K12" i="33"/>
  <c r="AU12" i="33"/>
  <c r="BD12" i="33"/>
  <c r="BI12" i="33"/>
  <c r="AV13" i="33"/>
  <c r="AV15" i="33"/>
  <c r="BF15" i="33"/>
  <c r="C17" i="39"/>
  <c r="U18" i="33"/>
  <c r="AE18" i="33" s="1"/>
  <c r="Q18" i="33"/>
  <c r="F18" i="33"/>
  <c r="D17" i="39" s="1"/>
  <c r="S18" i="33"/>
  <c r="O18" i="33"/>
  <c r="P18" i="33"/>
  <c r="C19" i="39"/>
  <c r="T20" i="33"/>
  <c r="P20" i="33"/>
  <c r="F20" i="33"/>
  <c r="D19" i="39" s="1"/>
  <c r="N20" i="33"/>
  <c r="O20" i="33"/>
  <c r="C22" i="39"/>
  <c r="U23" i="33"/>
  <c r="AE23" i="33" s="1"/>
  <c r="Q23" i="33"/>
  <c r="F23" i="33"/>
  <c r="D22" i="39" s="1"/>
  <c r="S23" i="33"/>
  <c r="O23" i="33"/>
  <c r="P23" i="33"/>
  <c r="P29" i="33"/>
  <c r="B9" i="39"/>
  <c r="BI10" i="33"/>
  <c r="BE10" i="33"/>
  <c r="AT10" i="33"/>
  <c r="R10" i="33"/>
  <c r="V10" i="33"/>
  <c r="AV10" i="33"/>
  <c r="BD10" i="33"/>
  <c r="BJ10" i="33"/>
  <c r="B12" i="39"/>
  <c r="BI13" i="33"/>
  <c r="BE13" i="33"/>
  <c r="AW13" i="33"/>
  <c r="L13" i="33"/>
  <c r="K13" i="33"/>
  <c r="Z13" i="33" s="1"/>
  <c r="R13" i="33"/>
  <c r="AT13" i="33"/>
  <c r="BP13" i="33" s="1"/>
  <c r="BC13" i="33"/>
  <c r="BH13" i="33"/>
  <c r="K7" i="33"/>
  <c r="P7" i="33"/>
  <c r="Z7" i="33" s="1"/>
  <c r="T7" i="33"/>
  <c r="AU7" i="33"/>
  <c r="BC7" i="33"/>
  <c r="BG7" i="33"/>
  <c r="R8" i="33"/>
  <c r="V8" i="33"/>
  <c r="AW8" i="33"/>
  <c r="BE8" i="33"/>
  <c r="BI8" i="33"/>
  <c r="O9" i="33"/>
  <c r="S9" i="33"/>
  <c r="AU9" i="33"/>
  <c r="BC9" i="33"/>
  <c r="BG9" i="33"/>
  <c r="L10" i="33"/>
  <c r="AA10" i="33" s="1"/>
  <c r="AU10" i="33"/>
  <c r="BC10" i="33"/>
  <c r="BH10" i="33"/>
  <c r="L11" i="33"/>
  <c r="AA11" i="33" s="1"/>
  <c r="R11" i="33"/>
  <c r="BH11" i="33"/>
  <c r="C11" i="39"/>
  <c r="N12" i="33"/>
  <c r="L12" i="33"/>
  <c r="S12" i="33"/>
  <c r="AV12" i="33"/>
  <c r="BE12" i="33"/>
  <c r="H13" i="33"/>
  <c r="V13" i="33"/>
  <c r="BG13" i="33"/>
  <c r="H15" i="33"/>
  <c r="V15" i="33"/>
  <c r="BG15" i="33"/>
  <c r="B16" i="39"/>
  <c r="D27" i="33"/>
  <c r="D21" i="33"/>
  <c r="D19" i="33"/>
  <c r="BJ17" i="33"/>
  <c r="D25" i="33"/>
  <c r="D23" i="33"/>
  <c r="D20" i="33"/>
  <c r="D18" i="33"/>
  <c r="BH17" i="33"/>
  <c r="BD17" i="33"/>
  <c r="BP17" i="33" s="1"/>
  <c r="AV17" i="33"/>
  <c r="K17" i="33"/>
  <c r="H17" i="33"/>
  <c r="V17" i="33"/>
  <c r="BG17" i="33"/>
  <c r="G18" i="33"/>
  <c r="E17" i="39" s="1"/>
  <c r="C18" i="39"/>
  <c r="N19" i="33"/>
  <c r="T19" i="33"/>
  <c r="P19" i="33"/>
  <c r="F19" i="33"/>
  <c r="D18" i="39" s="1"/>
  <c r="O19" i="33"/>
  <c r="G20" i="33"/>
  <c r="E19" i="39" s="1"/>
  <c r="Q20" i="33"/>
  <c r="T21" i="33"/>
  <c r="G23" i="33"/>
  <c r="E22" i="39" s="1"/>
  <c r="D24" i="33"/>
  <c r="P27" i="33"/>
  <c r="H8" i="33"/>
  <c r="AT8" i="33"/>
  <c r="BF8" i="33"/>
  <c r="BJ8" i="33"/>
  <c r="T18" i="33"/>
  <c r="S20" i="33"/>
  <c r="T23" i="33"/>
  <c r="C28" i="39"/>
  <c r="S29" i="33"/>
  <c r="O29" i="33"/>
  <c r="N29" i="33"/>
  <c r="G29" i="33"/>
  <c r="U29" i="33"/>
  <c r="AE29" i="33" s="1"/>
  <c r="Q29" i="33"/>
  <c r="F29" i="33"/>
  <c r="P11" i="33"/>
  <c r="T11" i="33"/>
  <c r="I14" i="33"/>
  <c r="AU14" i="33"/>
  <c r="BC14" i="33"/>
  <c r="BG14" i="33"/>
  <c r="P17" i="33"/>
  <c r="T17" i="33"/>
  <c r="P22" i="33"/>
  <c r="T22" i="33"/>
  <c r="P24" i="33"/>
  <c r="T24" i="33"/>
  <c r="G25" i="33"/>
  <c r="E24" i="39" s="1"/>
  <c r="N25" i="33"/>
  <c r="P28" i="33"/>
  <c r="T28" i="33"/>
  <c r="N30" i="33"/>
  <c r="F31" i="33"/>
  <c r="D30" i="39" s="1"/>
  <c r="P31" i="33"/>
  <c r="T31" i="33"/>
  <c r="G32" i="33"/>
  <c r="E31" i="39" s="1"/>
  <c r="N32" i="33"/>
  <c r="O33" i="33"/>
  <c r="S33" i="33"/>
  <c r="G34" i="33"/>
  <c r="E33" i="39" s="1"/>
  <c r="Q34" i="33"/>
  <c r="U34" i="33"/>
  <c r="AE34" i="33" s="1"/>
  <c r="O35" i="33"/>
  <c r="S35" i="33"/>
  <c r="C35" i="39"/>
  <c r="S36" i="33"/>
  <c r="P36" i="33"/>
  <c r="U36" i="33"/>
  <c r="AE36" i="33" s="1"/>
  <c r="F40" i="33"/>
  <c r="D39" i="39" s="1"/>
  <c r="Q40" i="33"/>
  <c r="C41" i="39"/>
  <c r="U42" i="33"/>
  <c r="AE42" i="33" s="1"/>
  <c r="Q42" i="33"/>
  <c r="G42" i="33"/>
  <c r="E41" i="39" s="1"/>
  <c r="S42" i="33"/>
  <c r="N42" i="33"/>
  <c r="F42" i="33"/>
  <c r="D41" i="39" s="1"/>
  <c r="P42" i="33"/>
  <c r="C42" i="39"/>
  <c r="U43" i="33"/>
  <c r="AE43" i="33" s="1"/>
  <c r="Q43" i="33"/>
  <c r="G43" i="33"/>
  <c r="E42" i="39" s="1"/>
  <c r="S43" i="33"/>
  <c r="N43" i="33"/>
  <c r="F43" i="33"/>
  <c r="D42" i="39" s="1"/>
  <c r="T43" i="33"/>
  <c r="P43" i="33"/>
  <c r="C43" i="39"/>
  <c r="S44" i="33"/>
  <c r="O44" i="33"/>
  <c r="U44" i="33"/>
  <c r="AE44" i="33" s="1"/>
  <c r="P44" i="33"/>
  <c r="G44" i="33"/>
  <c r="E43" i="39" s="1"/>
  <c r="Q44" i="33"/>
  <c r="F44" i="33"/>
  <c r="D43" i="39" s="1"/>
  <c r="F52" i="33"/>
  <c r="D51" i="39" s="1"/>
  <c r="S52" i="33"/>
  <c r="O30" i="33"/>
  <c r="S30" i="33"/>
  <c r="G31" i="33"/>
  <c r="E30" i="39" s="1"/>
  <c r="Q31" i="33"/>
  <c r="U31" i="33"/>
  <c r="AE31" i="33" s="1"/>
  <c r="P33" i="33"/>
  <c r="T33" i="33"/>
  <c r="P35" i="33"/>
  <c r="T35" i="33"/>
  <c r="C48" i="39"/>
  <c r="U49" i="33"/>
  <c r="AE49" i="33" s="1"/>
  <c r="Q49" i="33"/>
  <c r="F49" i="33"/>
  <c r="D48" i="39" s="1"/>
  <c r="T49" i="33"/>
  <c r="O49" i="33"/>
  <c r="G49" i="33"/>
  <c r="E48" i="39" s="1"/>
  <c r="S49" i="33"/>
  <c r="U52" i="33"/>
  <c r="AE52" i="33" s="1"/>
  <c r="P25" i="33"/>
  <c r="T25" i="33"/>
  <c r="F30" i="33"/>
  <c r="D29" i="39" s="1"/>
  <c r="P30" i="33"/>
  <c r="T30" i="33"/>
  <c r="N31" i="33"/>
  <c r="P32" i="33"/>
  <c r="T32" i="33"/>
  <c r="F33" i="33"/>
  <c r="D32" i="39" s="1"/>
  <c r="Q33" i="33"/>
  <c r="U33" i="33"/>
  <c r="AE33" i="33" s="1"/>
  <c r="O34" i="33"/>
  <c r="S34" i="33"/>
  <c r="F35" i="33"/>
  <c r="D34" i="39" s="1"/>
  <c r="Q35" i="33"/>
  <c r="U35" i="33"/>
  <c r="AE35" i="33" s="1"/>
  <c r="C44" i="39"/>
  <c r="U45" i="33"/>
  <c r="AE45" i="33" s="1"/>
  <c r="Q45" i="33"/>
  <c r="F45" i="33"/>
  <c r="D44" i="39" s="1"/>
  <c r="P45" i="33"/>
  <c r="S45" i="33"/>
  <c r="C50" i="39"/>
  <c r="S51" i="33"/>
  <c r="O51" i="33"/>
  <c r="U51" i="33"/>
  <c r="AE51" i="33" s="1"/>
  <c r="P51" i="33"/>
  <c r="G51" i="33"/>
  <c r="E50" i="39" s="1"/>
  <c r="Q51" i="33"/>
  <c r="O31" i="33"/>
  <c r="S31" i="33"/>
  <c r="C39" i="39"/>
  <c r="S40" i="33"/>
  <c r="O40" i="33"/>
  <c r="U40" i="33"/>
  <c r="AE40" i="33" s="1"/>
  <c r="P40" i="33"/>
  <c r="G40" i="33"/>
  <c r="E39" i="39" s="1"/>
  <c r="N40" i="33"/>
  <c r="C51" i="39"/>
  <c r="N52" i="33"/>
  <c r="G52" i="33"/>
  <c r="E51" i="39" s="1"/>
  <c r="Q52" i="33"/>
  <c r="T52" i="33"/>
  <c r="P52" i="33"/>
  <c r="C36" i="39"/>
  <c r="U37" i="33"/>
  <c r="AE37" i="33" s="1"/>
  <c r="Q37" i="33"/>
  <c r="F37" i="33"/>
  <c r="D36" i="39" s="1"/>
  <c r="N37" i="33"/>
  <c r="S37" i="33"/>
  <c r="C46" i="39"/>
  <c r="U47" i="33"/>
  <c r="AE47" i="33" s="1"/>
  <c r="Q47" i="33"/>
  <c r="F47" i="33"/>
  <c r="D46" i="39" s="1"/>
  <c r="T47" i="33"/>
  <c r="O47" i="33"/>
  <c r="G47" i="33"/>
  <c r="E46" i="39" s="1"/>
  <c r="P47" i="33"/>
  <c r="C54" i="39"/>
  <c r="U55" i="33"/>
  <c r="AE55" i="33" s="1"/>
  <c r="Q55" i="33"/>
  <c r="G55" i="33"/>
  <c r="E54" i="39" s="1"/>
  <c r="T55" i="33"/>
  <c r="O55" i="33"/>
  <c r="N55" i="33"/>
  <c r="C58" i="39"/>
  <c r="N59" i="33"/>
  <c r="G59" i="33"/>
  <c r="E58" i="39" s="1"/>
  <c r="U59" i="33"/>
  <c r="AE59" i="33" s="1"/>
  <c r="P59" i="33"/>
  <c r="O59" i="33"/>
  <c r="C55" i="39"/>
  <c r="S56" i="33"/>
  <c r="O56" i="33"/>
  <c r="Q56" i="33"/>
  <c r="N56" i="33"/>
  <c r="U56" i="33"/>
  <c r="AE56" i="33" s="1"/>
  <c r="C60" i="39"/>
  <c r="S61" i="33"/>
  <c r="O61" i="33"/>
  <c r="Q61" i="33"/>
  <c r="N61" i="33"/>
  <c r="U61" i="33"/>
  <c r="AE61" i="33" s="1"/>
  <c r="C65" i="39"/>
  <c r="U66" i="33"/>
  <c r="AE66" i="33" s="1"/>
  <c r="Q66" i="33"/>
  <c r="G66" i="33"/>
  <c r="E65" i="39" s="1"/>
  <c r="P66" i="33"/>
  <c r="S66" i="33"/>
  <c r="T66" i="33"/>
  <c r="C69" i="39"/>
  <c r="T70" i="33"/>
  <c r="P70" i="33"/>
  <c r="F70" i="33"/>
  <c r="D69" i="39" s="1"/>
  <c r="U70" i="33"/>
  <c r="AE70" i="33" s="1"/>
  <c r="O70" i="33"/>
  <c r="S70" i="33"/>
  <c r="F56" i="33"/>
  <c r="D55" i="39" s="1"/>
  <c r="P56" i="33"/>
  <c r="F61" i="33"/>
  <c r="D60" i="39" s="1"/>
  <c r="P61" i="33"/>
  <c r="F66" i="33"/>
  <c r="D65" i="39" s="1"/>
  <c r="G70" i="33"/>
  <c r="E69" i="39" s="1"/>
  <c r="C68" i="39"/>
  <c r="S69" i="33"/>
  <c r="O69" i="33"/>
  <c r="T69" i="33"/>
  <c r="N69" i="33"/>
  <c r="F69" i="33"/>
  <c r="D68" i="39" s="1"/>
  <c r="P69" i="33"/>
  <c r="O75" i="33"/>
  <c r="G77" i="33"/>
  <c r="C66" i="39"/>
  <c r="U67" i="33"/>
  <c r="AE67" i="33" s="1"/>
  <c r="Q67" i="33"/>
  <c r="G67" i="33"/>
  <c r="E66" i="39" s="1"/>
  <c r="P67" i="33"/>
  <c r="N67" i="33"/>
  <c r="T67" i="33"/>
  <c r="C72" i="39"/>
  <c r="S73" i="33"/>
  <c r="O73" i="33"/>
  <c r="T73" i="33"/>
  <c r="N73" i="33"/>
  <c r="F73" i="33"/>
  <c r="D72" i="39" s="1"/>
  <c r="P73" i="33"/>
  <c r="BG75" i="33"/>
  <c r="N75" i="33"/>
  <c r="F75" i="33"/>
  <c r="BI75" i="33"/>
  <c r="U75" i="33"/>
  <c r="AE75" i="33" s="1"/>
  <c r="P75" i="33"/>
  <c r="G75" i="33"/>
  <c r="Q75" i="33"/>
  <c r="AA75" i="33" s="1"/>
  <c r="BD75" i="33"/>
  <c r="AT75" i="33" s="1"/>
  <c r="BP75" i="33" s="1"/>
  <c r="N77" i="33"/>
  <c r="W77" i="33" s="1"/>
  <c r="BJ77" i="33"/>
  <c r="AW77" i="33" s="1"/>
  <c r="BD77" i="33"/>
  <c r="AT77" i="33" s="1"/>
  <c r="BP77" i="33" s="1"/>
  <c r="T77" i="33"/>
  <c r="P77" i="33"/>
  <c r="Z77" i="33" s="1"/>
  <c r="F77" i="33"/>
  <c r="BI77" i="33"/>
  <c r="U77" i="33"/>
  <c r="AE77" i="33" s="1"/>
  <c r="O77" i="33"/>
  <c r="BG77" i="33"/>
  <c r="Q77" i="33"/>
  <c r="AA77" i="33" s="1"/>
  <c r="S77" i="33"/>
  <c r="BI81" i="33"/>
  <c r="BC81" i="33"/>
  <c r="AU81" i="33" s="1"/>
  <c r="N81" i="33"/>
  <c r="I81" i="33"/>
  <c r="BD81" i="33"/>
  <c r="AT81" i="33" s="1"/>
  <c r="BP81" i="33" s="1"/>
  <c r="T81" i="33"/>
  <c r="O81" i="33"/>
  <c r="F81" i="33"/>
  <c r="P81" i="33"/>
  <c r="BJ81" i="33"/>
  <c r="AW81" i="33" s="1"/>
  <c r="P39" i="33"/>
  <c r="T39" i="33"/>
  <c r="C45" i="39"/>
  <c r="N46" i="33"/>
  <c r="Q46" i="33"/>
  <c r="C52" i="39"/>
  <c r="U53" i="33"/>
  <c r="AE53" i="33" s="1"/>
  <c r="Q53" i="33"/>
  <c r="F53" i="33"/>
  <c r="D52" i="39" s="1"/>
  <c r="N53" i="33"/>
  <c r="S53" i="33"/>
  <c r="C56" i="39"/>
  <c r="N57" i="33"/>
  <c r="S57" i="33"/>
  <c r="C62" i="39"/>
  <c r="N63" i="33"/>
  <c r="G63" i="33"/>
  <c r="E62" i="39" s="1"/>
  <c r="S63" i="33"/>
  <c r="C63" i="39"/>
  <c r="S64" i="33"/>
  <c r="O64" i="33"/>
  <c r="C70" i="39"/>
  <c r="S71" i="33"/>
  <c r="O71" i="33"/>
  <c r="C71" i="39"/>
  <c r="U72" i="33"/>
  <c r="AE72" i="33" s="1"/>
  <c r="Q72" i="33"/>
  <c r="F72" i="33"/>
  <c r="D71" i="39" s="1"/>
  <c r="N72" i="33"/>
  <c r="S72" i="33"/>
  <c r="BJ76" i="33"/>
  <c r="BD76" i="33"/>
  <c r="AT76" i="33" s="1"/>
  <c r="BP76" i="33" s="1"/>
  <c r="N76" i="33"/>
  <c r="W76" i="33" s="1"/>
  <c r="F76" i="33"/>
  <c r="O76" i="33"/>
  <c r="T76" i="33"/>
  <c r="BG76" i="33"/>
  <c r="BI78" i="33"/>
  <c r="BC78" i="33"/>
  <c r="AU78" i="33" s="1"/>
  <c r="T78" i="33"/>
  <c r="P78" i="33"/>
  <c r="K78" i="33"/>
  <c r="F78" i="33"/>
  <c r="BG78" i="33"/>
  <c r="S78" i="33"/>
  <c r="N78" i="33"/>
  <c r="W78" i="33" s="1"/>
  <c r="G78" i="33"/>
  <c r="O78" i="33"/>
  <c r="BG80" i="33"/>
  <c r="U80" i="33"/>
  <c r="AE80" i="33" s="1"/>
  <c r="Q80" i="33"/>
  <c r="AA80" i="33" s="1"/>
  <c r="G80" i="33"/>
  <c r="BI80" i="33"/>
  <c r="T80" i="33"/>
  <c r="O80" i="33"/>
  <c r="BH80" i="33"/>
  <c r="J81" i="33"/>
  <c r="Q81" i="33"/>
  <c r="BJ83" i="33"/>
  <c r="AW83" i="33" s="1"/>
  <c r="BD83" i="33"/>
  <c r="AT83" i="33" s="1"/>
  <c r="BP83" i="33" s="1"/>
  <c r="N83" i="33"/>
  <c r="F83" i="33"/>
  <c r="BH83" i="33"/>
  <c r="U83" i="33"/>
  <c r="AE83" i="33" s="1"/>
  <c r="P83" i="33"/>
  <c r="G83" i="33"/>
  <c r="Q83" i="33"/>
  <c r="AA83" i="33" s="1"/>
  <c r="BC83" i="33"/>
  <c r="BI104" i="33"/>
  <c r="BC104" i="33"/>
  <c r="AU104" i="33" s="1"/>
  <c r="T104" i="33"/>
  <c r="P104" i="33"/>
  <c r="Z104" i="33" s="1"/>
  <c r="F104" i="33"/>
  <c r="BG104" i="33"/>
  <c r="S104" i="33"/>
  <c r="N104" i="33"/>
  <c r="W104" i="33" s="1"/>
  <c r="BD104" i="33"/>
  <c r="AT104" i="33" s="1"/>
  <c r="BP104" i="33" s="1"/>
  <c r="Q104" i="33"/>
  <c r="AA104" i="33" s="1"/>
  <c r="O104" i="33"/>
  <c r="BJ119" i="33"/>
  <c r="AW119" i="33" s="1"/>
  <c r="BD119" i="33"/>
  <c r="AT119" i="33" s="1"/>
  <c r="BP119" i="33" s="1"/>
  <c r="T119" i="33"/>
  <c r="P119" i="33"/>
  <c r="H119" i="33"/>
  <c r="BG119" i="33"/>
  <c r="K119" i="33"/>
  <c r="U119" i="33"/>
  <c r="AE119" i="33" s="1"/>
  <c r="N119" i="33"/>
  <c r="BI119" i="33"/>
  <c r="S119" i="33"/>
  <c r="G119" i="33"/>
  <c r="BH119" i="33"/>
  <c r="Q119" i="33"/>
  <c r="AA119" i="33" s="1"/>
  <c r="F119" i="33"/>
  <c r="N89" i="33"/>
  <c r="W89" i="33" s="1"/>
  <c r="S89" i="33"/>
  <c r="BG89" i="33"/>
  <c r="BJ97" i="33"/>
  <c r="AW97" i="33" s="1"/>
  <c r="BD97" i="33"/>
  <c r="AT97" i="33" s="1"/>
  <c r="BP97" i="33" s="1"/>
  <c r="U97" i="33"/>
  <c r="AE97" i="33" s="1"/>
  <c r="Q97" i="33"/>
  <c r="AA97" i="33" s="1"/>
  <c r="G97" i="33"/>
  <c r="BG97" i="33"/>
  <c r="S97" i="33"/>
  <c r="N97" i="33"/>
  <c r="W97" i="33" s="1"/>
  <c r="BH97" i="33"/>
  <c r="Q101" i="33"/>
  <c r="AA101" i="33" s="1"/>
  <c r="G104" i="33"/>
  <c r="O119" i="33"/>
  <c r="BC119" i="33"/>
  <c r="AU119" i="33" s="1"/>
  <c r="BJ84" i="33"/>
  <c r="BD84" i="33"/>
  <c r="AT84" i="33" s="1"/>
  <c r="BP84" i="33" s="1"/>
  <c r="T84" i="33"/>
  <c r="P84" i="33"/>
  <c r="Z84" i="33" s="1"/>
  <c r="F84" i="33"/>
  <c r="Q84" i="33"/>
  <c r="AA84" i="33" s="1"/>
  <c r="BC84" i="33"/>
  <c r="O89" i="33"/>
  <c r="U89" i="33"/>
  <c r="AE89" i="33" s="1"/>
  <c r="BH91" i="33"/>
  <c r="T91" i="33"/>
  <c r="P91" i="33"/>
  <c r="Z91" i="33" s="1"/>
  <c r="F91" i="33"/>
  <c r="Q91" i="33"/>
  <c r="AA91" i="33" s="1"/>
  <c r="BI91" i="33"/>
  <c r="BI92" i="33"/>
  <c r="BC92" i="33"/>
  <c r="BH92" i="33"/>
  <c r="U92" i="33"/>
  <c r="AE92" i="33" s="1"/>
  <c r="Q92" i="33"/>
  <c r="AA92" i="33" s="1"/>
  <c r="G92" i="33"/>
  <c r="P92" i="33"/>
  <c r="Z92" i="33" s="1"/>
  <c r="BD92" i="33"/>
  <c r="AT92" i="33" s="1"/>
  <c r="BP92" i="33" s="1"/>
  <c r="BI94" i="33"/>
  <c r="BC94" i="33"/>
  <c r="T94" i="33"/>
  <c r="P94" i="33"/>
  <c r="Z94" i="33" s="1"/>
  <c r="F94" i="33"/>
  <c r="BD94" i="33"/>
  <c r="AT94" i="33" s="1"/>
  <c r="BP94" i="33" s="1"/>
  <c r="G94" i="33"/>
  <c r="S94" i="33"/>
  <c r="BH94" i="33"/>
  <c r="BH95" i="33"/>
  <c r="S95" i="33"/>
  <c r="O95" i="33"/>
  <c r="G95" i="33"/>
  <c r="BI95" i="33"/>
  <c r="U95" i="33"/>
  <c r="AE95" i="33" s="1"/>
  <c r="P95" i="33"/>
  <c r="F95" i="33"/>
  <c r="Q95" i="33"/>
  <c r="AA95" i="33" s="1"/>
  <c r="BD95" i="33"/>
  <c r="AT95" i="33" s="1"/>
  <c r="BP95" i="33" s="1"/>
  <c r="BG96" i="33"/>
  <c r="N96" i="33"/>
  <c r="W96" i="33" s="1"/>
  <c r="BJ96" i="33"/>
  <c r="AW96" i="33" s="1"/>
  <c r="BC96" i="33"/>
  <c r="AU96" i="33" s="1"/>
  <c r="Q96" i="33"/>
  <c r="AA96" i="33" s="1"/>
  <c r="F96" i="33"/>
  <c r="S96" i="33"/>
  <c r="BH96" i="33"/>
  <c r="F97" i="33"/>
  <c r="T97" i="33"/>
  <c r="BI97" i="33"/>
  <c r="BI101" i="33"/>
  <c r="BC101" i="33"/>
  <c r="AU101" i="33" s="1"/>
  <c r="T101" i="33"/>
  <c r="P101" i="33"/>
  <c r="Z101" i="33" s="1"/>
  <c r="F101" i="33"/>
  <c r="BH101" i="33"/>
  <c r="U101" i="33"/>
  <c r="AE101" i="33" s="1"/>
  <c r="O101" i="33"/>
  <c r="BG101" i="33"/>
  <c r="BG103" i="33"/>
  <c r="N103" i="33"/>
  <c r="W103" i="33" s="1"/>
  <c r="BD103" i="33"/>
  <c r="AT103" i="33" s="1"/>
  <c r="BP103" i="33" s="1"/>
  <c r="BC103" i="33"/>
  <c r="AU103" i="33" s="1"/>
  <c r="T103" i="33"/>
  <c r="O103" i="33"/>
  <c r="Y103" i="33" s="1"/>
  <c r="BJ103" i="33"/>
  <c r="AW103" i="33" s="1"/>
  <c r="S103" i="33"/>
  <c r="G103" i="33"/>
  <c r="U103" i="33"/>
  <c r="AE103" i="33" s="1"/>
  <c r="BH103" i="33"/>
  <c r="BH104" i="33"/>
  <c r="BJ114" i="33"/>
  <c r="AW114" i="33" s="1"/>
  <c r="BD114" i="33"/>
  <c r="AT114" i="33" s="1"/>
  <c r="N114" i="33"/>
  <c r="G114" i="33"/>
  <c r="BG114" i="33"/>
  <c r="T114" i="33"/>
  <c r="O114" i="33"/>
  <c r="F114" i="33"/>
  <c r="BI114" i="33"/>
  <c r="U114" i="33"/>
  <c r="AE114" i="33" s="1"/>
  <c r="K114" i="33"/>
  <c r="BH114" i="33"/>
  <c r="S114" i="33"/>
  <c r="J114" i="33"/>
  <c r="BC114" i="33"/>
  <c r="AU114" i="33" s="1"/>
  <c r="Q114" i="33"/>
  <c r="AA114" i="33" s="1"/>
  <c r="I114" i="33"/>
  <c r="BH120" i="33"/>
  <c r="T120" i="33"/>
  <c r="P120" i="33"/>
  <c r="Z120" i="33" s="1"/>
  <c r="F120" i="33"/>
  <c r="BG120" i="33"/>
  <c r="U120" i="33"/>
  <c r="AE120" i="33" s="1"/>
  <c r="O120" i="33"/>
  <c r="BC120" i="33"/>
  <c r="AU120" i="33" s="1"/>
  <c r="Q120" i="33"/>
  <c r="AA120" i="33" s="1"/>
  <c r="BJ120" i="33"/>
  <c r="AW120" i="33" s="1"/>
  <c r="N120" i="33"/>
  <c r="W120" i="33" s="1"/>
  <c r="BI120" i="33"/>
  <c r="S120" i="33"/>
  <c r="G120" i="33"/>
  <c r="BI89" i="33"/>
  <c r="BC89" i="33"/>
  <c r="AU89" i="33" s="1"/>
  <c r="T89" i="33"/>
  <c r="P89" i="33"/>
  <c r="Z89" i="33" s="1"/>
  <c r="F89" i="33"/>
  <c r="Q89" i="33"/>
  <c r="AA89" i="33" s="1"/>
  <c r="BJ89" i="33"/>
  <c r="AW89" i="33" s="1"/>
  <c r="O97" i="33"/>
  <c r="G101" i="33"/>
  <c r="S101" i="33"/>
  <c r="BJ101" i="33"/>
  <c r="AW101" i="33" s="1"/>
  <c r="F103" i="33"/>
  <c r="BI103" i="33"/>
  <c r="U104" i="33"/>
  <c r="AE104" i="33" s="1"/>
  <c r="BJ104" i="33"/>
  <c r="AW104" i="33" s="1"/>
  <c r="BJ109" i="33"/>
  <c r="AW109" i="33" s="1"/>
  <c r="BD109" i="33"/>
  <c r="AT109" i="33" s="1"/>
  <c r="BP109" i="33" s="1"/>
  <c r="U109" i="33"/>
  <c r="AE109" i="33" s="1"/>
  <c r="Q109" i="33"/>
  <c r="AA109" i="33" s="1"/>
  <c r="G109" i="33"/>
  <c r="BH109" i="33"/>
  <c r="T109" i="33"/>
  <c r="O109" i="33"/>
  <c r="BC109" i="33"/>
  <c r="AU109" i="33" s="1"/>
  <c r="P109" i="33"/>
  <c r="Z109" i="33" s="1"/>
  <c r="N109" i="33"/>
  <c r="W109" i="33" s="1"/>
  <c r="BI109" i="33"/>
  <c r="S109" i="33"/>
  <c r="F109" i="33"/>
  <c r="P114" i="33"/>
  <c r="BD120" i="33"/>
  <c r="AT120" i="33" s="1"/>
  <c r="BP120" i="33" s="1"/>
  <c r="BH124" i="33"/>
  <c r="BG124" i="33"/>
  <c r="N124" i="33"/>
  <c r="F124" i="33"/>
  <c r="BC124" i="33"/>
  <c r="S124" i="33"/>
  <c r="K124" i="33"/>
  <c r="BJ124" i="33"/>
  <c r="AW124" i="33" s="1"/>
  <c r="Q124" i="33"/>
  <c r="AA124" i="33" s="1"/>
  <c r="H124" i="33"/>
  <c r="T124" i="33"/>
  <c r="BD124" i="33"/>
  <c r="AT124" i="33" s="1"/>
  <c r="BP124" i="33" s="1"/>
  <c r="P41" i="33"/>
  <c r="T41" i="33"/>
  <c r="P48" i="33"/>
  <c r="T48" i="33"/>
  <c r="O54" i="33"/>
  <c r="S54" i="33"/>
  <c r="O58" i="33"/>
  <c r="S58" i="33"/>
  <c r="P60" i="33"/>
  <c r="T60" i="33"/>
  <c r="P65" i="33"/>
  <c r="T65" i="33"/>
  <c r="P68" i="33"/>
  <c r="T68" i="33"/>
  <c r="O79" i="33"/>
  <c r="Y79" i="33" s="1"/>
  <c r="S79" i="33"/>
  <c r="O82" i="33"/>
  <c r="Y82" i="33" s="1"/>
  <c r="S82" i="33"/>
  <c r="O85" i="33"/>
  <c r="S85" i="33"/>
  <c r="BC85" i="33"/>
  <c r="AU85" i="33" s="1"/>
  <c r="K87" i="33"/>
  <c r="Q87" i="33"/>
  <c r="AA87" i="33" s="1"/>
  <c r="U87" i="33"/>
  <c r="AE87" i="33" s="1"/>
  <c r="BC87" i="33"/>
  <c r="AU87" i="33" s="1"/>
  <c r="K88" i="33"/>
  <c r="Q88" i="33"/>
  <c r="AA88" i="33" s="1"/>
  <c r="U88" i="33"/>
  <c r="AE88" i="33" s="1"/>
  <c r="BD88" i="33"/>
  <c r="AT88" i="33" s="1"/>
  <c r="BP88" i="33" s="1"/>
  <c r="J90" i="33"/>
  <c r="O90" i="33"/>
  <c r="S90" i="33"/>
  <c r="BD90" i="33"/>
  <c r="AT90" i="33" s="1"/>
  <c r="BP90" i="33" s="1"/>
  <c r="BG93" i="33"/>
  <c r="S93" i="33"/>
  <c r="O93" i="33"/>
  <c r="J93" i="33"/>
  <c r="L93" i="33"/>
  <c r="BC93" i="33"/>
  <c r="AU93" i="33" s="1"/>
  <c r="BJ93" i="33"/>
  <c r="AW93" i="33" s="1"/>
  <c r="N105" i="33"/>
  <c r="U105" i="33"/>
  <c r="AE105" i="33" s="1"/>
  <c r="BI107" i="33"/>
  <c r="BC107" i="33"/>
  <c r="AU107" i="33" s="1"/>
  <c r="S107" i="33"/>
  <c r="O107" i="33"/>
  <c r="G107" i="33"/>
  <c r="BD107" i="33"/>
  <c r="AT107" i="33" s="1"/>
  <c r="BP107" i="33" s="1"/>
  <c r="Q107" i="33"/>
  <c r="AA107" i="33" s="1"/>
  <c r="H107" i="33"/>
  <c r="P107" i="33"/>
  <c r="BG107" i="33"/>
  <c r="BG108" i="33"/>
  <c r="N108" i="33"/>
  <c r="W108" i="33" s="1"/>
  <c r="BD108" i="33"/>
  <c r="AT108" i="33" s="1"/>
  <c r="BP108" i="33" s="1"/>
  <c r="S108" i="33"/>
  <c r="G108" i="33"/>
  <c r="Q108" i="33"/>
  <c r="AA108" i="33" s="1"/>
  <c r="BH108" i="33"/>
  <c r="BG112" i="33"/>
  <c r="N112" i="33"/>
  <c r="F112" i="33"/>
  <c r="BD112" i="33"/>
  <c r="AT112" i="33" s="1"/>
  <c r="BP112" i="33" s="1"/>
  <c r="S112" i="33"/>
  <c r="K112" i="33"/>
  <c r="P112" i="33"/>
  <c r="BC112" i="33"/>
  <c r="AU112" i="33" s="1"/>
  <c r="BG113" i="33"/>
  <c r="U113" i="33"/>
  <c r="AE113" i="33" s="1"/>
  <c r="Q113" i="33"/>
  <c r="AA113" i="33" s="1"/>
  <c r="G113" i="33"/>
  <c r="BI113" i="33"/>
  <c r="T113" i="33"/>
  <c r="O113" i="33"/>
  <c r="BH113" i="33"/>
  <c r="BG115" i="33"/>
  <c r="T115" i="33"/>
  <c r="P115" i="33"/>
  <c r="Z115" i="33" s="1"/>
  <c r="F115" i="33"/>
  <c r="BD115" i="33"/>
  <c r="AT115" i="33" s="1"/>
  <c r="BP115" i="33" s="1"/>
  <c r="U115" i="33"/>
  <c r="AE115" i="33" s="1"/>
  <c r="O115" i="33"/>
  <c r="Y115" i="33" s="1"/>
  <c r="BC115" i="33"/>
  <c r="BG116" i="33"/>
  <c r="U116" i="33"/>
  <c r="AE116" i="33" s="1"/>
  <c r="Q116" i="33"/>
  <c r="AA116" i="33" s="1"/>
  <c r="G116" i="33"/>
  <c r="BI116" i="33"/>
  <c r="T116" i="33"/>
  <c r="O116" i="33"/>
  <c r="BH116" i="33"/>
  <c r="G124" i="33"/>
  <c r="U124" i="33"/>
  <c r="AE124" i="33" s="1"/>
  <c r="BI124" i="33"/>
  <c r="BI126" i="33"/>
  <c r="BC126" i="33"/>
  <c r="U126" i="33"/>
  <c r="AE126" i="33" s="1"/>
  <c r="Q126" i="33"/>
  <c r="AA126" i="33" s="1"/>
  <c r="K126" i="33"/>
  <c r="F126" i="33"/>
  <c r="BG126" i="33"/>
  <c r="S126" i="33"/>
  <c r="O126" i="33"/>
  <c r="I126" i="33"/>
  <c r="BJ126" i="33"/>
  <c r="AW126" i="33" s="1"/>
  <c r="G126" i="33"/>
  <c r="BH126" i="33"/>
  <c r="P126" i="33"/>
  <c r="N126" i="33"/>
  <c r="J126" i="33"/>
  <c r="BI105" i="33"/>
  <c r="BC105" i="33"/>
  <c r="AU105" i="33" s="1"/>
  <c r="T105" i="33"/>
  <c r="P105" i="33"/>
  <c r="J105" i="33"/>
  <c r="BD105" i="33"/>
  <c r="AT105" i="33" s="1"/>
  <c r="BP105" i="33" s="1"/>
  <c r="K105" i="33"/>
  <c r="O105" i="33"/>
  <c r="O124" i="33"/>
  <c r="BJ125" i="33"/>
  <c r="AW125" i="33" s="1"/>
  <c r="BD125" i="33"/>
  <c r="AT125" i="33" s="1"/>
  <c r="BP125" i="33" s="1"/>
  <c r="BH125" i="33"/>
  <c r="BG125" i="33"/>
  <c r="U125" i="33"/>
  <c r="AE125" i="33" s="1"/>
  <c r="Q125" i="33"/>
  <c r="AA125" i="33" s="1"/>
  <c r="G125" i="33"/>
  <c r="T125" i="33"/>
  <c r="O125" i="33"/>
  <c r="BC125" i="33"/>
  <c r="AU125" i="33" s="1"/>
  <c r="P125" i="33"/>
  <c r="Z125" i="33" s="1"/>
  <c r="N125" i="33"/>
  <c r="W125" i="33" s="1"/>
  <c r="P124" i="33"/>
  <c r="F125" i="33"/>
  <c r="BI131" i="33"/>
  <c r="BC131" i="33"/>
  <c r="AU131" i="33" s="1"/>
  <c r="T131" i="33"/>
  <c r="P131" i="33"/>
  <c r="H131" i="33"/>
  <c r="BG131" i="33"/>
  <c r="N131" i="33"/>
  <c r="F131" i="33"/>
  <c r="BD131" i="33"/>
  <c r="AT131" i="33" s="1"/>
  <c r="BP131" i="33" s="1"/>
  <c r="U131" i="33"/>
  <c r="AE131" i="33" s="1"/>
  <c r="K131" i="33"/>
  <c r="S131" i="33"/>
  <c r="G131" i="33"/>
  <c r="BH131" i="33"/>
  <c r="O131" i="33"/>
  <c r="BI127" i="33"/>
  <c r="BC127" i="33"/>
  <c r="N127" i="33"/>
  <c r="W127" i="33" s="1"/>
  <c r="BG127" i="33"/>
  <c r="T127" i="33"/>
  <c r="P127" i="33"/>
  <c r="Z127" i="33" s="1"/>
  <c r="F127" i="33"/>
  <c r="BD127" i="33"/>
  <c r="AT127" i="33" s="1"/>
  <c r="BP127" i="33" s="1"/>
  <c r="O127" i="33"/>
  <c r="Y127" i="33" s="1"/>
  <c r="BH127" i="33"/>
  <c r="Q127" i="33"/>
  <c r="AA127" i="33" s="1"/>
  <c r="BJ133" i="33"/>
  <c r="AW133" i="33" s="1"/>
  <c r="BD133" i="33"/>
  <c r="AT133" i="33" s="1"/>
  <c r="BP133" i="33" s="1"/>
  <c r="N133" i="33"/>
  <c r="W133" i="33" s="1"/>
  <c r="BH133" i="33"/>
  <c r="T133" i="33"/>
  <c r="P133" i="33"/>
  <c r="Z133" i="33" s="1"/>
  <c r="F133" i="33"/>
  <c r="BI133" i="33"/>
  <c r="Q133" i="33"/>
  <c r="AA133" i="33" s="1"/>
  <c r="BG133" i="33"/>
  <c r="O133" i="33"/>
  <c r="BC133" i="33"/>
  <c r="G133" i="33"/>
  <c r="U133" i="33"/>
  <c r="AE133" i="33" s="1"/>
  <c r="BG111" i="33"/>
  <c r="N111" i="33"/>
  <c r="F111" i="33"/>
  <c r="O111" i="33"/>
  <c r="T111" i="33"/>
  <c r="BH111" i="33"/>
  <c r="BI117" i="33"/>
  <c r="BC117" i="33"/>
  <c r="AU117" i="33" s="1"/>
  <c r="N117" i="33"/>
  <c r="W117" i="33" s="1"/>
  <c r="F117" i="33"/>
  <c r="O117" i="33"/>
  <c r="Y117" i="33" s="1"/>
  <c r="T117" i="33"/>
  <c r="BD117" i="33"/>
  <c r="AT117" i="33" s="1"/>
  <c r="BP117" i="33" s="1"/>
  <c r="BJ121" i="33"/>
  <c r="AW121" i="33" s="1"/>
  <c r="BD121" i="33"/>
  <c r="N121" i="33"/>
  <c r="W121" i="33" s="1"/>
  <c r="P121" i="33"/>
  <c r="Z121" i="33" s="1"/>
  <c r="U121" i="33"/>
  <c r="AE121" i="33" s="1"/>
  <c r="BH121" i="33"/>
  <c r="BJ123" i="33"/>
  <c r="AW123" i="33" s="1"/>
  <c r="BD123" i="33"/>
  <c r="AT123" i="33" s="1"/>
  <c r="BP123" i="33" s="1"/>
  <c r="N123" i="33"/>
  <c r="F123" i="33"/>
  <c r="O123" i="33"/>
  <c r="T123" i="33"/>
  <c r="BG123" i="33"/>
  <c r="G127" i="33"/>
  <c r="S133" i="33"/>
  <c r="K99" i="33"/>
  <c r="Q99" i="33"/>
  <c r="AA99" i="33" s="1"/>
  <c r="U99" i="33"/>
  <c r="AE99" i="33" s="1"/>
  <c r="BD99" i="33"/>
  <c r="AT99" i="33" s="1"/>
  <c r="BP99" i="33" s="1"/>
  <c r="K100" i="33"/>
  <c r="Z100" i="33" s="1"/>
  <c r="Q100" i="33"/>
  <c r="AA100" i="33" s="1"/>
  <c r="U100" i="33"/>
  <c r="AE100" i="33" s="1"/>
  <c r="BD100" i="33"/>
  <c r="AT100" i="33" s="1"/>
  <c r="BP100" i="33" s="1"/>
  <c r="J102" i="33"/>
  <c r="P102" i="33"/>
  <c r="T102" i="33"/>
  <c r="O106" i="33"/>
  <c r="Y106" i="33" s="1"/>
  <c r="S106" i="33"/>
  <c r="O118" i="33"/>
  <c r="Y118" i="33" s="1"/>
  <c r="S118" i="33"/>
  <c r="BH135" i="33"/>
  <c r="N135" i="33"/>
  <c r="F135" i="33"/>
  <c r="BJ135" i="33"/>
  <c r="AW135" i="33" s="1"/>
  <c r="BD135" i="33"/>
  <c r="AT135" i="33" s="1"/>
  <c r="BP135" i="33" s="1"/>
  <c r="T135" i="33"/>
  <c r="P135" i="33"/>
  <c r="H135" i="33"/>
  <c r="BG135" i="33"/>
  <c r="U135" i="33"/>
  <c r="AE135" i="33" s="1"/>
  <c r="K135" i="33"/>
  <c r="Z135" i="33" s="1"/>
  <c r="BC135" i="33"/>
  <c r="AU135" i="33" s="1"/>
  <c r="S135" i="33"/>
  <c r="G135" i="33"/>
  <c r="BI136" i="33"/>
  <c r="BC136" i="33"/>
  <c r="AU136" i="33" s="1"/>
  <c r="T136" i="33"/>
  <c r="P136" i="33"/>
  <c r="Z136" i="33" s="1"/>
  <c r="H136" i="33"/>
  <c r="BG136" i="33"/>
  <c r="N136" i="33"/>
  <c r="F136" i="33"/>
  <c r="Q136" i="33"/>
  <c r="AA136" i="33" s="1"/>
  <c r="BJ136" i="33"/>
  <c r="AW136" i="33" s="1"/>
  <c r="BJ138" i="33"/>
  <c r="AW138" i="33" s="1"/>
  <c r="BD138" i="33"/>
  <c r="AT138" i="33" s="1"/>
  <c r="BP138" i="33" s="1"/>
  <c r="U138" i="33"/>
  <c r="AE138" i="33" s="1"/>
  <c r="Q138" i="33"/>
  <c r="AA138" i="33" s="1"/>
  <c r="BC138" i="33"/>
  <c r="K138" i="33"/>
  <c r="F138" i="33"/>
  <c r="BH138" i="33"/>
  <c r="T138" i="33"/>
  <c r="O138" i="33"/>
  <c r="Y138" i="33" s="1"/>
  <c r="I138" i="33"/>
  <c r="W138" i="33" s="1"/>
  <c r="P138" i="33"/>
  <c r="BI138" i="33"/>
  <c r="BJ141" i="33"/>
  <c r="AW141" i="33" s="1"/>
  <c r="BD141" i="33"/>
  <c r="AT141" i="33" s="1"/>
  <c r="BP141" i="33" s="1"/>
  <c r="S141" i="33"/>
  <c r="O141" i="33"/>
  <c r="I141" i="33"/>
  <c r="BI141" i="33"/>
  <c r="K141" i="33"/>
  <c r="BH141" i="33"/>
  <c r="Q141" i="33"/>
  <c r="AA141" i="33" s="1"/>
  <c r="J141" i="33"/>
  <c r="BG141" i="33"/>
  <c r="U141" i="33"/>
  <c r="AE141" i="33" s="1"/>
  <c r="P141" i="33"/>
  <c r="F141" i="33"/>
  <c r="BI130" i="33"/>
  <c r="BC130" i="33"/>
  <c r="AU130" i="33" s="1"/>
  <c r="N130" i="33"/>
  <c r="W130" i="33" s="1"/>
  <c r="BG130" i="33"/>
  <c r="T130" i="33"/>
  <c r="P130" i="33"/>
  <c r="Z130" i="33" s="1"/>
  <c r="F130" i="33"/>
  <c r="S130" i="33"/>
  <c r="BJ130" i="33"/>
  <c r="AW130" i="33" s="1"/>
  <c r="G136" i="33"/>
  <c r="S136" i="33"/>
  <c r="G138" i="33"/>
  <c r="S138" i="33"/>
  <c r="G128" i="33"/>
  <c r="Q128" i="33"/>
  <c r="AA128" i="33" s="1"/>
  <c r="U128" i="33"/>
  <c r="AE128" i="33" s="1"/>
  <c r="BG128" i="33"/>
  <c r="I129" i="33"/>
  <c r="O129" i="33"/>
  <c r="S129" i="33"/>
  <c r="BD129" i="33"/>
  <c r="AT129" i="33" s="1"/>
  <c r="BP129" i="33" s="1"/>
  <c r="BJ129" i="33"/>
  <c r="AW129" i="33" s="1"/>
  <c r="G132" i="33"/>
  <c r="Q132" i="33"/>
  <c r="AA132" i="33" s="1"/>
  <c r="U132" i="33"/>
  <c r="AE132" i="33" s="1"/>
  <c r="BD132" i="33"/>
  <c r="BJ132" i="33"/>
  <c r="AW132" i="33" s="1"/>
  <c r="G137" i="33"/>
  <c r="Q137" i="33"/>
  <c r="AA137" i="33" s="1"/>
  <c r="U137" i="33"/>
  <c r="AE137" i="33" s="1"/>
  <c r="BH137" i="33"/>
  <c r="O140" i="33"/>
  <c r="T140" i="33"/>
  <c r="O142" i="33"/>
  <c r="Y142" i="33" s="1"/>
  <c r="U142" i="33"/>
  <c r="AE142" i="33" s="1"/>
  <c r="K143" i="33"/>
  <c r="BG140" i="33"/>
  <c r="U140" i="33"/>
  <c r="AE140" i="33" s="1"/>
  <c r="Q140" i="33"/>
  <c r="AA140" i="33" s="1"/>
  <c r="G140" i="33"/>
  <c r="P140" i="33"/>
  <c r="Z140" i="33" s="1"/>
  <c r="BC140" i="33"/>
  <c r="AU140" i="33" s="1"/>
  <c r="BJ140" i="33"/>
  <c r="AW140" i="33" s="1"/>
  <c r="BG142" i="33"/>
  <c r="T142" i="33"/>
  <c r="P142" i="33"/>
  <c r="Z142" i="33" s="1"/>
  <c r="F142" i="33"/>
  <c r="Q142" i="33"/>
  <c r="AA142" i="33" s="1"/>
  <c r="BH142" i="33"/>
  <c r="BG143" i="33"/>
  <c r="BI143" i="33"/>
  <c r="BC143" i="33"/>
  <c r="AU143" i="33" s="1"/>
  <c r="BD143" i="33"/>
  <c r="AT143" i="33" s="1"/>
  <c r="BP143" i="33" s="1"/>
  <c r="S143" i="33"/>
  <c r="O143" i="33"/>
  <c r="G143" i="33"/>
  <c r="N143" i="33"/>
  <c r="T143" i="33"/>
  <c r="BJ143" i="33"/>
  <c r="AW143" i="33" s="1"/>
  <c r="O128" i="33"/>
  <c r="S128" i="33"/>
  <c r="BC128" i="33"/>
  <c r="AU128" i="33" s="1"/>
  <c r="K129" i="33"/>
  <c r="Q129" i="33"/>
  <c r="AA129" i="33" s="1"/>
  <c r="U129" i="33"/>
  <c r="AE129" i="33" s="1"/>
  <c r="O132" i="33"/>
  <c r="S132" i="33"/>
  <c r="O137" i="33"/>
  <c r="S137" i="33"/>
  <c r="BD137" i="33"/>
  <c r="F140" i="33"/>
  <c r="BD140" i="33"/>
  <c r="AT140" i="33" s="1"/>
  <c r="BP140" i="33" s="1"/>
  <c r="G142" i="33"/>
  <c r="BI142" i="33"/>
  <c r="F143" i="33"/>
  <c r="P143" i="33"/>
  <c r="U143" i="33"/>
  <c r="AE143" i="33" s="1"/>
  <c r="O139" i="33"/>
  <c r="Y139" i="33" s="1"/>
  <c r="S139" i="33"/>
  <c r="O144" i="33"/>
  <c r="S144" i="33"/>
  <c r="BC144" i="33"/>
  <c r="AU144" i="33" s="1"/>
  <c r="BI144" i="33"/>
  <c r="O145" i="33"/>
  <c r="S145" i="33"/>
  <c r="BH145" i="33"/>
  <c r="G144" i="33"/>
  <c r="Q144" i="33"/>
  <c r="AA144" i="33" s="1"/>
  <c r="U144" i="33"/>
  <c r="AE144" i="33" s="1"/>
  <c r="G145" i="33"/>
  <c r="Q145" i="33"/>
  <c r="AA145" i="33" s="1"/>
  <c r="U145" i="33"/>
  <c r="AE145" i="33" s="1"/>
  <c r="BD145" i="33"/>
  <c r="BA4" i="31"/>
  <c r="D92" i="31"/>
  <c r="AH92" i="31"/>
  <c r="AL92" i="31"/>
  <c r="N42" i="30"/>
  <c r="N45" i="30" s="1"/>
  <c r="R42" i="30"/>
  <c r="R45" i="30" s="1"/>
  <c r="B43" i="30"/>
  <c r="C43" i="30"/>
  <c r="BB4" i="31"/>
  <c r="C42" i="31"/>
  <c r="W48" i="31"/>
  <c r="BD56" i="31"/>
  <c r="BG56" i="31" s="1"/>
  <c r="AM28" i="30"/>
  <c r="E84" i="31"/>
  <c r="G36" i="30"/>
  <c r="O36" i="30"/>
  <c r="L39" i="31"/>
  <c r="K36" i="30"/>
  <c r="H39" i="31"/>
  <c r="B35" i="30"/>
  <c r="F283" i="6" s="1"/>
  <c r="J283" i="6" s="1"/>
  <c r="AO45" i="30"/>
  <c r="M29" i="30"/>
  <c r="M30" i="30" s="1"/>
  <c r="AM45" i="30"/>
  <c r="O29" i="30"/>
  <c r="O30" i="30" s="1"/>
  <c r="E7" i="32"/>
  <c r="E13" i="32"/>
  <c r="E8" i="32"/>
  <c r="D15" i="32"/>
  <c r="D16" i="32"/>
  <c r="E16" i="32"/>
  <c r="AB23" i="28"/>
  <c r="B11" i="28"/>
  <c r="O15" i="28"/>
  <c r="AH21" i="28"/>
  <c r="Z33" i="28"/>
  <c r="Z35" i="28" s="1"/>
  <c r="AB35" i="28" s="1"/>
  <c r="AB37" i="28" s="1"/>
  <c r="O24" i="28"/>
  <c r="V289" i="60"/>
  <c r="AA70" i="31"/>
  <c r="J112" i="34"/>
  <c r="J650" i="34" s="1"/>
  <c r="J193" i="34"/>
  <c r="I70" i="34"/>
  <c r="I651" i="34" s="1"/>
  <c r="I90" i="34"/>
  <c r="I646" i="34" s="1"/>
  <c r="I212" i="34"/>
  <c r="I653" i="34" s="1"/>
  <c r="J305" i="34"/>
  <c r="J306" i="34" s="1"/>
  <c r="K458" i="34"/>
  <c r="L490" i="34"/>
  <c r="I11" i="34"/>
  <c r="I645" i="34" s="1"/>
  <c r="J140" i="34"/>
  <c r="J175" i="34"/>
  <c r="J212" i="34"/>
  <c r="J653" i="34" s="1"/>
  <c r="I263" i="34"/>
  <c r="I291" i="34"/>
  <c r="I292" i="34" s="1"/>
  <c r="J634" i="34"/>
  <c r="J615" i="34"/>
  <c r="J632" i="34"/>
  <c r="J613" i="34"/>
  <c r="J618" i="34"/>
  <c r="J608" i="34"/>
  <c r="J596" i="34"/>
  <c r="J594" i="34"/>
  <c r="J580" i="34"/>
  <c r="AA47" i="31" s="1"/>
  <c r="S35" i="30" s="1"/>
  <c r="J639" i="34"/>
  <c r="J635" i="34"/>
  <c r="J595" i="34"/>
  <c r="K577" i="34"/>
  <c r="J626" i="34"/>
  <c r="I633" i="34"/>
  <c r="I637" i="34" s="1"/>
  <c r="BP85" i="33"/>
  <c r="AU132" i="33"/>
  <c r="BD12" i="87"/>
  <c r="AX35" i="87"/>
  <c r="AZ24" i="87"/>
  <c r="AZ40" i="87"/>
  <c r="BT42" i="87"/>
  <c r="BD28" i="87"/>
  <c r="BT45" i="87"/>
  <c r="AX12" i="87"/>
  <c r="BD14" i="87"/>
  <c r="BD17" i="87"/>
  <c r="G37" i="7"/>
  <c r="BD18" i="87"/>
  <c r="BD47" i="87"/>
  <c r="BP80" i="33"/>
  <c r="AU90" i="33"/>
  <c r="AU91" i="33"/>
  <c r="BP101" i="33"/>
  <c r="AU145" i="33"/>
  <c r="BP43" i="87"/>
  <c r="BE43" i="87"/>
  <c r="AU77" i="33"/>
  <c r="AU84" i="33"/>
  <c r="BT26" i="87"/>
  <c r="AL9" i="30"/>
  <c r="AP9" i="30"/>
  <c r="BD9" i="87"/>
  <c r="AX9" i="87"/>
  <c r="AZ9" i="87"/>
  <c r="AU118" i="33"/>
  <c r="BD29" i="87"/>
  <c r="AX29" i="87"/>
  <c r="BT31" i="87"/>
  <c r="AW37" i="87"/>
  <c r="BD37" i="87"/>
  <c r="BT39" i="87"/>
  <c r="BD39" i="87"/>
  <c r="BE39" i="87" s="1"/>
  <c r="AX39" i="87"/>
  <c r="AU123" i="33"/>
  <c r="BF48" i="87"/>
  <c r="BD7" i="87"/>
  <c r="BN48" i="87"/>
  <c r="AZ7" i="87"/>
  <c r="BD8" i="87"/>
  <c r="AX8" i="87"/>
  <c r="AW9" i="87"/>
  <c r="AW11" i="87"/>
  <c r="BT35" i="87"/>
  <c r="BD40" i="87"/>
  <c r="AX40" i="87"/>
  <c r="BG48" i="87"/>
  <c r="AW8" i="87"/>
  <c r="BT8" i="87" s="1"/>
  <c r="BD15" i="87"/>
  <c r="AX15" i="87"/>
  <c r="BD21" i="87"/>
  <c r="AX21" i="87"/>
  <c r="BD24" i="87"/>
  <c r="AX24" i="87"/>
  <c r="BD38" i="87"/>
  <c r="AW16" i="87"/>
  <c r="BD16" i="87"/>
  <c r="BD22" i="87"/>
  <c r="AW22" i="87"/>
  <c r="BT22" i="87" s="1"/>
  <c r="BT25" i="87"/>
  <c r="BD30" i="87"/>
  <c r="AX30" i="87"/>
  <c r="BD36" i="87"/>
  <c r="AX36" i="87"/>
  <c r="BT44" i="87"/>
  <c r="BD44" i="87"/>
  <c r="AX44" i="87"/>
  <c r="AY47" i="87"/>
  <c r="AW10" i="87"/>
  <c r="AW12" i="87"/>
  <c r="BD42" i="87"/>
  <c r="BI48" i="87"/>
  <c r="BD10" i="87"/>
  <c r="BT18" i="87"/>
  <c r="BT19" i="87"/>
  <c r="BT21" i="87"/>
  <c r="BT23" i="87"/>
  <c r="BT24" i="87"/>
  <c r="BD25" i="87"/>
  <c r="BE25" i="87" s="1"/>
  <c r="BD26" i="87"/>
  <c r="BT30" i="87"/>
  <c r="BD31" i="87"/>
  <c r="BD45" i="87"/>
  <c r="BT14" i="87"/>
  <c r="BT17" i="87"/>
  <c r="BT38" i="87"/>
  <c r="I81" i="31"/>
  <c r="I39" i="34"/>
  <c r="I685" i="34" s="1"/>
  <c r="I31" i="34"/>
  <c r="I647" i="34" s="1"/>
  <c r="I135" i="34"/>
  <c r="I264" i="34"/>
  <c r="I275" i="34" s="1"/>
  <c r="J264" i="34"/>
  <c r="J138" i="34"/>
  <c r="AA68" i="31"/>
  <c r="I49" i="34"/>
  <c r="I649" i="34" s="1"/>
  <c r="I150" i="34"/>
  <c r="J249" i="34"/>
  <c r="J20" i="34"/>
  <c r="J21" i="34" s="1"/>
  <c r="J90" i="34"/>
  <c r="J646" i="34" s="1"/>
  <c r="I121" i="34"/>
  <c r="I122" i="34" s="1"/>
  <c r="I129" i="34" s="1"/>
  <c r="I689" i="34" s="1"/>
  <c r="J121" i="34"/>
  <c r="J122" i="34" s="1"/>
  <c r="I78" i="34"/>
  <c r="I690" i="34" s="1"/>
  <c r="I100" i="34"/>
  <c r="I140" i="34"/>
  <c r="I153" i="34"/>
  <c r="I20" i="34"/>
  <c r="I58" i="34"/>
  <c r="I215" i="34"/>
  <c r="I237" i="34"/>
  <c r="I657" i="34" s="1"/>
  <c r="J238" i="34"/>
  <c r="I249" i="34"/>
  <c r="I334" i="34"/>
  <c r="I335" i="34" s="1"/>
  <c r="I293" i="34"/>
  <c r="J334" i="34"/>
  <c r="J335" i="34" s="1"/>
  <c r="C42" i="30"/>
  <c r="H36" i="30"/>
  <c r="L36" i="30"/>
  <c r="P36" i="30"/>
  <c r="B34" i="30"/>
  <c r="V45" i="30"/>
  <c r="Z45" i="30"/>
  <c r="AD45" i="30"/>
  <c r="AL45" i="30"/>
  <c r="AP45" i="30"/>
  <c r="C44" i="30"/>
  <c r="J36" i="30"/>
  <c r="N36" i="30"/>
  <c r="R36" i="30"/>
  <c r="P45" i="30"/>
  <c r="T45" i="30"/>
  <c r="X45" i="30"/>
  <c r="AB45" i="30"/>
  <c r="AN45" i="30"/>
  <c r="F23" i="5"/>
  <c r="C19" i="5"/>
  <c r="B15" i="30"/>
  <c r="I175" i="6"/>
  <c r="J286" i="6"/>
  <c r="J255" i="6"/>
  <c r="J316" i="6"/>
  <c r="D13" i="5"/>
  <c r="C11" i="5"/>
  <c r="D11" i="5"/>
  <c r="F11" i="5"/>
  <c r="F13" i="5"/>
  <c r="F19" i="5"/>
  <c r="D15" i="5"/>
  <c r="C13" i="5"/>
  <c r="D19" i="5"/>
  <c r="C15" i="5"/>
  <c r="I163" i="34" l="1"/>
  <c r="BC17" i="87"/>
  <c r="W8" i="33"/>
  <c r="BC46" i="87"/>
  <c r="W88" i="33"/>
  <c r="W17" i="33"/>
  <c r="Z22" i="33"/>
  <c r="W100" i="33"/>
  <c r="Z107" i="33"/>
  <c r="Z83" i="33"/>
  <c r="BP32" i="87"/>
  <c r="BP8" i="33"/>
  <c r="AA22" i="33"/>
  <c r="BP7" i="33"/>
  <c r="W15" i="33"/>
  <c r="W87" i="33"/>
  <c r="Y129" i="33"/>
  <c r="Z99" i="33"/>
  <c r="Z88" i="33"/>
  <c r="W11" i="33"/>
  <c r="Z15" i="33"/>
  <c r="BA82" i="33"/>
  <c r="BB82" i="33" s="1"/>
  <c r="Z14" i="33"/>
  <c r="C48" i="31"/>
  <c r="Z8" i="33"/>
  <c r="BP9" i="33"/>
  <c r="J263" i="34"/>
  <c r="Z123" i="33"/>
  <c r="Z81" i="33"/>
  <c r="Z102" i="33"/>
  <c r="BC30" i="87"/>
  <c r="BP30" i="87" s="1"/>
  <c r="B33" i="30"/>
  <c r="F251" i="6" s="1"/>
  <c r="BR46" i="87"/>
  <c r="W111" i="33"/>
  <c r="K53" i="31"/>
  <c r="O60" i="31"/>
  <c r="G60" i="31" s="1"/>
  <c r="I654" i="34"/>
  <c r="I359" i="34"/>
  <c r="I665" i="34"/>
  <c r="AA20" i="31"/>
  <c r="H20" i="31" s="1"/>
  <c r="I675" i="34"/>
  <c r="J214" i="34"/>
  <c r="J227" i="34" s="1"/>
  <c r="J672" i="34"/>
  <c r="K710" i="34"/>
  <c r="K716" i="34"/>
  <c r="I406" i="34"/>
  <c r="I671" i="34"/>
  <c r="J659" i="34"/>
  <c r="J655" i="34"/>
  <c r="I659" i="34"/>
  <c r="I655" i="34"/>
  <c r="P63" i="31"/>
  <c r="J657" i="34"/>
  <c r="P64" i="31"/>
  <c r="J658" i="34"/>
  <c r="J149" i="34"/>
  <c r="P57" i="31" s="1"/>
  <c r="H9" i="30" s="1"/>
  <c r="AA67" i="31"/>
  <c r="J662" i="34"/>
  <c r="J293" i="34"/>
  <c r="J213" i="34"/>
  <c r="G57" i="31"/>
  <c r="I408" i="34"/>
  <c r="I692" i="34" s="1"/>
  <c r="BP15" i="33"/>
  <c r="BC40" i="87"/>
  <c r="BP40" i="87" s="1"/>
  <c r="Z129" i="33"/>
  <c r="W141" i="33"/>
  <c r="Y102" i="33"/>
  <c r="BA97" i="33"/>
  <c r="BB97" i="33" s="1"/>
  <c r="J70" i="34"/>
  <c r="J651" i="34" s="1"/>
  <c r="BA139" i="33"/>
  <c r="BB139" i="33" s="1"/>
  <c r="Z111" i="33"/>
  <c r="Z9" i="33"/>
  <c r="I305" i="34"/>
  <c r="I306" i="34" s="1"/>
  <c r="I317" i="34" s="1"/>
  <c r="J275" i="34"/>
  <c r="AB15" i="33"/>
  <c r="BC18" i="87"/>
  <c r="BE18" i="87" s="1"/>
  <c r="BC31" i="87"/>
  <c r="BE31" i="87" s="1"/>
  <c r="Z95" i="33"/>
  <c r="Z75" i="33"/>
  <c r="AA14" i="33"/>
  <c r="BC19" i="87"/>
  <c r="BE19" i="87" s="1"/>
  <c r="J163" i="34"/>
  <c r="W75" i="33"/>
  <c r="BA106" i="33"/>
  <c r="BB106" i="33" s="1"/>
  <c r="AA81" i="33"/>
  <c r="Z90" i="33"/>
  <c r="AB22" i="33"/>
  <c r="BA81" i="33"/>
  <c r="W105" i="33"/>
  <c r="W123" i="33"/>
  <c r="AA12" i="33"/>
  <c r="Z87" i="33"/>
  <c r="AB7" i="33"/>
  <c r="BA9" i="33"/>
  <c r="AB12" i="33"/>
  <c r="O67" i="31"/>
  <c r="G26" i="30" s="1"/>
  <c r="BA133" i="33"/>
  <c r="BB133" i="33" s="1"/>
  <c r="BS23" i="87"/>
  <c r="J58" i="34"/>
  <c r="J59" i="34" s="1"/>
  <c r="BC45" i="87"/>
  <c r="BE45" i="87" s="1"/>
  <c r="W7" i="33"/>
  <c r="BC38" i="87"/>
  <c r="BE38" i="87" s="1"/>
  <c r="BA99" i="33"/>
  <c r="BA91" i="33"/>
  <c r="BB91" i="33" s="1"/>
  <c r="AA9" i="33"/>
  <c r="J590" i="34"/>
  <c r="AB8" i="33"/>
  <c r="BA93" i="33"/>
  <c r="BA77" i="33"/>
  <c r="BB77" i="33" s="1"/>
  <c r="BC23" i="87"/>
  <c r="BE23" i="87" s="1"/>
  <c r="BR23" i="87"/>
  <c r="BC28" i="87"/>
  <c r="BP28" i="87" s="1"/>
  <c r="BC21" i="87"/>
  <c r="BE21" i="87" s="1"/>
  <c r="W112" i="33"/>
  <c r="J166" i="34"/>
  <c r="I396" i="34"/>
  <c r="I547" i="34" s="1"/>
  <c r="J198" i="34"/>
  <c r="BC44" i="87"/>
  <c r="BP44" i="87" s="1"/>
  <c r="BP46" i="87"/>
  <c r="BC24" i="87"/>
  <c r="BP24" i="87" s="1"/>
  <c r="BA120" i="33"/>
  <c r="BB120" i="33" s="1"/>
  <c r="BA95" i="33"/>
  <c r="Y105" i="33"/>
  <c r="BA105" i="33"/>
  <c r="W114" i="33"/>
  <c r="BA119" i="33"/>
  <c r="BA78" i="33"/>
  <c r="AB14" i="33"/>
  <c r="BA90" i="33"/>
  <c r="BA131" i="33"/>
  <c r="BA141" i="33"/>
  <c r="BA7" i="33"/>
  <c r="BA100" i="33"/>
  <c r="BB100" i="33" s="1"/>
  <c r="BA85" i="33"/>
  <c r="BB85" i="33" s="1"/>
  <c r="BA12" i="33"/>
  <c r="AF13" i="33"/>
  <c r="AB13" i="33"/>
  <c r="I561" i="34"/>
  <c r="Z143" i="33"/>
  <c r="AF11" i="33"/>
  <c r="BC25" i="87"/>
  <c r="BP25" i="87" s="1"/>
  <c r="BC14" i="87"/>
  <c r="BP14" i="87" s="1"/>
  <c r="BA136" i="33"/>
  <c r="BB136" i="33" s="1"/>
  <c r="BA108" i="33"/>
  <c r="BB108" i="33" s="1"/>
  <c r="BA79" i="33"/>
  <c r="BB79" i="33" s="1"/>
  <c r="W143" i="33"/>
  <c r="BA138" i="33"/>
  <c r="BA109" i="33"/>
  <c r="BB109" i="33" s="1"/>
  <c r="BA104" i="33"/>
  <c r="W83" i="33"/>
  <c r="Z78" i="33"/>
  <c r="BA75" i="33"/>
  <c r="Z17" i="33"/>
  <c r="BA102" i="33"/>
  <c r="BA80" i="33"/>
  <c r="Y78" i="33"/>
  <c r="BA87" i="33"/>
  <c r="AA13" i="33"/>
  <c r="BC33" i="87"/>
  <c r="BP33" i="87" s="1"/>
  <c r="Z93" i="33"/>
  <c r="Z117" i="33"/>
  <c r="BC42" i="87"/>
  <c r="BE42" i="87" s="1"/>
  <c r="O64" i="31"/>
  <c r="G64" i="31" s="1"/>
  <c r="I228" i="34"/>
  <c r="AB9" i="33"/>
  <c r="BA88" i="33"/>
  <c r="BL88" i="33" s="1"/>
  <c r="BA103" i="33"/>
  <c r="BB103" i="33" s="1"/>
  <c r="BA114" i="33"/>
  <c r="BA144" i="33"/>
  <c r="BB144" i="33" s="1"/>
  <c r="I601" i="34"/>
  <c r="BA118" i="33"/>
  <c r="BB118" i="33" s="1"/>
  <c r="BC26" i="87"/>
  <c r="BE26" i="87" s="1"/>
  <c r="Z138" i="33"/>
  <c r="Z105" i="33"/>
  <c r="Z119" i="33"/>
  <c r="Z12" i="33"/>
  <c r="I227" i="34"/>
  <c r="AA90" i="33"/>
  <c r="AA17" i="33"/>
  <c r="J316" i="34"/>
  <c r="O70" i="31"/>
  <c r="G70" i="31" s="1"/>
  <c r="AB17" i="33"/>
  <c r="AF15" i="33"/>
  <c r="AB10" i="33"/>
  <c r="AF17" i="33"/>
  <c r="AB11" i="33"/>
  <c r="AU138" i="33"/>
  <c r="BA123" i="33"/>
  <c r="BA96" i="33"/>
  <c r="BB96" i="33" s="1"/>
  <c r="BA128" i="33"/>
  <c r="BA135" i="33"/>
  <c r="BA143" i="33"/>
  <c r="BA125" i="33"/>
  <c r="BB125" i="33" s="1"/>
  <c r="BA116" i="33"/>
  <c r="BA113" i="33"/>
  <c r="BB113" i="33" s="1"/>
  <c r="BC35" i="87"/>
  <c r="BE35" i="87" s="1"/>
  <c r="BS30" i="87"/>
  <c r="J251" i="6"/>
  <c r="B19" i="81"/>
  <c r="B36" i="30"/>
  <c r="BR33" i="87"/>
  <c r="K48" i="31"/>
  <c r="BC47" i="87"/>
  <c r="BP47" i="87" s="1"/>
  <c r="BC39" i="87"/>
  <c r="BP39" i="87" s="1"/>
  <c r="W81" i="33"/>
  <c r="AA22" i="31"/>
  <c r="I185" i="34"/>
  <c r="I189" i="34" s="1"/>
  <c r="J135" i="34"/>
  <c r="J39" i="34"/>
  <c r="J685" i="34" s="1"/>
  <c r="I515" i="34"/>
  <c r="AA23" i="31"/>
  <c r="I452" i="34"/>
  <c r="I465" i="34" s="1"/>
  <c r="I472" i="34"/>
  <c r="AA14" i="31"/>
  <c r="I562" i="34"/>
  <c r="AM79" i="31"/>
  <c r="J153" i="34"/>
  <c r="J151" i="34"/>
  <c r="J164" i="34" s="1"/>
  <c r="AA57" i="31"/>
  <c r="J78" i="34"/>
  <c r="J690" i="34" s="1"/>
  <c r="AM76" i="31"/>
  <c r="K348" i="34"/>
  <c r="K319" i="34"/>
  <c r="K307" i="34"/>
  <c r="K673" i="34" s="1"/>
  <c r="K288" i="34"/>
  <c r="K599" i="34"/>
  <c r="K343" i="34"/>
  <c r="K336" i="34"/>
  <c r="K333" i="34"/>
  <c r="K331" i="34"/>
  <c r="K290" i="34"/>
  <c r="K274" i="34"/>
  <c r="K271" i="34"/>
  <c r="K248" i="34"/>
  <c r="K247" i="34"/>
  <c r="K315" i="34"/>
  <c r="K283" i="34"/>
  <c r="K326" i="34"/>
  <c r="K678" i="34" s="1"/>
  <c r="K321" i="34"/>
  <c r="K313" i="34"/>
  <c r="K266" i="34"/>
  <c r="K256" i="34"/>
  <c r="K251" i="34"/>
  <c r="K226" i="34"/>
  <c r="K695" i="34" s="1"/>
  <c r="K216" i="34"/>
  <c r="K672" i="34" s="1"/>
  <c r="K197" i="34"/>
  <c r="K186" i="34"/>
  <c r="K183" i="34"/>
  <c r="K162" i="34"/>
  <c r="K149" i="34" s="1"/>
  <c r="Q57" i="31" s="1"/>
  <c r="I9" i="30" s="1"/>
  <c r="K159" i="34"/>
  <c r="K125" i="34"/>
  <c r="K104" i="34"/>
  <c r="K99" i="34"/>
  <c r="K65" i="34"/>
  <c r="K63" i="34"/>
  <c r="K50" i="34"/>
  <c r="K667" i="34" s="1"/>
  <c r="K38" i="34"/>
  <c r="K37" i="34"/>
  <c r="K36" i="34"/>
  <c r="K35" i="34"/>
  <c r="K25" i="34"/>
  <c r="K204" i="34"/>
  <c r="K184" i="34"/>
  <c r="K176" i="34"/>
  <c r="K168" i="34"/>
  <c r="K154" i="34"/>
  <c r="K124" i="34"/>
  <c r="K103" i="34"/>
  <c r="K82" i="34"/>
  <c r="K62" i="34"/>
  <c r="L4" i="34"/>
  <c r="K187" i="34"/>
  <c r="K338" i="34"/>
  <c r="K231" i="34"/>
  <c r="K143" i="34"/>
  <c r="K123" i="34"/>
  <c r="K120" i="34"/>
  <c r="K91" i="34"/>
  <c r="K663" i="34" s="1"/>
  <c r="K77" i="34"/>
  <c r="AN79" i="31" s="1"/>
  <c r="K76" i="34"/>
  <c r="K75" i="34"/>
  <c r="K74" i="34"/>
  <c r="K61" i="34"/>
  <c r="K24" i="34"/>
  <c r="K22" i="34"/>
  <c r="K19" i="34"/>
  <c r="K11" i="34" s="1"/>
  <c r="K645" i="34" s="1"/>
  <c r="K12" i="34"/>
  <c r="K662" i="34" s="1"/>
  <c r="K299" i="34"/>
  <c r="K272" i="34"/>
  <c r="K239" i="34"/>
  <c r="K677" i="34" s="1"/>
  <c r="K225" i="34"/>
  <c r="K180" i="34"/>
  <c r="K198" i="34" s="1"/>
  <c r="K27" i="34"/>
  <c r="K5" i="34"/>
  <c r="K107" i="34"/>
  <c r="K105" i="34"/>
  <c r="K66" i="34"/>
  <c r="K43" i="34"/>
  <c r="K23" i="34"/>
  <c r="K160" i="34"/>
  <c r="K128" i="34"/>
  <c r="K126" i="34"/>
  <c r="K113" i="34"/>
  <c r="K668" i="34" s="1"/>
  <c r="K60" i="34"/>
  <c r="K57" i="34"/>
  <c r="J215" i="34"/>
  <c r="I529" i="34"/>
  <c r="I542" i="34" s="1"/>
  <c r="I373" i="34"/>
  <c r="I375" i="34" s="1"/>
  <c r="I380" i="34" s="1"/>
  <c r="I395" i="34"/>
  <c r="J136" i="34"/>
  <c r="AA60" i="31"/>
  <c r="H60" i="31" s="1"/>
  <c r="AA69" i="31"/>
  <c r="AM80" i="31"/>
  <c r="AA63" i="31"/>
  <c r="P60" i="31"/>
  <c r="AA71" i="31"/>
  <c r="AA59" i="31"/>
  <c r="S14" i="30" s="1"/>
  <c r="P68" i="31"/>
  <c r="H27" i="30" s="1"/>
  <c r="J291" i="34"/>
  <c r="J292" i="34" s="1"/>
  <c r="AA62" i="31"/>
  <c r="AA64" i="31"/>
  <c r="AA72" i="31"/>
  <c r="I514" i="34"/>
  <c r="J137" i="34"/>
  <c r="I484" i="34"/>
  <c r="I497" i="34" s="1"/>
  <c r="I360" i="34"/>
  <c r="I530" i="34"/>
  <c r="I440" i="34"/>
  <c r="I420" i="34"/>
  <c r="J557" i="34"/>
  <c r="J556" i="34"/>
  <c r="J492" i="34"/>
  <c r="J459" i="34"/>
  <c r="J585" i="34"/>
  <c r="J537" i="34"/>
  <c r="J509" i="34"/>
  <c r="J491" i="34"/>
  <c r="J460" i="34"/>
  <c r="J427" i="34"/>
  <c r="J510" i="34"/>
  <c r="J312" i="34"/>
  <c r="J320" i="34" s="1"/>
  <c r="J538" i="34"/>
  <c r="J356" i="34"/>
  <c r="J428" i="34"/>
  <c r="J330" i="34"/>
  <c r="J337" i="34" s="1"/>
  <c r="J339" i="34" s="1"/>
  <c r="J699" i="34" s="1"/>
  <c r="J392" i="34"/>
  <c r="J349" i="34"/>
  <c r="J287" i="34"/>
  <c r="J294" i="34" s="1"/>
  <c r="J222" i="34"/>
  <c r="J230" i="34" s="1"/>
  <c r="J179" i="34"/>
  <c r="J185" i="34" s="1"/>
  <c r="J189" i="34" s="1"/>
  <c r="J94" i="34"/>
  <c r="J102" i="34" s="1"/>
  <c r="J133" i="34" s="1"/>
  <c r="J116" i="34"/>
  <c r="J15" i="34"/>
  <c r="J53" i="34"/>
  <c r="J244" i="34"/>
  <c r="J250" i="34" s="1"/>
  <c r="J252" i="34" s="1"/>
  <c r="J698" i="34" s="1"/>
  <c r="J95" i="34"/>
  <c r="J278" i="34"/>
  <c r="AA58" i="31"/>
  <c r="J565" i="34"/>
  <c r="J564" i="34"/>
  <c r="J523" i="34"/>
  <c r="J505" i="34"/>
  <c r="J680" i="34" s="1"/>
  <c r="J486" i="34"/>
  <c r="J675" i="34" s="1"/>
  <c r="J461" i="34"/>
  <c r="J454" i="34"/>
  <c r="J422" i="34"/>
  <c r="J402" i="34"/>
  <c r="J671" i="34" s="1"/>
  <c r="J560" i="34"/>
  <c r="J501" i="34"/>
  <c r="J438" i="34"/>
  <c r="J397" i="34"/>
  <c r="J382" i="34"/>
  <c r="J369" i="34"/>
  <c r="J670" i="34" s="1"/>
  <c r="J361" i="34"/>
  <c r="J570" i="34"/>
  <c r="J552" i="34"/>
  <c r="J681" i="34" s="1"/>
  <c r="J546" i="34"/>
  <c r="J541" i="34"/>
  <c r="J532" i="34"/>
  <c r="J676" i="34" s="1"/>
  <c r="J500" i="34"/>
  <c r="J470" i="34"/>
  <c r="J464" i="34"/>
  <c r="J451" i="34" s="1"/>
  <c r="J432" i="34"/>
  <c r="J419" i="34" s="1"/>
  <c r="J407" i="34"/>
  <c r="J364" i="34"/>
  <c r="J354" i="34"/>
  <c r="J665" i="34" s="1"/>
  <c r="J517" i="34"/>
  <c r="J467" i="34"/>
  <c r="J390" i="34"/>
  <c r="J666" i="34" s="1"/>
  <c r="J379" i="34"/>
  <c r="J435" i="34"/>
  <c r="J429" i="34"/>
  <c r="J374" i="34"/>
  <c r="J518" i="34"/>
  <c r="J513" i="34"/>
  <c r="J495" i="34"/>
  <c r="J444" i="34"/>
  <c r="J476" i="34"/>
  <c r="P476" i="34" s="1"/>
  <c r="J412" i="34"/>
  <c r="D26" i="87"/>
  <c r="D25" i="87"/>
  <c r="D23" i="87"/>
  <c r="D22" i="87"/>
  <c r="D28" i="87"/>
  <c r="D24" i="87"/>
  <c r="AS82" i="31"/>
  <c r="AK42" i="30"/>
  <c r="AK45" i="30" s="1"/>
  <c r="BA140" i="33"/>
  <c r="W131" i="33"/>
  <c r="AU133" i="33"/>
  <c r="BA126" i="33"/>
  <c r="AU126" i="33"/>
  <c r="BA101" i="33"/>
  <c r="BB101" i="33" s="1"/>
  <c r="AU83" i="33"/>
  <c r="BA83" i="33"/>
  <c r="AW76" i="33"/>
  <c r="BA76" i="33"/>
  <c r="BB76" i="33" s="1"/>
  <c r="B22" i="39"/>
  <c r="BH23" i="33"/>
  <c r="BD23" i="33"/>
  <c r="AW23" i="33"/>
  <c r="L23" i="33"/>
  <c r="AA23" i="33" s="1"/>
  <c r="BJ23" i="33"/>
  <c r="BF23" i="33"/>
  <c r="AU23" i="33"/>
  <c r="H23" i="33"/>
  <c r="BG23" i="33"/>
  <c r="AV23" i="33"/>
  <c r="K23" i="33"/>
  <c r="Z23" i="33" s="1"/>
  <c r="BE23" i="33"/>
  <c r="AT23" i="33"/>
  <c r="R23" i="33"/>
  <c r="BC23" i="33"/>
  <c r="BI23" i="33"/>
  <c r="V23" i="33"/>
  <c r="B20" i="39"/>
  <c r="BG21" i="33"/>
  <c r="BC21" i="33"/>
  <c r="AU21" i="33"/>
  <c r="H21" i="33"/>
  <c r="BI21" i="33"/>
  <c r="BE21" i="33"/>
  <c r="AW21" i="33"/>
  <c r="L21" i="33"/>
  <c r="AA21" i="33" s="1"/>
  <c r="BJ21" i="33"/>
  <c r="V21" i="33"/>
  <c r="BH21" i="33"/>
  <c r="AV21" i="33"/>
  <c r="K21" i="33"/>
  <c r="Z21" i="33" s="1"/>
  <c r="BF21" i="33"/>
  <c r="AT21" i="33"/>
  <c r="R21" i="33"/>
  <c r="BD21" i="33"/>
  <c r="AT132" i="33"/>
  <c r="BP132" i="33" s="1"/>
  <c r="BA132" i="33"/>
  <c r="BB132" i="33" s="1"/>
  <c r="W129" i="33"/>
  <c r="AT121" i="33"/>
  <c r="BP121" i="33" s="1"/>
  <c r="BA121" i="33"/>
  <c r="BB121" i="33" s="1"/>
  <c r="BA112" i="33"/>
  <c r="BB112" i="33" s="1"/>
  <c r="W135" i="33"/>
  <c r="BA117" i="33"/>
  <c r="Z126" i="33"/>
  <c r="AA93" i="33"/>
  <c r="L146" i="33"/>
  <c r="Y90" i="33"/>
  <c r="AW84" i="33"/>
  <c r="BA84" i="33"/>
  <c r="BB84" i="33" s="1"/>
  <c r="BA89" i="33"/>
  <c r="BB89" i="33" s="1"/>
  <c r="AU115" i="33"/>
  <c r="BA115" i="33"/>
  <c r="BB115" i="33" s="1"/>
  <c r="BA107" i="33"/>
  <c r="Z114" i="33"/>
  <c r="BA94" i="33"/>
  <c r="BB94" i="33" s="1"/>
  <c r="AU94" i="33"/>
  <c r="AU92" i="33"/>
  <c r="BA92" i="33"/>
  <c r="K146" i="33"/>
  <c r="W14" i="33"/>
  <c r="AF14" i="33"/>
  <c r="BA142" i="33"/>
  <c r="BB142" i="33" s="1"/>
  <c r="BA130" i="33"/>
  <c r="BB130" i="33" s="1"/>
  <c r="BA129" i="33"/>
  <c r="AT145" i="33"/>
  <c r="BP145" i="33" s="1"/>
  <c r="BA145" i="33"/>
  <c r="BB145" i="33" s="1"/>
  <c r="AT137" i="33"/>
  <c r="BP137" i="33" s="1"/>
  <c r="BA137" i="33"/>
  <c r="BB137" i="33" s="1"/>
  <c r="Y141" i="33"/>
  <c r="W136" i="33"/>
  <c r="BA111" i="33"/>
  <c r="AU124" i="33"/>
  <c r="BA124" i="33"/>
  <c r="BB124" i="33" s="1"/>
  <c r="BA14" i="33"/>
  <c r="W126" i="33"/>
  <c r="W124" i="33"/>
  <c r="B17" i="39"/>
  <c r="BI18" i="33"/>
  <c r="BE18" i="33"/>
  <c r="AW18" i="33"/>
  <c r="L18" i="33"/>
  <c r="AA18" i="33" s="1"/>
  <c r="BG18" i="33"/>
  <c r="BC18" i="33"/>
  <c r="AU18" i="33"/>
  <c r="H18" i="33"/>
  <c r="BH18" i="33"/>
  <c r="AV18" i="33"/>
  <c r="K18" i="33"/>
  <c r="BF18" i="33"/>
  <c r="AT18" i="33"/>
  <c r="R18" i="33"/>
  <c r="BD18" i="33"/>
  <c r="BJ18" i="33"/>
  <c r="V18" i="33"/>
  <c r="W13" i="33"/>
  <c r="BP10" i="33"/>
  <c r="BP12" i="33"/>
  <c r="BP14" i="33"/>
  <c r="E6" i="39"/>
  <c r="BA15" i="33"/>
  <c r="B23" i="39"/>
  <c r="BJ24" i="33"/>
  <c r="BF24" i="33"/>
  <c r="AT24" i="33"/>
  <c r="V24" i="33"/>
  <c r="R24" i="33"/>
  <c r="BI24" i="33"/>
  <c r="BE24" i="33"/>
  <c r="AW24" i="33"/>
  <c r="L24" i="33"/>
  <c r="AA24" i="33" s="1"/>
  <c r="BH24" i="33"/>
  <c r="BD24" i="33"/>
  <c r="AV24" i="33"/>
  <c r="K24" i="33"/>
  <c r="AU24" i="33"/>
  <c r="I24" i="33"/>
  <c r="BG24" i="33"/>
  <c r="BC24" i="33"/>
  <c r="B19" i="39"/>
  <c r="BH20" i="33"/>
  <c r="BD20" i="33"/>
  <c r="AV20" i="33"/>
  <c r="K20" i="33"/>
  <c r="BJ20" i="33"/>
  <c r="BF20" i="33"/>
  <c r="AT20" i="33"/>
  <c r="V20" i="33"/>
  <c r="R20" i="33"/>
  <c r="BC20" i="33"/>
  <c r="BI20" i="33"/>
  <c r="AW20" i="33"/>
  <c r="BG20" i="33"/>
  <c r="AU20" i="33"/>
  <c r="BE20" i="33"/>
  <c r="L20" i="33"/>
  <c r="AA20" i="33" s="1"/>
  <c r="B18" i="39"/>
  <c r="BJ19" i="33"/>
  <c r="BF19" i="33"/>
  <c r="AT19" i="33"/>
  <c r="V19" i="33"/>
  <c r="R19" i="33"/>
  <c r="BH19" i="33"/>
  <c r="BD19" i="33"/>
  <c r="AV19" i="33"/>
  <c r="K19" i="33"/>
  <c r="BI19" i="33"/>
  <c r="AW19" i="33"/>
  <c r="BG19" i="33"/>
  <c r="AU19" i="33"/>
  <c r="BE19" i="33"/>
  <c r="L19" i="33"/>
  <c r="BC19" i="33"/>
  <c r="BA13" i="33"/>
  <c r="AA15" i="33"/>
  <c r="BA22" i="33"/>
  <c r="C87" i="33"/>
  <c r="C88" i="33" s="1"/>
  <c r="C89" i="33" s="1"/>
  <c r="C90" i="33" s="1"/>
  <c r="C91" i="33" s="1"/>
  <c r="C92" i="33" s="1"/>
  <c r="C93" i="33" s="1"/>
  <c r="C94" i="33" s="1"/>
  <c r="C95" i="33" s="1"/>
  <c r="C84" i="33"/>
  <c r="C85" i="33" s="1"/>
  <c r="Z11" i="33"/>
  <c r="BP22" i="33"/>
  <c r="AF8" i="33"/>
  <c r="Z141" i="33"/>
  <c r="AU127" i="33"/>
  <c r="BA127" i="33"/>
  <c r="BB127" i="33" s="1"/>
  <c r="Z131" i="33"/>
  <c r="Y126" i="33"/>
  <c r="Z112" i="33"/>
  <c r="W107" i="33"/>
  <c r="Y93" i="33"/>
  <c r="Z124" i="33"/>
  <c r="Y114" i="33"/>
  <c r="W119" i="33"/>
  <c r="Y81" i="33"/>
  <c r="B24" i="39"/>
  <c r="BH25" i="33"/>
  <c r="BD25" i="33"/>
  <c r="AV25" i="33"/>
  <c r="K25" i="33"/>
  <c r="BG25" i="33"/>
  <c r="BC25" i="33"/>
  <c r="AU25" i="33"/>
  <c r="H25" i="33"/>
  <c r="BJ25" i="33"/>
  <c r="BF25" i="33"/>
  <c r="AT25" i="33"/>
  <c r="V25" i="33"/>
  <c r="R25" i="33"/>
  <c r="BI25" i="33"/>
  <c r="BE25" i="33"/>
  <c r="AW25" i="33"/>
  <c r="L25" i="33"/>
  <c r="AA25" i="33" s="1"/>
  <c r="B26" i="39"/>
  <c r="D36" i="33"/>
  <c r="D31" i="33"/>
  <c r="D29" i="33"/>
  <c r="BG27" i="33"/>
  <c r="BC27" i="33"/>
  <c r="AU27" i="33"/>
  <c r="H27" i="33"/>
  <c r="D34" i="33"/>
  <c r="D32" i="33"/>
  <c r="BJ27" i="33"/>
  <c r="BF27" i="33"/>
  <c r="AT27" i="33"/>
  <c r="V27" i="33"/>
  <c r="R27" i="33"/>
  <c r="D39" i="33"/>
  <c r="D37" i="33"/>
  <c r="D35" i="33"/>
  <c r="D33" i="33"/>
  <c r="D30" i="33"/>
  <c r="BI27" i="33"/>
  <c r="BE27" i="33"/>
  <c r="AW27" i="33"/>
  <c r="L27" i="33"/>
  <c r="AA27" i="33" s="1"/>
  <c r="AV27" i="33"/>
  <c r="D28" i="33"/>
  <c r="BH27" i="33"/>
  <c r="K27" i="33"/>
  <c r="Z27" i="33" s="1"/>
  <c r="BD27" i="33"/>
  <c r="BA17" i="33"/>
  <c r="BA11" i="33"/>
  <c r="BA10" i="33"/>
  <c r="BA8" i="33"/>
  <c r="G48" i="31"/>
  <c r="W53" i="31"/>
  <c r="G53" i="31" s="1"/>
  <c r="C45" i="30"/>
  <c r="P15" i="28"/>
  <c r="B13" i="28"/>
  <c r="P24" i="28"/>
  <c r="D11" i="28"/>
  <c r="F11" i="28" s="1"/>
  <c r="AB25" i="28"/>
  <c r="AB39" i="28" s="1"/>
  <c r="AM45" i="31"/>
  <c r="AE33" i="30" s="1"/>
  <c r="I641" i="34"/>
  <c r="I468" i="34"/>
  <c r="P59" i="31"/>
  <c r="J265" i="34"/>
  <c r="J276" i="34" s="1"/>
  <c r="J277" i="34" s="1"/>
  <c r="I151" i="34"/>
  <c r="I164" i="34" s="1"/>
  <c r="I165" i="34" s="1"/>
  <c r="I167" i="34" s="1"/>
  <c r="I170" i="34" s="1"/>
  <c r="I265" i="34"/>
  <c r="I276" i="34" s="1"/>
  <c r="I277" i="34" s="1"/>
  <c r="I280" i="34" s="1"/>
  <c r="I301" i="34" s="1"/>
  <c r="I620" i="34"/>
  <c r="J633" i="34"/>
  <c r="AB45" i="31"/>
  <c r="J614" i="34"/>
  <c r="J616" i="34" s="1"/>
  <c r="J717" i="34" s="1"/>
  <c r="J718" i="34" s="1"/>
  <c r="AA46" i="31"/>
  <c r="O69" i="31"/>
  <c r="K639" i="34"/>
  <c r="K636" i="34"/>
  <c r="K635" i="34"/>
  <c r="K626" i="34"/>
  <c r="K618" i="34"/>
  <c r="K608" i="34"/>
  <c r="K596" i="34"/>
  <c r="K634" i="34"/>
  <c r="K615" i="34"/>
  <c r="L577" i="34"/>
  <c r="K632" i="34"/>
  <c r="K594" i="34"/>
  <c r="K580" i="34"/>
  <c r="K613" i="34"/>
  <c r="K595" i="34"/>
  <c r="I436" i="34"/>
  <c r="P70" i="31"/>
  <c r="AM72" i="31"/>
  <c r="I71" i="31" s="1"/>
  <c r="O59" i="31"/>
  <c r="O76" i="31"/>
  <c r="O82" i="31" s="1"/>
  <c r="H70" i="31"/>
  <c r="BC7" i="87"/>
  <c r="BP79" i="33"/>
  <c r="BP89" i="33"/>
  <c r="BT10" i="87"/>
  <c r="BC10" i="87"/>
  <c r="BE15" i="87"/>
  <c r="BP15" i="87"/>
  <c r="BT37" i="87"/>
  <c r="BC37" i="87"/>
  <c r="BE37" i="87" s="1"/>
  <c r="BP114" i="33"/>
  <c r="BP17" i="87"/>
  <c r="BE17" i="87"/>
  <c r="BP29" i="87"/>
  <c r="BE29" i="87"/>
  <c r="BT16" i="87"/>
  <c r="BC16" i="87"/>
  <c r="BT11" i="87"/>
  <c r="BC11" i="87"/>
  <c r="BP144" i="33"/>
  <c r="BT12" i="87"/>
  <c r="BC12" i="87"/>
  <c r="BE36" i="87"/>
  <c r="BP36" i="87"/>
  <c r="BE22" i="87"/>
  <c r="BP22" i="87"/>
  <c r="BT9" i="87"/>
  <c r="BC9" i="87"/>
  <c r="BE8" i="87"/>
  <c r="BP8" i="87"/>
  <c r="BL112" i="33"/>
  <c r="I295" i="34"/>
  <c r="I132" i="34"/>
  <c r="I134" i="34" s="1"/>
  <c r="I139" i="34" s="1"/>
  <c r="I141" i="34" s="1"/>
  <c r="I145" i="34" s="1"/>
  <c r="I339" i="34"/>
  <c r="I699" i="34" s="1"/>
  <c r="AE42" i="30"/>
  <c r="I76" i="31"/>
  <c r="S27" i="30"/>
  <c r="I252" i="34"/>
  <c r="I698" i="34" s="1"/>
  <c r="O68" i="31"/>
  <c r="J129" i="34"/>
  <c r="J689" i="34" s="1"/>
  <c r="S26" i="30"/>
  <c r="J228" i="34"/>
  <c r="I101" i="34"/>
  <c r="I108" i="34" s="1"/>
  <c r="I684" i="34" s="1"/>
  <c r="G67" i="31"/>
  <c r="J591" i="34"/>
  <c r="J317" i="34"/>
  <c r="O63" i="31"/>
  <c r="P80" i="31"/>
  <c r="G44" i="30"/>
  <c r="G80" i="31"/>
  <c r="I21" i="34"/>
  <c r="I28" i="34" s="1"/>
  <c r="I683" i="34" s="1"/>
  <c r="J28" i="34"/>
  <c r="J683" i="34" s="1"/>
  <c r="J132" i="34"/>
  <c r="I59" i="34"/>
  <c r="I67" i="34" s="1"/>
  <c r="I688" i="34" s="1"/>
  <c r="P69" i="31"/>
  <c r="P67" i="31"/>
  <c r="I229" i="34" l="1"/>
  <c r="I233" i="34" s="1"/>
  <c r="I693" i="34" s="1"/>
  <c r="H22" i="30"/>
  <c r="BL76" i="33"/>
  <c r="I485" i="34"/>
  <c r="I498" i="34" s="1"/>
  <c r="I499" i="34" s="1"/>
  <c r="I502" i="34" s="1"/>
  <c r="AM20" i="31" s="1"/>
  <c r="P76" i="31"/>
  <c r="P82" i="31" s="1"/>
  <c r="BP45" i="87"/>
  <c r="BE40" i="87"/>
  <c r="BL136" i="33"/>
  <c r="BP18" i="87"/>
  <c r="BE28" i="87"/>
  <c r="BE30" i="87"/>
  <c r="BP38" i="87"/>
  <c r="J165" i="34"/>
  <c r="J167" i="34" s="1"/>
  <c r="J170" i="34" s="1"/>
  <c r="BP23" i="87"/>
  <c r="I398" i="34"/>
  <c r="I687" i="34" s="1"/>
  <c r="I362" i="34"/>
  <c r="I686" i="34" s="1"/>
  <c r="I563" i="34"/>
  <c r="I566" i="34" s="1"/>
  <c r="I702" i="34" s="1"/>
  <c r="BP19" i="87"/>
  <c r="BE24" i="87"/>
  <c r="BP42" i="87"/>
  <c r="BP21" i="87"/>
  <c r="BE44" i="87"/>
  <c r="I410" i="34"/>
  <c r="I414" i="34" s="1"/>
  <c r="I384" i="34"/>
  <c r="I691" i="34"/>
  <c r="L710" i="34"/>
  <c r="L716" i="34"/>
  <c r="S15" i="30"/>
  <c r="I316" i="34"/>
  <c r="I318" i="34" s="1"/>
  <c r="I322" i="34" s="1"/>
  <c r="I694" i="34" s="1"/>
  <c r="J200" i="34"/>
  <c r="AM61" i="31" s="1"/>
  <c r="I61" i="31" s="1"/>
  <c r="BP31" i="87"/>
  <c r="BE47" i="87"/>
  <c r="BP26" i="87"/>
  <c r="K137" i="34"/>
  <c r="AA88" i="31"/>
  <c r="I9" i="33"/>
  <c r="AF9" i="33" s="1"/>
  <c r="BL100" i="33"/>
  <c r="J280" i="34"/>
  <c r="J301" i="34" s="1"/>
  <c r="AM33" i="31"/>
  <c r="I33" i="31" s="1"/>
  <c r="J9" i="33"/>
  <c r="Y9" i="33" s="1"/>
  <c r="BP35" i="87"/>
  <c r="J108" i="34"/>
  <c r="J295" i="34"/>
  <c r="AM62" i="31" s="1"/>
  <c r="I62" i="31" s="1"/>
  <c r="BE33" i="87"/>
  <c r="BB88" i="33"/>
  <c r="BE14" i="87"/>
  <c r="BE7" i="87"/>
  <c r="BE10" i="87"/>
  <c r="BA24" i="33"/>
  <c r="I516" i="34"/>
  <c r="I519" i="34" s="1"/>
  <c r="I701" i="34" s="1"/>
  <c r="AA73" i="31"/>
  <c r="AM23" i="31"/>
  <c r="I23" i="31" s="1"/>
  <c r="I453" i="34"/>
  <c r="I466" i="34" s="1"/>
  <c r="I469" i="34" s="1"/>
  <c r="O73" i="31"/>
  <c r="G73" i="31" s="1"/>
  <c r="AB18" i="33"/>
  <c r="AB21" i="33"/>
  <c r="AB23" i="33"/>
  <c r="BL124" i="33"/>
  <c r="BP7" i="87"/>
  <c r="J483" i="34"/>
  <c r="J504" i="34"/>
  <c r="J514" i="34" s="1"/>
  <c r="J436" i="34"/>
  <c r="J530" i="34"/>
  <c r="J531" i="34" s="1"/>
  <c r="AB72" i="31"/>
  <c r="J406" i="34"/>
  <c r="J484" i="34"/>
  <c r="J485" i="34" s="1"/>
  <c r="J498" i="34" s="1"/>
  <c r="AB20" i="31"/>
  <c r="I543" i="34"/>
  <c r="I531" i="34"/>
  <c r="I544" i="34" s="1"/>
  <c r="AN78" i="31"/>
  <c r="K135" i="34"/>
  <c r="AB61" i="31"/>
  <c r="K31" i="34"/>
  <c r="K647" i="34" s="1"/>
  <c r="K39" i="34"/>
  <c r="K685" i="34" s="1"/>
  <c r="AB68" i="31"/>
  <c r="T27" i="30" s="1"/>
  <c r="K58" i="34"/>
  <c r="K136" i="34"/>
  <c r="K175" i="34"/>
  <c r="AN80" i="31"/>
  <c r="K213" i="34"/>
  <c r="K304" i="34"/>
  <c r="K263" i="34"/>
  <c r="AA65" i="31"/>
  <c r="H57" i="31"/>
  <c r="S9" i="30"/>
  <c r="I79" i="31"/>
  <c r="AE43" i="30"/>
  <c r="H22" i="31"/>
  <c r="H23" i="31"/>
  <c r="J360" i="34"/>
  <c r="AB71" i="31"/>
  <c r="J359" i="34"/>
  <c r="J468" i="34"/>
  <c r="J529" i="34"/>
  <c r="J420" i="34"/>
  <c r="J433" i="34" s="1"/>
  <c r="J440" i="34"/>
  <c r="AB70" i="31"/>
  <c r="K121" i="34"/>
  <c r="K138" i="34"/>
  <c r="K212" i="34"/>
  <c r="K653" i="34" s="1"/>
  <c r="AB67" i="31"/>
  <c r="K20" i="34"/>
  <c r="L599" i="34"/>
  <c r="L333" i="34"/>
  <c r="L325" i="34" s="1"/>
  <c r="L658" i="34" s="1"/>
  <c r="L321" i="34"/>
  <c r="L299" i="34"/>
  <c r="L338" i="34"/>
  <c r="L348" i="34"/>
  <c r="L343" i="34"/>
  <c r="L315" i="34"/>
  <c r="L304" i="34" s="1"/>
  <c r="L654" i="34" s="1"/>
  <c r="L283" i="34"/>
  <c r="L231" i="34"/>
  <c r="L326" i="34"/>
  <c r="L678" i="34" s="1"/>
  <c r="L313" i="34"/>
  <c r="L266" i="34"/>
  <c r="L256" i="34"/>
  <c r="L251" i="34"/>
  <c r="L288" i="34"/>
  <c r="L272" i="34"/>
  <c r="L239" i="34"/>
  <c r="L677" i="34" s="1"/>
  <c r="L225" i="34"/>
  <c r="L212" i="34" s="1"/>
  <c r="L653" i="34" s="1"/>
  <c r="L204" i="34"/>
  <c r="L184" i="34"/>
  <c r="L183" i="34"/>
  <c r="L175" i="34" s="1"/>
  <c r="L180" i="34"/>
  <c r="L319" i="34"/>
  <c r="L290" i="34"/>
  <c r="L282" i="34" s="1"/>
  <c r="L274" i="34"/>
  <c r="L263" i="34" s="1"/>
  <c r="L176" i="34"/>
  <c r="L168" i="34"/>
  <c r="L154" i="34"/>
  <c r="L124" i="34"/>
  <c r="L103" i="34"/>
  <c r="L82" i="34"/>
  <c r="L62" i="34"/>
  <c r="L247" i="34"/>
  <c r="L216" i="34"/>
  <c r="L672" i="34" s="1"/>
  <c r="L186" i="34"/>
  <c r="L143" i="34"/>
  <c r="L123" i="34"/>
  <c r="L120" i="34"/>
  <c r="L112" i="34" s="1"/>
  <c r="L650" i="34" s="1"/>
  <c r="L91" i="34"/>
  <c r="L663" i="34" s="1"/>
  <c r="L77" i="34"/>
  <c r="AO79" i="31" s="1"/>
  <c r="L76" i="34"/>
  <c r="AO78" i="31" s="1"/>
  <c r="L75" i="34"/>
  <c r="AO77" i="31" s="1"/>
  <c r="L74" i="34"/>
  <c r="L61" i="34"/>
  <c r="L24" i="34"/>
  <c r="L22" i="34"/>
  <c r="L19" i="34"/>
  <c r="L12" i="34"/>
  <c r="L662" i="34" s="1"/>
  <c r="L336" i="34"/>
  <c r="L248" i="34"/>
  <c r="L197" i="34"/>
  <c r="L193" i="34" s="1"/>
  <c r="L187" i="34"/>
  <c r="L160" i="34"/>
  <c r="L128" i="34"/>
  <c r="L126" i="34"/>
  <c r="L113" i="34"/>
  <c r="L668" i="34" s="1"/>
  <c r="L107" i="34"/>
  <c r="L105" i="34"/>
  <c r="L66" i="34"/>
  <c r="L60" i="34"/>
  <c r="L57" i="34"/>
  <c r="L49" i="34" s="1"/>
  <c r="L649" i="34" s="1"/>
  <c r="L43" i="34"/>
  <c r="L27" i="34"/>
  <c r="L5" i="34"/>
  <c r="L331" i="34"/>
  <c r="L307" i="34"/>
  <c r="L673" i="34" s="1"/>
  <c r="L271" i="34"/>
  <c r="L226" i="34"/>
  <c r="L695" i="34" s="1"/>
  <c r="L63" i="34"/>
  <c r="L37" i="34"/>
  <c r="L25" i="34"/>
  <c r="L23" i="34"/>
  <c r="M4" i="34"/>
  <c r="L104" i="34"/>
  <c r="L36" i="34"/>
  <c r="L99" i="34"/>
  <c r="L65" i="34"/>
  <c r="L50" i="34"/>
  <c r="L667" i="34" s="1"/>
  <c r="L38" i="34"/>
  <c r="L159" i="34"/>
  <c r="L125" i="34"/>
  <c r="L35" i="34"/>
  <c r="L162" i="34"/>
  <c r="K237" i="34"/>
  <c r="K657" i="34" s="1"/>
  <c r="K282" i="34"/>
  <c r="AB60" i="31"/>
  <c r="AM82" i="31"/>
  <c r="I82" i="31" s="1"/>
  <c r="S10" i="30"/>
  <c r="H14" i="31"/>
  <c r="H71" i="31"/>
  <c r="J515" i="34"/>
  <c r="H58" i="31"/>
  <c r="H64" i="31"/>
  <c r="S22" i="30"/>
  <c r="H69" i="31"/>
  <c r="S28" i="30"/>
  <c r="S29" i="30" s="1"/>
  <c r="S30" i="30" s="1"/>
  <c r="J396" i="34"/>
  <c r="AB22" i="31"/>
  <c r="J395" i="34"/>
  <c r="AB23" i="31"/>
  <c r="J373" i="34"/>
  <c r="J472" i="34"/>
  <c r="J452" i="34"/>
  <c r="J453" i="34" s="1"/>
  <c r="J466" i="34" s="1"/>
  <c r="AB14" i="31"/>
  <c r="I421" i="34"/>
  <c r="I434" i="34" s="1"/>
  <c r="I433" i="34"/>
  <c r="K585" i="34"/>
  <c r="K510" i="34"/>
  <c r="K509" i="34"/>
  <c r="K491" i="34"/>
  <c r="K392" i="34"/>
  <c r="K556" i="34"/>
  <c r="K538" i="34"/>
  <c r="K427" i="34"/>
  <c r="K287" i="34"/>
  <c r="K294" i="34" s="1"/>
  <c r="K537" i="34"/>
  <c r="K428" i="34"/>
  <c r="K349" i="34"/>
  <c r="K557" i="34"/>
  <c r="K492" i="34"/>
  <c r="K459" i="34"/>
  <c r="K460" i="34"/>
  <c r="K356" i="34"/>
  <c r="K312" i="34"/>
  <c r="K320" i="34" s="1"/>
  <c r="K244" i="34"/>
  <c r="K250" i="34" s="1"/>
  <c r="K116" i="34"/>
  <c r="K53" i="34"/>
  <c r="K330" i="34"/>
  <c r="K337" i="34" s="1"/>
  <c r="K95" i="34"/>
  <c r="K222" i="34"/>
  <c r="K230" i="34" s="1"/>
  <c r="K15" i="34"/>
  <c r="K94" i="34"/>
  <c r="K102" i="34" s="1"/>
  <c r="K179" i="34"/>
  <c r="AB63" i="31"/>
  <c r="K249" i="34"/>
  <c r="Q67" i="31"/>
  <c r="AN76" i="31"/>
  <c r="K78" i="34"/>
  <c r="K690" i="34" s="1"/>
  <c r="K70" i="34"/>
  <c r="K651" i="34" s="1"/>
  <c r="AB69" i="31"/>
  <c r="K100" i="34"/>
  <c r="K166" i="34"/>
  <c r="K150" i="34"/>
  <c r="K163" i="34" s="1"/>
  <c r="AB57" i="31"/>
  <c r="K153" i="34"/>
  <c r="K193" i="34"/>
  <c r="AB64" i="31"/>
  <c r="K334" i="34"/>
  <c r="AN81" i="31"/>
  <c r="K238" i="34"/>
  <c r="J562" i="34"/>
  <c r="J551" i="34"/>
  <c r="H72" i="31"/>
  <c r="H62" i="31"/>
  <c r="AE44" i="30"/>
  <c r="I80" i="31"/>
  <c r="K49" i="34"/>
  <c r="K649" i="34" s="1"/>
  <c r="AN77" i="31"/>
  <c r="K112" i="34"/>
  <c r="K650" i="34" s="1"/>
  <c r="K90" i="34"/>
  <c r="K646" i="34" s="1"/>
  <c r="K140" i="34"/>
  <c r="AB59" i="31"/>
  <c r="K264" i="34"/>
  <c r="K275" i="34" s="1"/>
  <c r="AB58" i="31"/>
  <c r="K279" i="34"/>
  <c r="K278" i="34"/>
  <c r="K265" i="34"/>
  <c r="K276" i="34" s="1"/>
  <c r="K291" i="34"/>
  <c r="K292" i="34" s="1"/>
  <c r="AB62" i="31"/>
  <c r="K293" i="34"/>
  <c r="K325" i="34"/>
  <c r="K658" i="34" s="1"/>
  <c r="K570" i="34"/>
  <c r="K552" i="34"/>
  <c r="K681" i="34" s="1"/>
  <c r="K546" i="34"/>
  <c r="K541" i="34"/>
  <c r="K529" i="34" s="1"/>
  <c r="K470" i="34"/>
  <c r="K454" i="34"/>
  <c r="K435" i="34"/>
  <c r="K432" i="34"/>
  <c r="K560" i="34"/>
  <c r="K551" i="34" s="1"/>
  <c r="K532" i="34"/>
  <c r="K676" i="34" s="1"/>
  <c r="K518" i="34"/>
  <c r="K500" i="34"/>
  <c r="K397" i="34"/>
  <c r="K464" i="34"/>
  <c r="K461" i="34"/>
  <c r="K422" i="34"/>
  <c r="K407" i="34"/>
  <c r="K364" i="34"/>
  <c r="K354" i="34"/>
  <c r="K665" i="34" s="1"/>
  <c r="K565" i="34"/>
  <c r="K564" i="34"/>
  <c r="K513" i="34"/>
  <c r="K504" i="34" s="1"/>
  <c r="K495" i="34"/>
  <c r="K483" i="34" s="1"/>
  <c r="K476" i="34"/>
  <c r="K444" i="34"/>
  <c r="K429" i="34"/>
  <c r="K412" i="34"/>
  <c r="K402" i="34"/>
  <c r="K671" i="34" s="1"/>
  <c r="K374" i="34"/>
  <c r="K505" i="34"/>
  <c r="K680" i="34" s="1"/>
  <c r="K501" i="34"/>
  <c r="K438" i="34"/>
  <c r="K382" i="34"/>
  <c r="K369" i="34"/>
  <c r="K670" i="34" s="1"/>
  <c r="K361" i="34"/>
  <c r="K523" i="34"/>
  <c r="K486" i="34"/>
  <c r="K675" i="34" s="1"/>
  <c r="K467" i="34"/>
  <c r="K390" i="34"/>
  <c r="K666" i="34" s="1"/>
  <c r="K379" i="34"/>
  <c r="K517" i="34"/>
  <c r="D32" i="87"/>
  <c r="D30" i="87"/>
  <c r="D31" i="87"/>
  <c r="D29" i="87"/>
  <c r="D35" i="87"/>
  <c r="D33" i="87"/>
  <c r="Z25" i="33"/>
  <c r="Z19" i="33"/>
  <c r="AB20" i="33"/>
  <c r="Z20" i="33"/>
  <c r="BP21" i="33"/>
  <c r="AF23" i="33"/>
  <c r="W23" i="33"/>
  <c r="BA23" i="33"/>
  <c r="BA27" i="33"/>
  <c r="B27" i="39"/>
  <c r="BI28" i="33"/>
  <c r="BE28" i="33"/>
  <c r="AT28" i="33"/>
  <c r="V28" i="33"/>
  <c r="R28" i="33"/>
  <c r="BH28" i="33"/>
  <c r="BD28" i="33"/>
  <c r="AW28" i="33"/>
  <c r="L28" i="33"/>
  <c r="AA28" i="33" s="1"/>
  <c r="BG28" i="33"/>
  <c r="BC28" i="33"/>
  <c r="AV28" i="33"/>
  <c r="K28" i="33"/>
  <c r="Z28" i="33" s="1"/>
  <c r="AU28" i="33"/>
  <c r="BJ28" i="33"/>
  <c r="H28" i="33"/>
  <c r="BF28" i="33"/>
  <c r="B29" i="39"/>
  <c r="BI30" i="33"/>
  <c r="BE30" i="33"/>
  <c r="AW30" i="33"/>
  <c r="BH30" i="33"/>
  <c r="BD30" i="33"/>
  <c r="AV30" i="33"/>
  <c r="K30" i="33"/>
  <c r="Z30" i="33" s="1"/>
  <c r="BG30" i="33"/>
  <c r="BC30" i="33"/>
  <c r="AU30" i="33"/>
  <c r="BJ30" i="33"/>
  <c r="BF30" i="33"/>
  <c r="AT30" i="33"/>
  <c r="V30" i="33"/>
  <c r="R30" i="33"/>
  <c r="L30" i="33"/>
  <c r="AA30" i="33" s="1"/>
  <c r="B38" i="39"/>
  <c r="D51" i="33"/>
  <c r="D46" i="33"/>
  <c r="D44" i="33"/>
  <c r="D40" i="33"/>
  <c r="BH39" i="33"/>
  <c r="BD39" i="33"/>
  <c r="AV39" i="33"/>
  <c r="K39" i="33"/>
  <c r="Z39" i="33" s="1"/>
  <c r="D43" i="33"/>
  <c r="BJ39" i="33"/>
  <c r="BE39" i="33"/>
  <c r="AU39" i="33"/>
  <c r="D42" i="33"/>
  <c r="BF39" i="33"/>
  <c r="AT39" i="33"/>
  <c r="D47" i="33"/>
  <c r="BC39" i="33"/>
  <c r="D45" i="33"/>
  <c r="BI39" i="33"/>
  <c r="R39" i="33"/>
  <c r="L39" i="33"/>
  <c r="AA39" i="33" s="1"/>
  <c r="D49" i="33"/>
  <c r="D48" i="33"/>
  <c r="D41" i="33"/>
  <c r="BG39" i="33"/>
  <c r="AW39" i="33"/>
  <c r="V39" i="33"/>
  <c r="H39" i="33"/>
  <c r="B31" i="39"/>
  <c r="BH32" i="33"/>
  <c r="BD32" i="33"/>
  <c r="AW32" i="33"/>
  <c r="L32" i="33"/>
  <c r="AA32" i="33" s="1"/>
  <c r="BG32" i="33"/>
  <c r="BC32" i="33"/>
  <c r="AV32" i="33"/>
  <c r="K32" i="33"/>
  <c r="Z32" i="33" s="1"/>
  <c r="BJ32" i="33"/>
  <c r="BF32" i="33"/>
  <c r="AU32" i="33"/>
  <c r="H32" i="33"/>
  <c r="BI32" i="33"/>
  <c r="BE32" i="33"/>
  <c r="AT32" i="33"/>
  <c r="V32" i="33"/>
  <c r="R32" i="33"/>
  <c r="B28" i="39"/>
  <c r="BG29" i="33"/>
  <c r="BC29" i="33"/>
  <c r="AU29" i="33"/>
  <c r="H29" i="33"/>
  <c r="BJ29" i="33"/>
  <c r="BF29" i="33"/>
  <c r="AT29" i="33"/>
  <c r="V29" i="33"/>
  <c r="R29" i="33"/>
  <c r="BI29" i="33"/>
  <c r="BE29" i="33"/>
  <c r="AW29" i="33"/>
  <c r="L29" i="33"/>
  <c r="AA29" i="33" s="1"/>
  <c r="BD29" i="33"/>
  <c r="AV29" i="33"/>
  <c r="BH29" i="33"/>
  <c r="K29" i="33"/>
  <c r="Z29" i="33" s="1"/>
  <c r="BA25" i="33"/>
  <c r="BA20" i="33"/>
  <c r="BP20" i="33"/>
  <c r="AB24" i="33"/>
  <c r="Z24" i="33"/>
  <c r="J10" i="33"/>
  <c r="Y10" i="33" s="1"/>
  <c r="BP18" i="33"/>
  <c r="BA21" i="33"/>
  <c r="B34" i="39"/>
  <c r="BI35" i="33"/>
  <c r="BE35" i="33"/>
  <c r="AT35" i="33"/>
  <c r="V35" i="33"/>
  <c r="R35" i="33"/>
  <c r="BH35" i="33"/>
  <c r="BD35" i="33"/>
  <c r="AW35" i="33"/>
  <c r="L35" i="33"/>
  <c r="AA35" i="33" s="1"/>
  <c r="BG35" i="33"/>
  <c r="BC35" i="33"/>
  <c r="AV35" i="33"/>
  <c r="K35" i="33"/>
  <c r="Z35" i="33" s="1"/>
  <c r="BJ35" i="33"/>
  <c r="BF35" i="33"/>
  <c r="AU35" i="33"/>
  <c r="H35" i="33"/>
  <c r="B36" i="39"/>
  <c r="BI37" i="33"/>
  <c r="BE37" i="33"/>
  <c r="AW37" i="33"/>
  <c r="L37" i="33"/>
  <c r="AA37" i="33" s="1"/>
  <c r="BJ37" i="33"/>
  <c r="BD37" i="33"/>
  <c r="AU37" i="33"/>
  <c r="BC37" i="33"/>
  <c r="R37" i="33"/>
  <c r="H37" i="33"/>
  <c r="BH37" i="33"/>
  <c r="BG37" i="33"/>
  <c r="AV37" i="33"/>
  <c r="V37" i="33"/>
  <c r="BF37" i="33"/>
  <c r="AT37" i="33"/>
  <c r="K37" i="33"/>
  <c r="I10" i="33"/>
  <c r="I12" i="33"/>
  <c r="B32" i="39"/>
  <c r="BJ33" i="33"/>
  <c r="BF33" i="33"/>
  <c r="AT33" i="33"/>
  <c r="V33" i="33"/>
  <c r="R33" i="33"/>
  <c r="BI33" i="33"/>
  <c r="BE33" i="33"/>
  <c r="AW33" i="33"/>
  <c r="L33" i="33"/>
  <c r="AA33" i="33" s="1"/>
  <c r="BH33" i="33"/>
  <c r="BD33" i="33"/>
  <c r="AV33" i="33"/>
  <c r="K33" i="33"/>
  <c r="Z33" i="33" s="1"/>
  <c r="BG33" i="33"/>
  <c r="BC33" i="33"/>
  <c r="AU33" i="33"/>
  <c r="AB27" i="33"/>
  <c r="BP27" i="33"/>
  <c r="B33" i="39"/>
  <c r="BG34" i="33"/>
  <c r="BC34" i="33"/>
  <c r="AV34" i="33"/>
  <c r="K34" i="33"/>
  <c r="Z34" i="33" s="1"/>
  <c r="BJ34" i="33"/>
  <c r="BF34" i="33"/>
  <c r="AU34" i="33"/>
  <c r="BI34" i="33"/>
  <c r="BE34" i="33"/>
  <c r="AT34" i="33"/>
  <c r="V34" i="33"/>
  <c r="R34" i="33"/>
  <c r="BH34" i="33"/>
  <c r="BD34" i="33"/>
  <c r="AW34" i="33"/>
  <c r="L34" i="33"/>
  <c r="AA34" i="33" s="1"/>
  <c r="B30" i="39"/>
  <c r="BJ31" i="33"/>
  <c r="BF31" i="33"/>
  <c r="AU31" i="33"/>
  <c r="BI31" i="33"/>
  <c r="BE31" i="33"/>
  <c r="AT31" i="33"/>
  <c r="V31" i="33"/>
  <c r="R31" i="33"/>
  <c r="BH31" i="33"/>
  <c r="BD31" i="33"/>
  <c r="AW31" i="33"/>
  <c r="L31" i="33"/>
  <c r="AA31" i="33" s="1"/>
  <c r="BG31" i="33"/>
  <c r="BC31" i="33"/>
  <c r="AV31" i="33"/>
  <c r="K31" i="33"/>
  <c r="Z31" i="33" s="1"/>
  <c r="AF25" i="33"/>
  <c r="W25" i="33"/>
  <c r="J12" i="33"/>
  <c r="Y12" i="33" s="1"/>
  <c r="BA19" i="33"/>
  <c r="AF24" i="33"/>
  <c r="W24" i="33"/>
  <c r="BP24" i="33"/>
  <c r="BP23" i="33"/>
  <c r="AF27" i="33"/>
  <c r="W27" i="33"/>
  <c r="B35" i="39"/>
  <c r="BG36" i="33"/>
  <c r="BC36" i="33"/>
  <c r="AU36" i="33"/>
  <c r="BI36" i="33"/>
  <c r="BD36" i="33"/>
  <c r="AT36" i="33"/>
  <c r="BE36" i="33"/>
  <c r="I36" i="33"/>
  <c r="BJ36" i="33"/>
  <c r="R36" i="33"/>
  <c r="BH36" i="33"/>
  <c r="AW36" i="33"/>
  <c r="V36" i="33"/>
  <c r="L36" i="33"/>
  <c r="AA36" i="33" s="1"/>
  <c r="BF36" i="33"/>
  <c r="AV36" i="33"/>
  <c r="K36" i="33"/>
  <c r="Z36" i="33" s="1"/>
  <c r="AB25" i="33"/>
  <c r="BP25" i="33"/>
  <c r="C99" i="33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96" i="33"/>
  <c r="C97" i="33" s="1"/>
  <c r="AA19" i="33"/>
  <c r="AB19" i="33"/>
  <c r="BP19" i="33"/>
  <c r="Z18" i="33"/>
  <c r="W18" i="33"/>
  <c r="AF18" i="33"/>
  <c r="BA18" i="33"/>
  <c r="W21" i="33"/>
  <c r="AF21" i="33"/>
  <c r="D13" i="28"/>
  <c r="F13" i="28" s="1"/>
  <c r="K633" i="34"/>
  <c r="K637" i="34" s="1"/>
  <c r="AO45" i="31" s="1"/>
  <c r="AC45" i="31"/>
  <c r="U33" i="30" s="1"/>
  <c r="H46" i="31"/>
  <c r="S34" i="30"/>
  <c r="AA48" i="31"/>
  <c r="T33" i="30"/>
  <c r="P65" i="31"/>
  <c r="H14" i="30"/>
  <c r="G42" i="30"/>
  <c r="G45" i="30" s="1"/>
  <c r="G76" i="31"/>
  <c r="G69" i="31"/>
  <c r="G28" i="30"/>
  <c r="I297" i="34"/>
  <c r="L632" i="34"/>
  <c r="L613" i="34"/>
  <c r="L634" i="34"/>
  <c r="L615" i="34"/>
  <c r="L639" i="34"/>
  <c r="L636" i="34"/>
  <c r="L635" i="34"/>
  <c r="L626" i="34"/>
  <c r="L595" i="34"/>
  <c r="L596" i="34"/>
  <c r="L618" i="34"/>
  <c r="L594" i="34"/>
  <c r="L580" i="34"/>
  <c r="L608" i="34"/>
  <c r="M577" i="34"/>
  <c r="K614" i="34"/>
  <c r="K616" i="34" s="1"/>
  <c r="K717" i="34" s="1"/>
  <c r="K718" i="34" s="1"/>
  <c r="AB46" i="31"/>
  <c r="G14" i="30"/>
  <c r="G59" i="31"/>
  <c r="J620" i="34"/>
  <c r="AM46" i="31"/>
  <c r="K590" i="34"/>
  <c r="AB47" i="31"/>
  <c r="J637" i="34"/>
  <c r="BP11" i="87"/>
  <c r="BE11" i="87"/>
  <c r="BP16" i="87"/>
  <c r="BE16" i="87"/>
  <c r="BP9" i="87"/>
  <c r="BP12" i="87"/>
  <c r="BE12" i="87"/>
  <c r="BE9" i="87"/>
  <c r="BP37" i="87"/>
  <c r="BP10" i="87"/>
  <c r="BC48" i="87"/>
  <c r="D17" i="5"/>
  <c r="F17" i="5"/>
  <c r="G68" i="31"/>
  <c r="G27" i="30"/>
  <c r="H42" i="30"/>
  <c r="AM63" i="31"/>
  <c r="I200" i="34"/>
  <c r="H28" i="30"/>
  <c r="H88" i="31"/>
  <c r="AA89" i="31"/>
  <c r="G82" i="31"/>
  <c r="G22" i="30"/>
  <c r="G63" i="31"/>
  <c r="O65" i="31"/>
  <c r="J67" i="34"/>
  <c r="J688" i="34" s="1"/>
  <c r="J229" i="34"/>
  <c r="AM70" i="31"/>
  <c r="I80" i="34"/>
  <c r="I84" i="34" s="1"/>
  <c r="I254" i="34"/>
  <c r="I258" i="34" s="1"/>
  <c r="J318" i="34"/>
  <c r="J593" i="34"/>
  <c r="P73" i="31"/>
  <c r="H26" i="30"/>
  <c r="J134" i="34"/>
  <c r="J41" i="34"/>
  <c r="AM67" i="31"/>
  <c r="I41" i="34"/>
  <c r="I45" i="34" s="1"/>
  <c r="H44" i="30"/>
  <c r="AM64" i="31"/>
  <c r="F25" i="5"/>
  <c r="F30" i="5" s="1"/>
  <c r="AM22" i="31" l="1"/>
  <c r="I366" i="34"/>
  <c r="L138" i="34"/>
  <c r="AM71" i="31"/>
  <c r="K214" i="34"/>
  <c r="K215" i="34" s="1"/>
  <c r="I706" i="34"/>
  <c r="I713" i="34" s="1"/>
  <c r="I714" i="34" s="1"/>
  <c r="K659" i="34"/>
  <c r="K655" i="34"/>
  <c r="I521" i="34"/>
  <c r="I525" i="34" s="1"/>
  <c r="I696" i="34"/>
  <c r="AM69" i="31"/>
  <c r="AE28" i="30" s="1"/>
  <c r="J684" i="34"/>
  <c r="I437" i="34"/>
  <c r="I439" i="34" s="1"/>
  <c r="L137" i="34"/>
  <c r="K305" i="34"/>
  <c r="K316" i="34" s="1"/>
  <c r="K654" i="34"/>
  <c r="AM57" i="31"/>
  <c r="M710" i="34"/>
  <c r="M716" i="34"/>
  <c r="J202" i="34"/>
  <c r="J206" i="34" s="1"/>
  <c r="BP36" i="33"/>
  <c r="J297" i="34"/>
  <c r="BA33" i="33"/>
  <c r="W9" i="33"/>
  <c r="AA87" i="31"/>
  <c r="BA28" i="33"/>
  <c r="AM32" i="31"/>
  <c r="BP37" i="33"/>
  <c r="BP31" i="33"/>
  <c r="I341" i="34"/>
  <c r="I345" i="34" s="1"/>
  <c r="BP32" i="33"/>
  <c r="K641" i="34"/>
  <c r="I545" i="34"/>
  <c r="I548" i="34" s="1"/>
  <c r="J516" i="34"/>
  <c r="J519" i="34" s="1"/>
  <c r="J701" i="34" s="1"/>
  <c r="T14" i="30"/>
  <c r="K277" i="34"/>
  <c r="K280" i="34" s="1"/>
  <c r="K301" i="34" s="1"/>
  <c r="AG43" i="30"/>
  <c r="T22" i="30"/>
  <c r="AE45" i="30"/>
  <c r="AB32" i="33"/>
  <c r="AC20" i="31"/>
  <c r="K484" i="34"/>
  <c r="K497" i="34" s="1"/>
  <c r="Q69" i="31"/>
  <c r="Q68" i="31"/>
  <c r="K335" i="34"/>
  <c r="K133" i="34"/>
  <c r="Q76" i="31"/>
  <c r="J398" i="34"/>
  <c r="J687" i="34" s="1"/>
  <c r="Q63" i="31"/>
  <c r="L39" i="34"/>
  <c r="L685" i="34" s="1"/>
  <c r="L31" i="34"/>
  <c r="L647" i="34" s="1"/>
  <c r="AC68" i="31"/>
  <c r="U27" i="30" s="1"/>
  <c r="L58" i="34"/>
  <c r="L59" i="34" s="1"/>
  <c r="L67" i="34" s="1"/>
  <c r="L688" i="34" s="1"/>
  <c r="L136" i="34"/>
  <c r="AC60" i="31"/>
  <c r="L305" i="34"/>
  <c r="L316" i="34" s="1"/>
  <c r="AO81" i="31"/>
  <c r="L238" i="34"/>
  <c r="R70" i="31"/>
  <c r="AC59" i="31"/>
  <c r="L214" i="34"/>
  <c r="L215" i="34" s="1"/>
  <c r="L228" i="34" s="1"/>
  <c r="L135" i="34"/>
  <c r="L198" i="34"/>
  <c r="AC61" i="31"/>
  <c r="R59" i="31"/>
  <c r="AC64" i="31"/>
  <c r="L334" i="34"/>
  <c r="L335" i="34" s="1"/>
  <c r="K122" i="34"/>
  <c r="AF44" i="30"/>
  <c r="J544" i="34"/>
  <c r="K406" i="34"/>
  <c r="K408" i="34" s="1"/>
  <c r="K692" i="34" s="1"/>
  <c r="AC72" i="31"/>
  <c r="K440" i="34"/>
  <c r="K420" i="34"/>
  <c r="K421" i="34" s="1"/>
  <c r="K434" i="34" s="1"/>
  <c r="K419" i="34"/>
  <c r="Q70" i="31"/>
  <c r="J561" i="34"/>
  <c r="K151" i="34"/>
  <c r="K164" i="34" s="1"/>
  <c r="K165" i="34" s="1"/>
  <c r="K167" i="34" s="1"/>
  <c r="K170" i="34" s="1"/>
  <c r="K101" i="34"/>
  <c r="K132" i="34"/>
  <c r="K295" i="34"/>
  <c r="AN62" i="31" s="1"/>
  <c r="M599" i="34"/>
  <c r="M338" i="34"/>
  <c r="M331" i="34"/>
  <c r="M313" i="34"/>
  <c r="M283" i="34"/>
  <c r="M343" i="34"/>
  <c r="M336" i="34"/>
  <c r="M326" i="34"/>
  <c r="M678" i="34" s="1"/>
  <c r="M266" i="34"/>
  <c r="M256" i="34"/>
  <c r="M251" i="34"/>
  <c r="M226" i="34"/>
  <c r="M695" i="34" s="1"/>
  <c r="M321" i="34"/>
  <c r="M288" i="34"/>
  <c r="M272" i="34"/>
  <c r="M239" i="34"/>
  <c r="M677" i="34" s="1"/>
  <c r="M348" i="34"/>
  <c r="M319" i="34"/>
  <c r="M307" i="34"/>
  <c r="M673" i="34" s="1"/>
  <c r="M299" i="34"/>
  <c r="M290" i="34"/>
  <c r="M274" i="34"/>
  <c r="M263" i="34" s="1"/>
  <c r="M271" i="34"/>
  <c r="M248" i="34"/>
  <c r="M247" i="34"/>
  <c r="M176" i="34"/>
  <c r="M216" i="34"/>
  <c r="M672" i="34" s="1"/>
  <c r="M204" i="34"/>
  <c r="M186" i="34"/>
  <c r="M184" i="34"/>
  <c r="M143" i="34"/>
  <c r="M123" i="34"/>
  <c r="M120" i="34"/>
  <c r="M91" i="34"/>
  <c r="M663" i="34" s="1"/>
  <c r="M77" i="34"/>
  <c r="M76" i="34"/>
  <c r="AP78" i="31" s="1"/>
  <c r="M75" i="34"/>
  <c r="M74" i="34"/>
  <c r="M61" i="34"/>
  <c r="M24" i="34"/>
  <c r="M231" i="34"/>
  <c r="M197" i="34"/>
  <c r="M187" i="34"/>
  <c r="M160" i="34"/>
  <c r="M128" i="34"/>
  <c r="M126" i="34"/>
  <c r="M113" i="34"/>
  <c r="M668" i="34" s="1"/>
  <c r="M107" i="34"/>
  <c r="M105" i="34"/>
  <c r="M66" i="34"/>
  <c r="M60" i="34"/>
  <c r="M57" i="34"/>
  <c r="M43" i="34"/>
  <c r="M27" i="34"/>
  <c r="M5" i="34"/>
  <c r="M315" i="34"/>
  <c r="M304" i="34" s="1"/>
  <c r="M654" i="34" s="1"/>
  <c r="M225" i="34"/>
  <c r="M180" i="34"/>
  <c r="M162" i="34"/>
  <c r="M149" i="34" s="1"/>
  <c r="M159" i="34"/>
  <c r="M125" i="34"/>
  <c r="M104" i="34"/>
  <c r="M99" i="34"/>
  <c r="M65" i="34"/>
  <c r="M63" i="34"/>
  <c r="M50" i="34"/>
  <c r="M667" i="34" s="1"/>
  <c r="M38" i="34"/>
  <c r="M37" i="34"/>
  <c r="M36" i="34"/>
  <c r="M35" i="34"/>
  <c r="M25" i="34"/>
  <c r="M23" i="34"/>
  <c r="M333" i="34"/>
  <c r="M183" i="34"/>
  <c r="M175" i="34" s="1"/>
  <c r="M62" i="34"/>
  <c r="M19" i="34"/>
  <c r="M11" i="34" s="1"/>
  <c r="M645" i="34" s="1"/>
  <c r="M12" i="34"/>
  <c r="M662" i="34" s="1"/>
  <c r="M103" i="34"/>
  <c r="M82" i="34"/>
  <c r="M22" i="34"/>
  <c r="M154" i="34"/>
  <c r="M124" i="34"/>
  <c r="M168" i="34"/>
  <c r="N4" i="34"/>
  <c r="R68" i="31"/>
  <c r="J27" i="30" s="1"/>
  <c r="L237" i="34"/>
  <c r="L657" i="34" s="1"/>
  <c r="AC63" i="31"/>
  <c r="U22" i="30" s="1"/>
  <c r="L249" i="34"/>
  <c r="L560" i="34"/>
  <c r="L532" i="34"/>
  <c r="L676" i="34" s="1"/>
  <c r="L505" i="34"/>
  <c r="L680" i="34" s="1"/>
  <c r="L486" i="34"/>
  <c r="L675" i="34" s="1"/>
  <c r="L467" i="34"/>
  <c r="P467" i="34" s="1"/>
  <c r="L461" i="34"/>
  <c r="L444" i="34"/>
  <c r="P444" i="34" s="1"/>
  <c r="L564" i="34"/>
  <c r="L541" i="34"/>
  <c r="L429" i="34"/>
  <c r="L412" i="34"/>
  <c r="L407" i="34"/>
  <c r="L570" i="34"/>
  <c r="L565" i="34"/>
  <c r="L552" i="34"/>
  <c r="L681" i="34" s="1"/>
  <c r="L546" i="34"/>
  <c r="L513" i="34"/>
  <c r="L500" i="34"/>
  <c r="L495" i="34"/>
  <c r="L483" i="34" s="1"/>
  <c r="L476" i="34"/>
  <c r="L470" i="34"/>
  <c r="P470" i="34" s="1"/>
  <c r="L454" i="34"/>
  <c r="P454" i="34" s="1"/>
  <c r="L432" i="34"/>
  <c r="L419" i="34" s="1"/>
  <c r="L402" i="34"/>
  <c r="L671" i="34" s="1"/>
  <c r="L374" i="34"/>
  <c r="L523" i="34"/>
  <c r="L518" i="34"/>
  <c r="L517" i="34"/>
  <c r="L435" i="34"/>
  <c r="L390" i="34"/>
  <c r="L666" i="34" s="1"/>
  <c r="L379" i="34"/>
  <c r="L464" i="34"/>
  <c r="L451" i="34" s="1"/>
  <c r="L422" i="34"/>
  <c r="L397" i="34"/>
  <c r="L364" i="34"/>
  <c r="L354" i="34"/>
  <c r="L665" i="34" s="1"/>
  <c r="L438" i="34"/>
  <c r="P438" i="34" s="1"/>
  <c r="L382" i="34"/>
  <c r="L361" i="34"/>
  <c r="L501" i="34"/>
  <c r="L369" i="34"/>
  <c r="L670" i="34" s="1"/>
  <c r="K21" i="34"/>
  <c r="Q59" i="31"/>
  <c r="Q60" i="31"/>
  <c r="J408" i="34"/>
  <c r="J692" i="34" s="1"/>
  <c r="G29" i="30"/>
  <c r="G30" i="30" s="1"/>
  <c r="AC22" i="31"/>
  <c r="K396" i="34"/>
  <c r="K547" i="34" s="1"/>
  <c r="K395" i="34"/>
  <c r="AC71" i="31"/>
  <c r="K360" i="34"/>
  <c r="K359" i="34"/>
  <c r="Q64" i="31"/>
  <c r="AN82" i="31"/>
  <c r="AF43" i="30"/>
  <c r="T28" i="30"/>
  <c r="AF42" i="30"/>
  <c r="T10" i="30"/>
  <c r="AO80" i="31"/>
  <c r="AG44" i="30" s="1"/>
  <c r="L213" i="34"/>
  <c r="R80" i="31" s="1"/>
  <c r="J44" i="30" s="1"/>
  <c r="L557" i="34"/>
  <c r="L538" i="34"/>
  <c r="L492" i="34"/>
  <c r="L585" i="34"/>
  <c r="L537" i="34"/>
  <c r="L428" i="34"/>
  <c r="L349" i="34"/>
  <c r="L509" i="34"/>
  <c r="L491" i="34"/>
  <c r="L460" i="34"/>
  <c r="L392" i="34"/>
  <c r="L356" i="34"/>
  <c r="L556" i="34"/>
  <c r="L510" i="34"/>
  <c r="L427" i="34"/>
  <c r="L287" i="34"/>
  <c r="L294" i="34" s="1"/>
  <c r="L312" i="34"/>
  <c r="L320" i="34" s="1"/>
  <c r="L244" i="34"/>
  <c r="L250" i="34" s="1"/>
  <c r="L330" i="34"/>
  <c r="L337" i="34" s="1"/>
  <c r="L53" i="34"/>
  <c r="L95" i="34"/>
  <c r="L222" i="34"/>
  <c r="L230" i="34" s="1"/>
  <c r="L179" i="34"/>
  <c r="L185" i="34" s="1"/>
  <c r="L189" i="34" s="1"/>
  <c r="L200" i="34" s="1"/>
  <c r="AO61" i="31" s="1"/>
  <c r="L94" i="34"/>
  <c r="L102" i="34" s="1"/>
  <c r="L133" i="34" s="1"/>
  <c r="L459" i="34"/>
  <c r="L116" i="34"/>
  <c r="L15" i="34"/>
  <c r="AC70" i="31"/>
  <c r="L121" i="34"/>
  <c r="L122" i="34" s="1"/>
  <c r="L129" i="34" s="1"/>
  <c r="L689" i="34" s="1"/>
  <c r="L20" i="34"/>
  <c r="L21" i="34" s="1"/>
  <c r="L28" i="34" s="1"/>
  <c r="L683" i="34" s="1"/>
  <c r="AC67" i="31"/>
  <c r="L150" i="34"/>
  <c r="L163" i="34" s="1"/>
  <c r="AC57" i="31"/>
  <c r="L153" i="34"/>
  <c r="L166" i="34"/>
  <c r="L279" i="34"/>
  <c r="L264" i="34"/>
  <c r="L275" i="34" s="1"/>
  <c r="AC58" i="31"/>
  <c r="L278" i="34"/>
  <c r="AC62" i="31"/>
  <c r="L291" i="34"/>
  <c r="L292" i="34" s="1"/>
  <c r="L293" i="34"/>
  <c r="R64" i="31"/>
  <c r="J362" i="34"/>
  <c r="J686" i="34" s="1"/>
  <c r="K185" i="34"/>
  <c r="T15" i="30"/>
  <c r="J543" i="34"/>
  <c r="J496" i="34"/>
  <c r="L140" i="34"/>
  <c r="L90" i="34"/>
  <c r="L646" i="34" s="1"/>
  <c r="K373" i="34"/>
  <c r="K375" i="34" s="1"/>
  <c r="K380" i="34" s="1"/>
  <c r="K691" i="34" s="1"/>
  <c r="AC23" i="31"/>
  <c r="K515" i="34"/>
  <c r="K516" i="34" s="1"/>
  <c r="K519" i="34" s="1"/>
  <c r="K701" i="34" s="1"/>
  <c r="K451" i="34"/>
  <c r="K530" i="34"/>
  <c r="K543" i="34" s="1"/>
  <c r="K472" i="34"/>
  <c r="K452" i="34"/>
  <c r="K465" i="34" s="1"/>
  <c r="AC14" i="31"/>
  <c r="K562" i="34"/>
  <c r="K563" i="34" s="1"/>
  <c r="K566" i="34" s="1"/>
  <c r="K702" i="34" s="1"/>
  <c r="K227" i="34"/>
  <c r="T9" i="30"/>
  <c r="AB65" i="31"/>
  <c r="AB88" i="31"/>
  <c r="AB89" i="31" s="1"/>
  <c r="I26" i="30"/>
  <c r="K252" i="34"/>
  <c r="K698" i="34" s="1"/>
  <c r="J465" i="34"/>
  <c r="J375" i="34"/>
  <c r="J547" i="34"/>
  <c r="L149" i="34"/>
  <c r="R57" i="31" s="1"/>
  <c r="L11" i="34"/>
  <c r="L645" i="34" s="1"/>
  <c r="L78" i="34"/>
  <c r="L690" i="34" s="1"/>
  <c r="AO76" i="31"/>
  <c r="L70" i="34"/>
  <c r="L651" i="34" s="1"/>
  <c r="AC69" i="31"/>
  <c r="L100" i="34"/>
  <c r="R60" i="31"/>
  <c r="AB73" i="31"/>
  <c r="T26" i="30"/>
  <c r="J542" i="34"/>
  <c r="Q80" i="31"/>
  <c r="K59" i="34"/>
  <c r="J497" i="34"/>
  <c r="J421" i="34"/>
  <c r="D42" i="87"/>
  <c r="AW67" i="31" s="1"/>
  <c r="D40" i="87"/>
  <c r="D38" i="87"/>
  <c r="D37" i="87"/>
  <c r="D39" i="87"/>
  <c r="D36" i="87"/>
  <c r="AS67" i="31"/>
  <c r="AU67" i="31"/>
  <c r="AL67" i="31"/>
  <c r="AJ67" i="31"/>
  <c r="AT67" i="31"/>
  <c r="AH67" i="31"/>
  <c r="AI67" i="31"/>
  <c r="AK67" i="31"/>
  <c r="AV67" i="31"/>
  <c r="BA36" i="33"/>
  <c r="AB34" i="33"/>
  <c r="BP34" i="33"/>
  <c r="BA34" i="33"/>
  <c r="AB33" i="33"/>
  <c r="W37" i="33"/>
  <c r="AF37" i="33"/>
  <c r="BA37" i="33"/>
  <c r="AF35" i="33"/>
  <c r="W35" i="33"/>
  <c r="BA35" i="33"/>
  <c r="AF32" i="33"/>
  <c r="W32" i="33"/>
  <c r="BA32" i="33"/>
  <c r="B48" i="39"/>
  <c r="BI49" i="33"/>
  <c r="BE49" i="33"/>
  <c r="AW49" i="33"/>
  <c r="L49" i="33"/>
  <c r="AA49" i="33" s="1"/>
  <c r="BF49" i="33"/>
  <c r="AV49" i="33"/>
  <c r="BJ49" i="33"/>
  <c r="BC49" i="33"/>
  <c r="R49" i="33"/>
  <c r="H49" i="33"/>
  <c r="BG49" i="33"/>
  <c r="AT49" i="33"/>
  <c r="BD49" i="33"/>
  <c r="V49" i="33"/>
  <c r="K49" i="33"/>
  <c r="BH49" i="33"/>
  <c r="AU49" i="33"/>
  <c r="B46" i="39"/>
  <c r="BI47" i="33"/>
  <c r="BE47" i="33"/>
  <c r="AW47" i="33"/>
  <c r="L47" i="33"/>
  <c r="AA47" i="33" s="1"/>
  <c r="BF47" i="33"/>
  <c r="AV47" i="33"/>
  <c r="BH47" i="33"/>
  <c r="BJ47" i="33"/>
  <c r="AU47" i="33"/>
  <c r="R47" i="33"/>
  <c r="BG47" i="33"/>
  <c r="AT47" i="33"/>
  <c r="BD47" i="33"/>
  <c r="V47" i="33"/>
  <c r="K47" i="33"/>
  <c r="BC47" i="33"/>
  <c r="H47" i="33"/>
  <c r="B41" i="39"/>
  <c r="BG42" i="33"/>
  <c r="BC42" i="33"/>
  <c r="AU42" i="33"/>
  <c r="L42" i="33"/>
  <c r="BI42" i="33"/>
  <c r="BD42" i="33"/>
  <c r="AT42" i="33"/>
  <c r="BE42" i="33"/>
  <c r="R42" i="33"/>
  <c r="BJ42" i="33"/>
  <c r="AW42" i="33"/>
  <c r="BH42" i="33"/>
  <c r="AV42" i="33"/>
  <c r="V42" i="33"/>
  <c r="K42" i="33"/>
  <c r="BF42" i="33"/>
  <c r="B45" i="39"/>
  <c r="BJ46" i="33"/>
  <c r="BF46" i="33"/>
  <c r="AT46" i="33"/>
  <c r="V46" i="33"/>
  <c r="R46" i="33"/>
  <c r="BI46" i="33"/>
  <c r="BD46" i="33"/>
  <c r="AU46" i="33"/>
  <c r="K46" i="33"/>
  <c r="BG46" i="33"/>
  <c r="AV46" i="33"/>
  <c r="BE46" i="33"/>
  <c r="BC46" i="33"/>
  <c r="AW46" i="33"/>
  <c r="BH46" i="33"/>
  <c r="L46" i="33"/>
  <c r="AA46" i="33" s="1"/>
  <c r="BP30" i="33"/>
  <c r="AB28" i="33"/>
  <c r="BP28" i="33"/>
  <c r="AB36" i="33"/>
  <c r="AF29" i="33"/>
  <c r="W29" i="33"/>
  <c r="BA29" i="33"/>
  <c r="AF39" i="33"/>
  <c r="W39" i="33"/>
  <c r="B44" i="39"/>
  <c r="BH45" i="33"/>
  <c r="BD45" i="33"/>
  <c r="AW45" i="33"/>
  <c r="L45" i="33"/>
  <c r="AA45" i="33" s="1"/>
  <c r="BG45" i="33"/>
  <c r="AT45" i="33"/>
  <c r="V45" i="33"/>
  <c r="BE45" i="33"/>
  <c r="AU45" i="33"/>
  <c r="R45" i="33"/>
  <c r="BI45" i="33"/>
  <c r="AV45" i="33"/>
  <c r="K45" i="33"/>
  <c r="Z45" i="33" s="1"/>
  <c r="BF45" i="33"/>
  <c r="BC45" i="33"/>
  <c r="BJ45" i="33"/>
  <c r="B50" i="39"/>
  <c r="D61" i="33"/>
  <c r="D56" i="33"/>
  <c r="BG51" i="33"/>
  <c r="BC51" i="33"/>
  <c r="AU51" i="33"/>
  <c r="H51" i="33"/>
  <c r="D52" i="33"/>
  <c r="BF51" i="33"/>
  <c r="AW51" i="33"/>
  <c r="D60" i="33"/>
  <c r="D59" i="33"/>
  <c r="D55" i="33"/>
  <c r="D58" i="33"/>
  <c r="D54" i="33"/>
  <c r="D53" i="33"/>
  <c r="BJ51" i="33"/>
  <c r="BD51" i="33"/>
  <c r="R51" i="33"/>
  <c r="K51" i="33"/>
  <c r="D57" i="33"/>
  <c r="BI51" i="33"/>
  <c r="AV51" i="33"/>
  <c r="D63" i="33"/>
  <c r="BH51" i="33"/>
  <c r="AT51" i="33"/>
  <c r="BE51" i="33"/>
  <c r="V51" i="33"/>
  <c r="L51" i="33"/>
  <c r="AA51" i="33" s="1"/>
  <c r="AF12" i="33"/>
  <c r="W12" i="33"/>
  <c r="AB37" i="33"/>
  <c r="Z37" i="33"/>
  <c r="AB29" i="33"/>
  <c r="BP29" i="33"/>
  <c r="B40" i="39"/>
  <c r="BG41" i="33"/>
  <c r="BC41" i="33"/>
  <c r="AU41" i="33"/>
  <c r="K41" i="33"/>
  <c r="BI41" i="33"/>
  <c r="BD41" i="33"/>
  <c r="AT41" i="33"/>
  <c r="BJ41" i="33"/>
  <c r="AW41" i="33"/>
  <c r="BH41" i="33"/>
  <c r="AV41" i="33"/>
  <c r="BF41" i="33"/>
  <c r="R41" i="33"/>
  <c r="L41" i="33"/>
  <c r="AA41" i="33" s="1"/>
  <c r="BE41" i="33"/>
  <c r="V41" i="33"/>
  <c r="H41" i="33"/>
  <c r="AB39" i="33"/>
  <c r="BP39" i="33"/>
  <c r="B42" i="39"/>
  <c r="BH43" i="33"/>
  <c r="BD43" i="33"/>
  <c r="AW43" i="33"/>
  <c r="L43" i="33"/>
  <c r="AA43" i="33" s="1"/>
  <c r="BJ43" i="33"/>
  <c r="BE43" i="33"/>
  <c r="AV43" i="33"/>
  <c r="BG43" i="33"/>
  <c r="K43" i="33"/>
  <c r="BI43" i="33"/>
  <c r="AU43" i="33"/>
  <c r="V43" i="33"/>
  <c r="BF43" i="33"/>
  <c r="AT43" i="33"/>
  <c r="BP43" i="33" s="1"/>
  <c r="R43" i="33"/>
  <c r="BC43" i="33"/>
  <c r="B39" i="39"/>
  <c r="BI40" i="33"/>
  <c r="BE40" i="33"/>
  <c r="AW40" i="33"/>
  <c r="BJ40" i="33"/>
  <c r="BD40" i="33"/>
  <c r="AU40" i="33"/>
  <c r="H40" i="33"/>
  <c r="BH40" i="33"/>
  <c r="AV40" i="33"/>
  <c r="V40" i="33"/>
  <c r="BG40" i="33"/>
  <c r="AT40" i="33"/>
  <c r="L40" i="33"/>
  <c r="AA40" i="33" s="1"/>
  <c r="BF40" i="33"/>
  <c r="R40" i="33"/>
  <c r="K40" i="33"/>
  <c r="BC40" i="33"/>
  <c r="AB30" i="33"/>
  <c r="BA30" i="33"/>
  <c r="AF36" i="33"/>
  <c r="W36" i="33"/>
  <c r="AB31" i="33"/>
  <c r="BA31" i="33"/>
  <c r="BP33" i="33"/>
  <c r="W10" i="33"/>
  <c r="AF10" i="33"/>
  <c r="AB35" i="33"/>
  <c r="BP35" i="33"/>
  <c r="B47" i="39"/>
  <c r="BG48" i="33"/>
  <c r="BC48" i="33"/>
  <c r="AV48" i="33"/>
  <c r="K48" i="33"/>
  <c r="Z48" i="33" s="1"/>
  <c r="BJ48" i="33"/>
  <c r="BE48" i="33"/>
  <c r="AW48" i="33"/>
  <c r="BI48" i="33"/>
  <c r="BH48" i="33"/>
  <c r="AU48" i="33"/>
  <c r="BF48" i="33"/>
  <c r="AT48" i="33"/>
  <c r="R48" i="33"/>
  <c r="L48" i="33"/>
  <c r="AA48" i="33" s="1"/>
  <c r="BD48" i="33"/>
  <c r="V48" i="33"/>
  <c r="I48" i="33"/>
  <c r="W48" i="33" s="1"/>
  <c r="BA39" i="33"/>
  <c r="B43" i="39"/>
  <c r="BJ44" i="33"/>
  <c r="BF44" i="33"/>
  <c r="AT44" i="33"/>
  <c r="H44" i="33"/>
  <c r="BE44" i="33"/>
  <c r="AV44" i="33"/>
  <c r="BH44" i="33"/>
  <c r="AW44" i="33"/>
  <c r="BG44" i="33"/>
  <c r="BD44" i="33"/>
  <c r="V44" i="33"/>
  <c r="L44" i="33"/>
  <c r="AA44" i="33" s="1"/>
  <c r="BC44" i="33"/>
  <c r="K44" i="33"/>
  <c r="BI44" i="33"/>
  <c r="AU44" i="33"/>
  <c r="R44" i="33"/>
  <c r="AF28" i="33"/>
  <c r="W28" i="33"/>
  <c r="K620" i="34"/>
  <c r="AN46" i="31"/>
  <c r="L614" i="34"/>
  <c r="L616" i="34" s="1"/>
  <c r="L717" i="34" s="1"/>
  <c r="L718" i="34" s="1"/>
  <c r="AC46" i="31"/>
  <c r="U34" i="30" s="1"/>
  <c r="I20" i="31"/>
  <c r="T34" i="30"/>
  <c r="AG33" i="30"/>
  <c r="L633" i="34"/>
  <c r="L637" i="34" s="1"/>
  <c r="AD45" i="31"/>
  <c r="AB48" i="31"/>
  <c r="AA53" i="31"/>
  <c r="AA55" i="31"/>
  <c r="I471" i="34"/>
  <c r="I478" i="34"/>
  <c r="L590" i="34"/>
  <c r="L591" i="34" s="1"/>
  <c r="L593" i="34" s="1"/>
  <c r="L597" i="34" s="1"/>
  <c r="L711" i="34" s="1"/>
  <c r="L712" i="34" s="1"/>
  <c r="AC47" i="31"/>
  <c r="T35" i="30"/>
  <c r="I46" i="31"/>
  <c r="AE34" i="30"/>
  <c r="H29" i="30"/>
  <c r="H30" i="30" s="1"/>
  <c r="AN45" i="31"/>
  <c r="J641" i="34"/>
  <c r="K591" i="34"/>
  <c r="M618" i="34"/>
  <c r="M608" i="34"/>
  <c r="M596" i="34"/>
  <c r="M639" i="34"/>
  <c r="M636" i="34"/>
  <c r="M635" i="34"/>
  <c r="M626" i="34"/>
  <c r="M595" i="34"/>
  <c r="M632" i="34"/>
  <c r="M613" i="34"/>
  <c r="M615" i="34"/>
  <c r="M594" i="34"/>
  <c r="M580" i="34"/>
  <c r="N577" i="34"/>
  <c r="M634" i="34"/>
  <c r="S36" i="30"/>
  <c r="J139" i="34"/>
  <c r="J322" i="34"/>
  <c r="J694" i="34" s="1"/>
  <c r="J45" i="34"/>
  <c r="J597" i="34"/>
  <c r="J711" i="34" s="1"/>
  <c r="J712" i="34" s="1"/>
  <c r="J233" i="34"/>
  <c r="J693" i="34" s="1"/>
  <c r="H89" i="31"/>
  <c r="I64" i="31"/>
  <c r="H45" i="30"/>
  <c r="G65" i="31"/>
  <c r="AE22" i="30"/>
  <c r="AE26" i="30"/>
  <c r="I70" i="31"/>
  <c r="J80" i="34"/>
  <c r="AM68" i="31"/>
  <c r="I202" i="34"/>
  <c r="I206" i="34" s="1"/>
  <c r="D25" i="5"/>
  <c r="D30" i="5" s="1"/>
  <c r="I69" i="31" l="1"/>
  <c r="AM73" i="31"/>
  <c r="K306" i="34"/>
  <c r="K317" i="34" s="1"/>
  <c r="K318" i="34" s="1"/>
  <c r="I568" i="34"/>
  <c r="I572" i="34" s="1"/>
  <c r="I697" i="34"/>
  <c r="I704" i="34" s="1"/>
  <c r="L655" i="34"/>
  <c r="L659" i="34"/>
  <c r="N710" i="34"/>
  <c r="N716" i="34"/>
  <c r="I57" i="31"/>
  <c r="AE9" i="30"/>
  <c r="J706" i="34"/>
  <c r="J713" i="34" s="1"/>
  <c r="J714" i="34" s="1"/>
  <c r="P432" i="34"/>
  <c r="L468" i="34"/>
  <c r="U14" i="30"/>
  <c r="Q73" i="31"/>
  <c r="L265" i="34"/>
  <c r="L276" i="34" s="1"/>
  <c r="L277" i="34" s="1"/>
  <c r="L280" i="34" s="1"/>
  <c r="L301" i="34" s="1"/>
  <c r="T29" i="30"/>
  <c r="T30" i="30" s="1"/>
  <c r="K485" i="34"/>
  <c r="K498" i="34" s="1"/>
  <c r="K499" i="34" s="1"/>
  <c r="K502" i="34" s="1"/>
  <c r="K696" i="34" s="1"/>
  <c r="U28" i="30"/>
  <c r="AM21" i="31"/>
  <c r="AE23" i="30"/>
  <c r="I32" i="31"/>
  <c r="BP46" i="33"/>
  <c r="BA41" i="33"/>
  <c r="K362" i="34"/>
  <c r="K686" i="34" s="1"/>
  <c r="K398" i="34"/>
  <c r="K453" i="34"/>
  <c r="K466" i="34" s="1"/>
  <c r="AF45" i="30"/>
  <c r="L306" i="34"/>
  <c r="L317" i="34" s="1"/>
  <c r="L318" i="34" s="1"/>
  <c r="L322" i="34" s="1"/>
  <c r="L694" i="34" s="1"/>
  <c r="M138" i="34"/>
  <c r="L252" i="34"/>
  <c r="L698" i="34" s="1"/>
  <c r="I14" i="30"/>
  <c r="Q65" i="31"/>
  <c r="AD72" i="31"/>
  <c r="L406" i="34"/>
  <c r="S60" i="31"/>
  <c r="M49" i="34"/>
  <c r="M649" i="34" s="1"/>
  <c r="M238" i="34"/>
  <c r="AP81" i="31"/>
  <c r="AD63" i="31"/>
  <c r="M249" i="34"/>
  <c r="AP80" i="31"/>
  <c r="M213" i="34"/>
  <c r="S80" i="31" s="1"/>
  <c r="K44" i="30" s="1"/>
  <c r="AD64" i="31"/>
  <c r="M334" i="34"/>
  <c r="M335" i="34" s="1"/>
  <c r="AD62" i="31"/>
  <c r="M293" i="34"/>
  <c r="M291" i="34"/>
  <c r="M292" i="34" s="1"/>
  <c r="AN57" i="31"/>
  <c r="K414" i="34"/>
  <c r="AO72" i="31"/>
  <c r="J410" i="34"/>
  <c r="AN22" i="31"/>
  <c r="AD23" i="31"/>
  <c r="L373" i="34"/>
  <c r="L440" i="34"/>
  <c r="P440" i="34" s="1"/>
  <c r="L420" i="34"/>
  <c r="L433" i="34" s="1"/>
  <c r="L504" i="34"/>
  <c r="L529" i="34"/>
  <c r="L551" i="34"/>
  <c r="J545" i="34"/>
  <c r="AG42" i="30"/>
  <c r="AO82" i="31"/>
  <c r="AO23" i="31"/>
  <c r="K384" i="34"/>
  <c r="K189" i="34"/>
  <c r="P422" i="34"/>
  <c r="L151" i="34"/>
  <c r="L164" i="34" s="1"/>
  <c r="L165" i="34" s="1"/>
  <c r="L167" i="34" s="1"/>
  <c r="L170" i="34" s="1"/>
  <c r="AO70" i="31"/>
  <c r="AD71" i="31"/>
  <c r="L360" i="34"/>
  <c r="L359" i="34"/>
  <c r="L484" i="34"/>
  <c r="L485" i="34" s="1"/>
  <c r="AD20" i="31"/>
  <c r="N599" i="34"/>
  <c r="N343" i="34"/>
  <c r="N336" i="34"/>
  <c r="N326" i="34"/>
  <c r="N678" i="34" s="1"/>
  <c r="N315" i="34"/>
  <c r="N304" i="34" s="1"/>
  <c r="N654" i="34" s="1"/>
  <c r="N290" i="34"/>
  <c r="N282" i="34" s="1"/>
  <c r="N348" i="34"/>
  <c r="N338" i="34"/>
  <c r="N321" i="34"/>
  <c r="N313" i="34"/>
  <c r="N288" i="34"/>
  <c r="N272" i="34"/>
  <c r="N239" i="34"/>
  <c r="N677" i="34" s="1"/>
  <c r="N319" i="34"/>
  <c r="N307" i="34"/>
  <c r="N673" i="34" s="1"/>
  <c r="N299" i="34"/>
  <c r="N274" i="34"/>
  <c r="N263" i="34" s="1"/>
  <c r="N271" i="34"/>
  <c r="N248" i="34"/>
  <c r="N247" i="34"/>
  <c r="N333" i="34"/>
  <c r="N325" i="34" s="1"/>
  <c r="N658" i="34" s="1"/>
  <c r="N331" i="34"/>
  <c r="N231" i="34"/>
  <c r="N187" i="34"/>
  <c r="N168" i="34"/>
  <c r="N256" i="34"/>
  <c r="N251" i="34"/>
  <c r="N197" i="34"/>
  <c r="N193" i="34" s="1"/>
  <c r="N160" i="34"/>
  <c r="N128" i="34"/>
  <c r="N126" i="34"/>
  <c r="N113" i="34"/>
  <c r="N668" i="34" s="1"/>
  <c r="N107" i="34"/>
  <c r="N105" i="34"/>
  <c r="N66" i="34"/>
  <c r="N60" i="34"/>
  <c r="N57" i="34"/>
  <c r="N49" i="34" s="1"/>
  <c r="N649" i="34" s="1"/>
  <c r="N43" i="34"/>
  <c r="N27" i="34"/>
  <c r="N266" i="34"/>
  <c r="N225" i="34"/>
  <c r="N212" i="34" s="1"/>
  <c r="N653" i="34" s="1"/>
  <c r="N180" i="34"/>
  <c r="N162" i="34"/>
  <c r="N149" i="34" s="1"/>
  <c r="N159" i="34"/>
  <c r="N125" i="34"/>
  <c r="N104" i="34"/>
  <c r="N99" i="34"/>
  <c r="N65" i="34"/>
  <c r="N63" i="34"/>
  <c r="N50" i="34"/>
  <c r="N667" i="34" s="1"/>
  <c r="N38" i="34"/>
  <c r="N37" i="34"/>
  <c r="N36" i="34"/>
  <c r="N35" i="34"/>
  <c r="N25" i="34"/>
  <c r="N23" i="34"/>
  <c r="N204" i="34"/>
  <c r="N186" i="34"/>
  <c r="N226" i="34"/>
  <c r="N695" i="34" s="1"/>
  <c r="N183" i="34"/>
  <c r="N154" i="34"/>
  <c r="N124" i="34"/>
  <c r="N103" i="34"/>
  <c r="N82" i="34"/>
  <c r="N62" i="34"/>
  <c r="O4" i="34"/>
  <c r="N283" i="34"/>
  <c r="N216" i="34"/>
  <c r="N672" i="34" s="1"/>
  <c r="N184" i="34"/>
  <c r="N143" i="34"/>
  <c r="N91" i="34"/>
  <c r="N663" i="34" s="1"/>
  <c r="N61" i="34"/>
  <c r="N12" i="34"/>
  <c r="N662" i="34" s="1"/>
  <c r="N77" i="34"/>
  <c r="AQ79" i="31" s="1"/>
  <c r="N76" i="34"/>
  <c r="N75" i="34"/>
  <c r="AQ77" i="31" s="1"/>
  <c r="N74" i="34"/>
  <c r="N19" i="34"/>
  <c r="N24" i="34"/>
  <c r="N123" i="34"/>
  <c r="N120" i="34"/>
  <c r="N112" i="34" s="1"/>
  <c r="N650" i="34" s="1"/>
  <c r="N22" i="34"/>
  <c r="N176" i="34"/>
  <c r="N5" i="34"/>
  <c r="S67" i="31"/>
  <c r="I44" i="30"/>
  <c r="J9" i="30"/>
  <c r="B9" i="30" s="1"/>
  <c r="F63" i="6" s="1"/>
  <c r="J63" i="6" s="1"/>
  <c r="C57" i="31"/>
  <c r="K57" i="31"/>
  <c r="K228" i="34"/>
  <c r="K229" i="34" s="1"/>
  <c r="AO33" i="31"/>
  <c r="P464" i="34"/>
  <c r="R69" i="31"/>
  <c r="J28" i="30" s="1"/>
  <c r="J499" i="34"/>
  <c r="AC88" i="31"/>
  <c r="AC89" i="31" s="1"/>
  <c r="U26" i="30"/>
  <c r="U29" i="30" s="1"/>
  <c r="U30" i="30" s="1"/>
  <c r="AC73" i="31"/>
  <c r="J414" i="34"/>
  <c r="AN72" i="31"/>
  <c r="L436" i="34"/>
  <c r="L496" i="34"/>
  <c r="L562" i="34"/>
  <c r="L515" i="34"/>
  <c r="R63" i="31"/>
  <c r="J22" i="30" s="1"/>
  <c r="M90" i="34"/>
  <c r="M646" i="34" s="1"/>
  <c r="M140" i="34"/>
  <c r="M538" i="34"/>
  <c r="M537" i="34"/>
  <c r="M460" i="34"/>
  <c r="M510" i="34"/>
  <c r="M459" i="34"/>
  <c r="M428" i="34"/>
  <c r="M509" i="34"/>
  <c r="M491" i="34"/>
  <c r="M392" i="34"/>
  <c r="M356" i="34"/>
  <c r="M330" i="34"/>
  <c r="M337" i="34" s="1"/>
  <c r="M585" i="34"/>
  <c r="M349" i="34"/>
  <c r="M557" i="34"/>
  <c r="M492" i="34"/>
  <c r="M312" i="34"/>
  <c r="M320" i="34" s="1"/>
  <c r="M244" i="34"/>
  <c r="M250" i="34" s="1"/>
  <c r="M556" i="34"/>
  <c r="M222" i="34"/>
  <c r="M230" i="34" s="1"/>
  <c r="M179" i="34"/>
  <c r="M185" i="34" s="1"/>
  <c r="M189" i="34" s="1"/>
  <c r="M95" i="34"/>
  <c r="M427" i="34"/>
  <c r="M94" i="34"/>
  <c r="M102" i="34" s="1"/>
  <c r="M133" i="34" s="1"/>
  <c r="M116" i="34"/>
  <c r="M15" i="34"/>
  <c r="M287" i="34"/>
  <c r="M294" i="34" s="1"/>
  <c r="M53" i="34"/>
  <c r="AD70" i="31"/>
  <c r="M121" i="34"/>
  <c r="M122" i="34" s="1"/>
  <c r="M129" i="34" s="1"/>
  <c r="M689" i="34" s="1"/>
  <c r="AP79" i="31"/>
  <c r="AD59" i="31"/>
  <c r="AD60" i="31"/>
  <c r="M305" i="34"/>
  <c r="M316" i="34" s="1"/>
  <c r="K134" i="34"/>
  <c r="K433" i="34"/>
  <c r="L339" i="34"/>
  <c r="L699" i="34" s="1"/>
  <c r="L227" i="34"/>
  <c r="L229" i="34" s="1"/>
  <c r="L233" i="34" s="1"/>
  <c r="L693" i="34" s="1"/>
  <c r="I28" i="30"/>
  <c r="J434" i="34"/>
  <c r="K67" i="34"/>
  <c r="K688" i="34" s="1"/>
  <c r="J380" i="34"/>
  <c r="J691" i="34" s="1"/>
  <c r="U10" i="30"/>
  <c r="K531" i="34"/>
  <c r="AO32" i="31"/>
  <c r="L295" i="34"/>
  <c r="AO62" i="31" s="1"/>
  <c r="U9" i="30"/>
  <c r="AC65" i="31"/>
  <c r="L41" i="34"/>
  <c r="L45" i="34" s="1"/>
  <c r="AO67" i="31"/>
  <c r="K28" i="34"/>
  <c r="K683" i="34" s="1"/>
  <c r="AD22" i="31"/>
  <c r="L396" i="34"/>
  <c r="L395" i="34"/>
  <c r="AD14" i="31"/>
  <c r="L472" i="34"/>
  <c r="P472" i="34" s="1"/>
  <c r="L452" i="34"/>
  <c r="L453" i="34" s="1"/>
  <c r="L466" i="34" s="1"/>
  <c r="L530" i="34"/>
  <c r="L543" i="34" s="1"/>
  <c r="M135" i="34"/>
  <c r="M39" i="34"/>
  <c r="M685" i="34" s="1"/>
  <c r="M31" i="34"/>
  <c r="M647" i="34" s="1"/>
  <c r="AD68" i="31"/>
  <c r="V27" i="30" s="1"/>
  <c r="M58" i="34"/>
  <c r="M136" i="34"/>
  <c r="M193" i="34"/>
  <c r="AP76" i="31"/>
  <c r="M78" i="34"/>
  <c r="M690" i="34" s="1"/>
  <c r="M70" i="34"/>
  <c r="M651" i="34" s="1"/>
  <c r="AD69" i="31"/>
  <c r="M100" i="34"/>
  <c r="M198" i="34"/>
  <c r="AD61" i="31"/>
  <c r="J469" i="34"/>
  <c r="J563" i="34"/>
  <c r="J14" i="30"/>
  <c r="I22" i="30"/>
  <c r="I42" i="30"/>
  <c r="Q82" i="31"/>
  <c r="I27" i="30"/>
  <c r="U15" i="30"/>
  <c r="K297" i="34"/>
  <c r="L101" i="34"/>
  <c r="L108" i="34" s="1"/>
  <c r="L684" i="34" s="1"/>
  <c r="L132" i="34"/>
  <c r="L134" i="34" s="1"/>
  <c r="L139" i="34" s="1"/>
  <c r="L141" i="34" s="1"/>
  <c r="L145" i="34" s="1"/>
  <c r="R76" i="31"/>
  <c r="R67" i="31"/>
  <c r="AN63" i="31"/>
  <c r="AB87" i="31"/>
  <c r="K468" i="34"/>
  <c r="P451" i="34"/>
  <c r="AN71" i="31"/>
  <c r="J366" i="34"/>
  <c r="AG45" i="30"/>
  <c r="M153" i="34"/>
  <c r="AD57" i="31"/>
  <c r="M150" i="34"/>
  <c r="M163" i="34" s="1"/>
  <c r="M166" i="34"/>
  <c r="M20" i="34"/>
  <c r="M21" i="34" s="1"/>
  <c r="M28" i="34" s="1"/>
  <c r="M683" i="34" s="1"/>
  <c r="AD67" i="31"/>
  <c r="M325" i="34"/>
  <c r="M658" i="34" s="1"/>
  <c r="M212" i="34"/>
  <c r="M137" i="34"/>
  <c r="AP77" i="31"/>
  <c r="M112" i="34"/>
  <c r="M650" i="34" s="1"/>
  <c r="M237" i="34"/>
  <c r="M657" i="34" s="1"/>
  <c r="M282" i="34"/>
  <c r="M518" i="34"/>
  <c r="M517" i="34"/>
  <c r="M513" i="34"/>
  <c r="M501" i="34"/>
  <c r="M500" i="34"/>
  <c r="M495" i="34"/>
  <c r="M476" i="34"/>
  <c r="M464" i="34"/>
  <c r="M438" i="34"/>
  <c r="M570" i="34"/>
  <c r="M552" i="34"/>
  <c r="M681" i="34" s="1"/>
  <c r="M435" i="34"/>
  <c r="M390" i="34"/>
  <c r="M666" i="34" s="1"/>
  <c r="M564" i="34"/>
  <c r="M541" i="34"/>
  <c r="M529" i="34" s="1"/>
  <c r="M532" i="34"/>
  <c r="M676" i="34" s="1"/>
  <c r="M523" i="34"/>
  <c r="M444" i="34"/>
  <c r="M429" i="34"/>
  <c r="M412" i="34"/>
  <c r="M379" i="34"/>
  <c r="M486" i="34"/>
  <c r="M675" i="34" s="1"/>
  <c r="M467" i="34"/>
  <c r="M382" i="34"/>
  <c r="M369" i="34"/>
  <c r="M670" i="34" s="1"/>
  <c r="M361" i="34"/>
  <c r="M565" i="34"/>
  <c r="M560" i="34"/>
  <c r="M546" i="34"/>
  <c r="M470" i="34"/>
  <c r="M461" i="34"/>
  <c r="M454" i="34"/>
  <c r="M432" i="34"/>
  <c r="M419" i="34" s="1"/>
  <c r="M407" i="34"/>
  <c r="M402" i="34"/>
  <c r="M671" i="34" s="1"/>
  <c r="M374" i="34"/>
  <c r="M354" i="34"/>
  <c r="M665" i="34" s="1"/>
  <c r="M397" i="34"/>
  <c r="M505" i="34"/>
  <c r="M680" i="34" s="1"/>
  <c r="M364" i="34"/>
  <c r="M422" i="34"/>
  <c r="M278" i="34"/>
  <c r="AD58" i="31"/>
  <c r="M264" i="34"/>
  <c r="M275" i="34" s="1"/>
  <c r="M279" i="34"/>
  <c r="K108" i="34"/>
  <c r="K684" i="34" s="1"/>
  <c r="K436" i="34"/>
  <c r="P419" i="34"/>
  <c r="P436" i="34" s="1"/>
  <c r="K129" i="34"/>
  <c r="K689" i="34" s="1"/>
  <c r="L80" i="34"/>
  <c r="L84" i="34" s="1"/>
  <c r="AO68" i="31"/>
  <c r="AG27" i="30" s="1"/>
  <c r="K339" i="34"/>
  <c r="K699" i="34" s="1"/>
  <c r="AN32" i="31"/>
  <c r="Z26" i="30"/>
  <c r="AM26" i="30"/>
  <c r="D45" i="87"/>
  <c r="AU63" i="31" s="1"/>
  <c r="D47" i="87"/>
  <c r="AT45" i="31" s="1"/>
  <c r="D43" i="87"/>
  <c r="D46" i="87"/>
  <c r="AK47" i="31" s="1"/>
  <c r="AC35" i="30" s="1"/>
  <c r="D44" i="87"/>
  <c r="AX59" i="31" s="1"/>
  <c r="AX67" i="31"/>
  <c r="AG67" i="31"/>
  <c r="AU45" i="31"/>
  <c r="AV45" i="31"/>
  <c r="AT63" i="31"/>
  <c r="AL22" i="30" s="1"/>
  <c r="AN26" i="30"/>
  <c r="AL26" i="30"/>
  <c r="AO26" i="30"/>
  <c r="AL59" i="31"/>
  <c r="AJ59" i="31"/>
  <c r="AH59" i="31"/>
  <c r="AI59" i="31"/>
  <c r="AG59" i="31"/>
  <c r="AS59" i="31"/>
  <c r="AK59" i="31"/>
  <c r="AT59" i="31"/>
  <c r="AW59" i="31"/>
  <c r="AU59" i="31"/>
  <c r="AX45" i="31"/>
  <c r="AC26" i="30"/>
  <c r="AB26" i="30"/>
  <c r="AK26" i="30"/>
  <c r="AK63" i="31"/>
  <c r="AC22" i="30" s="1"/>
  <c r="AI63" i="31"/>
  <c r="AG63" i="31"/>
  <c r="AS63" i="31"/>
  <c r="AJ63" i="31"/>
  <c r="AB22" i="30" s="1"/>
  <c r="AH63" i="31"/>
  <c r="Z22" i="30" s="1"/>
  <c r="AL63" i="31"/>
  <c r="AD22" i="30" s="1"/>
  <c r="AV59" i="31"/>
  <c r="AX63" i="31"/>
  <c r="AP22" i="30" s="1"/>
  <c r="AA26" i="30"/>
  <c r="H67" i="31"/>
  <c r="AD26" i="30"/>
  <c r="AG68" i="31"/>
  <c r="AS68" i="31"/>
  <c r="AI68" i="31"/>
  <c r="AI73" i="31" s="1"/>
  <c r="AH68" i="31"/>
  <c r="Z27" i="30" s="1"/>
  <c r="AL68" i="31"/>
  <c r="AD27" i="30" s="1"/>
  <c r="AJ68" i="31"/>
  <c r="AB27" i="30" s="1"/>
  <c r="AU68" i="31"/>
  <c r="AM27" i="30" s="1"/>
  <c r="AV68" i="31"/>
  <c r="AN27" i="30" s="1"/>
  <c r="AW68" i="31"/>
  <c r="AO27" i="30" s="1"/>
  <c r="AK68" i="31"/>
  <c r="AC27" i="30" s="1"/>
  <c r="AX68" i="31"/>
  <c r="AP27" i="30" s="1"/>
  <c r="AT68" i="31"/>
  <c r="AL27" i="30" s="1"/>
  <c r="AH45" i="31"/>
  <c r="AJ45" i="31"/>
  <c r="AI45" i="31"/>
  <c r="AS45" i="31"/>
  <c r="AK45" i="31"/>
  <c r="AL45" i="31"/>
  <c r="AG45" i="31"/>
  <c r="AW45" i="31"/>
  <c r="AW63" i="31"/>
  <c r="AO22" i="30" s="1"/>
  <c r="AV63" i="31"/>
  <c r="AN22" i="30" s="1"/>
  <c r="B52" i="39"/>
  <c r="BI53" i="33"/>
  <c r="BE53" i="33"/>
  <c r="AW53" i="33"/>
  <c r="L53" i="33"/>
  <c r="AA53" i="33" s="1"/>
  <c r="BJ53" i="33"/>
  <c r="BD53" i="33"/>
  <c r="AU53" i="33"/>
  <c r="BH53" i="33"/>
  <c r="BF53" i="33"/>
  <c r="AT53" i="33"/>
  <c r="K53" i="33"/>
  <c r="H53" i="33"/>
  <c r="BG53" i="33"/>
  <c r="R53" i="33"/>
  <c r="BC53" i="33"/>
  <c r="AV53" i="33"/>
  <c r="V53" i="33"/>
  <c r="B58" i="39"/>
  <c r="BJ59" i="33"/>
  <c r="BF59" i="33"/>
  <c r="AT59" i="33"/>
  <c r="V59" i="33"/>
  <c r="R59" i="33"/>
  <c r="BG59" i="33"/>
  <c r="AW59" i="33"/>
  <c r="H59" i="33"/>
  <c r="BE59" i="33"/>
  <c r="AU59" i="33"/>
  <c r="L59" i="33"/>
  <c r="AA59" i="33" s="1"/>
  <c r="BD59" i="33"/>
  <c r="K59" i="33"/>
  <c r="BH59" i="33"/>
  <c r="AV59" i="33"/>
  <c r="BI59" i="33"/>
  <c r="BC59" i="33"/>
  <c r="BA45" i="33"/>
  <c r="Z42" i="33"/>
  <c r="AB47" i="33"/>
  <c r="Z47" i="33"/>
  <c r="BA47" i="33"/>
  <c r="Z49" i="33"/>
  <c r="BP49" i="33"/>
  <c r="BP44" i="33"/>
  <c r="AF48" i="33"/>
  <c r="AB48" i="33"/>
  <c r="Z40" i="33"/>
  <c r="B62" i="39"/>
  <c r="D73" i="33"/>
  <c r="D71" i="33"/>
  <c r="D69" i="33"/>
  <c r="D64" i="33"/>
  <c r="BI63" i="33"/>
  <c r="BE63" i="33"/>
  <c r="AT63" i="33"/>
  <c r="V63" i="33"/>
  <c r="R63" i="33"/>
  <c r="D67" i="33"/>
  <c r="D66" i="33"/>
  <c r="D65" i="33"/>
  <c r="BH63" i="33"/>
  <c r="BC63" i="33"/>
  <c r="AU63" i="33"/>
  <c r="L63" i="33"/>
  <c r="AA63" i="33" s="1"/>
  <c r="D70" i="33"/>
  <c r="D75" i="33"/>
  <c r="D72" i="33"/>
  <c r="BG63" i="33"/>
  <c r="AW63" i="33"/>
  <c r="BD63" i="33"/>
  <c r="D68" i="33"/>
  <c r="BF63" i="33"/>
  <c r="H63" i="33"/>
  <c r="AV63" i="33"/>
  <c r="BJ63" i="33"/>
  <c r="K63" i="33"/>
  <c r="Z63" i="33" s="1"/>
  <c r="B53" i="39"/>
  <c r="BG54" i="33"/>
  <c r="BC54" i="33"/>
  <c r="AU54" i="33"/>
  <c r="BJ54" i="33"/>
  <c r="BE54" i="33"/>
  <c r="AV54" i="33"/>
  <c r="R54" i="33"/>
  <c r="L54" i="33"/>
  <c r="AA54" i="33" s="1"/>
  <c r="BD54" i="33"/>
  <c r="V54" i="33"/>
  <c r="BI54" i="33"/>
  <c r="BF54" i="33"/>
  <c r="AT54" i="33"/>
  <c r="BH54" i="33"/>
  <c r="AW54" i="33"/>
  <c r="K54" i="33"/>
  <c r="B59" i="39"/>
  <c r="BH60" i="33"/>
  <c r="BD60" i="33"/>
  <c r="AV60" i="33"/>
  <c r="K60" i="33"/>
  <c r="Z60" i="33" s="1"/>
  <c r="BF60" i="33"/>
  <c r="AW60" i="33"/>
  <c r="BG60" i="33"/>
  <c r="AU60" i="33"/>
  <c r="V60" i="33"/>
  <c r="I60" i="33"/>
  <c r="BE60" i="33"/>
  <c r="AT60" i="33"/>
  <c r="BI60" i="33"/>
  <c r="R60" i="33"/>
  <c r="L60" i="33"/>
  <c r="AA60" i="33" s="1"/>
  <c r="BJ60" i="33"/>
  <c r="BC60" i="33"/>
  <c r="B55" i="39"/>
  <c r="BG56" i="33"/>
  <c r="BC56" i="33"/>
  <c r="AU56" i="33"/>
  <c r="H56" i="33"/>
  <c r="BH56" i="33"/>
  <c r="V56" i="33"/>
  <c r="K56" i="33"/>
  <c r="BI56" i="33"/>
  <c r="AW56" i="33"/>
  <c r="BF56" i="33"/>
  <c r="AV56" i="33"/>
  <c r="BJ56" i="33"/>
  <c r="BD56" i="33"/>
  <c r="R56" i="33"/>
  <c r="BE56" i="33"/>
  <c r="L56" i="33"/>
  <c r="AA56" i="33" s="1"/>
  <c r="AT56" i="33"/>
  <c r="AB46" i="33"/>
  <c r="Z46" i="33"/>
  <c r="BA46" i="33"/>
  <c r="AB42" i="33"/>
  <c r="AA42" i="33"/>
  <c r="W47" i="33"/>
  <c r="AF47" i="33"/>
  <c r="BP47" i="33"/>
  <c r="Z44" i="33"/>
  <c r="BA44" i="33"/>
  <c r="AB40" i="33"/>
  <c r="BA40" i="33"/>
  <c r="BB40" i="33" s="1"/>
  <c r="AB43" i="33"/>
  <c r="Z43" i="33"/>
  <c r="AF41" i="33"/>
  <c r="W41" i="33"/>
  <c r="Z41" i="33"/>
  <c r="B56" i="39"/>
  <c r="BJ57" i="33"/>
  <c r="BF57" i="33"/>
  <c r="AT57" i="33"/>
  <c r="V57" i="33"/>
  <c r="R57" i="33"/>
  <c r="BE57" i="33"/>
  <c r="AV57" i="33"/>
  <c r="L57" i="33"/>
  <c r="AA57" i="33" s="1"/>
  <c r="BD57" i="33"/>
  <c r="BI57" i="33"/>
  <c r="BC57" i="33"/>
  <c r="BG57" i="33"/>
  <c r="AU57" i="33"/>
  <c r="BH57" i="33"/>
  <c r="AW57" i="33"/>
  <c r="K57" i="33"/>
  <c r="Z57" i="33" s="1"/>
  <c r="BA51" i="33"/>
  <c r="B57" i="39"/>
  <c r="BG58" i="33"/>
  <c r="BC58" i="33"/>
  <c r="AU58" i="33"/>
  <c r="BJ58" i="33"/>
  <c r="BE58" i="33"/>
  <c r="AV58" i="33"/>
  <c r="R58" i="33"/>
  <c r="L58" i="33"/>
  <c r="AA58" i="33" s="1"/>
  <c r="BD58" i="33"/>
  <c r="V58" i="33"/>
  <c r="BI58" i="33"/>
  <c r="BF58" i="33"/>
  <c r="AT58" i="33"/>
  <c r="AW58" i="33"/>
  <c r="K58" i="33"/>
  <c r="Z58" i="33" s="1"/>
  <c r="BH58" i="33"/>
  <c r="B51" i="39"/>
  <c r="BJ52" i="33"/>
  <c r="BF52" i="33"/>
  <c r="AT52" i="33"/>
  <c r="V52" i="33"/>
  <c r="R52" i="33"/>
  <c r="BH52" i="33"/>
  <c r="BC52" i="33"/>
  <c r="K52" i="33"/>
  <c r="BE52" i="33"/>
  <c r="AU52" i="33"/>
  <c r="L52" i="33"/>
  <c r="AA52" i="33" s="1"/>
  <c r="BI52" i="33"/>
  <c r="AV52" i="33"/>
  <c r="BG52" i="33"/>
  <c r="BD52" i="33"/>
  <c r="H52" i="33"/>
  <c r="AW52" i="33"/>
  <c r="B60" i="39"/>
  <c r="BG61" i="33"/>
  <c r="BC61" i="33"/>
  <c r="AU61" i="33"/>
  <c r="H61" i="33"/>
  <c r="BH61" i="33"/>
  <c r="V61" i="33"/>
  <c r="K61" i="33"/>
  <c r="Z61" i="33" s="1"/>
  <c r="BI61" i="33"/>
  <c r="AW61" i="33"/>
  <c r="BF61" i="33"/>
  <c r="AV61" i="33"/>
  <c r="BJ61" i="33"/>
  <c r="BD61" i="33"/>
  <c r="R61" i="33"/>
  <c r="AT61" i="33"/>
  <c r="BE61" i="33"/>
  <c r="L61" i="33"/>
  <c r="AA61" i="33" s="1"/>
  <c r="AB45" i="33"/>
  <c r="BP45" i="33"/>
  <c r="BA42" i="33"/>
  <c r="W49" i="33"/>
  <c r="AF49" i="33"/>
  <c r="BA49" i="33"/>
  <c r="AB44" i="33"/>
  <c r="AF44" i="33"/>
  <c r="W44" i="33"/>
  <c r="BP48" i="33"/>
  <c r="BA48" i="33"/>
  <c r="BP40" i="33"/>
  <c r="AF40" i="33"/>
  <c r="W40" i="33"/>
  <c r="BA43" i="33"/>
  <c r="AB41" i="33"/>
  <c r="BP41" i="33"/>
  <c r="BP51" i="33"/>
  <c r="AB51" i="33"/>
  <c r="Z51" i="33"/>
  <c r="B54" i="39"/>
  <c r="BI55" i="33"/>
  <c r="BE55" i="33"/>
  <c r="AW55" i="33"/>
  <c r="L55" i="33"/>
  <c r="AA55" i="33" s="1"/>
  <c r="BG55" i="33"/>
  <c r="BH55" i="33"/>
  <c r="AV55" i="33"/>
  <c r="K55" i="33"/>
  <c r="BF55" i="33"/>
  <c r="AU55" i="33"/>
  <c r="R55" i="33"/>
  <c r="BJ55" i="33"/>
  <c r="BC55" i="33"/>
  <c r="V55" i="33"/>
  <c r="BD55" i="33"/>
  <c r="AT55" i="33"/>
  <c r="W51" i="33"/>
  <c r="AF51" i="33"/>
  <c r="BP42" i="33"/>
  <c r="AB49" i="33"/>
  <c r="AP45" i="31"/>
  <c r="L641" i="34"/>
  <c r="M590" i="34"/>
  <c r="AD47" i="31"/>
  <c r="AB53" i="31"/>
  <c r="AB55" i="31"/>
  <c r="I441" i="34"/>
  <c r="L620" i="34"/>
  <c r="AO46" i="31"/>
  <c r="AC48" i="31"/>
  <c r="U35" i="30"/>
  <c r="U36" i="30" s="1"/>
  <c r="AO47" i="31"/>
  <c r="L601" i="34"/>
  <c r="I473" i="34"/>
  <c r="V33" i="30"/>
  <c r="AF34" i="30"/>
  <c r="M633" i="34"/>
  <c r="M637" i="34" s="1"/>
  <c r="AE45" i="31"/>
  <c r="N634" i="34"/>
  <c r="N615" i="34"/>
  <c r="N632" i="34"/>
  <c r="N613" i="34"/>
  <c r="N618" i="34"/>
  <c r="N608" i="34"/>
  <c r="N596" i="34"/>
  <c r="N594" i="34"/>
  <c r="N580" i="34"/>
  <c r="N636" i="34"/>
  <c r="N595" i="34"/>
  <c r="N635" i="34"/>
  <c r="N626" i="34"/>
  <c r="O577" i="34"/>
  <c r="N639" i="34"/>
  <c r="M614" i="34"/>
  <c r="M616" i="34" s="1"/>
  <c r="M717" i="34" s="1"/>
  <c r="M718" i="34" s="1"/>
  <c r="AD46" i="31"/>
  <c r="K593" i="34"/>
  <c r="AF33" i="30"/>
  <c r="T36" i="30"/>
  <c r="J141" i="34"/>
  <c r="J254" i="34"/>
  <c r="AM59" i="31"/>
  <c r="AM47" i="31"/>
  <c r="J601" i="34"/>
  <c r="J341" i="34"/>
  <c r="AM60" i="31"/>
  <c r="J84" i="34"/>
  <c r="AE27" i="30"/>
  <c r="AE29" i="30" s="1"/>
  <c r="AE30" i="30" s="1"/>
  <c r="P468" i="34" l="1"/>
  <c r="L706" i="34"/>
  <c r="L713" i="34" s="1"/>
  <c r="L714" i="34" s="1"/>
  <c r="M252" i="34"/>
  <c r="M698" i="34" s="1"/>
  <c r="P466" i="34"/>
  <c r="I708" i="34"/>
  <c r="I719" i="34" s="1"/>
  <c r="I720" i="34" s="1"/>
  <c r="M655" i="34"/>
  <c r="M659" i="34"/>
  <c r="M214" i="34"/>
  <c r="M227" i="34" s="1"/>
  <c r="M653" i="34"/>
  <c r="AO22" i="31"/>
  <c r="K687" i="34"/>
  <c r="AO71" i="31"/>
  <c r="K366" i="34"/>
  <c r="M436" i="34"/>
  <c r="L531" i="34"/>
  <c r="L544" i="34" s="1"/>
  <c r="BP61" i="33"/>
  <c r="K410" i="34"/>
  <c r="I21" i="31"/>
  <c r="AE15" i="30"/>
  <c r="BP59" i="33"/>
  <c r="BA63" i="33"/>
  <c r="BA55" i="33"/>
  <c r="BP57" i="33"/>
  <c r="BP60" i="33"/>
  <c r="R65" i="31"/>
  <c r="AQ45" i="31"/>
  <c r="M641" i="34"/>
  <c r="P420" i="34"/>
  <c r="AC87" i="31"/>
  <c r="AG23" i="30"/>
  <c r="L362" i="34"/>
  <c r="L686" i="34" s="1"/>
  <c r="L297" i="34"/>
  <c r="M200" i="34"/>
  <c r="AP61" i="31" s="1"/>
  <c r="V14" i="30"/>
  <c r="N135" i="34"/>
  <c r="AB57" i="33"/>
  <c r="I68" i="31"/>
  <c r="L498" i="34"/>
  <c r="L202" i="34"/>
  <c r="L206" i="34" s="1"/>
  <c r="AO57" i="31"/>
  <c r="AN64" i="31"/>
  <c r="AF22" i="30" s="1"/>
  <c r="K322" i="34"/>
  <c r="K694" i="34" s="1"/>
  <c r="N78" i="34"/>
  <c r="N690" i="34" s="1"/>
  <c r="AQ76" i="31"/>
  <c r="N70" i="34"/>
  <c r="N651" i="34" s="1"/>
  <c r="N20" i="34"/>
  <c r="AE67" i="31"/>
  <c r="N166" i="34"/>
  <c r="N153" i="34"/>
  <c r="AE57" i="31"/>
  <c r="N150" i="34"/>
  <c r="T59" i="31"/>
  <c r="T68" i="31"/>
  <c r="L27" i="30" s="1"/>
  <c r="N138" i="34"/>
  <c r="T64" i="31"/>
  <c r="AE63" i="31"/>
  <c r="N249" i="34"/>
  <c r="J548" i="34"/>
  <c r="J697" i="34" s="1"/>
  <c r="L542" i="34"/>
  <c r="L375" i="34"/>
  <c r="S68" i="31"/>
  <c r="AO63" i="31"/>
  <c r="AE20" i="31"/>
  <c r="M484" i="34"/>
  <c r="M497" i="34" s="1"/>
  <c r="M483" i="34"/>
  <c r="AH43" i="30"/>
  <c r="J478" i="34"/>
  <c r="P478" i="34" s="1"/>
  <c r="J471" i="34"/>
  <c r="V10" i="30"/>
  <c r="L547" i="34"/>
  <c r="AN67" i="31"/>
  <c r="K41" i="34"/>
  <c r="K544" i="34"/>
  <c r="K233" i="34"/>
  <c r="K693" i="34" s="1"/>
  <c r="K706" i="34" s="1"/>
  <c r="K713" i="34" s="1"/>
  <c r="K80" i="34"/>
  <c r="AN68" i="31"/>
  <c r="AF27" i="30" s="1"/>
  <c r="AO60" i="31"/>
  <c r="L341" i="34"/>
  <c r="L345" i="34" s="1"/>
  <c r="K437" i="34"/>
  <c r="K439" i="34" s="1"/>
  <c r="K441" i="34" s="1"/>
  <c r="P433" i="34"/>
  <c r="AP70" i="31"/>
  <c r="S69" i="31"/>
  <c r="J502" i="34"/>
  <c r="J696" i="34" s="1"/>
  <c r="M440" i="34"/>
  <c r="M420" i="34"/>
  <c r="M433" i="34" s="1"/>
  <c r="AE23" i="31"/>
  <c r="M373" i="34"/>
  <c r="M375" i="34" s="1"/>
  <c r="M380" i="34" s="1"/>
  <c r="M691" i="34" s="1"/>
  <c r="M396" i="34"/>
  <c r="M547" i="34" s="1"/>
  <c r="AE22" i="31"/>
  <c r="M395" i="34"/>
  <c r="AP67" i="31"/>
  <c r="M41" i="34"/>
  <c r="M45" i="34" s="1"/>
  <c r="AD65" i="31"/>
  <c r="V9" i="30"/>
  <c r="R82" i="31"/>
  <c r="J42" i="30"/>
  <c r="J45" i="30" s="1"/>
  <c r="M132" i="34"/>
  <c r="S76" i="31"/>
  <c r="AG26" i="30"/>
  <c r="P453" i="34"/>
  <c r="J384" i="34"/>
  <c r="AN23" i="31"/>
  <c r="L254" i="34"/>
  <c r="L258" i="34" s="1"/>
  <c r="AO59" i="31"/>
  <c r="I29" i="30"/>
  <c r="I30" i="30" s="1"/>
  <c r="N557" i="34"/>
  <c r="N556" i="34"/>
  <c r="N492" i="34"/>
  <c r="N459" i="34"/>
  <c r="N427" i="34"/>
  <c r="N460" i="34"/>
  <c r="N312" i="34"/>
  <c r="N320" i="34" s="1"/>
  <c r="N585" i="34"/>
  <c r="N538" i="34"/>
  <c r="N537" i="34"/>
  <c r="N509" i="34"/>
  <c r="N491" i="34"/>
  <c r="N428" i="34"/>
  <c r="N392" i="34"/>
  <c r="N356" i="34"/>
  <c r="N349" i="34"/>
  <c r="N510" i="34"/>
  <c r="N330" i="34"/>
  <c r="N337" i="34" s="1"/>
  <c r="N287" i="34"/>
  <c r="N294" i="34" s="1"/>
  <c r="N94" i="34"/>
  <c r="N102" i="34" s="1"/>
  <c r="N222" i="34"/>
  <c r="N179" i="34"/>
  <c r="S179" i="34" s="1"/>
  <c r="N116" i="34"/>
  <c r="N15" i="34"/>
  <c r="N244" i="34"/>
  <c r="N250" i="34" s="1"/>
  <c r="N53" i="34"/>
  <c r="N95" i="34"/>
  <c r="AE59" i="31"/>
  <c r="N230" i="34"/>
  <c r="N214" i="34"/>
  <c r="N227" i="34" s="1"/>
  <c r="N175" i="34"/>
  <c r="N278" i="34"/>
  <c r="AE58" i="31"/>
  <c r="N264" i="34"/>
  <c r="N275" i="34" s="1"/>
  <c r="N279" i="34"/>
  <c r="AE70" i="31"/>
  <c r="N121" i="34"/>
  <c r="N122" i="34" s="1"/>
  <c r="N129" i="34" s="1"/>
  <c r="N689" i="34" s="1"/>
  <c r="N237" i="34"/>
  <c r="N657" i="34" s="1"/>
  <c r="T60" i="31"/>
  <c r="K60" i="31" s="1"/>
  <c r="L497" i="34"/>
  <c r="K200" i="34"/>
  <c r="L561" i="34"/>
  <c r="L421" i="34"/>
  <c r="AF9" i="30"/>
  <c r="M339" i="34"/>
  <c r="M699" i="34" s="1"/>
  <c r="AH44" i="30"/>
  <c r="C60" i="31"/>
  <c r="K521" i="34"/>
  <c r="K525" i="34" s="1"/>
  <c r="AO20" i="31"/>
  <c r="M452" i="34"/>
  <c r="M465" i="34" s="1"/>
  <c r="M472" i="34"/>
  <c r="AE14" i="31"/>
  <c r="W10" i="30" s="1"/>
  <c r="M551" i="34"/>
  <c r="M561" i="34" s="1"/>
  <c r="M530" i="34"/>
  <c r="M531" i="34" s="1"/>
  <c r="M544" i="34" s="1"/>
  <c r="M451" i="34"/>
  <c r="M468" i="34" s="1"/>
  <c r="M295" i="34"/>
  <c r="AP62" i="31" s="1"/>
  <c r="S63" i="31"/>
  <c r="S70" i="31"/>
  <c r="S59" i="31"/>
  <c r="S64" i="31"/>
  <c r="J26" i="30"/>
  <c r="R73" i="31"/>
  <c r="I45" i="30"/>
  <c r="J566" i="34"/>
  <c r="J702" i="34" s="1"/>
  <c r="L465" i="34"/>
  <c r="P465" i="34" s="1"/>
  <c r="P452" i="34"/>
  <c r="L398" i="34"/>
  <c r="L687" i="34" s="1"/>
  <c r="J437" i="34"/>
  <c r="K139" i="34"/>
  <c r="M101" i="34"/>
  <c r="AE69" i="31"/>
  <c r="N100" i="34"/>
  <c r="AQ80" i="31"/>
  <c r="N213" i="34"/>
  <c r="N140" i="34"/>
  <c r="N90" i="34"/>
  <c r="N646" i="34" s="1"/>
  <c r="AQ81" i="31"/>
  <c r="N238" i="34"/>
  <c r="AE60" i="31"/>
  <c r="N305" i="34"/>
  <c r="N316" i="34" s="1"/>
  <c r="AE64" i="31"/>
  <c r="N334" i="34"/>
  <c r="L408" i="34"/>
  <c r="L692" i="34" s="1"/>
  <c r="K469" i="34"/>
  <c r="T70" i="31"/>
  <c r="AE71" i="31"/>
  <c r="M360" i="34"/>
  <c r="M359" i="34"/>
  <c r="AE61" i="31"/>
  <c r="AQ78" i="31"/>
  <c r="AI43" i="30" s="1"/>
  <c r="AE62" i="31"/>
  <c r="N291" i="34"/>
  <c r="N292" i="34" s="1"/>
  <c r="N293" i="34"/>
  <c r="AN70" i="31"/>
  <c r="AN69" i="31"/>
  <c r="M265" i="34"/>
  <c r="M276" i="34" s="1"/>
  <c r="M277" i="34" s="1"/>
  <c r="M280" i="34" s="1"/>
  <c r="M515" i="34"/>
  <c r="AE72" i="31"/>
  <c r="M406" i="34"/>
  <c r="M408" i="34" s="1"/>
  <c r="M692" i="34" s="1"/>
  <c r="M542" i="34"/>
  <c r="M562" i="34"/>
  <c r="M504" i="34"/>
  <c r="M514" i="34" s="1"/>
  <c r="AD88" i="31"/>
  <c r="AD89" i="31" s="1"/>
  <c r="V26" i="30"/>
  <c r="AD73" i="31"/>
  <c r="AD87" i="31" s="1"/>
  <c r="M151" i="34"/>
  <c r="M164" i="34" s="1"/>
  <c r="M165" i="34" s="1"/>
  <c r="M167" i="34" s="1"/>
  <c r="M170" i="34" s="1"/>
  <c r="AO69" i="31"/>
  <c r="AG28" i="30" s="1"/>
  <c r="V28" i="30"/>
  <c r="AH42" i="30"/>
  <c r="AP82" i="31"/>
  <c r="M59" i="34"/>
  <c r="AO64" i="31"/>
  <c r="M306" i="34"/>
  <c r="K26" i="30"/>
  <c r="N11" i="34"/>
  <c r="N645" i="34" s="1"/>
  <c r="N21" i="34"/>
  <c r="N28" i="34" s="1"/>
  <c r="N683" i="34" s="1"/>
  <c r="O348" i="34"/>
  <c r="O319" i="34"/>
  <c r="P319" i="34" s="1"/>
  <c r="O307" i="34"/>
  <c r="O288" i="34"/>
  <c r="O599" i="34"/>
  <c r="P599" i="34" s="1"/>
  <c r="O343" i="34"/>
  <c r="P343" i="34" s="1"/>
  <c r="O336" i="34"/>
  <c r="P336" i="34" s="1"/>
  <c r="O299" i="34"/>
  <c r="O274" i="34"/>
  <c r="O263" i="34" s="1"/>
  <c r="O271" i="34"/>
  <c r="O248" i="34"/>
  <c r="O247" i="34"/>
  <c r="O333" i="34"/>
  <c r="O331" i="34"/>
  <c r="O290" i="34"/>
  <c r="O338" i="34"/>
  <c r="P338" i="34" s="1"/>
  <c r="O315" i="34"/>
  <c r="O283" i="34"/>
  <c r="O266" i="34"/>
  <c r="O256" i="34"/>
  <c r="P256" i="34" s="1"/>
  <c r="O251" i="34"/>
  <c r="P251" i="34" s="1"/>
  <c r="O226" i="34"/>
  <c r="O216" i="34"/>
  <c r="O197" i="34"/>
  <c r="O186" i="34"/>
  <c r="Q186" i="34" s="1"/>
  <c r="S186" i="34" s="1"/>
  <c r="O162" i="34"/>
  <c r="O149" i="34" s="1"/>
  <c r="O313" i="34"/>
  <c r="O231" i="34"/>
  <c r="P231" i="34" s="1"/>
  <c r="O225" i="34"/>
  <c r="O187" i="34"/>
  <c r="O180" i="34"/>
  <c r="O159" i="34"/>
  <c r="O125" i="34"/>
  <c r="P125" i="34" s="1"/>
  <c r="O104" i="34"/>
  <c r="O99" i="34"/>
  <c r="P99" i="34" s="1"/>
  <c r="O65" i="34"/>
  <c r="P65" i="34" s="1"/>
  <c r="O63" i="34"/>
  <c r="P63" i="34" s="1"/>
  <c r="O50" i="34"/>
  <c r="O38" i="34"/>
  <c r="P38" i="34" s="1"/>
  <c r="O37" i="34"/>
  <c r="P37" i="34" s="1"/>
  <c r="O36" i="34"/>
  <c r="P36" i="34" s="1"/>
  <c r="O35" i="34"/>
  <c r="O25" i="34"/>
  <c r="P25" i="34" s="1"/>
  <c r="O326" i="34"/>
  <c r="O321" i="34"/>
  <c r="P321" i="34" s="1"/>
  <c r="O183" i="34"/>
  <c r="O175" i="34" s="1"/>
  <c r="O154" i="34"/>
  <c r="O124" i="34"/>
  <c r="P124" i="34" s="1"/>
  <c r="O103" i="34"/>
  <c r="O82" i="34"/>
  <c r="O62" i="34"/>
  <c r="P62" i="34" s="1"/>
  <c r="O272" i="34"/>
  <c r="O239" i="34"/>
  <c r="O204" i="34"/>
  <c r="O184" i="34"/>
  <c r="Q184" i="34" s="1"/>
  <c r="S184" i="34" s="1"/>
  <c r="O176" i="34"/>
  <c r="O168" i="34"/>
  <c r="O143" i="34"/>
  <c r="P143" i="34" s="1"/>
  <c r="O123" i="34"/>
  <c r="P123" i="34" s="1"/>
  <c r="O120" i="34"/>
  <c r="P120" i="34" s="1"/>
  <c r="O91" i="34"/>
  <c r="O77" i="34"/>
  <c r="O76" i="34"/>
  <c r="AR78" i="31" s="1"/>
  <c r="O75" i="34"/>
  <c r="AR77" i="31" s="1"/>
  <c r="O74" i="34"/>
  <c r="P74" i="34" s="1"/>
  <c r="O61" i="34"/>
  <c r="P61" i="34" s="1"/>
  <c r="O24" i="34"/>
  <c r="P24" i="34" s="1"/>
  <c r="O22" i="34"/>
  <c r="P22" i="34" s="1"/>
  <c r="O19" i="34"/>
  <c r="O11" i="34" s="1"/>
  <c r="O12" i="34"/>
  <c r="O66" i="34"/>
  <c r="P66" i="34" s="1"/>
  <c r="O43" i="34"/>
  <c r="O27" i="34"/>
  <c r="P27" i="34" s="1"/>
  <c r="O23" i="34"/>
  <c r="P23" i="34" s="1"/>
  <c r="O160" i="34"/>
  <c r="O128" i="34"/>
  <c r="P128" i="34" s="1"/>
  <c r="O126" i="34"/>
  <c r="P126" i="34" s="1"/>
  <c r="O113" i="34"/>
  <c r="O60" i="34"/>
  <c r="P60" i="34" s="1"/>
  <c r="O57" i="34"/>
  <c r="O107" i="34"/>
  <c r="O138" i="34" s="1"/>
  <c r="O105" i="34"/>
  <c r="O5" i="34"/>
  <c r="N39" i="34"/>
  <c r="N685" i="34" s="1"/>
  <c r="N31" i="34"/>
  <c r="N647" i="34" s="1"/>
  <c r="N58" i="34"/>
  <c r="N59" i="34" s="1"/>
  <c r="N67" i="34" s="1"/>
  <c r="N688" i="34" s="1"/>
  <c r="AE68" i="31"/>
  <c r="W27" i="30" s="1"/>
  <c r="N136" i="34"/>
  <c r="P104" i="34"/>
  <c r="N198" i="34"/>
  <c r="N137" i="34"/>
  <c r="N565" i="34"/>
  <c r="N564" i="34"/>
  <c r="N523" i="34"/>
  <c r="N546" i="34"/>
  <c r="N517" i="34"/>
  <c r="N513" i="34"/>
  <c r="N504" i="34" s="1"/>
  <c r="N514" i="34" s="1"/>
  <c r="N501" i="34"/>
  <c r="N495" i="34"/>
  <c r="N476" i="34"/>
  <c r="N470" i="34"/>
  <c r="N467" i="34"/>
  <c r="N464" i="34"/>
  <c r="N451" i="34" s="1"/>
  <c r="N444" i="34"/>
  <c r="N438" i="34"/>
  <c r="N432" i="34"/>
  <c r="N419" i="34" s="1"/>
  <c r="N422" i="34"/>
  <c r="N402" i="34"/>
  <c r="N671" i="34" s="1"/>
  <c r="N518" i="34"/>
  <c r="N486" i="34"/>
  <c r="N675" i="34" s="1"/>
  <c r="N435" i="34"/>
  <c r="N390" i="34"/>
  <c r="N666" i="34" s="1"/>
  <c r="N382" i="34"/>
  <c r="N369" i="34"/>
  <c r="N670" i="34" s="1"/>
  <c r="N361" i="34"/>
  <c r="N505" i="34"/>
  <c r="N680" i="34" s="1"/>
  <c r="N397" i="34"/>
  <c r="N364" i="34"/>
  <c r="N354" i="34"/>
  <c r="N665" i="34" s="1"/>
  <c r="N570" i="34"/>
  <c r="N552" i="34"/>
  <c r="N681" i="34" s="1"/>
  <c r="N541" i="34"/>
  <c r="N529" i="34" s="1"/>
  <c r="N542" i="34" s="1"/>
  <c r="N532" i="34"/>
  <c r="N676" i="34" s="1"/>
  <c r="N500" i="34"/>
  <c r="N429" i="34"/>
  <c r="N412" i="34"/>
  <c r="N379" i="34"/>
  <c r="N560" i="34"/>
  <c r="N551" i="34" s="1"/>
  <c r="N454" i="34"/>
  <c r="N461" i="34"/>
  <c r="N407" i="34"/>
  <c r="N374" i="34"/>
  <c r="V15" i="30"/>
  <c r="L514" i="34"/>
  <c r="L516" i="34" s="1"/>
  <c r="P326" i="34"/>
  <c r="P239" i="34"/>
  <c r="V22" i="30"/>
  <c r="P57" i="34"/>
  <c r="AL33" i="30"/>
  <c r="AM22" i="30"/>
  <c r="I63" i="31"/>
  <c r="AD33" i="30"/>
  <c r="AB33" i="30"/>
  <c r="AK27" i="30"/>
  <c r="AK29" i="30" s="1"/>
  <c r="AK30" i="30" s="1"/>
  <c r="AV65" i="31"/>
  <c r="AV88" i="31"/>
  <c r="AV89" i="31" s="1"/>
  <c r="AN14" i="30"/>
  <c r="AK22" i="30"/>
  <c r="AJ73" i="31"/>
  <c r="AM14" i="30"/>
  <c r="AU88" i="31"/>
  <c r="AU89" i="31" s="1"/>
  <c r="AU65" i="31"/>
  <c r="AS65" i="31"/>
  <c r="AS88" i="31"/>
  <c r="AS89" i="31" s="1"/>
  <c r="AK14" i="30"/>
  <c r="AB14" i="30"/>
  <c r="AJ88" i="31"/>
  <c r="AJ89" i="31" s="1"/>
  <c r="AJ65" i="31"/>
  <c r="AL29" i="30"/>
  <c r="AL30" i="30" s="1"/>
  <c r="AX73" i="31"/>
  <c r="AP26" i="30"/>
  <c r="AP29" i="30" s="1"/>
  <c r="AP30" i="30" s="1"/>
  <c r="I67" i="31"/>
  <c r="AI47" i="31"/>
  <c r="AX47" i="31"/>
  <c r="AP35" i="30" s="1"/>
  <c r="Z29" i="30"/>
  <c r="Z30" i="30" s="1"/>
  <c r="H45" i="31"/>
  <c r="AC33" i="30"/>
  <c r="AC36" i="30" s="1"/>
  <c r="AK48" i="31"/>
  <c r="Z33" i="30"/>
  <c r="Y27" i="30"/>
  <c r="Y22" i="30"/>
  <c r="AS73" i="31"/>
  <c r="AC29" i="30"/>
  <c r="AC30" i="30" s="1"/>
  <c r="AW88" i="31"/>
  <c r="AW89" i="31" s="1"/>
  <c r="AO14" i="30"/>
  <c r="AW65" i="31"/>
  <c r="Y14" i="30"/>
  <c r="AG65" i="31"/>
  <c r="AG88" i="31"/>
  <c r="AD14" i="30"/>
  <c r="AL65" i="31"/>
  <c r="AL88" i="31"/>
  <c r="AL89" i="31" s="1"/>
  <c r="AT73" i="31"/>
  <c r="AN33" i="30"/>
  <c r="AX65" i="31"/>
  <c r="AX88" i="31"/>
  <c r="AX89" i="31" s="1"/>
  <c r="AP14" i="30"/>
  <c r="AH47" i="31"/>
  <c r="Z35" i="30" s="1"/>
  <c r="AH73" i="31"/>
  <c r="AO33" i="30"/>
  <c r="AK33" i="30"/>
  <c r="AD29" i="30"/>
  <c r="AD30" i="30" s="1"/>
  <c r="H63" i="31"/>
  <c r="AA22" i="30"/>
  <c r="AK73" i="31"/>
  <c r="AT65" i="31"/>
  <c r="AT88" i="31"/>
  <c r="AT89" i="31" s="1"/>
  <c r="AL14" i="30"/>
  <c r="AA14" i="30"/>
  <c r="AI88" i="31"/>
  <c r="AI89" i="31" s="1"/>
  <c r="H59" i="31"/>
  <c r="AI65" i="31"/>
  <c r="AW73" i="31"/>
  <c r="AV73" i="31"/>
  <c r="AM33" i="30"/>
  <c r="I45" i="31"/>
  <c r="AS47" i="31"/>
  <c r="AK35" i="30" s="1"/>
  <c r="AT47" i="31"/>
  <c r="AL35" i="30" s="1"/>
  <c r="AU47" i="31"/>
  <c r="AM35" i="30" s="1"/>
  <c r="AW47" i="31"/>
  <c r="AO35" i="30" s="1"/>
  <c r="AV47" i="31"/>
  <c r="AN35" i="30" s="1"/>
  <c r="AG47" i="31"/>
  <c r="Y35" i="30" s="1"/>
  <c r="AM29" i="30"/>
  <c r="AM30" i="30" s="1"/>
  <c r="Y33" i="30"/>
  <c r="AA33" i="30"/>
  <c r="AI48" i="31"/>
  <c r="AA27" i="30"/>
  <c r="AA29" i="30" s="1"/>
  <c r="AA30" i="30" s="1"/>
  <c r="H68" i="31"/>
  <c r="AL73" i="31"/>
  <c r="AB29" i="30"/>
  <c r="AB30" i="30" s="1"/>
  <c r="AP33" i="30"/>
  <c r="AC14" i="30"/>
  <c r="AK88" i="31"/>
  <c r="AK89" i="31" s="1"/>
  <c r="AK65" i="31"/>
  <c r="AK87" i="31" s="1"/>
  <c r="Z14" i="30"/>
  <c r="AH65" i="31"/>
  <c r="AH88" i="31"/>
  <c r="AH89" i="31" s="1"/>
  <c r="AO29" i="30"/>
  <c r="AO30" i="30" s="1"/>
  <c r="AN29" i="30"/>
  <c r="AN30" i="30" s="1"/>
  <c r="AG73" i="31"/>
  <c r="Y26" i="30"/>
  <c r="AJ47" i="31"/>
  <c r="AB35" i="30" s="1"/>
  <c r="AL47" i="31"/>
  <c r="AD35" i="30" s="1"/>
  <c r="AU73" i="31"/>
  <c r="AB52" i="33"/>
  <c r="Z52" i="33"/>
  <c r="BP52" i="33"/>
  <c r="BP56" i="33"/>
  <c r="BA54" i="33"/>
  <c r="B66" i="39"/>
  <c r="BI67" i="33"/>
  <c r="BE67" i="33"/>
  <c r="AW67" i="33"/>
  <c r="L67" i="33"/>
  <c r="AA67" i="33" s="1"/>
  <c r="BH67" i="33"/>
  <c r="BC67" i="33"/>
  <c r="AT67" i="33"/>
  <c r="V67" i="33"/>
  <c r="BJ67" i="33"/>
  <c r="BG67" i="33"/>
  <c r="AV67" i="33"/>
  <c r="K67" i="33"/>
  <c r="BD67" i="33"/>
  <c r="AU67" i="33"/>
  <c r="BF67" i="33"/>
  <c r="R67" i="33"/>
  <c r="B63" i="39"/>
  <c r="BJ64" i="33"/>
  <c r="BF64" i="33"/>
  <c r="AU64" i="33"/>
  <c r="H64" i="33"/>
  <c r="BH64" i="33"/>
  <c r="BC64" i="33"/>
  <c r="AT64" i="33"/>
  <c r="R64" i="33"/>
  <c r="L64" i="33"/>
  <c r="AA64" i="33" s="1"/>
  <c r="BE64" i="33"/>
  <c r="AV64" i="33"/>
  <c r="BI64" i="33"/>
  <c r="AW64" i="33"/>
  <c r="K64" i="33"/>
  <c r="Z64" i="33" s="1"/>
  <c r="BG64" i="33"/>
  <c r="BD64" i="33"/>
  <c r="V64" i="33"/>
  <c r="BP55" i="33"/>
  <c r="AB55" i="33"/>
  <c r="Z55" i="33"/>
  <c r="BA52" i="33"/>
  <c r="BB52" i="33" s="1"/>
  <c r="BP58" i="33"/>
  <c r="AF60" i="33"/>
  <c r="W60" i="33"/>
  <c r="B71" i="39"/>
  <c r="BH72" i="33"/>
  <c r="BD72" i="33"/>
  <c r="AV72" i="33"/>
  <c r="L72" i="33"/>
  <c r="AA72" i="33" s="1"/>
  <c r="BI72" i="33"/>
  <c r="BC72" i="33"/>
  <c r="AT72" i="33"/>
  <c r="BF72" i="33"/>
  <c r="AU72" i="33"/>
  <c r="V72" i="33"/>
  <c r="BE72" i="33"/>
  <c r="K72" i="33"/>
  <c r="BJ72" i="33"/>
  <c r="I72" i="33"/>
  <c r="BG72" i="33"/>
  <c r="R72" i="33"/>
  <c r="AW72" i="33"/>
  <c r="AB63" i="33"/>
  <c r="BP63" i="33"/>
  <c r="B68" i="39"/>
  <c r="BJ69" i="33"/>
  <c r="BF69" i="33"/>
  <c r="AU69" i="33"/>
  <c r="BE69" i="33"/>
  <c r="AW69" i="33"/>
  <c r="BD69" i="33"/>
  <c r="AT69" i="33"/>
  <c r="BI69" i="33"/>
  <c r="BC69" i="33"/>
  <c r="V69" i="33"/>
  <c r="AV69" i="33"/>
  <c r="L69" i="33"/>
  <c r="AA69" i="33" s="1"/>
  <c r="BG69" i="33"/>
  <c r="R69" i="33"/>
  <c r="BH69" i="33"/>
  <c r="K69" i="33"/>
  <c r="Z69" i="33" s="1"/>
  <c r="AF59" i="33"/>
  <c r="W59" i="33"/>
  <c r="W53" i="33"/>
  <c r="AF53" i="33"/>
  <c r="BP53" i="33"/>
  <c r="BA61" i="33"/>
  <c r="BA58" i="33"/>
  <c r="BA56" i="33"/>
  <c r="AB54" i="33"/>
  <c r="Z54" i="33"/>
  <c r="V75" i="33"/>
  <c r="AF75" i="33" s="1"/>
  <c r="R75" i="33"/>
  <c r="AB75" i="33" s="1"/>
  <c r="D80" i="33"/>
  <c r="D79" i="33"/>
  <c r="D85" i="33"/>
  <c r="D84" i="33"/>
  <c r="D83" i="33"/>
  <c r="D82" i="33"/>
  <c r="D77" i="33"/>
  <c r="D87" i="33"/>
  <c r="D81" i="33"/>
  <c r="D76" i="33"/>
  <c r="D78" i="33"/>
  <c r="B64" i="39"/>
  <c r="BH65" i="33"/>
  <c r="BD65" i="33"/>
  <c r="AV65" i="33"/>
  <c r="K65" i="33"/>
  <c r="BG65" i="33"/>
  <c r="V65" i="33"/>
  <c r="H65" i="33"/>
  <c r="BE65" i="33"/>
  <c r="BJ65" i="33"/>
  <c r="BC65" i="33"/>
  <c r="R65" i="33"/>
  <c r="L65" i="33"/>
  <c r="AA65" i="33" s="1"/>
  <c r="AW65" i="33"/>
  <c r="AU65" i="33"/>
  <c r="BF65" i="33"/>
  <c r="BI65" i="33"/>
  <c r="AT65" i="33"/>
  <c r="B70" i="39"/>
  <c r="BJ71" i="33"/>
  <c r="BF71" i="33"/>
  <c r="AT71" i="33"/>
  <c r="H71" i="33"/>
  <c r="BH71" i="33"/>
  <c r="BC71" i="33"/>
  <c r="R71" i="33"/>
  <c r="L71" i="33"/>
  <c r="AA71" i="33" s="1"/>
  <c r="BG71" i="33"/>
  <c r="AV71" i="33"/>
  <c r="V71" i="33"/>
  <c r="BE71" i="33"/>
  <c r="AU71" i="33"/>
  <c r="BI71" i="33"/>
  <c r="K71" i="33"/>
  <c r="BD71" i="33"/>
  <c r="AW71" i="33"/>
  <c r="Z59" i="33"/>
  <c r="AB59" i="33"/>
  <c r="BA53" i="33"/>
  <c r="AB61" i="33"/>
  <c r="AF61" i="33"/>
  <c r="W61" i="33"/>
  <c r="W52" i="33"/>
  <c r="AF52" i="33"/>
  <c r="AB58" i="33"/>
  <c r="BA57" i="33"/>
  <c r="BB57" i="33" s="1"/>
  <c r="AB56" i="33"/>
  <c r="Z56" i="33"/>
  <c r="W56" i="33"/>
  <c r="AF56" i="33"/>
  <c r="AB60" i="33"/>
  <c r="BA60" i="33"/>
  <c r="BP54" i="33"/>
  <c r="AF63" i="33"/>
  <c r="W63" i="33"/>
  <c r="B67" i="39"/>
  <c r="BH68" i="33"/>
  <c r="BD68" i="33"/>
  <c r="AV68" i="33"/>
  <c r="K68" i="33"/>
  <c r="BI68" i="33"/>
  <c r="BC68" i="33"/>
  <c r="AT68" i="33"/>
  <c r="R68" i="33"/>
  <c r="L68" i="33"/>
  <c r="AA68" i="33" s="1"/>
  <c r="BG68" i="33"/>
  <c r="AW68" i="33"/>
  <c r="V68" i="33"/>
  <c r="BF68" i="33"/>
  <c r="AU68" i="33"/>
  <c r="BJ68" i="33"/>
  <c r="H68" i="33"/>
  <c r="BE68" i="33"/>
  <c r="B69" i="39"/>
  <c r="BH70" i="33"/>
  <c r="BD70" i="33"/>
  <c r="AV70" i="33"/>
  <c r="K70" i="33"/>
  <c r="BG70" i="33"/>
  <c r="BI70" i="33"/>
  <c r="AW70" i="33"/>
  <c r="L70" i="33"/>
  <c r="AA70" i="33" s="1"/>
  <c r="BF70" i="33"/>
  <c r="AU70" i="33"/>
  <c r="R70" i="33"/>
  <c r="AT70" i="33"/>
  <c r="BJ70" i="33"/>
  <c r="V70" i="33"/>
  <c r="BC70" i="33"/>
  <c r="BE70" i="33"/>
  <c r="B65" i="39"/>
  <c r="AI36" i="33" s="1"/>
  <c r="BG66" i="33"/>
  <c r="BC66" i="33"/>
  <c r="AV66" i="33"/>
  <c r="L66" i="33"/>
  <c r="BF66" i="33"/>
  <c r="V66" i="33"/>
  <c r="BE66" i="33"/>
  <c r="AU66" i="33"/>
  <c r="K66" i="33"/>
  <c r="BJ66" i="33"/>
  <c r="BD66" i="33"/>
  <c r="AT66" i="33"/>
  <c r="R66" i="33"/>
  <c r="BI66" i="33"/>
  <c r="BH66" i="33"/>
  <c r="AW66" i="33"/>
  <c r="B72" i="39"/>
  <c r="J66" i="33" s="1"/>
  <c r="Y66" i="33" s="1"/>
  <c r="BJ73" i="33"/>
  <c r="BF73" i="33"/>
  <c r="AT73" i="33"/>
  <c r="H73" i="33"/>
  <c r="BI73" i="33"/>
  <c r="BD73" i="33"/>
  <c r="AU73" i="33"/>
  <c r="BG73" i="33"/>
  <c r="AV73" i="33"/>
  <c r="V73" i="33"/>
  <c r="BE73" i="33"/>
  <c r="L73" i="33"/>
  <c r="AA73" i="33" s="1"/>
  <c r="BH73" i="33"/>
  <c r="BC73" i="33"/>
  <c r="K73" i="33"/>
  <c r="R73" i="33"/>
  <c r="AW73" i="33"/>
  <c r="BA59" i="33"/>
  <c r="AB53" i="33"/>
  <c r="Z53" i="33"/>
  <c r="AN31" i="33"/>
  <c r="K597" i="34"/>
  <c r="K711" i="34" s="1"/>
  <c r="K712" i="34" s="1"/>
  <c r="V34" i="30"/>
  <c r="M620" i="34"/>
  <c r="AP46" i="31"/>
  <c r="O639" i="34"/>
  <c r="O636" i="34"/>
  <c r="P636" i="34" s="1"/>
  <c r="O635" i="34"/>
  <c r="P635" i="34" s="1"/>
  <c r="O626" i="34"/>
  <c r="O618" i="34"/>
  <c r="P618" i="34" s="1"/>
  <c r="O608" i="34"/>
  <c r="P608" i="34" s="1"/>
  <c r="O596" i="34"/>
  <c r="P596" i="34" s="1"/>
  <c r="O634" i="34"/>
  <c r="P634" i="34" s="1"/>
  <c r="O615" i="34"/>
  <c r="P615" i="34" s="1"/>
  <c r="O613" i="34"/>
  <c r="O594" i="34"/>
  <c r="P594" i="34" s="1"/>
  <c r="O580" i="34"/>
  <c r="O632" i="34"/>
  <c r="O595" i="34"/>
  <c r="P595" i="34" s="1"/>
  <c r="N633" i="34"/>
  <c r="AF45" i="31"/>
  <c r="N590" i="34"/>
  <c r="N591" i="34" s="1"/>
  <c r="N593" i="34" s="1"/>
  <c r="N597" i="34" s="1"/>
  <c r="N711" i="34" s="1"/>
  <c r="N712" i="34" s="1"/>
  <c r="AE47" i="31"/>
  <c r="W35" i="30" s="1"/>
  <c r="N614" i="34"/>
  <c r="AE46" i="31"/>
  <c r="W34" i="30" s="1"/>
  <c r="W33" i="30"/>
  <c r="AO48" i="31"/>
  <c r="BC47" i="31" s="1"/>
  <c r="AG35" i="30"/>
  <c r="AC55" i="31"/>
  <c r="AC53" i="31"/>
  <c r="AG34" i="30"/>
  <c r="I446" i="34"/>
  <c r="AI33" i="30"/>
  <c r="AD48" i="31"/>
  <c r="V35" i="30"/>
  <c r="M591" i="34"/>
  <c r="AH33" i="30"/>
  <c r="J258" i="34"/>
  <c r="I60" i="31"/>
  <c r="J345" i="34"/>
  <c r="AE35" i="30"/>
  <c r="AM48" i="31"/>
  <c r="AE14" i="30"/>
  <c r="I59" i="31"/>
  <c r="J145" i="34"/>
  <c r="M215" i="34" l="1"/>
  <c r="BP73" i="33"/>
  <c r="AP63" i="31"/>
  <c r="AG14" i="30"/>
  <c r="AM71" i="33"/>
  <c r="AH87" i="31"/>
  <c r="J708" i="34"/>
  <c r="J719" i="34" s="1"/>
  <c r="J720" i="34" s="1"/>
  <c r="K714" i="34"/>
  <c r="J704" i="34"/>
  <c r="N436" i="34"/>
  <c r="M516" i="34"/>
  <c r="M519" i="34" s="1"/>
  <c r="M701" i="34" s="1"/>
  <c r="N659" i="34"/>
  <c r="N655" i="34"/>
  <c r="N561" i="34"/>
  <c r="S73" i="31"/>
  <c r="J19" i="33"/>
  <c r="Y19" i="33" s="1"/>
  <c r="AM41" i="33"/>
  <c r="AM32" i="33"/>
  <c r="AK8" i="33"/>
  <c r="AR8" i="33" s="1"/>
  <c r="AJ29" i="33"/>
  <c r="AQ29" i="33" s="1"/>
  <c r="AG31" i="33"/>
  <c r="AK36" i="33"/>
  <c r="AR36" i="33" s="1"/>
  <c r="AN53" i="33"/>
  <c r="AJ51" i="33"/>
  <c r="AQ51" i="33" s="1"/>
  <c r="AM29" i="33"/>
  <c r="AO20" i="33"/>
  <c r="AX20" i="33" s="1"/>
  <c r="AI63" i="33"/>
  <c r="AN14" i="33"/>
  <c r="AH32" i="33"/>
  <c r="AL31" i="33"/>
  <c r="AS31" i="33" s="1"/>
  <c r="AN71" i="33"/>
  <c r="AJ73" i="33"/>
  <c r="AQ73" i="33" s="1"/>
  <c r="AG27" i="33"/>
  <c r="N252" i="34"/>
  <c r="V29" i="30"/>
  <c r="V30" i="30" s="1"/>
  <c r="AJ87" i="31"/>
  <c r="BC146" i="33"/>
  <c r="N185" i="34"/>
  <c r="N189" i="34" s="1"/>
  <c r="N200" i="34" s="1"/>
  <c r="AQ61" i="31" s="1"/>
  <c r="BP69" i="33"/>
  <c r="AW146" i="33"/>
  <c r="AT87" i="31"/>
  <c r="M563" i="34"/>
  <c r="M566" i="34" s="1"/>
  <c r="M702" i="34" s="1"/>
  <c r="BA68" i="33"/>
  <c r="BP65" i="33"/>
  <c r="AU146" i="33"/>
  <c r="N132" i="34"/>
  <c r="M485" i="34"/>
  <c r="M498" i="34" s="1"/>
  <c r="BC46" i="31"/>
  <c r="AP71" i="31"/>
  <c r="L366" i="34"/>
  <c r="M421" i="34"/>
  <c r="M434" i="34" s="1"/>
  <c r="M437" i="34" s="1"/>
  <c r="M439" i="34" s="1"/>
  <c r="M441" i="34" s="1"/>
  <c r="M446" i="34" s="1"/>
  <c r="AG29" i="30"/>
  <c r="AG30" i="30" s="1"/>
  <c r="Q27" i="34"/>
  <c r="AM52" i="33"/>
  <c r="AG48" i="33"/>
  <c r="AL7" i="33"/>
  <c r="AS7" i="33" s="1"/>
  <c r="AG24" i="33"/>
  <c r="AH53" i="33"/>
  <c r="AK53" i="33"/>
  <c r="AR53" i="33" s="1"/>
  <c r="AG32" i="33"/>
  <c r="AJ28" i="33"/>
  <c r="AQ28" i="33" s="1"/>
  <c r="AH73" i="33"/>
  <c r="AJ66" i="33"/>
  <c r="AQ66" i="33" s="1"/>
  <c r="J70" i="33"/>
  <c r="Y70" i="33" s="1"/>
  <c r="AN68" i="33"/>
  <c r="AN49" i="33"/>
  <c r="AM57" i="33"/>
  <c r="AO52" i="33"/>
  <c r="AX52" i="33" s="1"/>
  <c r="AK34" i="33"/>
  <c r="AR34" i="33" s="1"/>
  <c r="AH20" i="33"/>
  <c r="AO71" i="33"/>
  <c r="AX71" i="33" s="1"/>
  <c r="AO59" i="33"/>
  <c r="AX59" i="33" s="1"/>
  <c r="AO42" i="33"/>
  <c r="AX42" i="33" s="1"/>
  <c r="AK37" i="33"/>
  <c r="AR37" i="33" s="1"/>
  <c r="AG73" i="33"/>
  <c r="AI66" i="33"/>
  <c r="AO66" i="33"/>
  <c r="AX66" i="33" s="1"/>
  <c r="AI68" i="33"/>
  <c r="AG68" i="33"/>
  <c r="AN7" i="33"/>
  <c r="AK24" i="33"/>
  <c r="AR24" i="33" s="1"/>
  <c r="AJ31" i="33"/>
  <c r="I67" i="33"/>
  <c r="AF67" i="33" s="1"/>
  <c r="AG49" i="33"/>
  <c r="AO39" i="33"/>
  <c r="AX39" i="33" s="1"/>
  <c r="AK73" i="33"/>
  <c r="AL73" i="33"/>
  <c r="AS73" i="33" s="1"/>
  <c r="AG66" i="33"/>
  <c r="J69" i="33"/>
  <c r="Y69" i="33" s="1"/>
  <c r="AG51" i="33"/>
  <c r="J22" i="33"/>
  <c r="Y22" i="33" s="1"/>
  <c r="AJ21" i="33"/>
  <c r="AQ21" i="33" s="1"/>
  <c r="AJ22" i="33"/>
  <c r="AK59" i="33"/>
  <c r="AR59" i="33" s="1"/>
  <c r="AM43" i="33"/>
  <c r="AF72" i="33"/>
  <c r="I73" i="31"/>
  <c r="H73" i="31"/>
  <c r="AP36" i="30"/>
  <c r="AM36" i="30"/>
  <c r="I47" i="31"/>
  <c r="AX48" i="31"/>
  <c r="AX53" i="31" s="1"/>
  <c r="AX55" i="31" s="1"/>
  <c r="AX87" i="31"/>
  <c r="N133" i="34"/>
  <c r="N515" i="34"/>
  <c r="N516" i="34" s="1"/>
  <c r="N519" i="34" s="1"/>
  <c r="N701" i="34" s="1"/>
  <c r="L519" i="34"/>
  <c r="L701" i="34" s="1"/>
  <c r="N472" i="34"/>
  <c r="N452" i="34"/>
  <c r="N465" i="34" s="1"/>
  <c r="AF14" i="31"/>
  <c r="X10" i="30" s="1"/>
  <c r="C10" i="30" s="1"/>
  <c r="N562" i="34"/>
  <c r="N563" i="34" s="1"/>
  <c r="N566" i="34" s="1"/>
  <c r="N702" i="34" s="1"/>
  <c r="N80" i="34"/>
  <c r="N84" i="34" s="1"/>
  <c r="AQ68" i="31"/>
  <c r="O137" i="34"/>
  <c r="P137" i="34" s="1"/>
  <c r="P105" i="34"/>
  <c r="O121" i="34"/>
  <c r="P121" i="34" s="1"/>
  <c r="AF70" i="31"/>
  <c r="D70" i="31" s="1"/>
  <c r="P113" i="34"/>
  <c r="O20" i="34"/>
  <c r="O21" i="34" s="1"/>
  <c r="AF67" i="31"/>
  <c r="P12" i="34"/>
  <c r="Q66" i="34"/>
  <c r="AR79" i="31"/>
  <c r="AJ43" i="30" s="1"/>
  <c r="P77" i="34"/>
  <c r="O31" i="34"/>
  <c r="P31" i="34" s="1"/>
  <c r="O39" i="34"/>
  <c r="AF68" i="31"/>
  <c r="L68" i="31" s="1"/>
  <c r="O58" i="34"/>
  <c r="P58" i="34" s="1"/>
  <c r="P50" i="34"/>
  <c r="O136" i="34"/>
  <c r="P136" i="34" s="1"/>
  <c r="O213" i="34"/>
  <c r="P213" i="34" s="1"/>
  <c r="AR80" i="31"/>
  <c r="M80" i="31" s="1"/>
  <c r="O291" i="34"/>
  <c r="O292" i="34" s="1"/>
  <c r="AF62" i="31"/>
  <c r="L62" i="31" s="1"/>
  <c r="O293" i="34"/>
  <c r="T67" i="31"/>
  <c r="P11" i="34"/>
  <c r="AP72" i="31"/>
  <c r="L414" i="34"/>
  <c r="D62" i="31"/>
  <c r="AI44" i="30"/>
  <c r="AN33" i="31"/>
  <c r="K64" i="31"/>
  <c r="C64" i="31"/>
  <c r="K22" i="30"/>
  <c r="AP64" i="31"/>
  <c r="L469" i="34"/>
  <c r="P469" i="34" s="1"/>
  <c r="J521" i="34"/>
  <c r="AN20" i="31"/>
  <c r="K446" i="34"/>
  <c r="AH45" i="30"/>
  <c r="AG22" i="30"/>
  <c r="L545" i="34"/>
  <c r="L548" i="34" s="1"/>
  <c r="L697" i="34" s="1"/>
  <c r="N151" i="34"/>
  <c r="N164" i="34" s="1"/>
  <c r="N163" i="34"/>
  <c r="P35" i="34"/>
  <c r="AR76" i="31"/>
  <c r="O70" i="34"/>
  <c r="P70" i="34" s="1"/>
  <c r="O78" i="34"/>
  <c r="AF69" i="31"/>
  <c r="L69" i="31" s="1"/>
  <c r="O100" i="34"/>
  <c r="O101" i="34" s="1"/>
  <c r="P91" i="34"/>
  <c r="AF63" i="31"/>
  <c r="O249" i="34"/>
  <c r="P249" i="34" s="1"/>
  <c r="Q249" i="34" s="1"/>
  <c r="O135" i="34"/>
  <c r="P135" i="34" s="1"/>
  <c r="P103" i="34"/>
  <c r="O212" i="34"/>
  <c r="P212" i="34" s="1"/>
  <c r="O304" i="34"/>
  <c r="P315" i="34"/>
  <c r="O325" i="34"/>
  <c r="P325" i="34" s="1"/>
  <c r="P333" i="34"/>
  <c r="O570" i="34"/>
  <c r="P570" i="34" s="1"/>
  <c r="O552" i="34"/>
  <c r="O562" i="34" s="1"/>
  <c r="O546" i="34"/>
  <c r="P546" i="34" s="1"/>
  <c r="O541" i="34"/>
  <c r="O470" i="34"/>
  <c r="O454" i="34"/>
  <c r="O435" i="34"/>
  <c r="O432" i="34"/>
  <c r="O565" i="34"/>
  <c r="P565" i="34" s="1"/>
  <c r="O523" i="34"/>
  <c r="P523" i="34" s="1"/>
  <c r="O505" i="34"/>
  <c r="O515" i="34" s="1"/>
  <c r="O486" i="34"/>
  <c r="O461" i="34"/>
  <c r="O397" i="34"/>
  <c r="P397" i="34" s="1"/>
  <c r="O517" i="34"/>
  <c r="P517" i="34" s="1"/>
  <c r="O467" i="34"/>
  <c r="O364" i="34"/>
  <c r="P364" i="34" s="1"/>
  <c r="O354" i="34"/>
  <c r="P354" i="34" s="1"/>
  <c r="O560" i="34"/>
  <c r="O501" i="34"/>
  <c r="P501" i="34" s="1"/>
  <c r="O438" i="34"/>
  <c r="O422" i="34"/>
  <c r="O407" i="34"/>
  <c r="P407" i="34" s="1"/>
  <c r="O374" i="34"/>
  <c r="P374" i="34" s="1"/>
  <c r="O564" i="34"/>
  <c r="P564" i="34" s="1"/>
  <c r="O518" i="34"/>
  <c r="P518" i="34" s="1"/>
  <c r="O513" i="34"/>
  <c r="O495" i="34"/>
  <c r="O476" i="34"/>
  <c r="O444" i="34"/>
  <c r="O390" i="34"/>
  <c r="O382" i="34"/>
  <c r="P382" i="34" s="1"/>
  <c r="O369" i="34"/>
  <c r="O373" i="34" s="1"/>
  <c r="O361" i="34"/>
  <c r="P361" i="34" s="1"/>
  <c r="O532" i="34"/>
  <c r="O500" i="34"/>
  <c r="P500" i="34" s="1"/>
  <c r="O464" i="34"/>
  <c r="O402" i="34"/>
  <c r="O406" i="34" s="1"/>
  <c r="O408" i="34" s="1"/>
  <c r="O414" i="34" s="1"/>
  <c r="O379" i="34"/>
  <c r="P379" i="34" s="1"/>
  <c r="O412" i="34"/>
  <c r="P412" i="34" s="1"/>
  <c r="O429" i="34"/>
  <c r="M67" i="34"/>
  <c r="M688" i="34" s="1"/>
  <c r="AF28" i="30"/>
  <c r="P76" i="34"/>
  <c r="K471" i="34"/>
  <c r="K473" i="34" s="1"/>
  <c r="AN58" i="31" s="1"/>
  <c r="K478" i="34"/>
  <c r="P226" i="34"/>
  <c r="J29" i="30"/>
  <c r="J30" i="30" s="1"/>
  <c r="L434" i="34"/>
  <c r="P421" i="34"/>
  <c r="T63" i="31"/>
  <c r="L22" i="30" s="1"/>
  <c r="P175" i="34"/>
  <c r="Q175" i="34"/>
  <c r="W14" i="30"/>
  <c r="K42" i="30"/>
  <c r="K45" i="30" s="1"/>
  <c r="S82" i="31"/>
  <c r="M398" i="34"/>
  <c r="M687" i="34" s="1"/>
  <c r="M384" i="34"/>
  <c r="AQ23" i="31"/>
  <c r="K254" i="34"/>
  <c r="AN59" i="31"/>
  <c r="K45" i="34"/>
  <c r="K27" i="30"/>
  <c r="B27" i="30" s="1"/>
  <c r="K68" i="31"/>
  <c r="C68" i="31"/>
  <c r="L380" i="34"/>
  <c r="L691" i="34" s="1"/>
  <c r="J568" i="34"/>
  <c r="AN21" i="31"/>
  <c r="W9" i="30"/>
  <c r="AE65" i="31"/>
  <c r="AE88" i="31"/>
  <c r="AE89" i="31" s="1"/>
  <c r="AE73" i="31"/>
  <c r="W26" i="30"/>
  <c r="T76" i="31"/>
  <c r="K76" i="31" s="1"/>
  <c r="K341" i="34"/>
  <c r="AN60" i="31"/>
  <c r="L499" i="34"/>
  <c r="N396" i="34"/>
  <c r="AF22" i="31"/>
  <c r="N395" i="34"/>
  <c r="AF72" i="31"/>
  <c r="L72" i="31" s="1"/>
  <c r="N406" i="34"/>
  <c r="N530" i="34"/>
  <c r="N543" i="34" s="1"/>
  <c r="N360" i="34"/>
  <c r="AF71" i="31"/>
  <c r="L71" i="31" s="1"/>
  <c r="N359" i="34"/>
  <c r="N440" i="34"/>
  <c r="N420" i="34"/>
  <c r="N433" i="34" s="1"/>
  <c r="N468" i="34"/>
  <c r="N483" i="34"/>
  <c r="N496" i="34" s="1"/>
  <c r="O49" i="34"/>
  <c r="P49" i="34" s="1"/>
  <c r="O112" i="34"/>
  <c r="P112" i="34" s="1"/>
  <c r="AF61" i="31"/>
  <c r="L61" i="31" s="1"/>
  <c r="Q128" i="34"/>
  <c r="O334" i="34"/>
  <c r="P334" i="34" s="1"/>
  <c r="AF64" i="31"/>
  <c r="L64" i="31" s="1"/>
  <c r="O193" i="34"/>
  <c r="P197" i="34"/>
  <c r="Q197" i="34"/>
  <c r="S197" i="34" s="1"/>
  <c r="O237" i="34"/>
  <c r="P237" i="34" s="1"/>
  <c r="P247" i="34"/>
  <c r="Q247" i="34" s="1"/>
  <c r="P19" i="34"/>
  <c r="M228" i="34"/>
  <c r="P39" i="34"/>
  <c r="AQ72" i="31"/>
  <c r="M414" i="34"/>
  <c r="M78" i="31"/>
  <c r="N306" i="34"/>
  <c r="N317" i="34" s="1"/>
  <c r="N318" i="34" s="1"/>
  <c r="N322" i="34" s="1"/>
  <c r="N694" i="34" s="1"/>
  <c r="N101" i="34"/>
  <c r="N108" i="34" s="1"/>
  <c r="N684" i="34" s="1"/>
  <c r="T80" i="31"/>
  <c r="K141" i="34"/>
  <c r="J439" i="34"/>
  <c r="C70" i="31"/>
  <c r="K70" i="31"/>
  <c r="M543" i="34"/>
  <c r="M453" i="34"/>
  <c r="M466" i="34" s="1"/>
  <c r="M469" i="34" s="1"/>
  <c r="AQ70" i="31"/>
  <c r="N265" i="34"/>
  <c r="N276" i="34" s="1"/>
  <c r="N277" i="34" s="1"/>
  <c r="N280" i="34" s="1"/>
  <c r="Q183" i="34"/>
  <c r="N215" i="34"/>
  <c r="N228" i="34" s="1"/>
  <c r="N229" i="34" s="1"/>
  <c r="N233" i="34" s="1"/>
  <c r="N693" i="34" s="1"/>
  <c r="AO73" i="31"/>
  <c r="L23" i="31"/>
  <c r="D23" i="31"/>
  <c r="AF26" i="30"/>
  <c r="AN73" i="31"/>
  <c r="P225" i="34"/>
  <c r="Q225" i="34" s="1"/>
  <c r="W22" i="30"/>
  <c r="P107" i="34"/>
  <c r="L14" i="30"/>
  <c r="AI42" i="30"/>
  <c r="AQ82" i="31"/>
  <c r="AG9" i="30"/>
  <c r="N373" i="34"/>
  <c r="N484" i="34"/>
  <c r="N485" i="34" s="1"/>
  <c r="N498" i="34" s="1"/>
  <c r="AF20" i="31"/>
  <c r="O585" i="34"/>
  <c r="O510" i="34"/>
  <c r="O509" i="34"/>
  <c r="O491" i="34"/>
  <c r="O556" i="34"/>
  <c r="O537" i="34"/>
  <c r="O460" i="34"/>
  <c r="O392" i="34"/>
  <c r="O287" i="34"/>
  <c r="O294" i="34" s="1"/>
  <c r="O557" i="34"/>
  <c r="O492" i="34"/>
  <c r="O459" i="34"/>
  <c r="O427" i="34"/>
  <c r="O349" i="34"/>
  <c r="O330" i="34"/>
  <c r="O337" i="34" s="1"/>
  <c r="P337" i="34" s="1"/>
  <c r="O538" i="34"/>
  <c r="O244" i="34"/>
  <c r="O250" i="34" s="1"/>
  <c r="O222" i="34"/>
  <c r="O230" i="34" s="1"/>
  <c r="P230" i="34" s="1"/>
  <c r="O179" i="34"/>
  <c r="O185" i="34" s="1"/>
  <c r="O116" i="34"/>
  <c r="O312" i="34"/>
  <c r="O320" i="34" s="1"/>
  <c r="P320" i="34" s="1"/>
  <c r="O53" i="34"/>
  <c r="O428" i="34"/>
  <c r="O356" i="34"/>
  <c r="O95" i="34"/>
  <c r="O15" i="34"/>
  <c r="O94" i="34"/>
  <c r="O102" i="34" s="1"/>
  <c r="O166" i="34"/>
  <c r="AF57" i="31"/>
  <c r="O153" i="34"/>
  <c r="O150" i="34"/>
  <c r="O163" i="34" s="1"/>
  <c r="O140" i="34"/>
  <c r="P140" i="34" s="1"/>
  <c r="O90" i="34"/>
  <c r="P90" i="34" s="1"/>
  <c r="O198" i="34"/>
  <c r="AF59" i="31"/>
  <c r="P216" i="34"/>
  <c r="AF58" i="31"/>
  <c r="L58" i="31" s="1"/>
  <c r="O264" i="34"/>
  <c r="O275" i="34" s="1"/>
  <c r="O279" i="34"/>
  <c r="O278" i="34"/>
  <c r="O282" i="34"/>
  <c r="AR81" i="31"/>
  <c r="O238" i="34"/>
  <c r="P238" i="34" s="1"/>
  <c r="AF60" i="31"/>
  <c r="L60" i="31" s="1"/>
  <c r="P307" i="34"/>
  <c r="N41" i="34"/>
  <c r="N45" i="34" s="1"/>
  <c r="AQ67" i="31"/>
  <c r="M317" i="34"/>
  <c r="M202" i="34"/>
  <c r="M206" i="34" s="1"/>
  <c r="AP57" i="31"/>
  <c r="P75" i="34"/>
  <c r="M297" i="34"/>
  <c r="M301" i="34"/>
  <c r="N295" i="34"/>
  <c r="AQ62" i="31" s="1"/>
  <c r="P176" i="34"/>
  <c r="M362" i="34"/>
  <c r="M686" i="34" s="1"/>
  <c r="N335" i="34"/>
  <c r="T69" i="31"/>
  <c r="K69" i="31" s="1"/>
  <c r="W28" i="30"/>
  <c r="M108" i="34"/>
  <c r="M684" i="34" s="1"/>
  <c r="P486" i="34"/>
  <c r="L410" i="34"/>
  <c r="AP22" i="31"/>
  <c r="K14" i="30"/>
  <c r="S65" i="31"/>
  <c r="K59" i="31"/>
  <c r="C59" i="31"/>
  <c r="L563" i="34"/>
  <c r="AN61" i="31"/>
  <c r="K202" i="34"/>
  <c r="K206" i="34" s="1"/>
  <c r="P183" i="34"/>
  <c r="M134" i="34"/>
  <c r="AH26" i="30"/>
  <c r="K28" i="30"/>
  <c r="K84" i="34"/>
  <c r="K545" i="34"/>
  <c r="J473" i="34"/>
  <c r="M77" i="31"/>
  <c r="M496" i="34"/>
  <c r="W15" i="30"/>
  <c r="P138" i="34"/>
  <c r="P78" i="34"/>
  <c r="P248" i="34"/>
  <c r="AG48" i="31"/>
  <c r="AW48" i="31"/>
  <c r="AW53" i="31" s="1"/>
  <c r="AW55" i="31" s="1"/>
  <c r="AG89" i="31"/>
  <c r="AA35" i="30"/>
  <c r="AA36" i="30" s="1"/>
  <c r="H47" i="31"/>
  <c r="AD36" i="30"/>
  <c r="Y29" i="30"/>
  <c r="Y30" i="30" s="1"/>
  <c r="AI55" i="31"/>
  <c r="AI53" i="31"/>
  <c r="AU48" i="31"/>
  <c r="AU53" i="31" s="1"/>
  <c r="AU55" i="31" s="1"/>
  <c r="AI87" i="31"/>
  <c r="H65" i="31"/>
  <c r="AK36" i="30"/>
  <c r="AG87" i="31"/>
  <c r="AW87" i="31"/>
  <c r="Z36" i="30"/>
  <c r="AL48" i="31"/>
  <c r="AS48" i="31"/>
  <c r="AS53" i="31" s="1"/>
  <c r="AS55" i="31" s="1"/>
  <c r="AN36" i="30"/>
  <c r="AL87" i="31"/>
  <c r="AH48" i="31"/>
  <c r="AS87" i="31"/>
  <c r="AJ48" i="31"/>
  <c r="AT48" i="31"/>
  <c r="AT53" i="31" s="1"/>
  <c r="AT55" i="31" s="1"/>
  <c r="Y36" i="30"/>
  <c r="AO36" i="30"/>
  <c r="AV48" i="31"/>
  <c r="AV53" i="31" s="1"/>
  <c r="AV55" i="31" s="1"/>
  <c r="AK55" i="31"/>
  <c r="AK53" i="31"/>
  <c r="AU87" i="31"/>
  <c r="AV87" i="31"/>
  <c r="AB36" i="30"/>
  <c r="AL36" i="30"/>
  <c r="W67" i="33"/>
  <c r="W73" i="33"/>
  <c r="AF73" i="33"/>
  <c r="AO34" i="33"/>
  <c r="AX34" i="33" s="1"/>
  <c r="AM18" i="33"/>
  <c r="AI8" i="33"/>
  <c r="J43" i="33"/>
  <c r="Y43" i="33" s="1"/>
  <c r="AK28" i="33"/>
  <c r="AR28" i="33" s="1"/>
  <c r="AL59" i="33"/>
  <c r="AS59" i="33" s="1"/>
  <c r="AL12" i="33"/>
  <c r="AS12" i="33" s="1"/>
  <c r="AO24" i="33"/>
  <c r="AX24" i="33" s="1"/>
  <c r="AO73" i="33"/>
  <c r="AX73" i="33" s="1"/>
  <c r="AN73" i="33"/>
  <c r="BA73" i="33"/>
  <c r="BD146" i="33"/>
  <c r="AM73" i="33"/>
  <c r="AL17" i="33"/>
  <c r="AS17" i="33" s="1"/>
  <c r="AN23" i="33"/>
  <c r="AN10" i="33"/>
  <c r="AG12" i="33"/>
  <c r="AI22" i="33"/>
  <c r="AO14" i="33"/>
  <c r="AX14" i="33" s="1"/>
  <c r="AJ7" i="33"/>
  <c r="AL15" i="33"/>
  <c r="AS15" i="33" s="1"/>
  <c r="AH8" i="33"/>
  <c r="AJ9" i="33"/>
  <c r="AQ9" i="33" s="1"/>
  <c r="AO11" i="33"/>
  <c r="AX11" i="33" s="1"/>
  <c r="AL14" i="33"/>
  <c r="AS14" i="33" s="1"/>
  <c r="AN22" i="33"/>
  <c r="AK17" i="33"/>
  <c r="AR17" i="33" s="1"/>
  <c r="AM7" i="33"/>
  <c r="AH12" i="33"/>
  <c r="AI10" i="33"/>
  <c r="AG14" i="33"/>
  <c r="AK14" i="33"/>
  <c r="AR14" i="33" s="1"/>
  <c r="AI17" i="33"/>
  <c r="AO25" i="33"/>
  <c r="AX25" i="33" s="1"/>
  <c r="AG8" i="33"/>
  <c r="AH14" i="33"/>
  <c r="I22" i="33"/>
  <c r="AH22" i="33"/>
  <c r="AJ10" i="33"/>
  <c r="AQ10" i="33" s="1"/>
  <c r="AM15" i="33"/>
  <c r="AI9" i="33"/>
  <c r="AL13" i="33"/>
  <c r="AS13" i="33" s="1"/>
  <c r="AM8" i="33"/>
  <c r="AL22" i="33"/>
  <c r="AS22" i="33" s="1"/>
  <c r="AH7" i="33"/>
  <c r="AN17" i="33"/>
  <c r="AM14" i="33"/>
  <c r="AO10" i="33"/>
  <c r="AX10" i="33" s="1"/>
  <c r="AK9" i="33"/>
  <c r="AR9" i="33" s="1"/>
  <c r="AL18" i="33"/>
  <c r="AS18" i="33" s="1"/>
  <c r="AK22" i="33"/>
  <c r="AR22" i="33" s="1"/>
  <c r="AI14" i="33"/>
  <c r="AM9" i="33"/>
  <c r="AI12" i="33"/>
  <c r="AJ12" i="33"/>
  <c r="AQ12" i="33" s="1"/>
  <c r="AG15" i="33"/>
  <c r="AO8" i="33"/>
  <c r="AX8" i="33" s="1"/>
  <c r="AH15" i="33"/>
  <c r="AH11" i="33"/>
  <c r="AJ15" i="33"/>
  <c r="AQ15" i="33" s="1"/>
  <c r="AM17" i="33"/>
  <c r="AG10" i="33"/>
  <c r="AI13" i="33"/>
  <c r="AK13" i="33"/>
  <c r="AR13" i="33" s="1"/>
  <c r="AO22" i="33"/>
  <c r="AX22" i="33" s="1"/>
  <c r="AM22" i="33"/>
  <c r="AN8" i="33"/>
  <c r="AJ11" i="33"/>
  <c r="AQ11" i="33" s="1"/>
  <c r="AN11" i="33"/>
  <c r="AN66" i="33"/>
  <c r="I66" i="33"/>
  <c r="AF66" i="33" s="1"/>
  <c r="AK66" i="33"/>
  <c r="AL66" i="33"/>
  <c r="BP70" i="33"/>
  <c r="AN70" i="33"/>
  <c r="AK70" i="33"/>
  <c r="AL70" i="33"/>
  <c r="AS70" i="33" s="1"/>
  <c r="AF68" i="33"/>
  <c r="W68" i="33"/>
  <c r="AL68" i="33"/>
  <c r="Z68" i="33"/>
  <c r="AK54" i="33"/>
  <c r="AR54" i="33" s="1"/>
  <c r="AL60" i="33"/>
  <c r="AS60" i="33" s="1"/>
  <c r="I45" i="33"/>
  <c r="AL42" i="33"/>
  <c r="AS42" i="33" s="1"/>
  <c r="AG23" i="33"/>
  <c r="AM39" i="33"/>
  <c r="J57" i="33"/>
  <c r="Y57" i="33" s="1"/>
  <c r="AO12" i="33"/>
  <c r="AX12" i="33" s="1"/>
  <c r="AM44" i="33"/>
  <c r="AJ25" i="33"/>
  <c r="AQ25" i="33" s="1"/>
  <c r="AH31" i="33"/>
  <c r="AO17" i="33"/>
  <c r="AX17" i="33" s="1"/>
  <c r="AK15" i="33"/>
  <c r="AR15" i="33" s="1"/>
  <c r="I31" i="33"/>
  <c r="AH35" i="33"/>
  <c r="AM53" i="33"/>
  <c r="AJ59" i="33"/>
  <c r="AQ59" i="33" s="1"/>
  <c r="AN59" i="33"/>
  <c r="AI49" i="33"/>
  <c r="AL25" i="33"/>
  <c r="AS25" i="33" s="1"/>
  <c r="AH43" i="33"/>
  <c r="AL19" i="33"/>
  <c r="AS19" i="33" s="1"/>
  <c r="Z71" i="33"/>
  <c r="AK71" i="33"/>
  <c r="AI71" i="33"/>
  <c r="AM65" i="33"/>
  <c r="AL65" i="33"/>
  <c r="AH65" i="33"/>
  <c r="AO65" i="33"/>
  <c r="AX65" i="33" s="1"/>
  <c r="AG75" i="33"/>
  <c r="AL76" i="33"/>
  <c r="AS76" i="33" s="1"/>
  <c r="AH76" i="33"/>
  <c r="V76" i="33"/>
  <c r="AF76" i="33" s="1"/>
  <c r="R76" i="33"/>
  <c r="AB76" i="33" s="1"/>
  <c r="AN76" i="33"/>
  <c r="AI76" i="33"/>
  <c r="AJ76" i="33"/>
  <c r="AQ76" i="33" s="1"/>
  <c r="AO76" i="33"/>
  <c r="AX76" i="33" s="1"/>
  <c r="AG76" i="33"/>
  <c r="AM76" i="33"/>
  <c r="AK76" i="33"/>
  <c r="AR76" i="33" s="1"/>
  <c r="AO75" i="33"/>
  <c r="AX75" i="33" s="1"/>
  <c r="AN84" i="33"/>
  <c r="AJ84" i="33"/>
  <c r="AQ84" i="33" s="1"/>
  <c r="AK84" i="33"/>
  <c r="AR84" i="33" s="1"/>
  <c r="V84" i="33"/>
  <c r="AF84" i="33" s="1"/>
  <c r="AO84" i="33"/>
  <c r="AX84" i="33" s="1"/>
  <c r="AH84" i="33"/>
  <c r="AM84" i="33"/>
  <c r="AG84" i="33"/>
  <c r="AL84" i="33"/>
  <c r="AS84" i="33" s="1"/>
  <c r="AI84" i="33"/>
  <c r="R84" i="33"/>
  <c r="AB84" i="33" s="1"/>
  <c r="AN63" i="33"/>
  <c r="AN51" i="33"/>
  <c r="J20" i="33"/>
  <c r="Y20" i="33" s="1"/>
  <c r="AI48" i="33"/>
  <c r="AL40" i="33"/>
  <c r="AS40" i="33" s="1"/>
  <c r="AK51" i="33"/>
  <c r="AR51" i="33" s="1"/>
  <c r="AG57" i="33"/>
  <c r="AL58" i="33"/>
  <c r="AS58" i="33" s="1"/>
  <c r="AO19" i="33"/>
  <c r="AX19" i="33" s="1"/>
  <c r="AM49" i="33"/>
  <c r="AL8" i="33"/>
  <c r="AS8" i="33" s="1"/>
  <c r="AJ44" i="33"/>
  <c r="AQ44" i="33" s="1"/>
  <c r="AK25" i="33"/>
  <c r="AR25" i="33" s="1"/>
  <c r="AG43" i="33"/>
  <c r="AH48" i="33"/>
  <c r="AJ17" i="33"/>
  <c r="AQ17" i="33" s="1"/>
  <c r="AM36" i="33"/>
  <c r="AI21" i="33"/>
  <c r="AG36" i="33"/>
  <c r="AP36" i="33" s="1"/>
  <c r="AK41" i="33"/>
  <c r="AR41" i="33" s="1"/>
  <c r="AM59" i="33"/>
  <c r="AG59" i="33"/>
  <c r="AO18" i="33"/>
  <c r="AX18" i="33" s="1"/>
  <c r="I33" i="33"/>
  <c r="AI41" i="33"/>
  <c r="I69" i="33"/>
  <c r="AJ69" i="33"/>
  <c r="AQ69" i="33" s="1"/>
  <c r="AG69" i="33"/>
  <c r="BA69" i="33"/>
  <c r="AN72" i="33"/>
  <c r="AO72" i="33"/>
  <c r="AX72" i="33" s="1"/>
  <c r="J54" i="33"/>
  <c r="Y54" i="33" s="1"/>
  <c r="AM54" i="33"/>
  <c r="AH60" i="33"/>
  <c r="AL27" i="33"/>
  <c r="AS27" i="33" s="1"/>
  <c r="AO7" i="33"/>
  <c r="AI31" i="33"/>
  <c r="AL41" i="33"/>
  <c r="AS41" i="33" s="1"/>
  <c r="AN57" i="33"/>
  <c r="AH58" i="33"/>
  <c r="AH52" i="33"/>
  <c r="AN61" i="33"/>
  <c r="AJ45" i="33"/>
  <c r="AJ42" i="33"/>
  <c r="AG44" i="33"/>
  <c r="AI24" i="33"/>
  <c r="AN48" i="33"/>
  <c r="AO43" i="33"/>
  <c r="AX43" i="33" s="1"/>
  <c r="AM47" i="33"/>
  <c r="AN13" i="33"/>
  <c r="AL44" i="33"/>
  <c r="AS44" i="33" s="1"/>
  <c r="AG17" i="33"/>
  <c r="AK10" i="33"/>
  <c r="AR10" i="33" s="1"/>
  <c r="AL33" i="33"/>
  <c r="AS33" i="33" s="1"/>
  <c r="AK12" i="33"/>
  <c r="AR12" i="33" s="1"/>
  <c r="AL10" i="33"/>
  <c r="AS10" i="33" s="1"/>
  <c r="AJ19" i="33"/>
  <c r="AI59" i="33"/>
  <c r="AP59" i="33" s="1"/>
  <c r="AH42" i="33"/>
  <c r="AK32" i="33"/>
  <c r="AR32" i="33" s="1"/>
  <c r="AH28" i="33"/>
  <c r="AL20" i="33"/>
  <c r="AS20" i="33" s="1"/>
  <c r="AG41" i="33"/>
  <c r="AH64" i="33"/>
  <c r="AL64" i="33"/>
  <c r="AF64" i="33"/>
  <c r="W64" i="33"/>
  <c r="BA64" i="33"/>
  <c r="BB64" i="33" s="1"/>
  <c r="AN67" i="33"/>
  <c r="AO67" i="33"/>
  <c r="AX67" i="33" s="1"/>
  <c r="AG67" i="33"/>
  <c r="AI54" i="33"/>
  <c r="AM60" i="33"/>
  <c r="AH56" i="33"/>
  <c r="AN27" i="33"/>
  <c r="AJ43" i="33"/>
  <c r="AL23" i="33"/>
  <c r="AS23" i="33" s="1"/>
  <c r="AI51" i="33"/>
  <c r="AL61" i="33"/>
  <c r="AS61" i="33" s="1"/>
  <c r="AG42" i="33"/>
  <c r="AJ24" i="33"/>
  <c r="AQ24" i="33" s="1"/>
  <c r="AJ18" i="33"/>
  <c r="AQ18" i="33" s="1"/>
  <c r="AH37" i="33"/>
  <c r="AM40" i="33"/>
  <c r="J55" i="33"/>
  <c r="Y55" i="33" s="1"/>
  <c r="AG46" i="33"/>
  <c r="J45" i="33"/>
  <c r="Y45" i="33" s="1"/>
  <c r="AQ45" i="33" s="1"/>
  <c r="AJ30" i="33"/>
  <c r="AG7" i="33"/>
  <c r="AK7" i="33"/>
  <c r="AK33" i="33"/>
  <c r="AR33" i="33" s="1"/>
  <c r="AJ48" i="33"/>
  <c r="AQ48" i="33" s="1"/>
  <c r="AB73" i="33"/>
  <c r="Z73" i="33"/>
  <c r="BA66" i="33"/>
  <c r="BA70" i="33"/>
  <c r="BP68" i="33"/>
  <c r="AN65" i="33"/>
  <c r="AF65" i="33"/>
  <c r="W65" i="33"/>
  <c r="Z65" i="33"/>
  <c r="AL63" i="33"/>
  <c r="AS63" i="33" s="1"/>
  <c r="AN75" i="33"/>
  <c r="AO81" i="33"/>
  <c r="AX81" i="33" s="1"/>
  <c r="AK81" i="33"/>
  <c r="AR81" i="33" s="1"/>
  <c r="AG81" i="33"/>
  <c r="V81" i="33"/>
  <c r="AF81" i="33" s="1"/>
  <c r="R81" i="33"/>
  <c r="AB81" i="33" s="1"/>
  <c r="AM81" i="33"/>
  <c r="AH81" i="33"/>
  <c r="AJ81" i="33"/>
  <c r="AQ81" i="33" s="1"/>
  <c r="AI81" i="33"/>
  <c r="AN81" i="33"/>
  <c r="AL81" i="33"/>
  <c r="AS81" i="33" s="1"/>
  <c r="AN77" i="33"/>
  <c r="AJ77" i="33"/>
  <c r="AQ77" i="33" s="1"/>
  <c r="AO77" i="33"/>
  <c r="AX77" i="33" s="1"/>
  <c r="AI77" i="33"/>
  <c r="AH77" i="33"/>
  <c r="AG77" i="33"/>
  <c r="AM77" i="33"/>
  <c r="R77" i="33"/>
  <c r="AB77" i="33" s="1"/>
  <c r="AL77" i="33"/>
  <c r="AS77" i="33" s="1"/>
  <c r="AK77" i="33"/>
  <c r="AR77" i="33" s="1"/>
  <c r="V77" i="33"/>
  <c r="AF77" i="33" s="1"/>
  <c r="AM85" i="33"/>
  <c r="AI85" i="33"/>
  <c r="AK85" i="33"/>
  <c r="AR85" i="33" s="1"/>
  <c r="V85" i="33"/>
  <c r="AF85" i="33" s="1"/>
  <c r="AL85" i="33"/>
  <c r="AS85" i="33" s="1"/>
  <c r="AJ85" i="33"/>
  <c r="AQ85" i="33" s="1"/>
  <c r="R85" i="33"/>
  <c r="AB85" i="33" s="1"/>
  <c r="AO85" i="33"/>
  <c r="AX85" i="33" s="1"/>
  <c r="AH85" i="33"/>
  <c r="AN85" i="33"/>
  <c r="AG85" i="33"/>
  <c r="AK63" i="33"/>
  <c r="AR63" i="33" s="1"/>
  <c r="AL54" i="33"/>
  <c r="AS54" i="33" s="1"/>
  <c r="AI60" i="33"/>
  <c r="AO46" i="33"/>
  <c r="AX46" i="33" s="1"/>
  <c r="AH49" i="33"/>
  <c r="AJ37" i="33"/>
  <c r="AQ37" i="33" s="1"/>
  <c r="AH41" i="33"/>
  <c r="AO57" i="33"/>
  <c r="AX57" i="33" s="1"/>
  <c r="AM58" i="33"/>
  <c r="AL46" i="33"/>
  <c r="AS46" i="33" s="1"/>
  <c r="AM30" i="33"/>
  <c r="AN44" i="33"/>
  <c r="AK31" i="33"/>
  <c r="AR31" i="33" s="1"/>
  <c r="AO41" i="33"/>
  <c r="AX41" i="33" s="1"/>
  <c r="AM34" i="33"/>
  <c r="AH17" i="33"/>
  <c r="AM23" i="33"/>
  <c r="AJ8" i="33"/>
  <c r="AQ8" i="33" s="1"/>
  <c r="AM31" i="33"/>
  <c r="AM37" i="33"/>
  <c r="J42" i="33"/>
  <c r="Y42" i="33" s="1"/>
  <c r="AK27" i="33"/>
  <c r="AR27" i="33" s="1"/>
  <c r="AJ34" i="33"/>
  <c r="AI18" i="33"/>
  <c r="AN69" i="33"/>
  <c r="AI69" i="33"/>
  <c r="AL69" i="33"/>
  <c r="AS69" i="33" s="1"/>
  <c r="AK69" i="33"/>
  <c r="AG63" i="33"/>
  <c r="AM72" i="33"/>
  <c r="AL72" i="33"/>
  <c r="AS72" i="33" s="1"/>
  <c r="AN54" i="33"/>
  <c r="AO60" i="33"/>
  <c r="AX60" i="33" s="1"/>
  <c r="AN56" i="33"/>
  <c r="AO45" i="33"/>
  <c r="AX45" i="33" s="1"/>
  <c r="J46" i="33"/>
  <c r="Y46" i="33" s="1"/>
  <c r="AN29" i="33"/>
  <c r="AG40" i="33"/>
  <c r="AN35" i="33"/>
  <c r="I57" i="33"/>
  <c r="J58" i="33"/>
  <c r="Y58" i="33" s="1"/>
  <c r="I58" i="33"/>
  <c r="AK61" i="33"/>
  <c r="AR61" i="33" s="1"/>
  <c r="AM45" i="33"/>
  <c r="AO47" i="33"/>
  <c r="AX47" i="33" s="1"/>
  <c r="AI15" i="33"/>
  <c r="AH13" i="33"/>
  <c r="AK19" i="33"/>
  <c r="AR19" i="33" s="1"/>
  <c r="J30" i="33"/>
  <c r="Y30" i="33" s="1"/>
  <c r="AK45" i="33"/>
  <c r="AR45" i="33" s="1"/>
  <c r="AM20" i="33"/>
  <c r="AH25" i="33"/>
  <c r="AO28" i="33"/>
  <c r="AX28" i="33" s="1"/>
  <c r="AI30" i="33"/>
  <c r="AG9" i="33"/>
  <c r="AH9" i="33"/>
  <c r="AK11" i="33"/>
  <c r="AR11" i="33" s="1"/>
  <c r="AH18" i="33"/>
  <c r="AL53" i="33"/>
  <c r="AS53" i="33" s="1"/>
  <c r="AG45" i="33"/>
  <c r="AK35" i="33"/>
  <c r="AR35" i="33" s="1"/>
  <c r="AK48" i="33"/>
  <c r="AR48" i="33" s="1"/>
  <c r="AI33" i="33"/>
  <c r="AO64" i="33"/>
  <c r="AX64" i="33" s="1"/>
  <c r="AS64" i="33"/>
  <c r="BP64" i="33"/>
  <c r="AJ64" i="33"/>
  <c r="AQ64" i="33" s="1"/>
  <c r="AK67" i="33"/>
  <c r="AJ67" i="33"/>
  <c r="AL67" i="33"/>
  <c r="AS67" i="33" s="1"/>
  <c r="AO63" i="33"/>
  <c r="AX63" i="33" s="1"/>
  <c r="AJ54" i="33"/>
  <c r="AJ56" i="33"/>
  <c r="AQ56" i="33" s="1"/>
  <c r="AG34" i="33"/>
  <c r="AJ57" i="33"/>
  <c r="AO58" i="33"/>
  <c r="AX58" i="33" s="1"/>
  <c r="AN52" i="33"/>
  <c r="AH61" i="33"/>
  <c r="AN47" i="33"/>
  <c r="AH27" i="33"/>
  <c r="AJ27" i="33"/>
  <c r="AQ27" i="33" s="1"/>
  <c r="AH34" i="33"/>
  <c r="AH55" i="33"/>
  <c r="AH29" i="33"/>
  <c r="I42" i="33"/>
  <c r="AN12" i="33"/>
  <c r="AH40" i="33"/>
  <c r="AB66" i="33"/>
  <c r="AA66" i="33"/>
  <c r="AJ70" i="33"/>
  <c r="AO70" i="33"/>
  <c r="AX70" i="33" s="1"/>
  <c r="AB70" i="33"/>
  <c r="AS68" i="33"/>
  <c r="AK68" i="33"/>
  <c r="AG60" i="33"/>
  <c r="AP60" i="33" s="1"/>
  <c r="AG56" i="33"/>
  <c r="AI46" i="33"/>
  <c r="AO29" i="33"/>
  <c r="AX29" i="33" s="1"/>
  <c r="AK40" i="33"/>
  <c r="AR40" i="33" s="1"/>
  <c r="AG22" i="33"/>
  <c r="AI27" i="33"/>
  <c r="AG61" i="33"/>
  <c r="AL32" i="33"/>
  <c r="AS32" i="33" s="1"/>
  <c r="AI40" i="33"/>
  <c r="AJ36" i="33"/>
  <c r="AQ36" i="33" s="1"/>
  <c r="AL9" i="33"/>
  <c r="AS9" i="33" s="1"/>
  <c r="AJ13" i="33"/>
  <c r="AQ13" i="33" s="1"/>
  <c r="AN43" i="33"/>
  <c r="AN30" i="33"/>
  <c r="AO53" i="33"/>
  <c r="AX53" i="33" s="1"/>
  <c r="AK39" i="33"/>
  <c r="AR39" i="33" s="1"/>
  <c r="AJ47" i="33"/>
  <c r="AQ47" i="33" s="1"/>
  <c r="AM28" i="33"/>
  <c r="AO15" i="33"/>
  <c r="AX15" i="33" s="1"/>
  <c r="AG29" i="33"/>
  <c r="AH71" i="33"/>
  <c r="BP71" i="33"/>
  <c r="AI65" i="33"/>
  <c r="AS65" i="33"/>
  <c r="BA65" i="33"/>
  <c r="AG65" i="33"/>
  <c r="AK75" i="33"/>
  <c r="AR75" i="33" s="1"/>
  <c r="AM78" i="33"/>
  <c r="AI78" i="33"/>
  <c r="AL78" i="33"/>
  <c r="AS78" i="33" s="1"/>
  <c r="AG78" i="33"/>
  <c r="AN78" i="33"/>
  <c r="V78" i="33"/>
  <c r="AF78" i="33" s="1"/>
  <c r="AH78" i="33"/>
  <c r="AO78" i="33"/>
  <c r="AX78" i="33" s="1"/>
  <c r="R78" i="33"/>
  <c r="AB78" i="33" s="1"/>
  <c r="AK78" i="33"/>
  <c r="AR78" i="33" s="1"/>
  <c r="AJ78" i="33"/>
  <c r="AQ78" i="33" s="1"/>
  <c r="D96" i="33"/>
  <c r="D93" i="33"/>
  <c r="AO87" i="33"/>
  <c r="AX87" i="33" s="1"/>
  <c r="AK87" i="33"/>
  <c r="AR87" i="33" s="1"/>
  <c r="AG87" i="33"/>
  <c r="D89" i="33"/>
  <c r="AJ87" i="33"/>
  <c r="AQ87" i="33" s="1"/>
  <c r="V87" i="33"/>
  <c r="AF87" i="33" s="1"/>
  <c r="D95" i="33"/>
  <c r="D94" i="33"/>
  <c r="D92" i="33"/>
  <c r="D91" i="33"/>
  <c r="D90" i="33"/>
  <c r="D88" i="33"/>
  <c r="AN87" i="33"/>
  <c r="AI87" i="33"/>
  <c r="D99" i="33"/>
  <c r="D97" i="33"/>
  <c r="AH87" i="33"/>
  <c r="AM87" i="33"/>
  <c r="R87" i="33"/>
  <c r="AB87" i="33" s="1"/>
  <c r="AL87" i="33"/>
  <c r="AS87" i="33" s="1"/>
  <c r="AL82" i="33"/>
  <c r="AS82" i="33" s="1"/>
  <c r="AH82" i="33"/>
  <c r="AK82" i="33"/>
  <c r="AR82" i="33" s="1"/>
  <c r="R82" i="33"/>
  <c r="AB82" i="33" s="1"/>
  <c r="AN82" i="33"/>
  <c r="AG82" i="33"/>
  <c r="V82" i="33"/>
  <c r="AF82" i="33" s="1"/>
  <c r="AM82" i="33"/>
  <c r="AJ82" i="33"/>
  <c r="AQ82" i="33" s="1"/>
  <c r="AO82" i="33"/>
  <c r="AX82" i="33" s="1"/>
  <c r="AI82" i="33"/>
  <c r="AL79" i="33"/>
  <c r="AS79" i="33" s="1"/>
  <c r="AH79" i="33"/>
  <c r="AM79" i="33"/>
  <c r="AG79" i="33"/>
  <c r="AJ79" i="33"/>
  <c r="AQ79" i="33" s="1"/>
  <c r="AN79" i="33"/>
  <c r="AK79" i="33"/>
  <c r="AR79" i="33" s="1"/>
  <c r="R79" i="33"/>
  <c r="AB79" i="33" s="1"/>
  <c r="AI79" i="33"/>
  <c r="V79" i="33"/>
  <c r="AF79" i="33" s="1"/>
  <c r="AO79" i="33"/>
  <c r="AX79" i="33" s="1"/>
  <c r="AH75" i="33"/>
  <c r="AL51" i="33"/>
  <c r="AS51" i="33" s="1"/>
  <c r="AJ60" i="33"/>
  <c r="AQ60" i="33" s="1"/>
  <c r="AH39" i="33"/>
  <c r="AO31" i="33"/>
  <c r="AX31" i="33" s="1"/>
  <c r="AM33" i="33"/>
  <c r="AK29" i="33"/>
  <c r="AR29" i="33" s="1"/>
  <c r="AK57" i="33"/>
  <c r="AR57" i="33" s="1"/>
  <c r="AG58" i="33"/>
  <c r="AI52" i="33"/>
  <c r="AI42" i="33"/>
  <c r="AM19" i="33"/>
  <c r="AG20" i="33"/>
  <c r="AL48" i="33"/>
  <c r="AS48" i="33" s="1"/>
  <c r="AO21" i="33"/>
  <c r="AX21" i="33" s="1"/>
  <c r="AI25" i="33"/>
  <c r="AI28" i="33"/>
  <c r="AI7" i="33"/>
  <c r="AM13" i="33"/>
  <c r="AM12" i="33"/>
  <c r="AG11" i="33"/>
  <c r="AM51" i="33"/>
  <c r="AJ32" i="33"/>
  <c r="AQ32" i="33" s="1"/>
  <c r="AG13" i="33"/>
  <c r="AL30" i="33"/>
  <c r="AS30" i="33" s="1"/>
  <c r="I30" i="33"/>
  <c r="AB69" i="33"/>
  <c r="AO69" i="33"/>
  <c r="AX69" i="33" s="1"/>
  <c r="AH72" i="33"/>
  <c r="AB72" i="33"/>
  <c r="Z72" i="33"/>
  <c r="AJ72" i="33"/>
  <c r="AQ72" i="33" s="1"/>
  <c r="BP72" i="33"/>
  <c r="AG72" i="33"/>
  <c r="BA72" i="33"/>
  <c r="AJ63" i="33"/>
  <c r="AQ63" i="33" s="1"/>
  <c r="AH54" i="33"/>
  <c r="AK56" i="33"/>
  <c r="AR56" i="33" s="1"/>
  <c r="AI45" i="33"/>
  <c r="AN42" i="33"/>
  <c r="AO23" i="33"/>
  <c r="AX23" i="33" s="1"/>
  <c r="AI57" i="33"/>
  <c r="AN58" i="33"/>
  <c r="AK52" i="33"/>
  <c r="AR52" i="33" s="1"/>
  <c r="AL52" i="33"/>
  <c r="AS52" i="33" s="1"/>
  <c r="AO61" i="33"/>
  <c r="AX61" i="33" s="1"/>
  <c r="AL28" i="33"/>
  <c r="AS28" i="33" s="1"/>
  <c r="AG35" i="33"/>
  <c r="AK44" i="33"/>
  <c r="AR44" i="33" s="1"/>
  <c r="AO13" i="33"/>
  <c r="AX13" i="33" s="1"/>
  <c r="AK46" i="33"/>
  <c r="AR46" i="33" s="1"/>
  <c r="AG19" i="33"/>
  <c r="AI32" i="33"/>
  <c r="AN24" i="33"/>
  <c r="AN36" i="33"/>
  <c r="AH10" i="33"/>
  <c r="AL21" i="33"/>
  <c r="AS21" i="33" s="1"/>
  <c r="AI39" i="33"/>
  <c r="AJ53" i="33"/>
  <c r="AQ53" i="33" s="1"/>
  <c r="AN28" i="33"/>
  <c r="AJ49" i="33"/>
  <c r="AQ49" i="33" s="1"/>
  <c r="AH33" i="33"/>
  <c r="AL35" i="33"/>
  <c r="AS35" i="33" s="1"/>
  <c r="AN40" i="33"/>
  <c r="AK64" i="33"/>
  <c r="AR64" i="33" s="1"/>
  <c r="AB64" i="33"/>
  <c r="AN64" i="33"/>
  <c r="AI55" i="33"/>
  <c r="I55" i="33"/>
  <c r="AG55" i="33"/>
  <c r="AL55" i="33"/>
  <c r="AS55" i="33" s="1"/>
  <c r="AH45" i="33"/>
  <c r="AM55" i="33"/>
  <c r="AN55" i="33"/>
  <c r="AN45" i="33"/>
  <c r="AG37" i="33"/>
  <c r="AM46" i="33"/>
  <c r="AL47" i="33"/>
  <c r="AS47" i="33" s="1"/>
  <c r="AJ23" i="33"/>
  <c r="AQ23" i="33" s="1"/>
  <c r="I46" i="33"/>
  <c r="AK55" i="33"/>
  <c r="AR55" i="33" s="1"/>
  <c r="AO51" i="33"/>
  <c r="AX51" i="33" s="1"/>
  <c r="AO32" i="33"/>
  <c r="AX32" i="33" s="1"/>
  <c r="AG28" i="33"/>
  <c r="AK42" i="33"/>
  <c r="AR42" i="33" s="1"/>
  <c r="AI29" i="33"/>
  <c r="AL34" i="33"/>
  <c r="AS34" i="33" s="1"/>
  <c r="AK49" i="33"/>
  <c r="AR49" i="33" s="1"/>
  <c r="BA67" i="33"/>
  <c r="J67" i="33"/>
  <c r="Y67" i="33" s="1"/>
  <c r="BP67" i="33"/>
  <c r="AI67" i="33"/>
  <c r="AH63" i="33"/>
  <c r="AM56" i="33"/>
  <c r="AO35" i="33"/>
  <c r="AX35" i="33" s="1"/>
  <c r="AI47" i="33"/>
  <c r="AI58" i="33"/>
  <c r="AJ61" i="33"/>
  <c r="AQ61" i="33" s="1"/>
  <c r="AK23" i="33"/>
  <c r="AR23" i="33" s="1"/>
  <c r="AN21" i="33"/>
  <c r="AJ20" i="33"/>
  <c r="AO44" i="33"/>
  <c r="AX44" i="33" s="1"/>
  <c r="AK21" i="33"/>
  <c r="AR21" i="33" s="1"/>
  <c r="AJ41" i="33"/>
  <c r="AQ41" i="33" s="1"/>
  <c r="AJ55" i="33"/>
  <c r="AM27" i="33"/>
  <c r="AJ35" i="33"/>
  <c r="AQ35" i="33" s="1"/>
  <c r="AN34" i="33"/>
  <c r="AL39" i="33"/>
  <c r="AS39" i="33" s="1"/>
  <c r="AT146" i="33"/>
  <c r="Z66" i="33"/>
  <c r="Z70" i="33"/>
  <c r="AR70" i="33" s="1"/>
  <c r="AK20" i="33"/>
  <c r="AR20" i="33" s="1"/>
  <c r="BO20" i="33" s="1"/>
  <c r="I19" i="33"/>
  <c r="AG33" i="33"/>
  <c r="AM11" i="33"/>
  <c r="AN19" i="33"/>
  <c r="AJ33" i="33"/>
  <c r="AH59" i="33"/>
  <c r="AG47" i="33"/>
  <c r="AL37" i="33"/>
  <c r="AS37" i="33" s="1"/>
  <c r="J34" i="33"/>
  <c r="Y34" i="33" s="1"/>
  <c r="AM25" i="33"/>
  <c r="AI73" i="33"/>
  <c r="BJ146" i="33"/>
  <c r="BP66" i="33"/>
  <c r="AM66" i="33"/>
  <c r="AH66" i="33"/>
  <c r="AI70" i="33"/>
  <c r="AM70" i="33"/>
  <c r="AG70" i="33"/>
  <c r="I70" i="33"/>
  <c r="AH70" i="33"/>
  <c r="AH68" i="33"/>
  <c r="AJ68" i="33"/>
  <c r="AQ68" i="33" s="1"/>
  <c r="AM68" i="33"/>
  <c r="AB68" i="33"/>
  <c r="AO68" i="33"/>
  <c r="AX68" i="33" s="1"/>
  <c r="AN60" i="33"/>
  <c r="AI56" i="33"/>
  <c r="AP56" i="33" s="1"/>
  <c r="AM48" i="33"/>
  <c r="AK43" i="33"/>
  <c r="AR43" i="33" s="1"/>
  <c r="AH57" i="33"/>
  <c r="AK58" i="33"/>
  <c r="AR58" i="33" s="1"/>
  <c r="AK30" i="33"/>
  <c r="AR30" i="33" s="1"/>
  <c r="AN33" i="33"/>
  <c r="AO9" i="33"/>
  <c r="AX9" i="33" s="1"/>
  <c r="AH36" i="33"/>
  <c r="AJ14" i="33"/>
  <c r="AQ14" i="33" s="1"/>
  <c r="AH21" i="33"/>
  <c r="AL29" i="33"/>
  <c r="AS29" i="33" s="1"/>
  <c r="AN18" i="33"/>
  <c r="AN9" i="33"/>
  <c r="AI20" i="33"/>
  <c r="AI37" i="33"/>
  <c r="AG71" i="33"/>
  <c r="BA71" i="33"/>
  <c r="AJ71" i="33"/>
  <c r="AQ71" i="33" s="1"/>
  <c r="AL71" i="33"/>
  <c r="AS71" i="33" s="1"/>
  <c r="AB71" i="33"/>
  <c r="W71" i="33"/>
  <c r="AF71" i="33"/>
  <c r="AB65" i="33"/>
  <c r="AJ65" i="33"/>
  <c r="AQ65" i="33" s="1"/>
  <c r="AK65" i="33"/>
  <c r="AM75" i="33"/>
  <c r="AI75" i="33"/>
  <c r="AJ75" i="33"/>
  <c r="AQ75" i="33" s="1"/>
  <c r="AL83" i="33"/>
  <c r="AS83" i="33" s="1"/>
  <c r="AH83" i="33"/>
  <c r="V83" i="33"/>
  <c r="AF83" i="33" s="1"/>
  <c r="R83" i="33"/>
  <c r="AB83" i="33" s="1"/>
  <c r="AO83" i="33"/>
  <c r="AX83" i="33" s="1"/>
  <c r="AJ83" i="33"/>
  <c r="AQ83" i="33" s="1"/>
  <c r="AI83" i="33"/>
  <c r="AN83" i="33"/>
  <c r="AG83" i="33"/>
  <c r="AM83" i="33"/>
  <c r="AK83" i="33"/>
  <c r="AR83" i="33" s="1"/>
  <c r="AO80" i="33"/>
  <c r="AX80" i="33" s="1"/>
  <c r="AK80" i="33"/>
  <c r="AR80" i="33" s="1"/>
  <c r="AG80" i="33"/>
  <c r="AN80" i="33"/>
  <c r="AI80" i="33"/>
  <c r="AJ80" i="33"/>
  <c r="AQ80" i="33" s="1"/>
  <c r="R80" i="33"/>
  <c r="AB80" i="33" s="1"/>
  <c r="AH80" i="33"/>
  <c r="AM80" i="33"/>
  <c r="V80" i="33"/>
  <c r="AF80" i="33" s="1"/>
  <c r="AL80" i="33"/>
  <c r="AS80" i="33" s="1"/>
  <c r="AL75" i="33"/>
  <c r="AS75" i="33" s="1"/>
  <c r="AG54" i="33"/>
  <c r="AL45" i="33"/>
  <c r="AS45" i="33" s="1"/>
  <c r="AM42" i="33"/>
  <c r="AH44" i="33"/>
  <c r="AI34" i="33"/>
  <c r="AI23" i="33"/>
  <c r="AG52" i="33"/>
  <c r="AP52" i="33" s="1"/>
  <c r="AJ39" i="33"/>
  <c r="AQ39" i="33" s="1"/>
  <c r="AK47" i="33"/>
  <c r="AR47" i="33" s="1"/>
  <c r="AO27" i="33"/>
  <c r="AX27" i="33" s="1"/>
  <c r="AI11" i="33"/>
  <c r="AI19" i="33"/>
  <c r="AG30" i="33"/>
  <c r="AM35" i="33"/>
  <c r="AJ40" i="33"/>
  <c r="AQ40" i="33" s="1"/>
  <c r="AL36" i="33"/>
  <c r="AS36" i="33" s="1"/>
  <c r="AM10" i="33"/>
  <c r="AG21" i="33"/>
  <c r="AI43" i="33"/>
  <c r="AG53" i="33"/>
  <c r="AN25" i="33"/>
  <c r="AH19" i="33"/>
  <c r="AO40" i="33"/>
  <c r="AX40" i="33" s="1"/>
  <c r="AR69" i="33"/>
  <c r="AM69" i="33"/>
  <c r="AH69" i="33"/>
  <c r="W72" i="33"/>
  <c r="AI72" i="33"/>
  <c r="AK72" i="33"/>
  <c r="AH51" i="33"/>
  <c r="I54" i="33"/>
  <c r="AO56" i="33"/>
  <c r="AX56" i="33" s="1"/>
  <c r="AH24" i="33"/>
  <c r="AM24" i="33"/>
  <c r="AO48" i="33"/>
  <c r="AX48" i="33" s="1"/>
  <c r="AH30" i="33"/>
  <c r="AJ52" i="33"/>
  <c r="AQ52" i="33" s="1"/>
  <c r="AI61" i="33"/>
  <c r="AH46" i="33"/>
  <c r="AL49" i="33"/>
  <c r="AS49" i="33" s="1"/>
  <c r="AO36" i="33"/>
  <c r="AX36" i="33" s="1"/>
  <c r="AI44" i="33"/>
  <c r="I43" i="33"/>
  <c r="AO55" i="33"/>
  <c r="AX55" i="33" s="1"/>
  <c r="AN46" i="33"/>
  <c r="AG25" i="33"/>
  <c r="AL11" i="33"/>
  <c r="AS11" i="33" s="1"/>
  <c r="AN32" i="33"/>
  <c r="AO37" i="33"/>
  <c r="AX37" i="33" s="1"/>
  <c r="AM21" i="33"/>
  <c r="AN15" i="33"/>
  <c r="AH23" i="33"/>
  <c r="J31" i="33"/>
  <c r="Y31" i="33" s="1"/>
  <c r="AN41" i="33"/>
  <c r="AI53" i="33"/>
  <c r="AG39" i="33"/>
  <c r="I20" i="33"/>
  <c r="AO33" i="33"/>
  <c r="AX33" i="33" s="1"/>
  <c r="AL43" i="33"/>
  <c r="AS43" i="33" s="1"/>
  <c r="AM64" i="33"/>
  <c r="AI64" i="33"/>
  <c r="AG64" i="33"/>
  <c r="AM63" i="33"/>
  <c r="AB67" i="33"/>
  <c r="Z67" i="33"/>
  <c r="AH67" i="33"/>
  <c r="AM67" i="33"/>
  <c r="AO54" i="33"/>
  <c r="AX54" i="33" s="1"/>
  <c r="AK60" i="33"/>
  <c r="AR60" i="33" s="1"/>
  <c r="BO60" i="33" s="1"/>
  <c r="AL56" i="33"/>
  <c r="AS56" i="33" s="1"/>
  <c r="AO30" i="33"/>
  <c r="AX30" i="33" s="1"/>
  <c r="AO49" i="33"/>
  <c r="AX49" i="33" s="1"/>
  <c r="AL24" i="33"/>
  <c r="AS24" i="33" s="1"/>
  <c r="AN37" i="33"/>
  <c r="AL57" i="33"/>
  <c r="AS57" i="33" s="1"/>
  <c r="AJ58" i="33"/>
  <c r="AM61" i="33"/>
  <c r="AJ46" i="33"/>
  <c r="J33" i="33"/>
  <c r="Y33" i="33" s="1"/>
  <c r="AN20" i="33"/>
  <c r="AN39" i="33"/>
  <c r="AI35" i="33"/>
  <c r="AK18" i="33"/>
  <c r="AR18" i="33" s="1"/>
  <c r="AH47" i="33"/>
  <c r="AG18" i="33"/>
  <c r="I34" i="33"/>
  <c r="AE48" i="31"/>
  <c r="AE53" i="31" s="1"/>
  <c r="X33" i="30"/>
  <c r="C33" i="30" s="1"/>
  <c r="D45" i="31"/>
  <c r="L45" i="31"/>
  <c r="M593" i="34"/>
  <c r="AG36" i="30"/>
  <c r="P613" i="34"/>
  <c r="P632" i="34"/>
  <c r="P639" i="34"/>
  <c r="O633" i="34"/>
  <c r="P633" i="34" s="1"/>
  <c r="P626" i="34"/>
  <c r="V36" i="30"/>
  <c r="N637" i="34"/>
  <c r="N616" i="34"/>
  <c r="N717" i="34" s="1"/>
  <c r="N718" i="34" s="1"/>
  <c r="AD55" i="31"/>
  <c r="AD53" i="31"/>
  <c r="AO53" i="31"/>
  <c r="BC45" i="31"/>
  <c r="W36" i="30"/>
  <c r="N601" i="34"/>
  <c r="AQ47" i="31"/>
  <c r="O590" i="34"/>
  <c r="AF47" i="31"/>
  <c r="D47" i="31" s="1"/>
  <c r="P580" i="34"/>
  <c r="O614" i="34"/>
  <c r="O616" i="34" s="1"/>
  <c r="AF46" i="31"/>
  <c r="AH34" i="30"/>
  <c r="K601" i="34"/>
  <c r="AN47" i="31"/>
  <c r="AN48" i="31" s="1"/>
  <c r="AE36" i="30"/>
  <c r="BA45" i="31"/>
  <c r="AM53" i="31"/>
  <c r="BA46" i="31"/>
  <c r="BA47" i="31"/>
  <c r="AH22" i="30" l="1"/>
  <c r="AQ19" i="33"/>
  <c r="BO34" i="33"/>
  <c r="BO24" i="33"/>
  <c r="AP27" i="33"/>
  <c r="BN27" i="33" s="1"/>
  <c r="AQ32" i="31"/>
  <c r="BC48" i="31"/>
  <c r="BC49" i="31" s="1"/>
  <c r="AP53" i="33"/>
  <c r="BN53" i="33" s="1"/>
  <c r="BO40" i="33"/>
  <c r="AP75" i="33"/>
  <c r="BN75" i="33" s="1"/>
  <c r="AP32" i="33"/>
  <c r="AZ32" i="33" s="1"/>
  <c r="AQ70" i="33"/>
  <c r="AP14" i="33"/>
  <c r="BN14" i="33" s="1"/>
  <c r="BO23" i="33"/>
  <c r="BO19" i="33"/>
  <c r="AQ63" i="31"/>
  <c r="N698" i="34"/>
  <c r="N134" i="34"/>
  <c r="N139" i="34" s="1"/>
  <c r="N141" i="34" s="1"/>
  <c r="N145" i="34" s="1"/>
  <c r="AR73" i="33"/>
  <c r="BO73" i="33" s="1"/>
  <c r="AP51" i="33"/>
  <c r="BN51" i="33" s="1"/>
  <c r="AS66" i="33"/>
  <c r="BO42" i="33"/>
  <c r="AQ31" i="33"/>
  <c r="BO37" i="33"/>
  <c r="AQ22" i="33"/>
  <c r="L14" i="31"/>
  <c r="AQ33" i="31"/>
  <c r="D14" i="31"/>
  <c r="Q107" i="34"/>
  <c r="L70" i="31"/>
  <c r="AI45" i="30"/>
  <c r="BO46" i="33"/>
  <c r="BO33" i="33"/>
  <c r="AP29" i="33"/>
  <c r="BN29" i="33" s="1"/>
  <c r="AQ42" i="33"/>
  <c r="AQ33" i="33"/>
  <c r="AQ30" i="33"/>
  <c r="AP63" i="33"/>
  <c r="AZ63" i="33" s="1"/>
  <c r="AP35" i="33"/>
  <c r="BN35" i="33" s="1"/>
  <c r="BO25" i="33"/>
  <c r="BO36" i="33"/>
  <c r="BO59" i="33"/>
  <c r="BO31" i="33"/>
  <c r="BO63" i="33"/>
  <c r="BO18" i="33"/>
  <c r="AP11" i="33"/>
  <c r="AZ11" i="33" s="1"/>
  <c r="AP48" i="33"/>
  <c r="BN48" i="33" s="1"/>
  <c r="BO76" i="33"/>
  <c r="AP68" i="33"/>
  <c r="BN68" i="33" s="1"/>
  <c r="AP44" i="33"/>
  <c r="BN44" i="33" s="1"/>
  <c r="BO54" i="33"/>
  <c r="P36" i="7"/>
  <c r="P37" i="7" s="1"/>
  <c r="N398" i="34"/>
  <c r="N687" i="34" s="1"/>
  <c r="O265" i="34"/>
  <c r="O276" i="34" s="1"/>
  <c r="O277" i="34" s="1"/>
  <c r="P20" i="34"/>
  <c r="AE87" i="31"/>
  <c r="AP87" i="33"/>
  <c r="BN87" i="33" s="1"/>
  <c r="BO47" i="33"/>
  <c r="P101" i="34"/>
  <c r="BO85" i="33"/>
  <c r="BO77" i="33"/>
  <c r="AP81" i="33"/>
  <c r="BN81" i="33" s="1"/>
  <c r="D71" i="31"/>
  <c r="AP72" i="33"/>
  <c r="BN72" i="33" s="1"/>
  <c r="BO58" i="33"/>
  <c r="P515" i="34"/>
  <c r="O122" i="34"/>
  <c r="O129" i="34" s="1"/>
  <c r="AR66" i="33"/>
  <c r="AF29" i="30"/>
  <c r="AF30" i="30" s="1"/>
  <c r="AP37" i="33"/>
  <c r="AZ37" i="33" s="1"/>
  <c r="AP79" i="33"/>
  <c r="AZ79" i="33" s="1"/>
  <c r="BL79" i="33" s="1"/>
  <c r="AR71" i="33"/>
  <c r="BO71" i="33" s="1"/>
  <c r="AP12" i="33"/>
  <c r="BN12" i="33" s="1"/>
  <c r="O214" i="34"/>
  <c r="O215" i="34" s="1"/>
  <c r="O228" i="34" s="1"/>
  <c r="O59" i="34"/>
  <c r="O67" i="34" s="1"/>
  <c r="O80" i="34" s="1"/>
  <c r="O84" i="34" s="1"/>
  <c r="P562" i="34"/>
  <c r="AE55" i="31"/>
  <c r="N362" i="34"/>
  <c r="N366" i="34" s="1"/>
  <c r="N531" i="34"/>
  <c r="N544" i="34" s="1"/>
  <c r="N545" i="34" s="1"/>
  <c r="O151" i="34"/>
  <c r="O164" i="34" s="1"/>
  <c r="O165" i="34" s="1"/>
  <c r="O167" i="34" s="1"/>
  <c r="O170" i="34" s="1"/>
  <c r="S175" i="34"/>
  <c r="D60" i="31"/>
  <c r="AR67" i="33"/>
  <c r="BO67" i="33" s="1"/>
  <c r="AP61" i="33"/>
  <c r="BN61" i="33" s="1"/>
  <c r="AP23" i="33"/>
  <c r="AZ23" i="33" s="1"/>
  <c r="AP71" i="33"/>
  <c r="AQ34" i="33"/>
  <c r="BO53" i="33"/>
  <c r="AQ67" i="33"/>
  <c r="AP40" i="33"/>
  <c r="BN40" i="33" s="1"/>
  <c r="BO27" i="33"/>
  <c r="AP24" i="33"/>
  <c r="BN24" i="33" s="1"/>
  <c r="AP84" i="33"/>
  <c r="AZ84" i="33" s="1"/>
  <c r="BL84" i="33" s="1"/>
  <c r="BO22" i="33"/>
  <c r="BO17" i="33"/>
  <c r="BO30" i="33"/>
  <c r="BO55" i="33"/>
  <c r="BO64" i="33"/>
  <c r="BO44" i="33"/>
  <c r="BO79" i="33"/>
  <c r="BO87" i="33"/>
  <c r="BO61" i="33"/>
  <c r="AP41" i="33"/>
  <c r="BN41" i="33" s="1"/>
  <c r="AP49" i="33"/>
  <c r="BN49" i="33" s="1"/>
  <c r="BO69" i="33"/>
  <c r="AP15" i="33"/>
  <c r="BN15" i="33" s="1"/>
  <c r="BO81" i="33"/>
  <c r="BO21" i="33"/>
  <c r="BO52" i="33"/>
  <c r="BO56" i="33"/>
  <c r="I48" i="31"/>
  <c r="O133" i="34"/>
  <c r="P133" i="34" s="1"/>
  <c r="P102" i="34"/>
  <c r="O189" i="34"/>
  <c r="P185" i="34"/>
  <c r="Q185" i="34"/>
  <c r="P250" i="34"/>
  <c r="O252" i="34"/>
  <c r="O359" i="34"/>
  <c r="O360" i="34"/>
  <c r="P360" i="34" s="1"/>
  <c r="O472" i="34"/>
  <c r="O452" i="34"/>
  <c r="O465" i="34" s="1"/>
  <c r="O335" i="34"/>
  <c r="O339" i="34" s="1"/>
  <c r="AR64" i="31" s="1"/>
  <c r="O132" i="34"/>
  <c r="P100" i="34"/>
  <c r="AP21" i="31"/>
  <c r="L471" i="34"/>
  <c r="L473" i="34" s="1"/>
  <c r="P473" i="34" s="1"/>
  <c r="L478" i="34"/>
  <c r="K63" i="31"/>
  <c r="AF23" i="30"/>
  <c r="D64" i="31"/>
  <c r="T73" i="31"/>
  <c r="L26" i="30"/>
  <c r="C67" i="31"/>
  <c r="K67" i="31"/>
  <c r="AR32" i="31"/>
  <c r="N453" i="34"/>
  <c r="N466" i="34" s="1"/>
  <c r="N469" i="34" s="1"/>
  <c r="O440" i="34"/>
  <c r="O420" i="34"/>
  <c r="O433" i="34" s="1"/>
  <c r="M139" i="34"/>
  <c r="AP69" i="31"/>
  <c r="L28" i="30"/>
  <c r="B28" i="30" s="1"/>
  <c r="C69" i="31"/>
  <c r="D72" i="31"/>
  <c r="O295" i="34"/>
  <c r="AR62" i="31" s="1"/>
  <c r="M62" i="31" s="1"/>
  <c r="N497" i="34"/>
  <c r="N254" i="34"/>
  <c r="N258" i="34" s="1"/>
  <c r="AQ59" i="31"/>
  <c r="D58" i="31"/>
  <c r="AQ69" i="31"/>
  <c r="Q193" i="34"/>
  <c r="P193" i="34"/>
  <c r="N421" i="34"/>
  <c r="N434" i="34" s="1"/>
  <c r="N437" i="34" s="1"/>
  <c r="N439" i="34" s="1"/>
  <c r="N441" i="34" s="1"/>
  <c r="N446" i="34" s="1"/>
  <c r="N408" i="34"/>
  <c r="N692" i="34" s="1"/>
  <c r="P406" i="34"/>
  <c r="L22" i="31"/>
  <c r="D22" i="31"/>
  <c r="K345" i="34"/>
  <c r="O451" i="34"/>
  <c r="O468" i="34" s="1"/>
  <c r="O375" i="34"/>
  <c r="O380" i="34" s="1"/>
  <c r="O384" i="34" s="1"/>
  <c r="X28" i="30"/>
  <c r="C28" i="30" s="1"/>
  <c r="D69" i="31"/>
  <c r="AR82" i="31"/>
  <c r="AJ42" i="30"/>
  <c r="M76" i="31"/>
  <c r="N165" i="34"/>
  <c r="N167" i="34" s="1"/>
  <c r="N170" i="34" s="1"/>
  <c r="AF15" i="30"/>
  <c r="C63" i="31"/>
  <c r="AI27" i="30"/>
  <c r="P369" i="34"/>
  <c r="M499" i="34"/>
  <c r="M502" i="34" s="1"/>
  <c r="M696" i="34" s="1"/>
  <c r="AH9" i="30"/>
  <c r="M318" i="34"/>
  <c r="X14" i="30"/>
  <c r="C14" i="30" s="1"/>
  <c r="D59" i="31"/>
  <c r="L59" i="31"/>
  <c r="N301" i="34"/>
  <c r="N297" i="34"/>
  <c r="L437" i="34"/>
  <c r="P434" i="34"/>
  <c r="M80" i="34"/>
  <c r="AP68" i="31"/>
  <c r="P67" i="34"/>
  <c r="O530" i="34"/>
  <c r="O531" i="34" s="1"/>
  <c r="P532" i="34"/>
  <c r="L566" i="34"/>
  <c r="AQ71" i="31"/>
  <c r="M366" i="34"/>
  <c r="AI26" i="30"/>
  <c r="O280" i="34"/>
  <c r="AF65" i="31"/>
  <c r="X9" i="30"/>
  <c r="C9" i="30" s="1"/>
  <c r="P14" i="7" s="1"/>
  <c r="R14" i="7" s="1"/>
  <c r="AF88" i="31"/>
  <c r="D57" i="31"/>
  <c r="L57" i="31"/>
  <c r="X15" i="30"/>
  <c r="C15" i="30" s="1"/>
  <c r="L20" i="31"/>
  <c r="D20" i="31"/>
  <c r="M545" i="34"/>
  <c r="M548" i="34" s="1"/>
  <c r="M697" i="34" s="1"/>
  <c r="J441" i="34"/>
  <c r="L44" i="30"/>
  <c r="B44" i="30" s="1"/>
  <c r="F139" i="6" s="1"/>
  <c r="J139" i="6" s="1"/>
  <c r="C80" i="31"/>
  <c r="K80" i="31"/>
  <c r="T82" i="31"/>
  <c r="K82" i="31" s="1"/>
  <c r="L42" i="30"/>
  <c r="C76" i="31"/>
  <c r="AP23" i="31"/>
  <c r="L384" i="34"/>
  <c r="K258" i="34"/>
  <c r="K29" i="30"/>
  <c r="K30" i="30" s="1"/>
  <c r="O637" i="34"/>
  <c r="O641" i="34" s="1"/>
  <c r="AM58" i="31"/>
  <c r="AM14" i="31"/>
  <c r="K548" i="34"/>
  <c r="K697" i="34" s="1"/>
  <c r="M81" i="31"/>
  <c r="B14" i="30"/>
  <c r="F114" i="6" s="1"/>
  <c r="N339" i="34"/>
  <c r="O108" i="34"/>
  <c r="AR69" i="31" s="1"/>
  <c r="N375" i="34"/>
  <c r="P373" i="34"/>
  <c r="T65" i="31"/>
  <c r="K65" i="31" s="1"/>
  <c r="S183" i="34"/>
  <c r="M471" i="34"/>
  <c r="M473" i="34" s="1"/>
  <c r="AP58" i="31" s="1"/>
  <c r="M478" i="34"/>
  <c r="K145" i="34"/>
  <c r="AQ60" i="31"/>
  <c r="M229" i="34"/>
  <c r="P228" i="34"/>
  <c r="Q228" i="34" s="1"/>
  <c r="N547" i="34"/>
  <c r="L502" i="34"/>
  <c r="L696" i="34" s="1"/>
  <c r="W29" i="30"/>
  <c r="J572" i="34"/>
  <c r="AF14" i="30"/>
  <c r="AQ22" i="31"/>
  <c r="M410" i="34"/>
  <c r="AN65" i="31"/>
  <c r="BB60" i="31" s="1"/>
  <c r="AN88" i="31"/>
  <c r="O483" i="34"/>
  <c r="O496" i="34" s="1"/>
  <c r="P496" i="34" s="1"/>
  <c r="O484" i="34"/>
  <c r="O497" i="34" s="1"/>
  <c r="O419" i="34"/>
  <c r="O436" i="34" s="1"/>
  <c r="O529" i="34"/>
  <c r="P541" i="34"/>
  <c r="X22" i="30"/>
  <c r="C22" i="30" s="1"/>
  <c r="G179" i="6" s="1"/>
  <c r="J179" i="6" s="1"/>
  <c r="D63" i="31"/>
  <c r="L63" i="31"/>
  <c r="B22" i="30"/>
  <c r="F176" i="6" s="1"/>
  <c r="AJ44" i="30"/>
  <c r="AF73" i="31"/>
  <c r="L73" i="31" s="1"/>
  <c r="X26" i="30"/>
  <c r="D67" i="31"/>
  <c r="L67" i="31"/>
  <c r="AR33" i="31"/>
  <c r="AP32" i="31"/>
  <c r="P505" i="34"/>
  <c r="P402" i="34"/>
  <c r="O395" i="34"/>
  <c r="O396" i="34"/>
  <c r="O547" i="34" s="1"/>
  <c r="P390" i="34"/>
  <c r="O504" i="34"/>
  <c r="P513" i="34"/>
  <c r="O551" i="34"/>
  <c r="P560" i="34"/>
  <c r="O305" i="34"/>
  <c r="P304" i="34"/>
  <c r="J525" i="34"/>
  <c r="D61" i="31"/>
  <c r="X27" i="30"/>
  <c r="C27" i="30" s="1"/>
  <c r="D68" i="31"/>
  <c r="M79" i="31"/>
  <c r="O28" i="34"/>
  <c r="P21" i="34"/>
  <c r="P495" i="34"/>
  <c r="G253" i="6"/>
  <c r="J253" i="6" s="1"/>
  <c r="AJ55" i="31"/>
  <c r="AJ53" i="31"/>
  <c r="AG55" i="31"/>
  <c r="AG53" i="31"/>
  <c r="AL53" i="31"/>
  <c r="AL55" i="31"/>
  <c r="AH53" i="31"/>
  <c r="AH55" i="31"/>
  <c r="H48" i="31"/>
  <c r="BN52" i="33"/>
  <c r="AZ52" i="33"/>
  <c r="BN56" i="33"/>
  <c r="AZ56" i="33"/>
  <c r="W19" i="33"/>
  <c r="AP19" i="33" s="1"/>
  <c r="AF19" i="33"/>
  <c r="BH9" i="32"/>
  <c r="BE13" i="32"/>
  <c r="BG16" i="32"/>
  <c r="BE11" i="32"/>
  <c r="BH11" i="32"/>
  <c r="BE8" i="32"/>
  <c r="BG11" i="32"/>
  <c r="BG10" i="32"/>
  <c r="BH14" i="32"/>
  <c r="BF9" i="32"/>
  <c r="BG8" i="32"/>
  <c r="BH12" i="32"/>
  <c r="BH8" i="32"/>
  <c r="BE10" i="32"/>
  <c r="BG15" i="32"/>
  <c r="BG9" i="32"/>
  <c r="BH16" i="32"/>
  <c r="BF7" i="32"/>
  <c r="BF15" i="32"/>
  <c r="BG7" i="32"/>
  <c r="BG13" i="32"/>
  <c r="BE14" i="32"/>
  <c r="BH15" i="32"/>
  <c r="BE9" i="32"/>
  <c r="BF11" i="32"/>
  <c r="BH7" i="32"/>
  <c r="BF6" i="32"/>
  <c r="BF16" i="32"/>
  <c r="BE12" i="32"/>
  <c r="BF13" i="32"/>
  <c r="BG14" i="32"/>
  <c r="BH13" i="32"/>
  <c r="BH10" i="32"/>
  <c r="BE7" i="32"/>
  <c r="BF10" i="32"/>
  <c r="BH6" i="32"/>
  <c r="BF14" i="32"/>
  <c r="BF12" i="32"/>
  <c r="BE15" i="32"/>
  <c r="BG6" i="32"/>
  <c r="BG12" i="32"/>
  <c r="BE6" i="32"/>
  <c r="BE16" i="32"/>
  <c r="BF8" i="32"/>
  <c r="W55" i="33"/>
  <c r="AP55" i="33" s="1"/>
  <c r="AF55" i="33"/>
  <c r="W30" i="33"/>
  <c r="AP30" i="33" s="1"/>
  <c r="AF30" i="33"/>
  <c r="AP7" i="33"/>
  <c r="BO29" i="33"/>
  <c r="AM91" i="33"/>
  <c r="AI91" i="33"/>
  <c r="AK91" i="33"/>
  <c r="AR91" i="33" s="1"/>
  <c r="R91" i="33"/>
  <c r="AB91" i="33" s="1"/>
  <c r="AO91" i="33"/>
  <c r="AX91" i="33" s="1"/>
  <c r="AJ91" i="33"/>
  <c r="AQ91" i="33" s="1"/>
  <c r="V91" i="33"/>
  <c r="AF91" i="33" s="1"/>
  <c r="AN91" i="33"/>
  <c r="AH91" i="33"/>
  <c r="AL91" i="33"/>
  <c r="AS91" i="33" s="1"/>
  <c r="AG91" i="33"/>
  <c r="BO75" i="33"/>
  <c r="BO48" i="33"/>
  <c r="AF57" i="33"/>
  <c r="W57" i="33"/>
  <c r="AP57" i="33" s="1"/>
  <c r="AQ46" i="33"/>
  <c r="AQ55" i="33"/>
  <c r="AQ20" i="33"/>
  <c r="BO13" i="33"/>
  <c r="BO14" i="33"/>
  <c r="AQ7" i="33"/>
  <c r="AQ43" i="33"/>
  <c r="AP73" i="33"/>
  <c r="BN11" i="33"/>
  <c r="AF70" i="33"/>
  <c r="W70" i="33"/>
  <c r="AP70" i="33" s="1"/>
  <c r="BO49" i="33"/>
  <c r="AF46" i="33"/>
  <c r="W46" i="33"/>
  <c r="AP46" i="33" s="1"/>
  <c r="AP39" i="33"/>
  <c r="AP28" i="33"/>
  <c r="AO92" i="33"/>
  <c r="AX92" i="33" s="1"/>
  <c r="AK92" i="33"/>
  <c r="AR92" i="33" s="1"/>
  <c r="AG92" i="33"/>
  <c r="AL92" i="33"/>
  <c r="AS92" i="33" s="1"/>
  <c r="R92" i="33"/>
  <c r="AB92" i="33" s="1"/>
  <c r="AJ92" i="33"/>
  <c r="AQ92" i="33" s="1"/>
  <c r="V92" i="33"/>
  <c r="AF92" i="33" s="1"/>
  <c r="AN92" i="33"/>
  <c r="AI92" i="33"/>
  <c r="AM92" i="33"/>
  <c r="AH92" i="33"/>
  <c r="BO39" i="33"/>
  <c r="AZ40" i="33"/>
  <c r="BO35" i="33"/>
  <c r="BO45" i="33"/>
  <c r="AR65" i="33"/>
  <c r="BO65" i="33" s="1"/>
  <c r="AF33" i="33"/>
  <c r="W33" i="33"/>
  <c r="AP33" i="33" s="1"/>
  <c r="AP21" i="33"/>
  <c r="BO51" i="33"/>
  <c r="AR68" i="33"/>
  <c r="BO68" i="33" s="1"/>
  <c r="W66" i="33"/>
  <c r="AP66" i="33" s="1"/>
  <c r="AP13" i="33"/>
  <c r="BA146" i="33"/>
  <c r="AP8" i="33"/>
  <c r="AZ35" i="33"/>
  <c r="BO80" i="33"/>
  <c r="BO83" i="33"/>
  <c r="AP83" i="33"/>
  <c r="BO43" i="33"/>
  <c r="AZ36" i="33"/>
  <c r="BN36" i="33"/>
  <c r="BN32" i="33"/>
  <c r="BN60" i="33"/>
  <c r="AZ60" i="33"/>
  <c r="AP25" i="33"/>
  <c r="AO97" i="33"/>
  <c r="AX97" i="33" s="1"/>
  <c r="AK97" i="33"/>
  <c r="AR97" i="33" s="1"/>
  <c r="AG97" i="33"/>
  <c r="AM97" i="33"/>
  <c r="AH97" i="33"/>
  <c r="AN97" i="33"/>
  <c r="V97" i="33"/>
  <c r="AF97" i="33" s="1"/>
  <c r="AL97" i="33"/>
  <c r="AS97" i="33" s="1"/>
  <c r="AJ97" i="33"/>
  <c r="AQ97" i="33" s="1"/>
  <c r="R97" i="33"/>
  <c r="AB97" i="33" s="1"/>
  <c r="AI97" i="33"/>
  <c r="AO88" i="33"/>
  <c r="AX88" i="33" s="1"/>
  <c r="AK88" i="33"/>
  <c r="AR88" i="33" s="1"/>
  <c r="AG88" i="33"/>
  <c r="AN88" i="33"/>
  <c r="AI88" i="33"/>
  <c r="AM88" i="33"/>
  <c r="AH88" i="33"/>
  <c r="AL88" i="33"/>
  <c r="AS88" i="33" s="1"/>
  <c r="R88" i="33"/>
  <c r="AB88" i="33" s="1"/>
  <c r="V88" i="33"/>
  <c r="AF88" i="33" s="1"/>
  <c r="AJ88" i="33"/>
  <c r="AQ88" i="33" s="1"/>
  <c r="AM94" i="33"/>
  <c r="AI94" i="33"/>
  <c r="AK94" i="33"/>
  <c r="AR94" i="33" s="1"/>
  <c r="R94" i="33"/>
  <c r="AB94" i="33" s="1"/>
  <c r="AL94" i="33"/>
  <c r="AS94" i="33" s="1"/>
  <c r="AJ94" i="33"/>
  <c r="AQ94" i="33" s="1"/>
  <c r="AO94" i="33"/>
  <c r="AX94" i="33" s="1"/>
  <c r="AH94" i="33"/>
  <c r="AN94" i="33"/>
  <c r="AG94" i="33"/>
  <c r="V94" i="33"/>
  <c r="AF94" i="33" s="1"/>
  <c r="AN89" i="33"/>
  <c r="AJ89" i="33"/>
  <c r="AQ89" i="33" s="1"/>
  <c r="AK89" i="33"/>
  <c r="AR89" i="33" s="1"/>
  <c r="V89" i="33"/>
  <c r="AF89" i="33" s="1"/>
  <c r="AO89" i="33"/>
  <c r="AX89" i="33" s="1"/>
  <c r="AI89" i="33"/>
  <c r="AM89" i="33"/>
  <c r="AH89" i="33"/>
  <c r="R89" i="33"/>
  <c r="AB89" i="33" s="1"/>
  <c r="AL89" i="33"/>
  <c r="AS89" i="33" s="1"/>
  <c r="AG89" i="33"/>
  <c r="AL93" i="33"/>
  <c r="AS93" i="33" s="1"/>
  <c r="AH93" i="33"/>
  <c r="AK93" i="33"/>
  <c r="AR93" i="33" s="1"/>
  <c r="R93" i="33"/>
  <c r="AB93" i="33" s="1"/>
  <c r="AM93" i="33"/>
  <c r="AJ93" i="33"/>
  <c r="AQ93" i="33" s="1"/>
  <c r="AO93" i="33"/>
  <c r="AX93" i="33" s="1"/>
  <c r="AI93" i="33"/>
  <c r="AN93" i="33"/>
  <c r="AG93" i="33"/>
  <c r="V93" i="33"/>
  <c r="AF93" i="33" s="1"/>
  <c r="BO78" i="33"/>
  <c r="AP78" i="33"/>
  <c r="BO11" i="33"/>
  <c r="AF58" i="33"/>
  <c r="W58" i="33"/>
  <c r="AP58" i="33" s="1"/>
  <c r="AP18" i="33"/>
  <c r="AZ59" i="33"/>
  <c r="BN59" i="33"/>
  <c r="AP85" i="33"/>
  <c r="BO32" i="33"/>
  <c r="BO10" i="33"/>
  <c r="AF69" i="33"/>
  <c r="W69" i="33"/>
  <c r="AP69" i="33" s="1"/>
  <c r="AP76" i="33"/>
  <c r="BN76" i="33" s="1"/>
  <c r="W31" i="33"/>
  <c r="AP31" i="33" s="1"/>
  <c r="AF31" i="33"/>
  <c r="AQ57" i="33"/>
  <c r="AF45" i="33"/>
  <c r="W45" i="33"/>
  <c r="AP45" i="33" s="1"/>
  <c r="AP10" i="33"/>
  <c r="BO8" i="33"/>
  <c r="W20" i="33"/>
  <c r="AP20" i="33" s="1"/>
  <c r="AF20" i="33"/>
  <c r="AF34" i="33"/>
  <c r="W34" i="33"/>
  <c r="AP34" i="33" s="1"/>
  <c r="W43" i="33"/>
  <c r="AP43" i="33" s="1"/>
  <c r="AF43" i="33"/>
  <c r="W54" i="33"/>
  <c r="AP54" i="33" s="1"/>
  <c r="AF54" i="33"/>
  <c r="AP80" i="33"/>
  <c r="BO70" i="33"/>
  <c r="AP47" i="33"/>
  <c r="AR72" i="33"/>
  <c r="BO72" i="33" s="1"/>
  <c r="BO57" i="33"/>
  <c r="AP82" i="33"/>
  <c r="BO82" i="33"/>
  <c r="D108" i="33"/>
  <c r="D105" i="33"/>
  <c r="D103" i="33"/>
  <c r="AO99" i="33"/>
  <c r="AX99" i="33" s="1"/>
  <c r="AK99" i="33"/>
  <c r="AR99" i="33" s="1"/>
  <c r="AG99" i="33"/>
  <c r="D109" i="33"/>
  <c r="D111" i="33"/>
  <c r="D106" i="33"/>
  <c r="D104" i="33"/>
  <c r="D101" i="33"/>
  <c r="AJ99" i="33"/>
  <c r="AQ99" i="33" s="1"/>
  <c r="V99" i="33"/>
  <c r="AF99" i="33" s="1"/>
  <c r="AN99" i="33"/>
  <c r="AH99" i="33"/>
  <c r="AM99" i="33"/>
  <c r="D107" i="33"/>
  <c r="D102" i="33"/>
  <c r="D100" i="33"/>
  <c r="AL99" i="33"/>
  <c r="AS99" i="33" s="1"/>
  <c r="AI99" i="33"/>
  <c r="R99" i="33"/>
  <c r="AB99" i="33" s="1"/>
  <c r="Z6" i="32" s="1"/>
  <c r="AL90" i="33"/>
  <c r="AS90" i="33" s="1"/>
  <c r="AH90" i="33"/>
  <c r="AK90" i="33"/>
  <c r="AR90" i="33" s="1"/>
  <c r="R90" i="33"/>
  <c r="AB90" i="33" s="1"/>
  <c r="AO90" i="33"/>
  <c r="AX90" i="33" s="1"/>
  <c r="AJ90" i="33"/>
  <c r="AQ90" i="33" s="1"/>
  <c r="V90" i="33"/>
  <c r="AF90" i="33" s="1"/>
  <c r="AN90" i="33"/>
  <c r="AI90" i="33"/>
  <c r="AM90" i="33"/>
  <c r="AG90" i="33"/>
  <c r="AM95" i="33"/>
  <c r="AI95" i="33"/>
  <c r="AO95" i="33"/>
  <c r="AX95" i="33" s="1"/>
  <c r="AJ95" i="33"/>
  <c r="AQ95" i="33" s="1"/>
  <c r="AK95" i="33"/>
  <c r="AR95" i="33" s="1"/>
  <c r="R95" i="33"/>
  <c r="AB95" i="33" s="1"/>
  <c r="AH95" i="33"/>
  <c r="AN95" i="33"/>
  <c r="AG95" i="33"/>
  <c r="V95" i="33"/>
  <c r="AF95" i="33" s="1"/>
  <c r="AL95" i="33"/>
  <c r="AS95" i="33" s="1"/>
  <c r="AL96" i="33"/>
  <c r="AS96" i="33" s="1"/>
  <c r="AH96" i="33"/>
  <c r="V96" i="33"/>
  <c r="AF96" i="33" s="1"/>
  <c r="R96" i="33"/>
  <c r="AB96" i="33" s="1"/>
  <c r="AK96" i="33"/>
  <c r="AR96" i="33" s="1"/>
  <c r="AM96" i="33"/>
  <c r="AJ96" i="33"/>
  <c r="AQ96" i="33" s="1"/>
  <c r="AO96" i="33"/>
  <c r="AX96" i="33" s="1"/>
  <c r="AI96" i="33"/>
  <c r="AN96" i="33"/>
  <c r="AG96" i="33"/>
  <c r="W42" i="33"/>
  <c r="AP42" i="33" s="1"/>
  <c r="AF42" i="33"/>
  <c r="AQ58" i="33"/>
  <c r="AP77" i="33"/>
  <c r="AP65" i="33"/>
  <c r="AR7" i="33"/>
  <c r="AP64" i="33"/>
  <c r="BO12" i="33"/>
  <c r="AX7" i="33"/>
  <c r="AQ54" i="33"/>
  <c r="BO41" i="33"/>
  <c r="BO84" i="33"/>
  <c r="BO15" i="33"/>
  <c r="BO9" i="33"/>
  <c r="AP9" i="33"/>
  <c r="W22" i="33"/>
  <c r="AP22" i="33" s="1"/>
  <c r="AF22" i="33"/>
  <c r="AP17" i="33"/>
  <c r="BO28" i="33"/>
  <c r="AP67" i="33"/>
  <c r="AR46" i="31"/>
  <c r="AJ34" i="30" s="1"/>
  <c r="O620" i="34"/>
  <c r="AO55" i="31"/>
  <c r="M597" i="34"/>
  <c r="M711" i="34" s="1"/>
  <c r="M712" i="34" s="1"/>
  <c r="X34" i="30"/>
  <c r="C34" i="30" s="1"/>
  <c r="D46" i="31"/>
  <c r="P616" i="34"/>
  <c r="N620" i="34"/>
  <c r="AQ46" i="31"/>
  <c r="AR45" i="31"/>
  <c r="N641" i="34"/>
  <c r="L46" i="31"/>
  <c r="P614" i="34"/>
  <c r="AN53" i="31"/>
  <c r="BB46" i="31"/>
  <c r="BB45" i="31"/>
  <c r="O591" i="34"/>
  <c r="P590" i="34"/>
  <c r="L47" i="31"/>
  <c r="AF35" i="30"/>
  <c r="AF36" i="30" s="1"/>
  <c r="BB47" i="31"/>
  <c r="AF48" i="31"/>
  <c r="X35" i="30"/>
  <c r="AI35" i="30"/>
  <c r="BA48" i="31"/>
  <c r="AM55" i="31"/>
  <c r="I53" i="31"/>
  <c r="AR68" i="31" l="1"/>
  <c r="AJ23" i="30"/>
  <c r="AZ51" i="33"/>
  <c r="AZ12" i="33"/>
  <c r="BL12" i="33" s="1"/>
  <c r="AZ27" i="33"/>
  <c r="BB27" i="33" s="1"/>
  <c r="AZ53" i="33"/>
  <c r="BL53" i="33" s="1"/>
  <c r="AI23" i="30"/>
  <c r="AZ29" i="33"/>
  <c r="BL29" i="33" s="1"/>
  <c r="AZ15" i="33"/>
  <c r="BL15" i="33" s="1"/>
  <c r="AZ44" i="33"/>
  <c r="BL44" i="33" s="1"/>
  <c r="AZ41" i="33"/>
  <c r="BB41" i="33" s="1"/>
  <c r="BO66" i="33"/>
  <c r="AZ49" i="33"/>
  <c r="BL49" i="33" s="1"/>
  <c r="P122" i="34"/>
  <c r="AZ14" i="33"/>
  <c r="BB14" i="33" s="1"/>
  <c r="AZ61" i="33"/>
  <c r="BL61" i="33" s="1"/>
  <c r="P59" i="34"/>
  <c r="M708" i="34"/>
  <c r="M719" i="34" s="1"/>
  <c r="M720" i="34" s="1"/>
  <c r="BN63" i="33"/>
  <c r="BN37" i="33"/>
  <c r="AZ71" i="33"/>
  <c r="BB71" i="33" s="1"/>
  <c r="AZ81" i="33"/>
  <c r="BL81" i="33" s="1"/>
  <c r="K708" i="34"/>
  <c r="K719" i="34" s="1"/>
  <c r="K720" i="34" s="1"/>
  <c r="K704" i="34"/>
  <c r="AR71" i="31"/>
  <c r="M71" i="31" s="1"/>
  <c r="N686" i="34"/>
  <c r="N341" i="34"/>
  <c r="N345" i="34" s="1"/>
  <c r="N699" i="34"/>
  <c r="N706" i="34" s="1"/>
  <c r="N713" i="34" s="1"/>
  <c r="N714" i="34" s="1"/>
  <c r="L568" i="34"/>
  <c r="L572" i="34" s="1"/>
  <c r="L702" i="34"/>
  <c r="L704" i="34" s="1"/>
  <c r="BO96" i="33"/>
  <c r="AP97" i="33"/>
  <c r="BN97" i="33" s="1"/>
  <c r="N410" i="34"/>
  <c r="AR22" i="31"/>
  <c r="M22" i="31" s="1"/>
  <c r="AZ48" i="33"/>
  <c r="BL48" i="33" s="1"/>
  <c r="BN79" i="33"/>
  <c r="AP99" i="33"/>
  <c r="BN99" i="33" s="1"/>
  <c r="BN23" i="33"/>
  <c r="BN84" i="33"/>
  <c r="R36" i="7"/>
  <c r="P335" i="34"/>
  <c r="BN71" i="33"/>
  <c r="P18" i="7"/>
  <c r="R18" i="7" s="1"/>
  <c r="M82" i="31"/>
  <c r="O421" i="34"/>
  <c r="O434" i="34" s="1"/>
  <c r="O437" i="34" s="1"/>
  <c r="O439" i="34" s="1"/>
  <c r="O441" i="34" s="1"/>
  <c r="O446" i="34" s="1"/>
  <c r="H55" i="31"/>
  <c r="O398" i="34"/>
  <c r="O410" i="34" s="1"/>
  <c r="P215" i="34"/>
  <c r="AP92" i="33"/>
  <c r="BN92" i="33" s="1"/>
  <c r="P214" i="34"/>
  <c r="AQ73" i="31"/>
  <c r="P641" i="34"/>
  <c r="BO97" i="33"/>
  <c r="AZ24" i="33"/>
  <c r="BL24" i="33" s="1"/>
  <c r="P637" i="34"/>
  <c r="P620" i="34"/>
  <c r="AP95" i="33"/>
  <c r="BN95" i="33" s="1"/>
  <c r="AP90" i="33"/>
  <c r="BN90" i="33" s="1"/>
  <c r="AZ68" i="33"/>
  <c r="BB68" i="33" s="1"/>
  <c r="O227" i="34"/>
  <c r="O229" i="34" s="1"/>
  <c r="O233" i="34" s="1"/>
  <c r="P483" i="34"/>
  <c r="P471" i="34"/>
  <c r="L45" i="30"/>
  <c r="BB58" i="31"/>
  <c r="BO89" i="33"/>
  <c r="BO91" i="33"/>
  <c r="BO99" i="33"/>
  <c r="BO92" i="33"/>
  <c r="H53" i="31"/>
  <c r="BO93" i="33"/>
  <c r="M32" i="31"/>
  <c r="O542" i="34"/>
  <c r="P529" i="34"/>
  <c r="W30" i="30"/>
  <c r="P547" i="34"/>
  <c r="J114" i="6"/>
  <c r="F115" i="6"/>
  <c r="J115" i="6" s="1"/>
  <c r="D73" i="31"/>
  <c r="M568" i="34"/>
  <c r="M572" i="34" s="1"/>
  <c r="AQ21" i="31"/>
  <c r="AF87" i="31"/>
  <c r="D87" i="31" s="1"/>
  <c r="L65" i="31"/>
  <c r="D65" i="31"/>
  <c r="AH27" i="30"/>
  <c r="M68" i="31"/>
  <c r="AP73" i="31"/>
  <c r="L439" i="34"/>
  <c r="P437" i="34"/>
  <c r="M322" i="34"/>
  <c r="M694" i="34" s="1"/>
  <c r="AJ45" i="30"/>
  <c r="P395" i="34"/>
  <c r="S193" i="34"/>
  <c r="AI14" i="30"/>
  <c r="P497" i="34"/>
  <c r="C65" i="31"/>
  <c r="AO58" i="31"/>
  <c r="AO14" i="31"/>
  <c r="AG10" i="30" s="1"/>
  <c r="AR63" i="31"/>
  <c r="P252" i="34"/>
  <c r="AR67" i="31"/>
  <c r="O41" i="34"/>
  <c r="P28" i="34"/>
  <c r="O561" i="34"/>
  <c r="P551" i="34"/>
  <c r="O514" i="34"/>
  <c r="P504" i="34"/>
  <c r="AE10" i="30"/>
  <c r="I14" i="31"/>
  <c r="N471" i="34"/>
  <c r="N473" i="34" s="1"/>
  <c r="N478" i="34"/>
  <c r="AR70" i="31"/>
  <c r="P129" i="34"/>
  <c r="AR57" i="31"/>
  <c r="O297" i="34"/>
  <c r="O301" i="34"/>
  <c r="AP33" i="31"/>
  <c r="M33" i="31" s="1"/>
  <c r="O544" i="34"/>
  <c r="P544" i="34" s="1"/>
  <c r="P531" i="34"/>
  <c r="M84" i="34"/>
  <c r="P80" i="34"/>
  <c r="AQ57" i="31"/>
  <c r="N202" i="34"/>
  <c r="N206" i="34" s="1"/>
  <c r="C82" i="31"/>
  <c r="N414" i="34"/>
  <c r="P414" i="34" s="1"/>
  <c r="AR72" i="31"/>
  <c r="M72" i="31" s="1"/>
  <c r="P408" i="34"/>
  <c r="B42" i="30"/>
  <c r="P108" i="34"/>
  <c r="O362" i="34"/>
  <c r="P359" i="34"/>
  <c r="N499" i="34"/>
  <c r="O200" i="34"/>
  <c r="Q189" i="34"/>
  <c r="P189" i="34"/>
  <c r="X29" i="30"/>
  <c r="X30" i="30" s="1"/>
  <c r="C26" i="30"/>
  <c r="C29" i="30" s="1"/>
  <c r="F175" i="6"/>
  <c r="J175" i="6" s="1"/>
  <c r="J176" i="6"/>
  <c r="AN89" i="31"/>
  <c r="AP20" i="31"/>
  <c r="AH15" i="30" s="1"/>
  <c r="L521" i="34"/>
  <c r="M233" i="34"/>
  <c r="M693" i="34" s="1"/>
  <c r="N380" i="34"/>
  <c r="N691" i="34" s="1"/>
  <c r="P375" i="34"/>
  <c r="I58" i="31"/>
  <c r="AM88" i="31"/>
  <c r="AM65" i="31"/>
  <c r="BA58" i="31" s="1"/>
  <c r="J446" i="34"/>
  <c r="AN14" i="31"/>
  <c r="AF89" i="31"/>
  <c r="L88" i="31"/>
  <c r="E22" i="31"/>
  <c r="O543" i="34"/>
  <c r="P543" i="34" s="1"/>
  <c r="P530" i="34"/>
  <c r="N548" i="34"/>
  <c r="N697" i="34" s="1"/>
  <c r="AH28" i="30"/>
  <c r="M69" i="31"/>
  <c r="L29" i="30"/>
  <c r="L30" i="30" s="1"/>
  <c r="B26" i="30"/>
  <c r="B29" i="30" s="1"/>
  <c r="O453" i="34"/>
  <c r="O466" i="34" s="1"/>
  <c r="O469" i="34" s="1"/>
  <c r="O316" i="34"/>
  <c r="P305" i="34"/>
  <c r="O306" i="34"/>
  <c r="O485" i="34"/>
  <c r="BB76" i="31"/>
  <c r="BB79" i="31"/>
  <c r="BB64" i="31"/>
  <c r="BB69" i="31"/>
  <c r="BB81" i="31"/>
  <c r="BB80" i="31"/>
  <c r="BB70" i="31"/>
  <c r="BB77" i="31"/>
  <c r="BB57" i="31"/>
  <c r="BB63" i="31"/>
  <c r="BB78" i="31"/>
  <c r="AN87" i="31"/>
  <c r="BB62" i="31"/>
  <c r="BB68" i="31"/>
  <c r="BB67" i="31"/>
  <c r="BB59" i="31"/>
  <c r="P396" i="34"/>
  <c r="AQ64" i="31"/>
  <c r="P339" i="34"/>
  <c r="K568" i="34"/>
  <c r="AO21" i="31"/>
  <c r="AJ27" i="30"/>
  <c r="BB61" i="31"/>
  <c r="M521" i="34"/>
  <c r="M525" i="34" s="1"/>
  <c r="AQ20" i="31"/>
  <c r="AI28" i="30"/>
  <c r="AI29" i="30" s="1"/>
  <c r="AI30" i="30" s="1"/>
  <c r="P484" i="34"/>
  <c r="M141" i="34"/>
  <c r="K73" i="31"/>
  <c r="C73" i="31"/>
  <c r="O134" i="34"/>
  <c r="P132" i="34"/>
  <c r="E62" i="31"/>
  <c r="BN77" i="33"/>
  <c r="AZ77" i="33"/>
  <c r="AO100" i="33"/>
  <c r="AX100" i="33" s="1"/>
  <c r="AK100" i="33"/>
  <c r="AR100" i="33" s="1"/>
  <c r="AG100" i="33"/>
  <c r="AM100" i="33"/>
  <c r="AH100" i="33"/>
  <c r="AL100" i="33"/>
  <c r="AS100" i="33" s="1"/>
  <c r="AJ100" i="33"/>
  <c r="AQ100" i="33" s="1"/>
  <c r="AI100" i="33"/>
  <c r="R100" i="33"/>
  <c r="AN100" i="33"/>
  <c r="V100" i="33"/>
  <c r="AF100" i="33" s="1"/>
  <c r="AN101" i="33"/>
  <c r="AJ101" i="33"/>
  <c r="AQ101" i="33" s="1"/>
  <c r="AO101" i="33"/>
  <c r="AX101" i="33" s="1"/>
  <c r="AI101" i="33"/>
  <c r="AL101" i="33"/>
  <c r="AS101" i="33" s="1"/>
  <c r="AK101" i="33"/>
  <c r="AR101" i="33" s="1"/>
  <c r="R101" i="33"/>
  <c r="AB101" i="33" s="1"/>
  <c r="AH101" i="33"/>
  <c r="AM101" i="33"/>
  <c r="AG101" i="33"/>
  <c r="V101" i="33"/>
  <c r="AF101" i="33" s="1"/>
  <c r="AO109" i="33"/>
  <c r="AX109" i="33" s="1"/>
  <c r="AK109" i="33"/>
  <c r="AR109" i="33" s="1"/>
  <c r="AG109" i="33"/>
  <c r="AN109" i="33"/>
  <c r="AI109" i="33"/>
  <c r="AH109" i="33"/>
  <c r="AM109" i="33"/>
  <c r="V109" i="33"/>
  <c r="AF109" i="33" s="1"/>
  <c r="AL109" i="33"/>
  <c r="AS109" i="33" s="1"/>
  <c r="AJ109" i="33"/>
  <c r="AQ109" i="33" s="1"/>
  <c r="R109" i="33"/>
  <c r="AB109" i="33" s="1"/>
  <c r="AO103" i="33"/>
  <c r="AX103" i="33" s="1"/>
  <c r="AK103" i="33"/>
  <c r="AR103" i="33" s="1"/>
  <c r="AG103" i="33"/>
  <c r="V103" i="33"/>
  <c r="AF103" i="33" s="1"/>
  <c r="R103" i="33"/>
  <c r="AB103" i="33" s="1"/>
  <c r="AL103" i="33"/>
  <c r="AS103" i="33" s="1"/>
  <c r="AN103" i="33"/>
  <c r="AH103" i="33"/>
  <c r="AM103" i="33"/>
  <c r="AJ103" i="33"/>
  <c r="AQ103" i="33" s="1"/>
  <c r="AI103" i="33"/>
  <c r="AP103" i="33" s="1"/>
  <c r="BN82" i="33"/>
  <c r="AZ82" i="33"/>
  <c r="BL82" i="33" s="1"/>
  <c r="AZ43" i="33"/>
  <c r="BN43" i="33"/>
  <c r="AZ58" i="33"/>
  <c r="BN58" i="33"/>
  <c r="BN25" i="33"/>
  <c r="AZ25" i="33"/>
  <c r="BL32" i="33"/>
  <c r="BB32" i="33"/>
  <c r="BN39" i="33"/>
  <c r="AZ39" i="33"/>
  <c r="BL11" i="33"/>
  <c r="BB11" i="33"/>
  <c r="BL14" i="33"/>
  <c r="BL41" i="33"/>
  <c r="AZ57" i="33"/>
  <c r="BN57" i="33"/>
  <c r="BL27" i="33"/>
  <c r="AZ30" i="33"/>
  <c r="BN30" i="33"/>
  <c r="BL52" i="33"/>
  <c r="AZ45" i="33"/>
  <c r="BN45" i="33"/>
  <c r="BL37" i="33"/>
  <c r="BB37" i="33"/>
  <c r="BN83" i="33"/>
  <c r="AZ83" i="33"/>
  <c r="AZ66" i="33"/>
  <c r="BN66" i="33"/>
  <c r="BN22" i="33"/>
  <c r="AZ22" i="33"/>
  <c r="BO7" i="33"/>
  <c r="AZ42" i="33"/>
  <c r="BN42" i="33"/>
  <c r="AP96" i="33"/>
  <c r="BO95" i="33"/>
  <c r="AM102" i="33"/>
  <c r="AI102" i="33"/>
  <c r="AK102" i="33"/>
  <c r="AR102" i="33" s="1"/>
  <c r="R102" i="33"/>
  <c r="AB102" i="33" s="1"/>
  <c r="AL102" i="33"/>
  <c r="AS102" i="33" s="1"/>
  <c r="AJ102" i="33"/>
  <c r="AQ102" i="33" s="1"/>
  <c r="AO102" i="33"/>
  <c r="AX102" i="33" s="1"/>
  <c r="AH102" i="33"/>
  <c r="AN102" i="33"/>
  <c r="AG102" i="33"/>
  <c r="V102" i="33"/>
  <c r="AF102" i="33" s="1"/>
  <c r="AN104" i="33"/>
  <c r="AJ104" i="33"/>
  <c r="AQ104" i="33" s="1"/>
  <c r="AM104" i="33"/>
  <c r="AH104" i="33"/>
  <c r="AI104" i="33"/>
  <c r="AO104" i="33"/>
  <c r="AX104" i="33" s="1"/>
  <c r="AG104" i="33"/>
  <c r="V104" i="33"/>
  <c r="AF104" i="33" s="1"/>
  <c r="AL104" i="33"/>
  <c r="AS104" i="33" s="1"/>
  <c r="AK104" i="33"/>
  <c r="AR104" i="33" s="1"/>
  <c r="R104" i="33"/>
  <c r="AB104" i="33" s="1"/>
  <c r="AM105" i="33"/>
  <c r="AI105" i="33"/>
  <c r="AK105" i="33"/>
  <c r="AR105" i="33" s="1"/>
  <c r="R105" i="33"/>
  <c r="AB105" i="33" s="1"/>
  <c r="AN105" i="33"/>
  <c r="AG105" i="33"/>
  <c r="V105" i="33"/>
  <c r="AF105" i="33" s="1"/>
  <c r="AL105" i="33"/>
  <c r="AS105" i="33" s="1"/>
  <c r="AH105" i="33"/>
  <c r="AO105" i="33"/>
  <c r="AX105" i="33" s="1"/>
  <c r="AJ105" i="33"/>
  <c r="AQ105" i="33" s="1"/>
  <c r="BN47" i="33"/>
  <c r="AZ47" i="33"/>
  <c r="AZ54" i="33"/>
  <c r="BN54" i="33"/>
  <c r="AZ31" i="33"/>
  <c r="BN31" i="33"/>
  <c r="BL59" i="33"/>
  <c r="BB59" i="33"/>
  <c r="BN78" i="33"/>
  <c r="AZ78" i="33"/>
  <c r="BO94" i="33"/>
  <c r="BO88" i="33"/>
  <c r="BL60" i="33"/>
  <c r="BB60" i="33"/>
  <c r="BL35" i="33"/>
  <c r="BB35" i="33"/>
  <c r="BN8" i="33"/>
  <c r="AZ8" i="33"/>
  <c r="AZ33" i="33"/>
  <c r="BN33" i="33"/>
  <c r="BN28" i="33"/>
  <c r="AZ28" i="33"/>
  <c r="BN7" i="33"/>
  <c r="AZ7" i="33"/>
  <c r="BL63" i="33"/>
  <c r="BB63" i="33"/>
  <c r="AZ67" i="33"/>
  <c r="BN67" i="33"/>
  <c r="BN17" i="33"/>
  <c r="AZ17" i="33"/>
  <c r="BN9" i="33"/>
  <c r="AZ9" i="33"/>
  <c r="BN64" i="33"/>
  <c r="AZ64" i="33"/>
  <c r="BO90" i="33"/>
  <c r="AM107" i="33"/>
  <c r="AI107" i="33"/>
  <c r="AK107" i="33"/>
  <c r="AR107" i="33" s="1"/>
  <c r="V107" i="33"/>
  <c r="AF107" i="33" s="1"/>
  <c r="AL107" i="33"/>
  <c r="AS107" i="33" s="1"/>
  <c r="AJ107" i="33"/>
  <c r="AQ107" i="33" s="1"/>
  <c r="R107" i="33"/>
  <c r="AB107" i="33" s="1"/>
  <c r="AO107" i="33"/>
  <c r="AX107" i="33" s="1"/>
  <c r="AH107" i="33"/>
  <c r="AN107" i="33"/>
  <c r="AG107" i="33"/>
  <c r="AL106" i="33"/>
  <c r="AS106" i="33" s="1"/>
  <c r="AH106" i="33"/>
  <c r="AK106" i="33"/>
  <c r="AR106" i="33" s="1"/>
  <c r="R106" i="33"/>
  <c r="AB106" i="33" s="1"/>
  <c r="AN106" i="33"/>
  <c r="AG106" i="33"/>
  <c r="V106" i="33"/>
  <c r="AF106" i="33" s="1"/>
  <c r="AM106" i="33"/>
  <c r="AJ106" i="33"/>
  <c r="AQ106" i="33" s="1"/>
  <c r="AO106" i="33"/>
  <c r="AX106" i="33" s="1"/>
  <c r="AI106" i="33"/>
  <c r="AL108" i="33"/>
  <c r="AS108" i="33" s="1"/>
  <c r="AH108" i="33"/>
  <c r="V108" i="33"/>
  <c r="AF108" i="33" s="1"/>
  <c r="R108" i="33"/>
  <c r="AB108" i="33" s="1"/>
  <c r="AM108" i="33"/>
  <c r="AG108" i="33"/>
  <c r="AN108" i="33"/>
  <c r="AK108" i="33"/>
  <c r="AR108" i="33" s="1"/>
  <c r="AJ108" i="33"/>
  <c r="AQ108" i="33" s="1"/>
  <c r="AO108" i="33"/>
  <c r="AX108" i="33" s="1"/>
  <c r="AI108" i="33"/>
  <c r="BN80" i="33"/>
  <c r="AZ80" i="33"/>
  <c r="AZ20" i="33"/>
  <c r="BN20" i="33"/>
  <c r="AZ69" i="33"/>
  <c r="BN69" i="33"/>
  <c r="BN18" i="33"/>
  <c r="AZ18" i="33"/>
  <c r="BB15" i="33"/>
  <c r="AP93" i="33"/>
  <c r="AP94" i="33"/>
  <c r="AP88" i="33"/>
  <c r="BL36" i="33"/>
  <c r="BB36" i="33"/>
  <c r="AZ75" i="33"/>
  <c r="BN13" i="33"/>
  <c r="AZ13" i="33"/>
  <c r="AZ46" i="33"/>
  <c r="BN46" i="33"/>
  <c r="AZ70" i="33"/>
  <c r="BN70" i="33"/>
  <c r="BN73" i="33"/>
  <c r="AZ73" i="33"/>
  <c r="BB53" i="33"/>
  <c r="BL51" i="33"/>
  <c r="BB51" i="33"/>
  <c r="BN65" i="33"/>
  <c r="AZ65" i="33"/>
  <c r="D121" i="33"/>
  <c r="D119" i="33"/>
  <c r="AL111" i="33"/>
  <c r="AS111" i="33" s="1"/>
  <c r="AH111" i="33"/>
  <c r="V111" i="33"/>
  <c r="AF111" i="33" s="1"/>
  <c r="R111" i="33"/>
  <c r="AB111" i="33" s="1"/>
  <c r="D120" i="33"/>
  <c r="D116" i="33"/>
  <c r="D115" i="33"/>
  <c r="D113" i="33"/>
  <c r="D112" i="33"/>
  <c r="AN111" i="33"/>
  <c r="AI111" i="33"/>
  <c r="D123" i="33"/>
  <c r="D114" i="33"/>
  <c r="AM111" i="33"/>
  <c r="D118" i="33"/>
  <c r="AK111" i="33"/>
  <c r="AR111" i="33" s="1"/>
  <c r="AJ111" i="33"/>
  <c r="AQ111" i="33" s="1"/>
  <c r="AG111" i="33"/>
  <c r="D117" i="33"/>
  <c r="AO111" i="33"/>
  <c r="AX111" i="33" s="1"/>
  <c r="AZ34" i="33"/>
  <c r="BN34" i="33"/>
  <c r="BN10" i="33"/>
  <c r="AZ10" i="33"/>
  <c r="BN85" i="33"/>
  <c r="AZ85" i="33"/>
  <c r="BL85" i="33" s="1"/>
  <c r="AP89" i="33"/>
  <c r="BB23" i="33"/>
  <c r="BL23" i="33"/>
  <c r="BN21" i="33"/>
  <c r="AZ21" i="33"/>
  <c r="BL40" i="33"/>
  <c r="AP91" i="33"/>
  <c r="AZ55" i="33"/>
  <c r="BN55" i="33"/>
  <c r="AZ19" i="33"/>
  <c r="BN19" i="33"/>
  <c r="AZ72" i="33"/>
  <c r="BL56" i="33"/>
  <c r="BB56" i="33"/>
  <c r="M45" i="31"/>
  <c r="AJ33" i="30"/>
  <c r="X36" i="30"/>
  <c r="C35" i="30"/>
  <c r="AN55" i="31"/>
  <c r="R37" i="7"/>
  <c r="L48" i="31"/>
  <c r="D48" i="31"/>
  <c r="O593" i="34"/>
  <c r="P591" i="34"/>
  <c r="AQ48" i="31"/>
  <c r="BE46" i="31" s="1"/>
  <c r="AI34" i="30"/>
  <c r="M46" i="31"/>
  <c r="BB48" i="31"/>
  <c r="BB49" i="31" s="1"/>
  <c r="AP47" i="31"/>
  <c r="M601" i="34"/>
  <c r="AF55" i="31"/>
  <c r="AF53" i="31"/>
  <c r="BA49" i="31"/>
  <c r="I55" i="31"/>
  <c r="BB29" i="33" l="1"/>
  <c r="BB12" i="33"/>
  <c r="BB44" i="33"/>
  <c r="BL68" i="33"/>
  <c r="BL71" i="33"/>
  <c r="BB49" i="33"/>
  <c r="AZ92" i="33"/>
  <c r="AP100" i="33"/>
  <c r="AZ99" i="33" s="1"/>
  <c r="BB99" i="33" s="1"/>
  <c r="BB61" i="33"/>
  <c r="AZ97" i="33"/>
  <c r="BL97" i="33" s="1"/>
  <c r="AI15" i="30"/>
  <c r="BB81" i="33"/>
  <c r="M706" i="34"/>
  <c r="M713" i="34" s="1"/>
  <c r="M714" i="34" s="1"/>
  <c r="M704" i="34"/>
  <c r="L708" i="34"/>
  <c r="L719" i="34" s="1"/>
  <c r="L720" i="34" s="1"/>
  <c r="BB48" i="33"/>
  <c r="AZ90" i="33"/>
  <c r="BL90" i="33" s="1"/>
  <c r="P398" i="34"/>
  <c r="BO107" i="33"/>
  <c r="BB24" i="33"/>
  <c r="C36" i="30"/>
  <c r="G118" i="6"/>
  <c r="J118" i="6" s="1"/>
  <c r="BO102" i="33"/>
  <c r="AZ95" i="33"/>
  <c r="BL95" i="33" s="1"/>
  <c r="P227" i="34"/>
  <c r="Q227" i="34" s="1"/>
  <c r="R228" i="34" s="1"/>
  <c r="BO111" i="33"/>
  <c r="BO108" i="33"/>
  <c r="AP106" i="33"/>
  <c r="AZ106" i="33" s="1"/>
  <c r="BL106" i="33" s="1"/>
  <c r="BO106" i="33"/>
  <c r="BO105" i="33"/>
  <c r="AP104" i="33"/>
  <c r="BN104" i="33" s="1"/>
  <c r="BO101" i="33"/>
  <c r="M145" i="34"/>
  <c r="O317" i="34"/>
  <c r="P317" i="34" s="1"/>
  <c r="P306" i="34"/>
  <c r="H119" i="6" s="1"/>
  <c r="J119" i="6" s="1"/>
  <c r="B30" i="30"/>
  <c r="F208" i="6"/>
  <c r="N568" i="34"/>
  <c r="N572" i="34" s="1"/>
  <c r="AR21" i="31"/>
  <c r="E21" i="31" s="1"/>
  <c r="AF10" i="30"/>
  <c r="I88" i="31"/>
  <c r="AM89" i="31"/>
  <c r="AP59" i="31"/>
  <c r="M254" i="34"/>
  <c r="P233" i="34"/>
  <c r="F228" i="6"/>
  <c r="J228" i="6" s="1"/>
  <c r="B45" i="30"/>
  <c r="AI9" i="30"/>
  <c r="M57" i="31"/>
  <c r="E57" i="31"/>
  <c r="P561" i="34"/>
  <c r="O563" i="34"/>
  <c r="AJ26" i="30"/>
  <c r="AR73" i="31"/>
  <c r="E73" i="31" s="1"/>
  <c r="M67" i="31"/>
  <c r="AG15" i="30"/>
  <c r="M64" i="31"/>
  <c r="AI22" i="30"/>
  <c r="BB65" i="31"/>
  <c r="G210" i="6"/>
  <c r="I22" i="28"/>
  <c r="P29" i="7"/>
  <c r="C30" i="30"/>
  <c r="O366" i="34"/>
  <c r="P366" i="34" s="1"/>
  <c r="P362" i="34"/>
  <c r="M70" i="31"/>
  <c r="AO65" i="31"/>
  <c r="AO88" i="31"/>
  <c r="L441" i="34"/>
  <c r="P439" i="34"/>
  <c r="AJ28" i="30"/>
  <c r="J22" i="28"/>
  <c r="AH23" i="30"/>
  <c r="K572" i="34"/>
  <c r="O318" i="34"/>
  <c r="P316" i="34"/>
  <c r="L89" i="31"/>
  <c r="D89" i="31"/>
  <c r="N384" i="34"/>
  <c r="P384" i="34" s="1"/>
  <c r="AR23" i="31"/>
  <c r="M23" i="31" s="1"/>
  <c r="P380" i="34"/>
  <c r="L525" i="34"/>
  <c r="AR61" i="31"/>
  <c r="Q200" i="34"/>
  <c r="P200" i="34"/>
  <c r="O202" i="34"/>
  <c r="O206" i="34" s="1"/>
  <c r="P514" i="34"/>
  <c r="O516" i="34"/>
  <c r="AJ22" i="30"/>
  <c r="M63" i="31"/>
  <c r="C87" i="31"/>
  <c r="O139" i="34"/>
  <c r="P134" i="34"/>
  <c r="O498" i="34"/>
  <c r="P485" i="34"/>
  <c r="O478" i="34"/>
  <c r="O471" i="34"/>
  <c r="O473" i="34" s="1"/>
  <c r="AH29" i="30"/>
  <c r="AH30" i="30" s="1"/>
  <c r="BA59" i="31"/>
  <c r="AM87" i="31"/>
  <c r="BA77" i="31"/>
  <c r="BA62" i="31"/>
  <c r="BA70" i="31"/>
  <c r="BA60" i="31"/>
  <c r="BA81" i="31"/>
  <c r="BA61" i="31"/>
  <c r="BA64" i="31"/>
  <c r="BA68" i="31"/>
  <c r="BA79" i="31"/>
  <c r="BA57" i="31"/>
  <c r="BA63" i="31"/>
  <c r="I65" i="31"/>
  <c r="BA78" i="31"/>
  <c r="BA80" i="31"/>
  <c r="BA69" i="31"/>
  <c r="BA67" i="31"/>
  <c r="BA76" i="31"/>
  <c r="AR59" i="31"/>
  <c r="O254" i="34"/>
  <c r="O258" i="34" s="1"/>
  <c r="P229" i="34"/>
  <c r="N502" i="34"/>
  <c r="N696" i="34" s="1"/>
  <c r="N708" i="34" s="1"/>
  <c r="N719" i="34" s="1"/>
  <c r="N720" i="34" s="1"/>
  <c r="AJ9" i="30"/>
  <c r="AQ58" i="31"/>
  <c r="M58" i="31" s="1"/>
  <c r="AQ14" i="31"/>
  <c r="AI10" i="30" s="1"/>
  <c r="O45" i="34"/>
  <c r="P41" i="34"/>
  <c r="AP60" i="31"/>
  <c r="M341" i="34"/>
  <c r="P542" i="34"/>
  <c r="O545" i="34"/>
  <c r="BL19" i="33"/>
  <c r="BB19" i="33"/>
  <c r="BL72" i="33"/>
  <c r="BB72" i="33"/>
  <c r="BN91" i="33"/>
  <c r="AZ91" i="33"/>
  <c r="BL91" i="33" s="1"/>
  <c r="BL10" i="33"/>
  <c r="BB10" i="33"/>
  <c r="BL34" i="33"/>
  <c r="BB34" i="33"/>
  <c r="AO116" i="33"/>
  <c r="AX116" i="33" s="1"/>
  <c r="AK116" i="33"/>
  <c r="AR116" i="33" s="1"/>
  <c r="AG116" i="33"/>
  <c r="AN116" i="33"/>
  <c r="AI116" i="33"/>
  <c r="AM116" i="33"/>
  <c r="V116" i="33"/>
  <c r="AF116" i="33" s="1"/>
  <c r="AL116" i="33"/>
  <c r="AS116" i="33" s="1"/>
  <c r="AJ116" i="33"/>
  <c r="AQ116" i="33" s="1"/>
  <c r="R116" i="33"/>
  <c r="AB116" i="33" s="1"/>
  <c r="AH116" i="33"/>
  <c r="BL65" i="33"/>
  <c r="BB65" i="33"/>
  <c r="BL70" i="33"/>
  <c r="BB70" i="33"/>
  <c r="BN94" i="33"/>
  <c r="AZ94" i="33"/>
  <c r="BL94" i="33" s="1"/>
  <c r="BL80" i="33"/>
  <c r="BB80" i="33"/>
  <c r="BL9" i="33"/>
  <c r="BB9" i="33"/>
  <c r="BL78" i="33"/>
  <c r="BB78" i="33"/>
  <c r="BL54" i="33"/>
  <c r="BB54" i="33"/>
  <c r="BO104" i="33"/>
  <c r="BL42" i="33"/>
  <c r="BB42" i="33"/>
  <c r="BL66" i="33"/>
  <c r="BB66" i="33"/>
  <c r="AD7" i="32"/>
  <c r="BL58" i="33"/>
  <c r="BB58" i="33"/>
  <c r="BL43" i="33"/>
  <c r="BB43" i="33"/>
  <c r="AZ103" i="33"/>
  <c r="BL103" i="33" s="1"/>
  <c r="BN103" i="33"/>
  <c r="BO109" i="33"/>
  <c r="AD6" i="32"/>
  <c r="AO114" i="33"/>
  <c r="AX114" i="33" s="1"/>
  <c r="AK114" i="33"/>
  <c r="AR114" i="33" s="1"/>
  <c r="AG114" i="33"/>
  <c r="V114" i="33"/>
  <c r="AF114" i="33" s="1"/>
  <c r="R114" i="33"/>
  <c r="AB114" i="33" s="1"/>
  <c r="AM114" i="33"/>
  <c r="AH114" i="33"/>
  <c r="AL114" i="33"/>
  <c r="AS114" i="33" s="1"/>
  <c r="AJ114" i="33"/>
  <c r="AQ114" i="33" s="1"/>
  <c r="AI114" i="33"/>
  <c r="AN114" i="33"/>
  <c r="AL112" i="33"/>
  <c r="AS112" i="33" s="1"/>
  <c r="AH112" i="33"/>
  <c r="V112" i="33"/>
  <c r="AF112" i="33" s="1"/>
  <c r="R112" i="33"/>
  <c r="AM112" i="33"/>
  <c r="AG112" i="33"/>
  <c r="AK112" i="33"/>
  <c r="AR112" i="33" s="1"/>
  <c r="AJ112" i="33"/>
  <c r="AQ112" i="33" s="1"/>
  <c r="AO112" i="33"/>
  <c r="AX112" i="33" s="1"/>
  <c r="AI112" i="33"/>
  <c r="AP112" i="33" s="1"/>
  <c r="AN112" i="33"/>
  <c r="AN120" i="33"/>
  <c r="AJ120" i="33"/>
  <c r="AQ120" i="33" s="1"/>
  <c r="AO120" i="33"/>
  <c r="AX120" i="33" s="1"/>
  <c r="AI120" i="33"/>
  <c r="AH120" i="33"/>
  <c r="AM120" i="33"/>
  <c r="AG120" i="33"/>
  <c r="V120" i="33"/>
  <c r="AF120" i="33" s="1"/>
  <c r="AL120" i="33"/>
  <c r="AS120" i="33" s="1"/>
  <c r="R120" i="33"/>
  <c r="AB120" i="33" s="1"/>
  <c r="AK120" i="33"/>
  <c r="AR120" i="33" s="1"/>
  <c r="BL73" i="33"/>
  <c r="BB73" i="33"/>
  <c r="AZ93" i="33"/>
  <c r="BN93" i="33"/>
  <c r="BL64" i="33"/>
  <c r="BL67" i="33"/>
  <c r="BB67" i="33"/>
  <c r="BB7" i="33"/>
  <c r="BL7" i="33"/>
  <c r="BL28" i="33"/>
  <c r="BB28" i="33"/>
  <c r="BL33" i="33"/>
  <c r="BB33" i="33"/>
  <c r="BL8" i="33"/>
  <c r="BB8" i="33"/>
  <c r="BL31" i="33"/>
  <c r="BB31" i="33"/>
  <c r="AP105" i="33"/>
  <c r="AZ104" i="33"/>
  <c r="BB83" i="33"/>
  <c r="BL83" i="33"/>
  <c r="BL30" i="33"/>
  <c r="BB30" i="33"/>
  <c r="BB92" i="33"/>
  <c r="BL92" i="33"/>
  <c r="BB25" i="33"/>
  <c r="BL25" i="33"/>
  <c r="BO103" i="33"/>
  <c r="AP109" i="33"/>
  <c r="AP101" i="33"/>
  <c r="BO100" i="33"/>
  <c r="BL21" i="33"/>
  <c r="BB21" i="33"/>
  <c r="AZ89" i="33"/>
  <c r="BN89" i="33"/>
  <c r="D133" i="33"/>
  <c r="D131" i="33"/>
  <c r="D130" i="33"/>
  <c r="D127" i="33"/>
  <c r="D135" i="33"/>
  <c r="D126" i="33"/>
  <c r="D129" i="33"/>
  <c r="D132" i="33"/>
  <c r="D125" i="33"/>
  <c r="AL123" i="33"/>
  <c r="AS123" i="33" s="1"/>
  <c r="AH123" i="33"/>
  <c r="V123" i="33"/>
  <c r="AF123" i="33" s="1"/>
  <c r="R123" i="33"/>
  <c r="AB123" i="33" s="1"/>
  <c r="D124" i="33"/>
  <c r="AN123" i="33"/>
  <c r="AI123" i="33"/>
  <c r="D128" i="33"/>
  <c r="AM123" i="33"/>
  <c r="AG123" i="33"/>
  <c r="AJ123" i="33"/>
  <c r="AQ123" i="33" s="1"/>
  <c r="AO123" i="33"/>
  <c r="AX123" i="33" s="1"/>
  <c r="AK123" i="33"/>
  <c r="AR123" i="33" s="1"/>
  <c r="BO123" i="33" s="1"/>
  <c r="AO113" i="33"/>
  <c r="AX113" i="33" s="1"/>
  <c r="AK113" i="33"/>
  <c r="AR113" i="33" s="1"/>
  <c r="AG113" i="33"/>
  <c r="AN113" i="33"/>
  <c r="AI113" i="33"/>
  <c r="AM113" i="33"/>
  <c r="V113" i="33"/>
  <c r="AF113" i="33" s="1"/>
  <c r="AL113" i="33"/>
  <c r="AS113" i="33" s="1"/>
  <c r="AJ113" i="33"/>
  <c r="AQ113" i="33" s="1"/>
  <c r="R113" i="33"/>
  <c r="AB113" i="33" s="1"/>
  <c r="AH113" i="33"/>
  <c r="AN119" i="33"/>
  <c r="AJ119" i="33"/>
  <c r="AQ119" i="33" s="1"/>
  <c r="AL119" i="33"/>
  <c r="AS119" i="33" s="1"/>
  <c r="AG119" i="33"/>
  <c r="R119" i="33"/>
  <c r="AB119" i="33" s="1"/>
  <c r="AM119" i="33"/>
  <c r="AK119" i="33"/>
  <c r="AR119" i="33" s="1"/>
  <c r="BO119" i="33" s="1"/>
  <c r="AI119" i="33"/>
  <c r="AP119" i="33" s="1"/>
  <c r="AH119" i="33"/>
  <c r="V119" i="33"/>
  <c r="AF119" i="33" s="1"/>
  <c r="AO119" i="33"/>
  <c r="AX119" i="33" s="1"/>
  <c r="BL46" i="33"/>
  <c r="BB46" i="33"/>
  <c r="BL75" i="33"/>
  <c r="BB75" i="33"/>
  <c r="BL18" i="33"/>
  <c r="BB18" i="33"/>
  <c r="BL69" i="33"/>
  <c r="BB69" i="33"/>
  <c r="BL20" i="33"/>
  <c r="BB20" i="33"/>
  <c r="BL17" i="33"/>
  <c r="BB17" i="33"/>
  <c r="BL47" i="33"/>
  <c r="BB47" i="33"/>
  <c r="AZ96" i="33"/>
  <c r="BL96" i="33" s="1"/>
  <c r="BN96" i="33"/>
  <c r="BL22" i="33"/>
  <c r="BB22" i="33"/>
  <c r="AB100" i="33"/>
  <c r="BB95" i="33"/>
  <c r="BL55" i="33"/>
  <c r="BB55" i="33"/>
  <c r="AO117" i="33"/>
  <c r="AX117" i="33" s="1"/>
  <c r="AK117" i="33"/>
  <c r="AR117" i="33" s="1"/>
  <c r="AG117" i="33"/>
  <c r="V117" i="33"/>
  <c r="AF117" i="33" s="1"/>
  <c r="R117" i="33"/>
  <c r="AB117" i="33" s="1"/>
  <c r="AM117" i="33"/>
  <c r="AH117" i="33"/>
  <c r="AJ117" i="33"/>
  <c r="AQ117" i="33" s="1"/>
  <c r="AI117" i="33"/>
  <c r="AN117" i="33"/>
  <c r="AL117" i="33"/>
  <c r="AS117" i="33" s="1"/>
  <c r="AL118" i="33"/>
  <c r="AS118" i="33" s="1"/>
  <c r="AH118" i="33"/>
  <c r="AK118" i="33"/>
  <c r="AR118" i="33" s="1"/>
  <c r="R118" i="33"/>
  <c r="AB118" i="33" s="1"/>
  <c r="AN118" i="33"/>
  <c r="AG118" i="33"/>
  <c r="V118" i="33"/>
  <c r="AF118" i="33" s="1"/>
  <c r="AM118" i="33"/>
  <c r="AJ118" i="33"/>
  <c r="AQ118" i="33" s="1"/>
  <c r="AO118" i="33"/>
  <c r="AX118" i="33" s="1"/>
  <c r="AI118" i="33"/>
  <c r="AP111" i="33"/>
  <c r="AM115" i="33"/>
  <c r="AI115" i="33"/>
  <c r="AN115" i="33"/>
  <c r="AH115" i="33"/>
  <c r="AL115" i="33"/>
  <c r="AS115" i="33" s="1"/>
  <c r="V115" i="33"/>
  <c r="AF115" i="33" s="1"/>
  <c r="AK115" i="33"/>
  <c r="AR115" i="33" s="1"/>
  <c r="AJ115" i="33"/>
  <c r="AQ115" i="33" s="1"/>
  <c r="R115" i="33"/>
  <c r="AB115" i="33" s="1"/>
  <c r="AG115" i="33"/>
  <c r="AO115" i="33"/>
  <c r="AX115" i="33" s="1"/>
  <c r="AL121" i="33"/>
  <c r="AS121" i="33" s="1"/>
  <c r="AH121" i="33"/>
  <c r="V121" i="33"/>
  <c r="AF121" i="33" s="1"/>
  <c r="R121" i="33"/>
  <c r="AB121" i="33" s="1"/>
  <c r="AO121" i="33"/>
  <c r="AX121" i="33" s="1"/>
  <c r="AJ121" i="33"/>
  <c r="AQ121" i="33" s="1"/>
  <c r="AN121" i="33"/>
  <c r="AG121" i="33"/>
  <c r="AM121" i="33"/>
  <c r="AK121" i="33"/>
  <c r="AR121" i="33" s="1"/>
  <c r="AI121" i="33"/>
  <c r="BL13" i="33"/>
  <c r="BB13" i="33"/>
  <c r="BN88" i="33"/>
  <c r="AZ87" i="33"/>
  <c r="AP108" i="33"/>
  <c r="AP107" i="33"/>
  <c r="AD8" i="32"/>
  <c r="AP102" i="33"/>
  <c r="BL45" i="33"/>
  <c r="BB45" i="33"/>
  <c r="BL57" i="33"/>
  <c r="BL39" i="33"/>
  <c r="BB39" i="33"/>
  <c r="BL77" i="33"/>
  <c r="L53" i="31"/>
  <c r="D53" i="31"/>
  <c r="O597" i="34"/>
  <c r="P593" i="34"/>
  <c r="P39" i="7"/>
  <c r="G285" i="6"/>
  <c r="L55" i="31"/>
  <c r="D55" i="31"/>
  <c r="AH35" i="30"/>
  <c r="AP48" i="31"/>
  <c r="AQ53" i="31"/>
  <c r="BE45" i="31"/>
  <c r="BE47" i="31"/>
  <c r="AI36" i="30"/>
  <c r="BB90" i="33" l="1"/>
  <c r="BN100" i="33"/>
  <c r="M21" i="31"/>
  <c r="M73" i="31"/>
  <c r="BL99" i="33"/>
  <c r="N704" i="34"/>
  <c r="AD10" i="32"/>
  <c r="BO115" i="33"/>
  <c r="AJ29" i="30"/>
  <c r="AJ30" i="30" s="1"/>
  <c r="AP118" i="33"/>
  <c r="AZ118" i="33" s="1"/>
  <c r="BO118" i="33"/>
  <c r="BN106" i="33"/>
  <c r="AP113" i="33"/>
  <c r="AZ113" i="33" s="1"/>
  <c r="BL113" i="33" s="1"/>
  <c r="AP120" i="33"/>
  <c r="BN120" i="33" s="1"/>
  <c r="BO113" i="33"/>
  <c r="BA65" i="31"/>
  <c r="O519" i="34"/>
  <c r="P519" i="34" s="1"/>
  <c r="P516" i="34"/>
  <c r="BC60" i="31"/>
  <c r="BC79" i="31"/>
  <c r="BC62" i="31"/>
  <c r="BC67" i="31"/>
  <c r="BC57" i="31"/>
  <c r="BC77" i="31"/>
  <c r="BC78" i="31"/>
  <c r="BC63" i="31"/>
  <c r="BC69" i="31"/>
  <c r="BC76" i="31"/>
  <c r="BC81" i="31"/>
  <c r="BC64" i="31"/>
  <c r="BC70" i="31"/>
  <c r="AO87" i="31"/>
  <c r="BC80" i="31"/>
  <c r="BC61" i="31"/>
  <c r="BC68" i="31"/>
  <c r="BC59" i="31"/>
  <c r="O566" i="34"/>
  <c r="P566" i="34" s="1"/>
  <c r="P563" i="34"/>
  <c r="M258" i="34"/>
  <c r="P258" i="34" s="1"/>
  <c r="P254" i="34"/>
  <c r="M345" i="34"/>
  <c r="N521" i="34"/>
  <c r="AR20" i="31"/>
  <c r="P498" i="34"/>
  <c r="O499" i="34"/>
  <c r="M61" i="31"/>
  <c r="E61" i="31"/>
  <c r="O322" i="34"/>
  <c r="P318" i="34"/>
  <c r="K22" i="28"/>
  <c r="L22" i="28" s="1"/>
  <c r="N22" i="28" s="1"/>
  <c r="Q22" i="28" s="1"/>
  <c r="L446" i="34"/>
  <c r="P446" i="34" s="1"/>
  <c r="AP14" i="31"/>
  <c r="P441" i="34"/>
  <c r="BC58" i="31"/>
  <c r="J210" i="6"/>
  <c r="C17" i="81"/>
  <c r="AQ65" i="31"/>
  <c r="AH14" i="30"/>
  <c r="M59" i="31"/>
  <c r="AP88" i="31"/>
  <c r="AP89" i="31" s="1"/>
  <c r="AP65" i="31"/>
  <c r="BD60" i="31" s="1"/>
  <c r="J208" i="6"/>
  <c r="B17" i="81"/>
  <c r="O548" i="34"/>
  <c r="P545" i="34"/>
  <c r="O141" i="34"/>
  <c r="P139" i="34"/>
  <c r="I89" i="31"/>
  <c r="BE58" i="31"/>
  <c r="E58" i="31"/>
  <c r="AQ88" i="31"/>
  <c r="AQ89" i="31" s="1"/>
  <c r="AO89" i="31"/>
  <c r="R29" i="7"/>
  <c r="P30" i="7"/>
  <c r="R30" i="7" s="1"/>
  <c r="BL87" i="33"/>
  <c r="BB87" i="33"/>
  <c r="AZ111" i="33"/>
  <c r="BN111" i="33"/>
  <c r="Z14" i="32"/>
  <c r="BN113" i="33"/>
  <c r="AN129" i="33"/>
  <c r="AJ129" i="33"/>
  <c r="AQ129" i="33" s="1"/>
  <c r="AL129" i="33"/>
  <c r="AS129" i="33" s="1"/>
  <c r="AH129" i="33"/>
  <c r="AO129" i="33"/>
  <c r="AX129" i="33" s="1"/>
  <c r="AG129" i="33"/>
  <c r="V129" i="33"/>
  <c r="AF129" i="33" s="1"/>
  <c r="AM129" i="33"/>
  <c r="AI129" i="33"/>
  <c r="R129" i="33"/>
  <c r="AB129" i="33" s="1"/>
  <c r="AK129" i="33"/>
  <c r="AR129" i="33" s="1"/>
  <c r="BO129" i="33" s="1"/>
  <c r="AO130" i="33"/>
  <c r="AX130" i="33" s="1"/>
  <c r="AK130" i="33"/>
  <c r="AR130" i="33" s="1"/>
  <c r="AG130" i="33"/>
  <c r="V130" i="33"/>
  <c r="AF130" i="33" s="1"/>
  <c r="R130" i="33"/>
  <c r="AB130" i="33" s="1"/>
  <c r="AM130" i="33"/>
  <c r="AI130" i="33"/>
  <c r="AP130" i="33" s="1"/>
  <c r="AL130" i="33"/>
  <c r="AS130" i="33" s="1"/>
  <c r="AJ130" i="33"/>
  <c r="AQ130" i="33" s="1"/>
  <c r="AH130" i="33"/>
  <c r="AN130" i="33"/>
  <c r="AZ101" i="33"/>
  <c r="BN101" i="33"/>
  <c r="AD16" i="32"/>
  <c r="BO120" i="33"/>
  <c r="BO112" i="33"/>
  <c r="AP114" i="33"/>
  <c r="BO114" i="33"/>
  <c r="Z13" i="32"/>
  <c r="AD14" i="32"/>
  <c r="BO116" i="33"/>
  <c r="AD15" i="32"/>
  <c r="AZ107" i="33"/>
  <c r="BN107" i="33"/>
  <c r="BO117" i="33"/>
  <c r="AD11" i="32"/>
  <c r="Z12" i="32"/>
  <c r="AM124" i="33"/>
  <c r="AI124" i="33"/>
  <c r="AN124" i="33"/>
  <c r="AH124" i="33"/>
  <c r="V124" i="33"/>
  <c r="AF124" i="33" s="1"/>
  <c r="R124" i="33"/>
  <c r="AO124" i="33"/>
  <c r="AX124" i="33" s="1"/>
  <c r="AG124" i="33"/>
  <c r="AL124" i="33"/>
  <c r="AS124" i="33" s="1"/>
  <c r="AK124" i="33"/>
  <c r="AR124" i="33" s="1"/>
  <c r="AJ124" i="33"/>
  <c r="AQ124" i="33" s="1"/>
  <c r="AN126" i="33"/>
  <c r="AJ126" i="33"/>
  <c r="AQ126" i="33" s="1"/>
  <c r="AL126" i="33"/>
  <c r="AS126" i="33" s="1"/>
  <c r="AH126" i="33"/>
  <c r="AK126" i="33"/>
  <c r="AR126" i="33" s="1"/>
  <c r="R126" i="33"/>
  <c r="AB126" i="33" s="1"/>
  <c r="AO126" i="33"/>
  <c r="AX126" i="33" s="1"/>
  <c r="AG126" i="33"/>
  <c r="V126" i="33"/>
  <c r="AF126" i="33" s="1"/>
  <c r="AM126" i="33"/>
  <c r="AI126" i="33"/>
  <c r="AN131" i="33"/>
  <c r="AJ131" i="33"/>
  <c r="AQ131" i="33" s="1"/>
  <c r="AL131" i="33"/>
  <c r="AS131" i="33" s="1"/>
  <c r="AH131" i="33"/>
  <c r="V131" i="33"/>
  <c r="AF131" i="33" s="1"/>
  <c r="R131" i="33"/>
  <c r="AB131" i="33" s="1"/>
  <c r="AO131" i="33"/>
  <c r="AX131" i="33" s="1"/>
  <c r="AG131" i="33"/>
  <c r="AM131" i="33"/>
  <c r="AI131" i="33"/>
  <c r="AK131" i="33"/>
  <c r="AR131" i="33" s="1"/>
  <c r="BO131" i="33" s="1"/>
  <c r="BN109" i="33"/>
  <c r="AZ109" i="33"/>
  <c r="Z7" i="32"/>
  <c r="BN112" i="33"/>
  <c r="AD9" i="32"/>
  <c r="AP116" i="33"/>
  <c r="AZ108" i="33"/>
  <c r="BL108" i="33" s="1"/>
  <c r="BN108" i="33"/>
  <c r="AP121" i="33"/>
  <c r="AP115" i="33"/>
  <c r="AP117" i="33"/>
  <c r="AD12" i="32"/>
  <c r="Z9" i="32"/>
  <c r="AZ119" i="33"/>
  <c r="BN119" i="33"/>
  <c r="AM128" i="33"/>
  <c r="AI128" i="33"/>
  <c r="AO128" i="33"/>
  <c r="AX128" i="33" s="1"/>
  <c r="AK128" i="33"/>
  <c r="AR128" i="33" s="1"/>
  <c r="AG128" i="33"/>
  <c r="AL128" i="33"/>
  <c r="AS128" i="33" s="1"/>
  <c r="R128" i="33"/>
  <c r="AB128" i="33" s="1"/>
  <c r="AJ128" i="33"/>
  <c r="AQ128" i="33" s="1"/>
  <c r="V128" i="33"/>
  <c r="AF128" i="33" s="1"/>
  <c r="AN128" i="33"/>
  <c r="AH128" i="33"/>
  <c r="AO125" i="33"/>
  <c r="AX125" i="33" s="1"/>
  <c r="AK125" i="33"/>
  <c r="AR125" i="33" s="1"/>
  <c r="AG125" i="33"/>
  <c r="AN125" i="33"/>
  <c r="AI125" i="33"/>
  <c r="AH125" i="33"/>
  <c r="AM125" i="33"/>
  <c r="V125" i="33"/>
  <c r="AF125" i="33" s="1"/>
  <c r="AL125" i="33"/>
  <c r="AS125" i="33" s="1"/>
  <c r="AJ125" i="33"/>
  <c r="AQ125" i="33" s="1"/>
  <c r="R125" i="33"/>
  <c r="AB125" i="33" s="1"/>
  <c r="D145" i="33"/>
  <c r="D144" i="33"/>
  <c r="D141" i="33"/>
  <c r="D136" i="33"/>
  <c r="AL135" i="33"/>
  <c r="AS135" i="33" s="1"/>
  <c r="AH135" i="33"/>
  <c r="V135" i="33"/>
  <c r="AF135" i="33" s="1"/>
  <c r="R135" i="33"/>
  <c r="AB135" i="33" s="1"/>
  <c r="D143" i="33"/>
  <c r="D142" i="33"/>
  <c r="D140" i="33"/>
  <c r="D139" i="33"/>
  <c r="D138" i="33"/>
  <c r="AR13" i="31" s="1"/>
  <c r="AN135" i="33"/>
  <c r="AJ135" i="33"/>
  <c r="AQ135" i="33" s="1"/>
  <c r="D137" i="33"/>
  <c r="AO135" i="33"/>
  <c r="AX135" i="33" s="1"/>
  <c r="AG135" i="33"/>
  <c r="AM135" i="33"/>
  <c r="AK135" i="33"/>
  <c r="AR135" i="33" s="1"/>
  <c r="AI135" i="33"/>
  <c r="AL133" i="33"/>
  <c r="AS133" i="33" s="1"/>
  <c r="AH133" i="33"/>
  <c r="V133" i="33"/>
  <c r="AF133" i="33" s="1"/>
  <c r="R133" i="33"/>
  <c r="AB133" i="33" s="1"/>
  <c r="AN133" i="33"/>
  <c r="AJ133" i="33"/>
  <c r="AQ133" i="33" s="1"/>
  <c r="AK133" i="33"/>
  <c r="AR133" i="33" s="1"/>
  <c r="AI133" i="33"/>
  <c r="AG133" i="33"/>
  <c r="AO133" i="33"/>
  <c r="AX133" i="33" s="1"/>
  <c r="AM133" i="33"/>
  <c r="BL89" i="33"/>
  <c r="BL104" i="33"/>
  <c r="BB104" i="33"/>
  <c r="Z8" i="32"/>
  <c r="Z15" i="32"/>
  <c r="Z10" i="32"/>
  <c r="AZ102" i="33"/>
  <c r="BN102" i="33"/>
  <c r="BO121" i="33"/>
  <c r="Z11" i="32"/>
  <c r="AP123" i="33"/>
  <c r="AM132" i="33"/>
  <c r="AI132" i="33"/>
  <c r="AO132" i="33"/>
  <c r="AX132" i="33" s="1"/>
  <c r="AK132" i="33"/>
  <c r="AR132" i="33" s="1"/>
  <c r="AG132" i="33"/>
  <c r="AL132" i="33"/>
  <c r="AS132" i="33" s="1"/>
  <c r="R132" i="33"/>
  <c r="AB132" i="33" s="1"/>
  <c r="AJ132" i="33"/>
  <c r="AQ132" i="33" s="1"/>
  <c r="AN132" i="33"/>
  <c r="AH132" i="33"/>
  <c r="V132" i="33"/>
  <c r="AF132" i="33" s="1"/>
  <c r="AO127" i="33"/>
  <c r="AX127" i="33" s="1"/>
  <c r="AK127" i="33"/>
  <c r="AR127" i="33" s="1"/>
  <c r="AG127" i="33"/>
  <c r="V127" i="33"/>
  <c r="AF127" i="33" s="1"/>
  <c r="R127" i="33"/>
  <c r="AB127" i="33" s="1"/>
  <c r="AM127" i="33"/>
  <c r="AI127" i="33"/>
  <c r="AP127" i="33" s="1"/>
  <c r="AH127" i="33"/>
  <c r="AN127" i="33"/>
  <c r="AJ127" i="33"/>
  <c r="AQ127" i="33" s="1"/>
  <c r="AL127" i="33"/>
  <c r="AS127" i="33" s="1"/>
  <c r="Z16" i="32"/>
  <c r="AZ105" i="33"/>
  <c r="BN105" i="33"/>
  <c r="AO18" i="31"/>
  <c r="BL93" i="33"/>
  <c r="BB93" i="33"/>
  <c r="AD13" i="32"/>
  <c r="AB112" i="33"/>
  <c r="O601" i="34"/>
  <c r="P601" i="34" s="1"/>
  <c r="AR47" i="31"/>
  <c r="P597" i="34"/>
  <c r="AP53" i="31"/>
  <c r="BD45" i="31"/>
  <c r="BD46" i="31"/>
  <c r="J285" i="6"/>
  <c r="C19" i="81"/>
  <c r="E19" i="81" s="1"/>
  <c r="BE48" i="31"/>
  <c r="BE49" i="31" s="1"/>
  <c r="R39" i="7"/>
  <c r="P40" i="7"/>
  <c r="AH36" i="30"/>
  <c r="AQ55" i="31"/>
  <c r="BD47" i="31"/>
  <c r="AZ120" i="33" l="1"/>
  <c r="BL120" i="33" s="1"/>
  <c r="AO8" i="31"/>
  <c r="AT18" i="31"/>
  <c r="AL13" i="30" s="1"/>
  <c r="AL16" i="30" s="1"/>
  <c r="BN118" i="33"/>
  <c r="AO13" i="31"/>
  <c r="AT26" i="31"/>
  <c r="AT27" i="31" s="1"/>
  <c r="AM26" i="31"/>
  <c r="AE18" i="30" s="1"/>
  <c r="AR7" i="31"/>
  <c r="BO135" i="33"/>
  <c r="AM29" i="31"/>
  <c r="AE20" i="30" s="1"/>
  <c r="AN7" i="31"/>
  <c r="AQ29" i="31"/>
  <c r="AI20" i="30" s="1"/>
  <c r="P18" i="31"/>
  <c r="BO133" i="33"/>
  <c r="AP128" i="33"/>
  <c r="BN128" i="33" s="1"/>
  <c r="BO124" i="33"/>
  <c r="BO130" i="33"/>
  <c r="AP132" i="33"/>
  <c r="BN132" i="33" s="1"/>
  <c r="AP124" i="33"/>
  <c r="BN124" i="33" s="1"/>
  <c r="AP129" i="33"/>
  <c r="BN129" i="33" s="1"/>
  <c r="B19" i="28"/>
  <c r="S22" i="28"/>
  <c r="D19" i="28" s="1"/>
  <c r="F19" i="28" s="1"/>
  <c r="E17" i="81"/>
  <c r="AH10" i="30"/>
  <c r="M14" i="31"/>
  <c r="BC65" i="31"/>
  <c r="BD78" i="31"/>
  <c r="AP87" i="31"/>
  <c r="BD76" i="31"/>
  <c r="BD80" i="31"/>
  <c r="BD61" i="31"/>
  <c r="BD81" i="31"/>
  <c r="BD77" i="31"/>
  <c r="BD79" i="31"/>
  <c r="BD62" i="31"/>
  <c r="BD63" i="31"/>
  <c r="BD67" i="31"/>
  <c r="BD70" i="31"/>
  <c r="BD57" i="31"/>
  <c r="BD64" i="31"/>
  <c r="BD68" i="31"/>
  <c r="BD58" i="31"/>
  <c r="BD69" i="31"/>
  <c r="BD59" i="31"/>
  <c r="AR60" i="31"/>
  <c r="O341" i="34"/>
  <c r="P322" i="34"/>
  <c r="O502" i="34"/>
  <c r="P499" i="34"/>
  <c r="O568" i="34"/>
  <c r="P548" i="34"/>
  <c r="AJ15" i="30"/>
  <c r="M20" i="31"/>
  <c r="O145" i="34"/>
  <c r="P145" i="34" s="1"/>
  <c r="P141" i="34"/>
  <c r="BE79" i="31"/>
  <c r="BE77" i="31"/>
  <c r="AQ87" i="31"/>
  <c r="BE81" i="31"/>
  <c r="BE76" i="31"/>
  <c r="BE78" i="31"/>
  <c r="BE70" i="31"/>
  <c r="BE68" i="31"/>
  <c r="BE67" i="31"/>
  <c r="BE61" i="31"/>
  <c r="BE63" i="31"/>
  <c r="BE62" i="31"/>
  <c r="BE69" i="31"/>
  <c r="BE60" i="31"/>
  <c r="BE80" i="31"/>
  <c r="BE59" i="31"/>
  <c r="BE64" i="31"/>
  <c r="BE57" i="31"/>
  <c r="N525" i="34"/>
  <c r="AL18" i="30"/>
  <c r="AO26" i="31"/>
  <c r="AQ31" i="31"/>
  <c r="AS11" i="31"/>
  <c r="AP13" i="31"/>
  <c r="AU26" i="31"/>
  <c r="AO11" i="31"/>
  <c r="AP133" i="33"/>
  <c r="AP135" i="33"/>
  <c r="AN138" i="33"/>
  <c r="AJ138" i="33"/>
  <c r="AQ138" i="33" s="1"/>
  <c r="AK138" i="33"/>
  <c r="AR138" i="33" s="1"/>
  <c r="R138" i="33"/>
  <c r="AB138" i="33" s="1"/>
  <c r="AM138" i="33"/>
  <c r="AH138" i="33"/>
  <c r="AI138" i="33"/>
  <c r="V138" i="33"/>
  <c r="AF138" i="33" s="1"/>
  <c r="AG138" i="33"/>
  <c r="AO138" i="33"/>
  <c r="AX138" i="33" s="1"/>
  <c r="AL138" i="33"/>
  <c r="AS138" i="33" s="1"/>
  <c r="AM143" i="33"/>
  <c r="AO143" i="33"/>
  <c r="AX143" i="33" s="1"/>
  <c r="AK143" i="33"/>
  <c r="AR143" i="33" s="1"/>
  <c r="AI143" i="33"/>
  <c r="AJ143" i="33"/>
  <c r="AQ143" i="33" s="1"/>
  <c r="AH143" i="33"/>
  <c r="AN143" i="33"/>
  <c r="AG143" i="33"/>
  <c r="R143" i="33"/>
  <c r="AB143" i="33" s="1"/>
  <c r="V143" i="33"/>
  <c r="AF143" i="33" s="1"/>
  <c r="AL143" i="33"/>
  <c r="AS143" i="33" s="1"/>
  <c r="P8" i="31"/>
  <c r="Q29" i="31"/>
  <c r="O12" i="31"/>
  <c r="U29" i="31"/>
  <c r="V30" i="31"/>
  <c r="V11" i="31"/>
  <c r="R12" i="31"/>
  <c r="W18" i="31"/>
  <c r="S8" i="31"/>
  <c r="V12" i="31"/>
  <c r="X29" i="31"/>
  <c r="W13" i="31"/>
  <c r="S30" i="31"/>
  <c r="R7" i="31"/>
  <c r="Y11" i="31"/>
  <c r="V7" i="31"/>
  <c r="V9" i="31" s="1"/>
  <c r="U26" i="31"/>
  <c r="Z29" i="31"/>
  <c r="T26" i="31"/>
  <c r="X26" i="31"/>
  <c r="Y19" i="31"/>
  <c r="R26" i="31"/>
  <c r="P12" i="31"/>
  <c r="X18" i="31"/>
  <c r="U13" i="31"/>
  <c r="S12" i="31"/>
  <c r="X31" i="31"/>
  <c r="Y7" i="31"/>
  <c r="Y9" i="31" s="1"/>
  <c r="W19" i="31"/>
  <c r="X7" i="31"/>
  <c r="X9" i="31" s="1"/>
  <c r="T12" i="31"/>
  <c r="T13" i="31"/>
  <c r="T8" i="31"/>
  <c r="T29" i="31"/>
  <c r="Z12" i="31"/>
  <c r="X13" i="31"/>
  <c r="U31" i="31"/>
  <c r="O31" i="31"/>
  <c r="V31" i="31"/>
  <c r="V26" i="31"/>
  <c r="U7" i="31"/>
  <c r="U9" i="31" s="1"/>
  <c r="W30" i="31"/>
  <c r="W26" i="31"/>
  <c r="Q31" i="31"/>
  <c r="R29" i="31"/>
  <c r="J20" i="30" s="1"/>
  <c r="V19" i="31"/>
  <c r="W7" i="31"/>
  <c r="W9" i="31" s="1"/>
  <c r="S7" i="31"/>
  <c r="R8" i="31"/>
  <c r="Y29" i="31"/>
  <c r="T31" i="31"/>
  <c r="X30" i="31"/>
  <c r="R31" i="31"/>
  <c r="Q12" i="31"/>
  <c r="Q30" i="31"/>
  <c r="P26" i="31"/>
  <c r="X19" i="31"/>
  <c r="R30" i="31"/>
  <c r="S26" i="31"/>
  <c r="Q7" i="31"/>
  <c r="V18" i="31"/>
  <c r="O26" i="31"/>
  <c r="V29" i="31"/>
  <c r="X11" i="31"/>
  <c r="Y30" i="31"/>
  <c r="X12" i="31"/>
  <c r="Y13" i="31"/>
  <c r="Y31" i="31"/>
  <c r="O8" i="31"/>
  <c r="U11" i="31"/>
  <c r="W12" i="31"/>
  <c r="U30" i="31"/>
  <c r="V13" i="31"/>
  <c r="P19" i="31"/>
  <c r="U19" i="31"/>
  <c r="P31" i="31"/>
  <c r="Z7" i="31"/>
  <c r="Z9" i="31" s="1"/>
  <c r="O29" i="31"/>
  <c r="S18" i="31"/>
  <c r="W31" i="31"/>
  <c r="O18" i="31"/>
  <c r="T11" i="31"/>
  <c r="Y18" i="31"/>
  <c r="Y12" i="31"/>
  <c r="S13" i="31"/>
  <c r="P29" i="31"/>
  <c r="U12" i="31"/>
  <c r="T19" i="31"/>
  <c r="T18" i="31"/>
  <c r="S29" i="31"/>
  <c r="Q26" i="31"/>
  <c r="W11" i="31"/>
  <c r="W29" i="31"/>
  <c r="S31" i="31"/>
  <c r="R11" i="31"/>
  <c r="O7" i="31"/>
  <c r="O19" i="31"/>
  <c r="Y26" i="31"/>
  <c r="O30" i="31"/>
  <c r="T30" i="31"/>
  <c r="P7" i="31"/>
  <c r="U18" i="31"/>
  <c r="Q19" i="31"/>
  <c r="R18" i="31"/>
  <c r="S19" i="31"/>
  <c r="Q11" i="31"/>
  <c r="O13" i="31"/>
  <c r="Q13" i="31"/>
  <c r="P30" i="31"/>
  <c r="Q8" i="31"/>
  <c r="S11" i="31"/>
  <c r="R13" i="31"/>
  <c r="O11" i="31"/>
  <c r="R19" i="31"/>
  <c r="Q18" i="31"/>
  <c r="Q24" i="31" s="1"/>
  <c r="P11" i="31"/>
  <c r="AO145" i="33"/>
  <c r="AX145" i="33" s="1"/>
  <c r="AK145" i="33"/>
  <c r="AR145" i="33" s="1"/>
  <c r="AG145" i="33"/>
  <c r="AM145" i="33"/>
  <c r="AI145" i="33"/>
  <c r="AN145" i="33"/>
  <c r="AL145" i="33"/>
  <c r="AS145" i="33" s="1"/>
  <c r="R145" i="33"/>
  <c r="AB145" i="33" s="1"/>
  <c r="AJ145" i="33"/>
  <c r="AQ145" i="33" s="1"/>
  <c r="AH145" i="33"/>
  <c r="V145" i="33"/>
  <c r="AF145" i="33" s="1"/>
  <c r="AC8" i="31"/>
  <c r="AA11" i="31"/>
  <c r="AH11" i="31"/>
  <c r="AC26" i="31"/>
  <c r="AC19" i="31"/>
  <c r="AB26" i="31"/>
  <c r="AA26" i="31"/>
  <c r="AD18" i="31"/>
  <c r="AG31" i="31"/>
  <c r="Y21" i="30" s="1"/>
  <c r="AN19" i="31"/>
  <c r="AN31" i="31"/>
  <c r="AI31" i="31"/>
  <c r="AA21" i="30" s="1"/>
  <c r="AE19" i="31"/>
  <c r="AB7" i="31"/>
  <c r="AD11" i="31"/>
  <c r="AF13" i="31"/>
  <c r="AE8" i="31"/>
  <c r="AF7" i="31"/>
  <c r="AD31" i="31"/>
  <c r="AK26" i="31"/>
  <c r="AL19" i="31"/>
  <c r="AK18" i="31"/>
  <c r="AI7" i="31"/>
  <c r="AI9" i="31" s="1"/>
  <c r="AH19" i="31"/>
  <c r="AJ18" i="31"/>
  <c r="AE7" i="31"/>
  <c r="AE29" i="31"/>
  <c r="AF8" i="31"/>
  <c r="AL18" i="31"/>
  <c r="AL31" i="31"/>
  <c r="AD21" i="30" s="1"/>
  <c r="AJ29" i="31"/>
  <c r="AG7" i="31"/>
  <c r="AG9" i="31" s="1"/>
  <c r="AC31" i="31"/>
  <c r="AG29" i="31"/>
  <c r="AB31" i="31"/>
  <c r="AG19" i="31"/>
  <c r="AH31" i="31"/>
  <c r="Z21" i="30" s="1"/>
  <c r="AB13" i="31"/>
  <c r="AD7" i="31"/>
  <c r="AG18" i="31"/>
  <c r="AF12" i="31"/>
  <c r="AJ7" i="31"/>
  <c r="AJ9" i="31" s="1"/>
  <c r="AB18" i="31"/>
  <c r="AA12" i="31"/>
  <c r="AD29" i="31"/>
  <c r="AK19" i="31"/>
  <c r="AD13" i="31"/>
  <c r="AB19" i="31"/>
  <c r="AK31" i="31"/>
  <c r="AC21" i="30" s="1"/>
  <c r="AK29" i="31"/>
  <c r="AJ11" i="31"/>
  <c r="AE26" i="31"/>
  <c r="AH18" i="31"/>
  <c r="AG11" i="31"/>
  <c r="AG26" i="31"/>
  <c r="AF11" i="31"/>
  <c r="AI26" i="31"/>
  <c r="AF26" i="31"/>
  <c r="AJ26" i="31"/>
  <c r="AL11" i="31"/>
  <c r="AE12" i="31"/>
  <c r="AC30" i="31"/>
  <c r="AI19" i="31"/>
  <c r="AE11" i="31"/>
  <c r="AB12" i="31"/>
  <c r="AJ31" i="31"/>
  <c r="AB21" i="30" s="1"/>
  <c r="AC13" i="31"/>
  <c r="AI29" i="31"/>
  <c r="AK7" i="31"/>
  <c r="AK9" i="31" s="1"/>
  <c r="AI11" i="31"/>
  <c r="AC12" i="31"/>
  <c r="AI18" i="31"/>
  <c r="AA8" i="31"/>
  <c r="AH29" i="31"/>
  <c r="AH26" i="31"/>
  <c r="AC29" i="31"/>
  <c r="AA30" i="31"/>
  <c r="AL26" i="31"/>
  <c r="AD8" i="31"/>
  <c r="AA31" i="31"/>
  <c r="AC7" i="31"/>
  <c r="AM31" i="31"/>
  <c r="AH7" i="31"/>
  <c r="AH9" i="31" s="1"/>
  <c r="AC11" i="31"/>
  <c r="AL7" i="31"/>
  <c r="AL9" i="31" s="1"/>
  <c r="AE18" i="31"/>
  <c r="AD19" i="31"/>
  <c r="AJ19" i="31"/>
  <c r="AM19" i="31"/>
  <c r="AC18" i="31"/>
  <c r="AK11" i="31"/>
  <c r="AE31" i="31"/>
  <c r="W21" i="30" s="1"/>
  <c r="AF31" i="31"/>
  <c r="X21" i="30" s="1"/>
  <c r="AA13" i="31"/>
  <c r="AA29" i="31"/>
  <c r="AA19" i="31"/>
  <c r="AD30" i="31"/>
  <c r="AD12" i="31"/>
  <c r="AE13" i="31"/>
  <c r="AB29" i="31"/>
  <c r="AF29" i="31"/>
  <c r="AD26" i="31"/>
  <c r="AB8" i="31"/>
  <c r="AL29" i="31"/>
  <c r="AA7" i="31"/>
  <c r="AF19" i="31"/>
  <c r="AA18" i="31"/>
  <c r="AV7" i="31"/>
  <c r="AV9" i="31" s="1"/>
  <c r="AB30" i="31"/>
  <c r="AV31" i="31"/>
  <c r="AN21" i="30" s="1"/>
  <c r="AU29" i="31"/>
  <c r="AB11" i="31"/>
  <c r="AS18" i="31"/>
  <c r="AT11" i="31"/>
  <c r="BL119" i="33"/>
  <c r="BB119" i="33"/>
  <c r="AP19" i="31"/>
  <c r="AM13" i="31"/>
  <c r="AR11" i="31"/>
  <c r="AQ19" i="31"/>
  <c r="AM30" i="31"/>
  <c r="AP126" i="33"/>
  <c r="AO31" i="31"/>
  <c r="BL107" i="33"/>
  <c r="BB107" i="33"/>
  <c r="AU7" i="31"/>
  <c r="AU9" i="31" s="1"/>
  <c r="AM11" i="31"/>
  <c r="AP8" i="31"/>
  <c r="BB111" i="33"/>
  <c r="BL111" i="33"/>
  <c r="AV29" i="31"/>
  <c r="AZ127" i="33"/>
  <c r="BL127" i="33" s="1"/>
  <c r="BN127" i="33"/>
  <c r="AM137" i="33"/>
  <c r="AI137" i="33"/>
  <c r="AO137" i="33"/>
  <c r="AX137" i="33" s="1"/>
  <c r="AK137" i="33"/>
  <c r="AR137" i="33" s="1"/>
  <c r="AG137" i="33"/>
  <c r="Z31" i="31" s="1"/>
  <c r="AL137" i="33"/>
  <c r="AS137" i="33" s="1"/>
  <c r="R137" i="33"/>
  <c r="AB137" i="33" s="1"/>
  <c r="AJ137" i="33"/>
  <c r="AQ137" i="33" s="1"/>
  <c r="AH137" i="33"/>
  <c r="V137" i="33"/>
  <c r="AF137" i="33" s="1"/>
  <c r="AN137" i="33"/>
  <c r="AL139" i="33"/>
  <c r="AS139" i="33" s="1"/>
  <c r="AH139" i="33"/>
  <c r="AO139" i="33"/>
  <c r="AX139" i="33" s="1"/>
  <c r="AJ139" i="33"/>
  <c r="AQ139" i="33" s="1"/>
  <c r="V139" i="33"/>
  <c r="AF139" i="33" s="1"/>
  <c r="AM139" i="33"/>
  <c r="AG139" i="33"/>
  <c r="AI139" i="33"/>
  <c r="AN139" i="33"/>
  <c r="R139" i="33"/>
  <c r="AB139" i="33" s="1"/>
  <c r="AK139" i="33"/>
  <c r="AR139" i="33" s="1"/>
  <c r="AN136" i="33"/>
  <c r="AJ136" i="33"/>
  <c r="AQ136" i="33" s="1"/>
  <c r="AL136" i="33"/>
  <c r="AS136" i="33" s="1"/>
  <c r="AH136" i="33"/>
  <c r="V136" i="33"/>
  <c r="AF136" i="33" s="1"/>
  <c r="R136" i="33"/>
  <c r="BC8" i="32" s="1"/>
  <c r="AO136" i="33"/>
  <c r="AX136" i="33" s="1"/>
  <c r="AG136" i="33"/>
  <c r="Z30" i="31" s="1"/>
  <c r="AM136" i="33"/>
  <c r="AK136" i="33"/>
  <c r="AR136" i="33" s="1"/>
  <c r="AI136" i="33"/>
  <c r="AN30" i="31"/>
  <c r="AR18" i="31"/>
  <c r="AN29" i="31"/>
  <c r="AN18" i="31"/>
  <c r="AN12" i="31"/>
  <c r="AM7" i="31"/>
  <c r="AR29" i="31"/>
  <c r="AP29" i="31"/>
  <c r="AS31" i="31"/>
  <c r="AK21" i="30" s="1"/>
  <c r="AQ13" i="31"/>
  <c r="AP26" i="31"/>
  <c r="AQ18" i="31"/>
  <c r="AP31" i="31"/>
  <c r="AS29" i="31"/>
  <c r="AP12" i="31"/>
  <c r="AQ8" i="31"/>
  <c r="AP18" i="31"/>
  <c r="AQ7" i="31"/>
  <c r="AN13" i="31"/>
  <c r="AP7" i="31"/>
  <c r="BN117" i="33"/>
  <c r="AZ117" i="33"/>
  <c r="BN116" i="33"/>
  <c r="AZ116" i="33"/>
  <c r="AS26" i="31"/>
  <c r="AM18" i="31"/>
  <c r="AQ26" i="31"/>
  <c r="AB124" i="33"/>
  <c r="AO19" i="31"/>
  <c r="AG13" i="30" s="1"/>
  <c r="AG16" i="30" s="1"/>
  <c r="AQ11" i="31"/>
  <c r="AT29" i="31"/>
  <c r="BB105" i="33"/>
  <c r="BL105" i="33"/>
  <c r="AU18" i="31"/>
  <c r="BO127" i="33"/>
  <c r="BB102" i="33"/>
  <c r="BL102" i="33"/>
  <c r="AU11" i="31"/>
  <c r="AR8" i="31"/>
  <c r="AO140" i="33"/>
  <c r="AX140" i="33" s="1"/>
  <c r="AK140" i="33"/>
  <c r="AR140" i="33" s="1"/>
  <c r="AG140" i="33"/>
  <c r="AL140" i="33"/>
  <c r="AS140" i="33" s="1"/>
  <c r="R140" i="33"/>
  <c r="AB140" i="33" s="1"/>
  <c r="AJ140" i="33"/>
  <c r="AQ140" i="33" s="1"/>
  <c r="V140" i="33"/>
  <c r="AF140" i="33" s="1"/>
  <c r="AN140" i="33"/>
  <c r="AI140" i="33"/>
  <c r="AM140" i="33"/>
  <c r="AH140" i="33"/>
  <c r="AL141" i="33"/>
  <c r="AS141" i="33" s="1"/>
  <c r="AH141" i="33"/>
  <c r="AK141" i="33"/>
  <c r="AR141" i="33" s="1"/>
  <c r="R141" i="33"/>
  <c r="AB141" i="33" s="1"/>
  <c r="AO141" i="33"/>
  <c r="AX141" i="33" s="1"/>
  <c r="AJ141" i="33"/>
  <c r="AQ141" i="33" s="1"/>
  <c r="V141" i="33"/>
  <c r="AF141" i="33" s="1"/>
  <c r="AN141" i="33"/>
  <c r="AI141" i="33"/>
  <c r="AM141" i="33"/>
  <c r="AG141" i="33"/>
  <c r="BO125" i="33"/>
  <c r="AZ115" i="33"/>
  <c r="BN115" i="33"/>
  <c r="AR31" i="31"/>
  <c r="AR30" i="31"/>
  <c r="AQ30" i="31"/>
  <c r="AN8" i="31"/>
  <c r="AP131" i="33"/>
  <c r="BO126" i="33"/>
  <c r="AF18" i="31"/>
  <c r="AR12" i="31"/>
  <c r="AR19" i="31"/>
  <c r="AP11" i="31"/>
  <c r="AM12" i="31"/>
  <c r="AZ114" i="33"/>
  <c r="BN114" i="33"/>
  <c r="P13" i="31"/>
  <c r="AN11" i="31"/>
  <c r="AZ132" i="33"/>
  <c r="BL132" i="33" s="1"/>
  <c r="BO132" i="33"/>
  <c r="BN123" i="33"/>
  <c r="AO7" i="31"/>
  <c r="AP30" i="31"/>
  <c r="AS7" i="31"/>
  <c r="AS9" i="31" s="1"/>
  <c r="AT31" i="31"/>
  <c r="AL21" i="30" s="1"/>
  <c r="AM142" i="33"/>
  <c r="AI142" i="33"/>
  <c r="AK142" i="33"/>
  <c r="AR142" i="33" s="1"/>
  <c r="R142" i="33"/>
  <c r="AB142" i="33" s="1"/>
  <c r="AO142" i="33"/>
  <c r="AX142" i="33" s="1"/>
  <c r="AJ142" i="33"/>
  <c r="AQ142" i="33" s="1"/>
  <c r="V142" i="33"/>
  <c r="AF142" i="33" s="1"/>
  <c r="AN142" i="33"/>
  <c r="AH142" i="33"/>
  <c r="AL142" i="33"/>
  <c r="AS142" i="33" s="1"/>
  <c r="AG142" i="33"/>
  <c r="AO144" i="33"/>
  <c r="AX144" i="33" s="1"/>
  <c r="AK144" i="33"/>
  <c r="AR144" i="33" s="1"/>
  <c r="AG144" i="33"/>
  <c r="AM144" i="33"/>
  <c r="AI144" i="33"/>
  <c r="AN144" i="33"/>
  <c r="AL144" i="33"/>
  <c r="AS144" i="33" s="1"/>
  <c r="R144" i="33"/>
  <c r="AB144" i="33" s="1"/>
  <c r="AH144" i="33"/>
  <c r="V144" i="33"/>
  <c r="AF144" i="33" s="1"/>
  <c r="AJ144" i="33"/>
  <c r="AQ144" i="33" s="1"/>
  <c r="AP125" i="33"/>
  <c r="BO128" i="33"/>
  <c r="BN121" i="33"/>
  <c r="AZ121" i="33"/>
  <c r="BL121" i="33" s="1"/>
  <c r="AQ12" i="31"/>
  <c r="AO30" i="31"/>
  <c r="BL109" i="33"/>
  <c r="AN26" i="31"/>
  <c r="AR26" i="31"/>
  <c r="T7" i="31"/>
  <c r="BL118" i="33"/>
  <c r="AM8" i="31"/>
  <c r="AO29" i="31"/>
  <c r="AO12" i="31"/>
  <c r="BL101" i="33"/>
  <c r="AZ130" i="33"/>
  <c r="BL130" i="33" s="1"/>
  <c r="BN130" i="33"/>
  <c r="AP55" i="31"/>
  <c r="AR48" i="31"/>
  <c r="AJ35" i="30"/>
  <c r="M47" i="31"/>
  <c r="R40" i="7"/>
  <c r="BD48" i="31"/>
  <c r="AM27" i="31" l="1"/>
  <c r="AT24" i="31"/>
  <c r="Z26" i="31"/>
  <c r="Z27" i="31" s="1"/>
  <c r="H13" i="30"/>
  <c r="H16" i="30" s="1"/>
  <c r="AZ123" i="33"/>
  <c r="BB123" i="33" s="1"/>
  <c r="AZ128" i="33"/>
  <c r="AW26" i="31" s="1"/>
  <c r="AW27" i="31" s="1"/>
  <c r="AP141" i="33"/>
  <c r="AZ141" i="33" s="1"/>
  <c r="BO139" i="33"/>
  <c r="Z11" i="31"/>
  <c r="G11" i="31" s="1"/>
  <c r="P24" i="31"/>
  <c r="AR16" i="31"/>
  <c r="L13" i="31"/>
  <c r="AQ34" i="31"/>
  <c r="Z13" i="31"/>
  <c r="C13" i="31" s="1"/>
  <c r="Z19" i="31"/>
  <c r="G19" i="31" s="1"/>
  <c r="AO24" i="31"/>
  <c r="R21" i="30"/>
  <c r="V8" i="30"/>
  <c r="V11" i="30" s="1"/>
  <c r="Q9" i="31"/>
  <c r="I5" i="30" s="1"/>
  <c r="I6" i="30" s="1"/>
  <c r="AX7" i="32"/>
  <c r="BO145" i="33"/>
  <c r="V21" i="30"/>
  <c r="AP145" i="33"/>
  <c r="AZ145" i="33" s="1"/>
  <c r="BL145" i="33" s="1"/>
  <c r="AP140" i="33"/>
  <c r="BN140" i="33" s="1"/>
  <c r="AP137" i="33"/>
  <c r="BN137" i="33" s="1"/>
  <c r="U21" i="30"/>
  <c r="AP139" i="33"/>
  <c r="BN139" i="33" s="1"/>
  <c r="J21" i="30"/>
  <c r="J24" i="30" s="1"/>
  <c r="AP142" i="33"/>
  <c r="AZ142" i="33" s="1"/>
  <c r="BL142" i="33" s="1"/>
  <c r="AZ129" i="33"/>
  <c r="BL129" i="33" s="1"/>
  <c r="AP138" i="33"/>
  <c r="BN138" i="33" s="1"/>
  <c r="K13" i="31"/>
  <c r="T9" i="31"/>
  <c r="L5" i="30" s="1"/>
  <c r="L6" i="30" s="1"/>
  <c r="BO144" i="33"/>
  <c r="Z18" i="31"/>
  <c r="R13" i="30" s="1"/>
  <c r="R16" i="30" s="1"/>
  <c r="I21" i="30"/>
  <c r="Z13" i="30"/>
  <c r="Z16" i="30" s="1"/>
  <c r="AD13" i="30"/>
  <c r="AD16" i="30" s="1"/>
  <c r="L21" i="30"/>
  <c r="M21" i="30"/>
  <c r="P21" i="30"/>
  <c r="K18" i="31"/>
  <c r="U24" i="31"/>
  <c r="M8" i="30"/>
  <c r="M11" i="30" s="1"/>
  <c r="BE65" i="31"/>
  <c r="O521" i="34"/>
  <c r="P502" i="34"/>
  <c r="O572" i="34"/>
  <c r="P572" i="34" s="1"/>
  <c r="P568" i="34"/>
  <c r="O345" i="34"/>
  <c r="P345" i="34" s="1"/>
  <c r="P341" i="34"/>
  <c r="BD65" i="31"/>
  <c r="AR65" i="31"/>
  <c r="AJ14" i="30"/>
  <c r="M60" i="31"/>
  <c r="AR88" i="31"/>
  <c r="AR27" i="31"/>
  <c r="AJ18" i="30"/>
  <c r="I8" i="31"/>
  <c r="AF18" i="30"/>
  <c r="AN27" i="31"/>
  <c r="AG21" i="30"/>
  <c r="AP144" i="33"/>
  <c r="AH21" i="30"/>
  <c r="BL115" i="33"/>
  <c r="AQ16" i="31"/>
  <c r="AV6" i="32"/>
  <c r="AI18" i="30"/>
  <c r="AQ27" i="31"/>
  <c r="BB116" i="33"/>
  <c r="BL116" i="33"/>
  <c r="BL117" i="33"/>
  <c r="BB117" i="33"/>
  <c r="AP9" i="31"/>
  <c r="AI13" i="30"/>
  <c r="AI16" i="30" s="1"/>
  <c r="AQ24" i="31"/>
  <c r="AP34" i="31"/>
  <c r="AH20" i="30"/>
  <c r="AF13" i="30"/>
  <c r="AF16" i="30" s="1"/>
  <c r="M18" i="31"/>
  <c r="AN24" i="31"/>
  <c r="AP136" i="33"/>
  <c r="BN136" i="33" s="1"/>
  <c r="AE21" i="30"/>
  <c r="AE24" i="30" s="1"/>
  <c r="I30" i="31"/>
  <c r="AT16" i="31"/>
  <c r="AL8" i="30"/>
  <c r="AL11" i="30" s="1"/>
  <c r="AM20" i="30"/>
  <c r="D18" i="31"/>
  <c r="S13" i="30"/>
  <c r="AA24" i="31"/>
  <c r="H18" i="31"/>
  <c r="AB9" i="31"/>
  <c r="L8" i="31"/>
  <c r="H29" i="31"/>
  <c r="S20" i="30"/>
  <c r="D29" i="31"/>
  <c r="J19" i="28"/>
  <c r="U8" i="30"/>
  <c r="U11" i="30" s="1"/>
  <c r="AC16" i="31"/>
  <c r="H31" i="31"/>
  <c r="D31" i="31"/>
  <c r="U20" i="30"/>
  <c r="AC34" i="31"/>
  <c r="H8" i="31"/>
  <c r="D8" i="31"/>
  <c r="AA8" i="30"/>
  <c r="AA11" i="30" s="1"/>
  <c r="AI16" i="31"/>
  <c r="X18" i="30"/>
  <c r="AF27" i="31"/>
  <c r="Y8" i="30"/>
  <c r="Y11" i="30" s="1"/>
  <c r="AG16" i="31"/>
  <c r="AC20" i="30"/>
  <c r="AC24" i="30" s="1"/>
  <c r="AK34" i="31"/>
  <c r="AB5" i="30"/>
  <c r="AB6" i="30" s="1"/>
  <c r="AG34" i="31"/>
  <c r="Y20" i="30"/>
  <c r="Y24" i="30" s="1"/>
  <c r="W20" i="30"/>
  <c r="AE34" i="31"/>
  <c r="AA5" i="30"/>
  <c r="AA6" i="30" s="1"/>
  <c r="K11" i="31"/>
  <c r="P16" i="31"/>
  <c r="H8" i="30"/>
  <c r="H11" i="30" s="1"/>
  <c r="R24" i="31"/>
  <c r="J13" i="30"/>
  <c r="J16" i="30" s="1"/>
  <c r="G7" i="31"/>
  <c r="C7" i="31"/>
  <c r="O9" i="31"/>
  <c r="W16" i="31"/>
  <c r="O8" i="30"/>
  <c r="O11" i="30" s="1"/>
  <c r="K31" i="31"/>
  <c r="Q21" i="30"/>
  <c r="G18" i="30"/>
  <c r="O27" i="31"/>
  <c r="Q20" i="30"/>
  <c r="Y34" i="31"/>
  <c r="O21" i="30"/>
  <c r="G31" i="31"/>
  <c r="C31" i="31"/>
  <c r="P13" i="30"/>
  <c r="P16" i="30" s="1"/>
  <c r="X24" i="31"/>
  <c r="R27" i="31"/>
  <c r="J18" i="30"/>
  <c r="Z34" i="31"/>
  <c r="R20" i="30"/>
  <c r="R9" i="31"/>
  <c r="G12" i="31"/>
  <c r="C12" i="31"/>
  <c r="AM18" i="30"/>
  <c r="AU27" i="31"/>
  <c r="AI21" i="30"/>
  <c r="AI24" i="30" s="1"/>
  <c r="AM34" i="31"/>
  <c r="AZ125" i="33"/>
  <c r="BN125" i="33"/>
  <c r="BO142" i="33"/>
  <c r="AV14" i="32"/>
  <c r="AW8" i="32"/>
  <c r="BB114" i="33"/>
  <c r="BL114" i="33"/>
  <c r="AV11" i="31"/>
  <c r="AJ13" i="30"/>
  <c r="AZ131" i="33"/>
  <c r="BN131" i="33"/>
  <c r="AU16" i="31"/>
  <c r="AM8" i="30"/>
  <c r="AM11" i="30" s="1"/>
  <c r="AU24" i="31"/>
  <c r="AM13" i="30"/>
  <c r="AM16" i="30" s="1"/>
  <c r="BD9" i="32"/>
  <c r="M13" i="31"/>
  <c r="M26" i="31"/>
  <c r="AH18" i="30"/>
  <c r="AP27" i="31"/>
  <c r="AR34" i="31"/>
  <c r="AJ20" i="30"/>
  <c r="AF20" i="30"/>
  <c r="M29" i="31"/>
  <c r="AN34" i="31"/>
  <c r="BO136" i="33"/>
  <c r="AB136" i="33"/>
  <c r="AG16" i="32" s="1"/>
  <c r="AW6" i="32"/>
  <c r="AY15" i="32"/>
  <c r="AW7" i="32"/>
  <c r="AY8" i="32"/>
  <c r="AW12" i="32"/>
  <c r="AV15" i="32"/>
  <c r="AU15" i="32"/>
  <c r="AW15" i="32"/>
  <c r="BO137" i="33"/>
  <c r="AM5" i="30"/>
  <c r="AM6" i="30" s="1"/>
  <c r="AZ126" i="33"/>
  <c r="BN126" i="33"/>
  <c r="I13" i="31"/>
  <c r="AP24" i="31"/>
  <c r="AK13" i="30"/>
  <c r="AK16" i="30" s="1"/>
  <c r="AS24" i="31"/>
  <c r="AV18" i="31"/>
  <c r="V18" i="30"/>
  <c r="AD27" i="31"/>
  <c r="H13" i="31"/>
  <c r="D13" i="31"/>
  <c r="AK16" i="31"/>
  <c r="AC8" i="30"/>
  <c r="AC11" i="30" s="1"/>
  <c r="L19" i="31"/>
  <c r="Z5" i="30"/>
  <c r="Z6" i="30" s="1"/>
  <c r="AH27" i="31"/>
  <c r="Z18" i="30"/>
  <c r="AC5" i="30"/>
  <c r="AC6" i="30" s="1"/>
  <c r="L12" i="31"/>
  <c r="AA18" i="30"/>
  <c r="AI27" i="31"/>
  <c r="AH24" i="31"/>
  <c r="V20" i="30"/>
  <c r="AD34" i="31"/>
  <c r="AL24" i="31"/>
  <c r="AE9" i="31"/>
  <c r="AK24" i="31"/>
  <c r="AC13" i="30"/>
  <c r="AC16" i="30" s="1"/>
  <c r="AF9" i="31"/>
  <c r="AD16" i="31"/>
  <c r="AD24" i="31"/>
  <c r="V13" i="30"/>
  <c r="V16" i="30" s="1"/>
  <c r="L26" i="31"/>
  <c r="AC27" i="31"/>
  <c r="U18" i="30"/>
  <c r="K8" i="30"/>
  <c r="K11" i="30" s="1"/>
  <c r="S16" i="31"/>
  <c r="I13" i="30"/>
  <c r="I16" i="30" s="1"/>
  <c r="C30" i="31"/>
  <c r="G21" i="30"/>
  <c r="G30" i="31"/>
  <c r="R16" i="31"/>
  <c r="J8" i="30"/>
  <c r="J11" i="30" s="1"/>
  <c r="Q27" i="31"/>
  <c r="I18" i="30"/>
  <c r="U16" i="31"/>
  <c r="Q13" i="30"/>
  <c r="Q16" i="30" s="1"/>
  <c r="Y24" i="31"/>
  <c r="K13" i="30"/>
  <c r="K16" i="30" s="1"/>
  <c r="S24" i="31"/>
  <c r="M13" i="30"/>
  <c r="M16" i="30" s="1"/>
  <c r="X16" i="31"/>
  <c r="P8" i="30"/>
  <c r="P11" i="30" s="1"/>
  <c r="V24" i="31"/>
  <c r="N13" i="30"/>
  <c r="N16" i="30" s="1"/>
  <c r="R34" i="31"/>
  <c r="M5" i="30"/>
  <c r="M6" i="30" s="1"/>
  <c r="L20" i="30"/>
  <c r="T34" i="31"/>
  <c r="P5" i="30"/>
  <c r="P6" i="30" s="1"/>
  <c r="U27" i="31"/>
  <c r="M18" i="30"/>
  <c r="K21" i="30"/>
  <c r="S9" i="31"/>
  <c r="V16" i="31"/>
  <c r="N8" i="30"/>
  <c r="N11" i="30" s="1"/>
  <c r="I20" i="30"/>
  <c r="Q34" i="31"/>
  <c r="BN135" i="33"/>
  <c r="AO27" i="31"/>
  <c r="AG18" i="30"/>
  <c r="AG20" i="30"/>
  <c r="AO34" i="31"/>
  <c r="AK5" i="30"/>
  <c r="AK6" i="30" s="1"/>
  <c r="AO9" i="31"/>
  <c r="M11" i="31"/>
  <c r="AN16" i="31"/>
  <c r="I12" i="31"/>
  <c r="AJ21" i="30"/>
  <c r="BO141" i="33"/>
  <c r="BO140" i="33"/>
  <c r="AR9" i="31"/>
  <c r="AL20" i="30"/>
  <c r="AL24" i="30" s="1"/>
  <c r="AT34" i="31"/>
  <c r="AW16" i="32"/>
  <c r="AM24" i="31"/>
  <c r="AE13" i="30"/>
  <c r="AQ9" i="31"/>
  <c r="AK20" i="30"/>
  <c r="AK24" i="30" s="1"/>
  <c r="AS34" i="31"/>
  <c r="AI8" i="30"/>
  <c r="AI11" i="30" s="1"/>
  <c r="AM9" i="31"/>
  <c r="AR24" i="31"/>
  <c r="T8" i="30"/>
  <c r="T11" i="30" s="1"/>
  <c r="AB16" i="31"/>
  <c r="L11" i="31"/>
  <c r="L30" i="31"/>
  <c r="T21" i="30"/>
  <c r="H7" i="31"/>
  <c r="AA9" i="31"/>
  <c r="D7" i="31"/>
  <c r="X20" i="30"/>
  <c r="X24" i="30" s="1"/>
  <c r="AF34" i="31"/>
  <c r="AC24" i="31"/>
  <c r="U13" i="30"/>
  <c r="U16" i="30" s="1"/>
  <c r="W13" i="30"/>
  <c r="W16" i="30" s="1"/>
  <c r="AE24" i="31"/>
  <c r="AL27" i="31"/>
  <c r="AD18" i="30"/>
  <c r="AA13" i="30"/>
  <c r="AA16" i="30" s="1"/>
  <c r="AI24" i="31"/>
  <c r="AA20" i="30"/>
  <c r="AA24" i="30" s="1"/>
  <c r="AI34" i="31"/>
  <c r="AE16" i="31"/>
  <c r="W8" i="30"/>
  <c r="W11" i="30" s="1"/>
  <c r="AL16" i="31"/>
  <c r="AD8" i="30"/>
  <c r="AD11" i="30" s="1"/>
  <c r="X8" i="30"/>
  <c r="X11" i="30" s="1"/>
  <c r="AF16" i="31"/>
  <c r="AE27" i="31"/>
  <c r="W18" i="30"/>
  <c r="H12" i="31"/>
  <c r="D12" i="31"/>
  <c r="Y13" i="30"/>
  <c r="Y16" i="30" s="1"/>
  <c r="AG24" i="31"/>
  <c r="Y5" i="30"/>
  <c r="Y6" i="30" s="1"/>
  <c r="AB13" i="30"/>
  <c r="AB16" i="30" s="1"/>
  <c r="AJ24" i="31"/>
  <c r="M31" i="31"/>
  <c r="AA27" i="31"/>
  <c r="S18" i="30"/>
  <c r="H26" i="31"/>
  <c r="D26" i="31"/>
  <c r="AH16" i="31"/>
  <c r="Z8" i="30"/>
  <c r="Z11" i="30" s="1"/>
  <c r="I8" i="30"/>
  <c r="I11" i="30" s="1"/>
  <c r="Q16" i="31"/>
  <c r="Y27" i="31"/>
  <c r="Q18" i="30"/>
  <c r="S34" i="31"/>
  <c r="K20" i="30"/>
  <c r="C29" i="31"/>
  <c r="K29" i="31"/>
  <c r="P34" i="31"/>
  <c r="H20" i="30"/>
  <c r="L8" i="30"/>
  <c r="L11" i="30" s="1"/>
  <c r="T16" i="31"/>
  <c r="G20" i="30"/>
  <c r="O34" i="31"/>
  <c r="G29" i="31"/>
  <c r="K19" i="31"/>
  <c r="P27" i="31"/>
  <c r="H18" i="30"/>
  <c r="K26" i="31"/>
  <c r="V27" i="31"/>
  <c r="N18" i="30"/>
  <c r="K12" i="31"/>
  <c r="X27" i="31"/>
  <c r="P18" i="30"/>
  <c r="N5" i="30"/>
  <c r="N6" i="30" s="1"/>
  <c r="O13" i="30"/>
  <c r="O16" i="30" s="1"/>
  <c r="W24" i="31"/>
  <c r="N21" i="30"/>
  <c r="K8" i="31"/>
  <c r="AP143" i="33"/>
  <c r="BO138" i="33"/>
  <c r="BN133" i="33"/>
  <c r="AZ133" i="33"/>
  <c r="AK8" i="30"/>
  <c r="AK11" i="30" s="1"/>
  <c r="AS16" i="31"/>
  <c r="AY16" i="32"/>
  <c r="BL123" i="33"/>
  <c r="AH8" i="30"/>
  <c r="AH11" i="30" s="1"/>
  <c r="AP16" i="31"/>
  <c r="X13" i="30"/>
  <c r="X16" i="30" s="1"/>
  <c r="AF24" i="31"/>
  <c r="M8" i="31"/>
  <c r="AW10" i="32"/>
  <c r="AK18" i="30"/>
  <c r="AS27" i="31"/>
  <c r="AH13" i="30"/>
  <c r="AH16" i="30" s="1"/>
  <c r="AF8" i="30"/>
  <c r="AF11" i="30" s="1"/>
  <c r="M12" i="31"/>
  <c r="M30" i="31"/>
  <c r="AF21" i="30"/>
  <c r="AN20" i="30"/>
  <c r="AN24" i="30" s="1"/>
  <c r="AV34" i="31"/>
  <c r="AE8" i="30"/>
  <c r="AM16" i="31"/>
  <c r="AJ8" i="30"/>
  <c r="AJ11" i="30" s="1"/>
  <c r="BB13" i="32"/>
  <c r="AN5" i="30"/>
  <c r="AN6" i="30" s="1"/>
  <c r="AD20" i="30"/>
  <c r="AD24" i="30" s="1"/>
  <c r="AL34" i="31"/>
  <c r="L29" i="31"/>
  <c r="AB34" i="31"/>
  <c r="T20" i="30"/>
  <c r="H19" i="31"/>
  <c r="D19" i="31"/>
  <c r="I19" i="31"/>
  <c r="AD5" i="30"/>
  <c r="AD6" i="30" s="1"/>
  <c r="L7" i="31"/>
  <c r="AC9" i="31"/>
  <c r="AA34" i="31"/>
  <c r="H30" i="31"/>
  <c r="S21" i="30"/>
  <c r="D30" i="31"/>
  <c r="Z20" i="30"/>
  <c r="Z24" i="30" s="1"/>
  <c r="AH34" i="31"/>
  <c r="AJ27" i="31"/>
  <c r="AB18" i="30"/>
  <c r="Y18" i="30"/>
  <c r="AG27" i="31"/>
  <c r="AJ16" i="31"/>
  <c r="AB8" i="30"/>
  <c r="AB11" i="30" s="1"/>
  <c r="T13" i="30"/>
  <c r="T16" i="30" s="1"/>
  <c r="AB24" i="31"/>
  <c r="L18" i="31"/>
  <c r="AD9" i="31"/>
  <c r="L31" i="31"/>
  <c r="AB20" i="30"/>
  <c r="AB24" i="30" s="1"/>
  <c r="AJ34" i="31"/>
  <c r="AC18" i="30"/>
  <c r="AK27" i="31"/>
  <c r="M19" i="31"/>
  <c r="T18" i="30"/>
  <c r="AB27" i="31"/>
  <c r="S8" i="30"/>
  <c r="H11" i="31"/>
  <c r="D11" i="31"/>
  <c r="AA16" i="31"/>
  <c r="C11" i="31"/>
  <c r="G8" i="30"/>
  <c r="O16" i="31"/>
  <c r="H21" i="30"/>
  <c r="K30" i="31"/>
  <c r="P9" i="31"/>
  <c r="K7" i="31"/>
  <c r="W34" i="31"/>
  <c r="O20" i="30"/>
  <c r="T24" i="31"/>
  <c r="L13" i="30"/>
  <c r="G13" i="30"/>
  <c r="G16" i="30" s="1"/>
  <c r="O24" i="31"/>
  <c r="R5" i="30"/>
  <c r="R6" i="30" s="1"/>
  <c r="G8" i="31"/>
  <c r="C8" i="31"/>
  <c r="V34" i="31"/>
  <c r="N20" i="30"/>
  <c r="K18" i="30"/>
  <c r="S27" i="31"/>
  <c r="O5" i="30"/>
  <c r="O6" i="30" s="1"/>
  <c r="W27" i="31"/>
  <c r="O18" i="30"/>
  <c r="Q5" i="30"/>
  <c r="Q6" i="30" s="1"/>
  <c r="T27" i="31"/>
  <c r="L18" i="30"/>
  <c r="Y16" i="31"/>
  <c r="Q8" i="30"/>
  <c r="Q11" i="30" s="1"/>
  <c r="P20" i="30"/>
  <c r="X34" i="31"/>
  <c r="U34" i="31"/>
  <c r="M20" i="30"/>
  <c r="BO143" i="33"/>
  <c r="AG8" i="30"/>
  <c r="AG11" i="30" s="1"/>
  <c r="AO16" i="31"/>
  <c r="AN9" i="31"/>
  <c r="AJ36" i="30"/>
  <c r="BD49" i="31"/>
  <c r="AR53" i="31"/>
  <c r="BF46" i="31"/>
  <c r="BG46" i="31" s="1"/>
  <c r="BF45" i="31"/>
  <c r="M48" i="31"/>
  <c r="BF47" i="31"/>
  <c r="BG47" i="31" s="1"/>
  <c r="E47" i="31" s="1"/>
  <c r="G26" i="31" l="1"/>
  <c r="BN145" i="33"/>
  <c r="R18" i="30"/>
  <c r="B18" i="30" s="1"/>
  <c r="F313" i="6" s="1"/>
  <c r="AZ139" i="33"/>
  <c r="BL139" i="33" s="1"/>
  <c r="C26" i="31"/>
  <c r="AW29" i="31"/>
  <c r="AL16" i="32"/>
  <c r="BL128" i="33"/>
  <c r="BB128" i="33"/>
  <c r="R24" i="30"/>
  <c r="AW18" i="31"/>
  <c r="AW24" i="31" s="1"/>
  <c r="G13" i="31"/>
  <c r="BB129" i="33"/>
  <c r="AK15" i="32"/>
  <c r="AO18" i="30"/>
  <c r="BN141" i="33"/>
  <c r="C19" i="31"/>
  <c r="AZ138" i="33"/>
  <c r="AX9" i="32" s="1"/>
  <c r="AN7" i="32"/>
  <c r="AG7" i="32"/>
  <c r="AJ16" i="32"/>
  <c r="AH9" i="32"/>
  <c r="AO16" i="32"/>
  <c r="AJ16" i="30"/>
  <c r="AZ140" i="33"/>
  <c r="AX26" i="31" s="1"/>
  <c r="AZ135" i="33"/>
  <c r="AX6" i="32" s="1"/>
  <c r="T24" i="30"/>
  <c r="J24" i="28"/>
  <c r="K24" i="28" s="1"/>
  <c r="V24" i="30"/>
  <c r="AZ137" i="33"/>
  <c r="BL137" i="33" s="1"/>
  <c r="Z16" i="31"/>
  <c r="G16" i="31" s="1"/>
  <c r="R8" i="30"/>
  <c r="R11" i="30" s="1"/>
  <c r="U40" i="31"/>
  <c r="G18" i="31"/>
  <c r="K24" i="31"/>
  <c r="AG36" i="31"/>
  <c r="BF11" i="31"/>
  <c r="C18" i="31"/>
  <c r="O24" i="30"/>
  <c r="O51" i="30" s="1"/>
  <c r="L24" i="30"/>
  <c r="Z24" i="31"/>
  <c r="AD52" i="30"/>
  <c r="C21" i="30"/>
  <c r="I19" i="28" s="1"/>
  <c r="U24" i="30"/>
  <c r="AX12" i="32"/>
  <c r="Y40" i="31"/>
  <c r="AB52" i="30"/>
  <c r="AL36" i="31"/>
  <c r="AG40" i="31"/>
  <c r="AG93" i="31" s="1"/>
  <c r="AG94" i="31" s="1"/>
  <c r="AL40" i="31"/>
  <c r="AL93" i="31" s="1"/>
  <c r="AL94" i="31" s="1"/>
  <c r="AI14" i="32"/>
  <c r="AB12" i="32"/>
  <c r="AH15" i="32"/>
  <c r="AM11" i="32"/>
  <c r="AJ10" i="32"/>
  <c r="BA19" i="31"/>
  <c r="AI11" i="32"/>
  <c r="AO12" i="32"/>
  <c r="AK12" i="32"/>
  <c r="AL13" i="32"/>
  <c r="AO9" i="32"/>
  <c r="AI15" i="32"/>
  <c r="AO7" i="32"/>
  <c r="AH13" i="32"/>
  <c r="AM8" i="32"/>
  <c r="AG6" i="32"/>
  <c r="AL9" i="32"/>
  <c r="AF15" i="32"/>
  <c r="AJ9" i="32"/>
  <c r="AG8" i="32"/>
  <c r="AP6" i="32"/>
  <c r="AK14" i="32"/>
  <c r="AM10" i="32"/>
  <c r="L24" i="31"/>
  <c r="I24" i="30"/>
  <c r="I51" i="30" s="1"/>
  <c r="AM13" i="32"/>
  <c r="AO11" i="32"/>
  <c r="W6" i="32"/>
  <c r="N24" i="30"/>
  <c r="N51" i="30" s="1"/>
  <c r="P24" i="30"/>
  <c r="P51" i="30" s="1"/>
  <c r="X11" i="32"/>
  <c r="AF14" i="32"/>
  <c r="AC12" i="32"/>
  <c r="BN142" i="33"/>
  <c r="AE15" i="32"/>
  <c r="Y14" i="32"/>
  <c r="AC16" i="32"/>
  <c r="X40" i="31"/>
  <c r="Q52" i="30"/>
  <c r="W40" i="31"/>
  <c r="AN13" i="32"/>
  <c r="Y10" i="32"/>
  <c r="W9" i="32"/>
  <c r="K24" i="30"/>
  <c r="I52" i="30"/>
  <c r="L34" i="31"/>
  <c r="T40" i="31"/>
  <c r="AK36" i="31"/>
  <c r="C16" i="31"/>
  <c r="BB26" i="31"/>
  <c r="BF18" i="31"/>
  <c r="AH36" i="31"/>
  <c r="Y52" i="30"/>
  <c r="BB19" i="31"/>
  <c r="AJ36" i="31"/>
  <c r="AI36" i="31"/>
  <c r="AC52" i="30"/>
  <c r="BD18" i="31"/>
  <c r="AI40" i="31"/>
  <c r="AI93" i="31" s="1"/>
  <c r="AI94" i="31" s="1"/>
  <c r="V40" i="31"/>
  <c r="BD31" i="31"/>
  <c r="Q40" i="31"/>
  <c r="AG24" i="30"/>
  <c r="M24" i="30"/>
  <c r="M51" i="30" s="1"/>
  <c r="BC11" i="31"/>
  <c r="AA16" i="32"/>
  <c r="AF7" i="32"/>
  <c r="W14" i="32"/>
  <c r="AA6" i="32"/>
  <c r="AS36" i="31"/>
  <c r="G24" i="30"/>
  <c r="M52" i="30"/>
  <c r="BD19" i="31"/>
  <c r="J15" i="28"/>
  <c r="K15" i="28" s="1"/>
  <c r="BA13" i="31"/>
  <c r="AR89" i="31"/>
  <c r="M88" i="31"/>
  <c r="AR87" i="31"/>
  <c r="E87" i="31" s="1"/>
  <c r="BF58" i="31"/>
  <c r="BG58" i="31" s="1"/>
  <c r="BF77" i="31"/>
  <c r="BG77" i="31" s="1"/>
  <c r="BF78" i="31"/>
  <c r="BG78" i="31" s="1"/>
  <c r="E78" i="31" s="1"/>
  <c r="BF76" i="31"/>
  <c r="BG76" i="31" s="1"/>
  <c r="BF79" i="31"/>
  <c r="BG79" i="31" s="1"/>
  <c r="E79" i="31" s="1"/>
  <c r="BF81" i="31"/>
  <c r="BG81" i="31" s="1"/>
  <c r="E81" i="31" s="1"/>
  <c r="BF80" i="31"/>
  <c r="BG80" i="31" s="1"/>
  <c r="BF64" i="31"/>
  <c r="BG64" i="31" s="1"/>
  <c r="E64" i="31" s="1"/>
  <c r="BF62" i="31"/>
  <c r="BG62" i="31" s="1"/>
  <c r="BF69" i="31"/>
  <c r="BG69" i="31" s="1"/>
  <c r="BF68" i="31"/>
  <c r="BG68" i="31" s="1"/>
  <c r="BF70" i="31"/>
  <c r="BG70" i="31" s="1"/>
  <c r="E70" i="31" s="1"/>
  <c r="BF63" i="31"/>
  <c r="BG63" i="31" s="1"/>
  <c r="BF67" i="31"/>
  <c r="BG67" i="31" s="1"/>
  <c r="BF57" i="31"/>
  <c r="BF59" i="31"/>
  <c r="BG59" i="31" s="1"/>
  <c r="E59" i="31" s="1"/>
  <c r="BF61" i="31"/>
  <c r="BG61" i="31" s="1"/>
  <c r="M65" i="31"/>
  <c r="O525" i="34"/>
  <c r="P525" i="34" s="1"/>
  <c r="P521" i="34"/>
  <c r="BC12" i="31"/>
  <c r="BF60" i="31"/>
  <c r="BG60" i="31" s="1"/>
  <c r="E60" i="31" s="1"/>
  <c r="H34" i="31"/>
  <c r="D34" i="31"/>
  <c r="BA7" i="31"/>
  <c r="BA11" i="31"/>
  <c r="AZ143" i="33"/>
  <c r="AX14" i="32" s="1"/>
  <c r="BN143" i="33"/>
  <c r="Y51" i="30"/>
  <c r="BA31" i="31"/>
  <c r="AI5" i="30"/>
  <c r="AI6" i="30" s="1"/>
  <c r="AI51" i="30" s="1"/>
  <c r="BE33" i="31"/>
  <c r="BE71" i="31"/>
  <c r="BE20" i="31"/>
  <c r="BE23" i="31"/>
  <c r="BE14" i="31"/>
  <c r="BE72" i="31"/>
  <c r="AQ40" i="31"/>
  <c r="AQ36" i="31"/>
  <c r="BE32" i="31"/>
  <c r="BE29" i="31"/>
  <c r="AE16" i="30"/>
  <c r="BC19" i="31"/>
  <c r="BF30" i="31"/>
  <c r="AS40" i="31"/>
  <c r="BE12" i="31"/>
  <c r="BC29" i="31"/>
  <c r="X5" i="30"/>
  <c r="X6" i="30" s="1"/>
  <c r="X51" i="30" s="1"/>
  <c r="AF40" i="31"/>
  <c r="AF36" i="31"/>
  <c r="X52" i="30"/>
  <c r="Z51" i="30"/>
  <c r="AN13" i="30"/>
  <c r="AN16" i="30" s="1"/>
  <c r="AV24" i="31"/>
  <c r="M34" i="31"/>
  <c r="AJ24" i="30"/>
  <c r="BE31" i="31"/>
  <c r="J5" i="30"/>
  <c r="J6" i="30" s="1"/>
  <c r="J51" i="30" s="1"/>
  <c r="J52" i="30"/>
  <c r="G5" i="30"/>
  <c r="C9" i="31"/>
  <c r="O40" i="31"/>
  <c r="G9" i="31"/>
  <c r="G52" i="30"/>
  <c r="AB51" i="30"/>
  <c r="S24" i="30"/>
  <c r="C20" i="30"/>
  <c r="BB18" i="31"/>
  <c r="BD29" i="31"/>
  <c r="AP40" i="31"/>
  <c r="BD20" i="31"/>
  <c r="BD32" i="31"/>
  <c r="BD71" i="31"/>
  <c r="AP36" i="31"/>
  <c r="BD23" i="31"/>
  <c r="AH5" i="30"/>
  <c r="AH6" i="30" s="1"/>
  <c r="BD33" i="31"/>
  <c r="BD14" i="31"/>
  <c r="BD72" i="31"/>
  <c r="BE26" i="31"/>
  <c r="BE11" i="31"/>
  <c r="AN36" i="31"/>
  <c r="AF5" i="30"/>
  <c r="AF6" i="30" s="1"/>
  <c r="BB33" i="31"/>
  <c r="AN40" i="31"/>
  <c r="BB23" i="31"/>
  <c r="BB14" i="31"/>
  <c r="BB72" i="31"/>
  <c r="BB32" i="31"/>
  <c r="BB71" i="31"/>
  <c r="BB20" i="31"/>
  <c r="BB7" i="31"/>
  <c r="H5" i="30"/>
  <c r="H6" i="30" s="1"/>
  <c r="K9" i="31"/>
  <c r="P40" i="31"/>
  <c r="H52" i="30"/>
  <c r="G11" i="30"/>
  <c r="S11" i="30"/>
  <c r="C8" i="30"/>
  <c r="AD51" i="30"/>
  <c r="H42" i="7"/>
  <c r="BB12" i="31"/>
  <c r="N52" i="30"/>
  <c r="BB31" i="31"/>
  <c r="D9" i="31"/>
  <c r="H9" i="31"/>
  <c r="S5" i="30"/>
  <c r="AA40" i="31"/>
  <c r="AA36" i="31"/>
  <c r="S52" i="30"/>
  <c r="BE19" i="31"/>
  <c r="BF32" i="31"/>
  <c r="BF23" i="31"/>
  <c r="BF33" i="31"/>
  <c r="BF14" i="31"/>
  <c r="AR40" i="31"/>
  <c r="AR42" i="31" s="1"/>
  <c r="AJ5" i="30"/>
  <c r="AJ6" i="30" s="1"/>
  <c r="BF71" i="31"/>
  <c r="AR36" i="31"/>
  <c r="BF72" i="31"/>
  <c r="BF20" i="31"/>
  <c r="BF13" i="31"/>
  <c r="BF7" i="31"/>
  <c r="BB11" i="31"/>
  <c r="BC7" i="31"/>
  <c r="AK51" i="30"/>
  <c r="L52" i="30"/>
  <c r="BD13" i="31"/>
  <c r="AK40" i="31"/>
  <c r="Z52" i="30"/>
  <c r="AL8" i="32"/>
  <c r="AL10" i="32"/>
  <c r="AQ6" i="32"/>
  <c r="AH6" i="32"/>
  <c r="AM12" i="32"/>
  <c r="AH11" i="32"/>
  <c r="AO15" i="32"/>
  <c r="AN16" i="32"/>
  <c r="AJ12" i="32"/>
  <c r="AG11" i="32"/>
  <c r="AJ7" i="32"/>
  <c r="AJ8" i="32"/>
  <c r="AG9" i="32"/>
  <c r="AH10" i="32"/>
  <c r="AN6" i="32"/>
  <c r="AK11" i="32"/>
  <c r="AO6" i="32"/>
  <c r="AK9" i="32"/>
  <c r="AI16" i="32"/>
  <c r="AM16" i="32"/>
  <c r="AJ11" i="32"/>
  <c r="AN9" i="32"/>
  <c r="AI8" i="32"/>
  <c r="AL12" i="32"/>
  <c r="AI10" i="32"/>
  <c r="AL11" i="32"/>
  <c r="AG15" i="32"/>
  <c r="AM15" i="32"/>
  <c r="AG13" i="32"/>
  <c r="AO13" i="32"/>
  <c r="AN15" i="32"/>
  <c r="AP9" i="32"/>
  <c r="AM14" i="32"/>
  <c r="AG10" i="32"/>
  <c r="AI6" i="32"/>
  <c r="AN11" i="32"/>
  <c r="AH16" i="32"/>
  <c r="AL7" i="32"/>
  <c r="AI7" i="32"/>
  <c r="AI9" i="32"/>
  <c r="AG14" i="32"/>
  <c r="AN8" i="32"/>
  <c r="AK7" i="32"/>
  <c r="AK10" i="32"/>
  <c r="AK13" i="32"/>
  <c r="AM9" i="32"/>
  <c r="AO8" i="32"/>
  <c r="AM6" i="32"/>
  <c r="AA51" i="30"/>
  <c r="H24" i="31"/>
  <c r="D24" i="31"/>
  <c r="M24" i="31"/>
  <c r="AH24" i="30"/>
  <c r="AX11" i="32"/>
  <c r="BN144" i="33"/>
  <c r="AZ144" i="33"/>
  <c r="BL144" i="33" s="1"/>
  <c r="AO20" i="30"/>
  <c r="V5" i="30"/>
  <c r="V6" i="30" s="1"/>
  <c r="AD36" i="31"/>
  <c r="AD40" i="31"/>
  <c r="V52" i="30"/>
  <c r="U5" i="30"/>
  <c r="U6" i="30" s="1"/>
  <c r="AC40" i="31"/>
  <c r="AC36" i="31"/>
  <c r="U52" i="30"/>
  <c r="B13" i="30"/>
  <c r="B16" i="30" s="1"/>
  <c r="L16" i="30"/>
  <c r="D16" i="31"/>
  <c r="H16" i="31"/>
  <c r="AE11" i="30"/>
  <c r="BB30" i="31"/>
  <c r="BF31" i="31"/>
  <c r="G34" i="31"/>
  <c r="C34" i="31"/>
  <c r="B20" i="30"/>
  <c r="H24" i="30"/>
  <c r="L16" i="31"/>
  <c r="BD8" i="31"/>
  <c r="AE5" i="30"/>
  <c r="BA71" i="31"/>
  <c r="AM36" i="31"/>
  <c r="BA32" i="31"/>
  <c r="BA20" i="31"/>
  <c r="BA23" i="31"/>
  <c r="AM40" i="31"/>
  <c r="BA33" i="31"/>
  <c r="BA72" i="31"/>
  <c r="BA14" i="31"/>
  <c r="BA29" i="31"/>
  <c r="BA26" i="31"/>
  <c r="BF8" i="31"/>
  <c r="BF12" i="31"/>
  <c r="M16" i="31"/>
  <c r="BC23" i="31"/>
  <c r="BC32" i="31"/>
  <c r="BC71" i="31"/>
  <c r="AO40" i="31"/>
  <c r="AO36" i="31"/>
  <c r="AG5" i="30"/>
  <c r="AG6" i="30" s="1"/>
  <c r="BC20" i="31"/>
  <c r="BC14" i="31"/>
  <c r="BC72" i="31"/>
  <c r="BC33" i="31"/>
  <c r="BC13" i="31"/>
  <c r="BC8" i="31"/>
  <c r="BC18" i="31"/>
  <c r="BC26" i="31"/>
  <c r="S40" i="31"/>
  <c r="K5" i="30"/>
  <c r="K6" i="30" s="1"/>
  <c r="K52" i="30"/>
  <c r="P52" i="30"/>
  <c r="C18" i="30"/>
  <c r="AC51" i="30"/>
  <c r="AH40" i="31"/>
  <c r="AF24" i="30"/>
  <c r="BD26" i="31"/>
  <c r="BD12" i="31"/>
  <c r="BL131" i="33"/>
  <c r="BB131" i="33"/>
  <c r="AW7" i="31"/>
  <c r="AN8" i="30"/>
  <c r="AN11" i="30" s="1"/>
  <c r="AV16" i="31"/>
  <c r="BL125" i="33"/>
  <c r="AW31" i="31"/>
  <c r="AO21" i="30" s="1"/>
  <c r="K16" i="31"/>
  <c r="AA52" i="30"/>
  <c r="AE40" i="31"/>
  <c r="AJ40" i="31"/>
  <c r="K19" i="28"/>
  <c r="S16" i="30"/>
  <c r="C13" i="30"/>
  <c r="BC31" i="31"/>
  <c r="BE8" i="31"/>
  <c r="BE30" i="31"/>
  <c r="BC30" i="31"/>
  <c r="BF26" i="31"/>
  <c r="BB8" i="31"/>
  <c r="BD11" i="31"/>
  <c r="BL133" i="33"/>
  <c r="AX16" i="32"/>
  <c r="AZ16" i="32" s="1"/>
  <c r="O52" i="30"/>
  <c r="K34" i="31"/>
  <c r="BE13" i="31"/>
  <c r="BE7" i="31"/>
  <c r="BA18" i="31"/>
  <c r="BA12" i="31"/>
  <c r="R40" i="31"/>
  <c r="B21" i="30"/>
  <c r="W5" i="30"/>
  <c r="W6" i="30" s="1"/>
  <c r="AE36" i="31"/>
  <c r="W52" i="30"/>
  <c r="BL126" i="33"/>
  <c r="BB126" i="33"/>
  <c r="AW11" i="31"/>
  <c r="BB29" i="31"/>
  <c r="BF29" i="31"/>
  <c r="BB13" i="31"/>
  <c r="BF19" i="31"/>
  <c r="Q24" i="30"/>
  <c r="Q51" i="30" s="1"/>
  <c r="W24" i="30"/>
  <c r="J18" i="28"/>
  <c r="T5" i="30"/>
  <c r="T6" i="30" s="1"/>
  <c r="AB36" i="31"/>
  <c r="AB40" i="31"/>
  <c r="L9" i="31"/>
  <c r="T52" i="30"/>
  <c r="BA30" i="31"/>
  <c r="BE18" i="31"/>
  <c r="BD7" i="31"/>
  <c r="BL141" i="33"/>
  <c r="BB141" i="33"/>
  <c r="AX18" i="31"/>
  <c r="BD30" i="31"/>
  <c r="BA8" i="31"/>
  <c r="BF48" i="31"/>
  <c r="BG45" i="31"/>
  <c r="J287" i="6"/>
  <c r="J289" i="6" s="1"/>
  <c r="M40" i="7" s="1"/>
  <c r="E46" i="31"/>
  <c r="D34" i="30"/>
  <c r="D35" i="30"/>
  <c r="AR55" i="31"/>
  <c r="M53" i="31"/>
  <c r="E53" i="31"/>
  <c r="AX10" i="32" l="1"/>
  <c r="AO13" i="30"/>
  <c r="AO16" i="30" s="1"/>
  <c r="BB135" i="33"/>
  <c r="AX11" i="31"/>
  <c r="AP8" i="30" s="1"/>
  <c r="AP11" i="30" s="1"/>
  <c r="R51" i="30"/>
  <c r="AX31" i="31"/>
  <c r="AP21" i="30" s="1"/>
  <c r="T51" i="30"/>
  <c r="Q53" i="30"/>
  <c r="BB140" i="33"/>
  <c r="BL140" i="33"/>
  <c r="AG42" i="31"/>
  <c r="V51" i="30"/>
  <c r="V53" i="30" s="1"/>
  <c r="BL135" i="33"/>
  <c r="BL138" i="33"/>
  <c r="BB138" i="33"/>
  <c r="AX29" i="31"/>
  <c r="AP20" i="30" s="1"/>
  <c r="AJ51" i="30"/>
  <c r="L51" i="30"/>
  <c r="L53" i="30" s="1"/>
  <c r="Z40" i="31"/>
  <c r="G40" i="31" s="1"/>
  <c r="AL42" i="31"/>
  <c r="AI42" i="31"/>
  <c r="U51" i="30"/>
  <c r="U53" i="30" s="1"/>
  <c r="AD53" i="30"/>
  <c r="B8" i="30"/>
  <c r="B11" i="30" s="1"/>
  <c r="AB53" i="30"/>
  <c r="K51" i="30"/>
  <c r="K53" i="30" s="1"/>
  <c r="R52" i="30"/>
  <c r="N53" i="30"/>
  <c r="I53" i="30"/>
  <c r="AC53" i="30"/>
  <c r="G24" i="31"/>
  <c r="BE24" i="31"/>
  <c r="C24" i="31"/>
  <c r="C41" i="31" s="1"/>
  <c r="L19" i="28"/>
  <c r="N19" i="28" s="1"/>
  <c r="Q19" i="28" s="1"/>
  <c r="S19" i="28" s="1"/>
  <c r="AG51" i="30"/>
  <c r="BB24" i="31"/>
  <c r="BF24" i="31"/>
  <c r="BD24" i="31"/>
  <c r="BA24" i="31"/>
  <c r="BC24" i="31"/>
  <c r="Y53" i="30"/>
  <c r="M53" i="30"/>
  <c r="AR93" i="31"/>
  <c r="AJ52" i="30" s="1"/>
  <c r="BF16" i="31"/>
  <c r="X53" i="30"/>
  <c r="BC16" i="31"/>
  <c r="D39" i="7"/>
  <c r="D40" i="7" s="1"/>
  <c r="F40" i="7" s="1"/>
  <c r="J40" i="7" s="1"/>
  <c r="L40" i="7" s="1"/>
  <c r="N40" i="7" s="1"/>
  <c r="I291" i="6" s="1"/>
  <c r="J293" i="6" s="1"/>
  <c r="J297" i="6" s="1"/>
  <c r="AW34" i="31"/>
  <c r="E63" i="31"/>
  <c r="D22" i="30"/>
  <c r="BB34" i="31"/>
  <c r="E76" i="31"/>
  <c r="J230" i="6"/>
  <c r="J232" i="6" s="1"/>
  <c r="M33" i="7" s="1"/>
  <c r="D42" i="30"/>
  <c r="D14" i="30"/>
  <c r="BD9" i="31"/>
  <c r="BG13" i="31"/>
  <c r="D10" i="30" s="1"/>
  <c r="BG19" i="31"/>
  <c r="E19" i="31" s="1"/>
  <c r="BF65" i="31"/>
  <c r="BG65" i="31" s="1"/>
  <c r="E65" i="31" s="1"/>
  <c r="BG57" i="31"/>
  <c r="D9" i="30" s="1"/>
  <c r="E68" i="31"/>
  <c r="D27" i="30"/>
  <c r="E80" i="31"/>
  <c r="J141" i="6"/>
  <c r="J143" i="6" s="1"/>
  <c r="M34" i="7" s="1"/>
  <c r="D44" i="30"/>
  <c r="D34" i="7" s="1"/>
  <c r="F34" i="7" s="1"/>
  <c r="J34" i="7" s="1"/>
  <c r="L34" i="7" s="1"/>
  <c r="J212" i="6"/>
  <c r="J214" i="6" s="1"/>
  <c r="M30" i="7" s="1"/>
  <c r="E67" i="31"/>
  <c r="D26" i="30"/>
  <c r="E69" i="31"/>
  <c r="D28" i="30"/>
  <c r="E77" i="31"/>
  <c r="D43" i="30"/>
  <c r="E33" i="7" s="1"/>
  <c r="E89" i="31"/>
  <c r="M89" i="31"/>
  <c r="AB42" i="31"/>
  <c r="L40" i="31"/>
  <c r="AB93" i="31"/>
  <c r="AB94" i="31" s="1"/>
  <c r="BG8" i="31"/>
  <c r="E8" i="31" s="1"/>
  <c r="BG18" i="31"/>
  <c r="E18" i="31" s="1"/>
  <c r="T53" i="30"/>
  <c r="W51" i="30"/>
  <c r="W53" i="30" s="1"/>
  <c r="BE9" i="31"/>
  <c r="P17" i="7"/>
  <c r="C16" i="30"/>
  <c r="I15" i="28" s="1"/>
  <c r="AJ93" i="31"/>
  <c r="AJ94" i="31" s="1"/>
  <c r="AJ42" i="31"/>
  <c r="AX24" i="31"/>
  <c r="AP13" i="30"/>
  <c r="AP16" i="30" s="1"/>
  <c r="J20" i="28"/>
  <c r="K18" i="28"/>
  <c r="K20" i="28" s="1"/>
  <c r="BF34" i="31"/>
  <c r="BD16" i="31"/>
  <c r="AE42" i="31"/>
  <c r="AE93" i="31"/>
  <c r="AE94" i="31" s="1"/>
  <c r="AH93" i="31"/>
  <c r="AH94" i="31" s="1"/>
  <c r="AH42" i="31"/>
  <c r="BG26" i="31"/>
  <c r="J318" i="6" s="1"/>
  <c r="BG33" i="31"/>
  <c r="E33" i="31" s="1"/>
  <c r="BG32" i="31"/>
  <c r="AE6" i="30"/>
  <c r="AO24" i="30"/>
  <c r="I18" i="31"/>
  <c r="AA42" i="31"/>
  <c r="H40" i="31"/>
  <c r="AA93" i="31"/>
  <c r="AA94" i="31" s="1"/>
  <c r="BG12" i="31"/>
  <c r="E12" i="31" s="1"/>
  <c r="H51" i="30"/>
  <c r="H53" i="30" s="1"/>
  <c r="AN42" i="31"/>
  <c r="AN93" i="31"/>
  <c r="G6" i="30"/>
  <c r="G51" i="30" s="1"/>
  <c r="B5" i="30"/>
  <c r="B6" i="30" s="1"/>
  <c r="BA9" i="31"/>
  <c r="AK42" i="31"/>
  <c r="AK93" i="31"/>
  <c r="AK94" i="31" s="1"/>
  <c r="BC9" i="31"/>
  <c r="S6" i="30"/>
  <c r="S51" i="30" s="1"/>
  <c r="C5" i="30"/>
  <c r="C11" i="30"/>
  <c r="P13" i="7"/>
  <c r="BG7" i="31"/>
  <c r="BB9" i="31"/>
  <c r="AP42" i="31"/>
  <c r="AP93" i="31"/>
  <c r="I18" i="28"/>
  <c r="C24" i="30"/>
  <c r="P21" i="7" s="1"/>
  <c r="J53" i="30"/>
  <c r="P53" i="30"/>
  <c r="AS93" i="31"/>
  <c r="AS42" i="31"/>
  <c r="AQ42" i="31"/>
  <c r="AQ93" i="31"/>
  <c r="BB143" i="33"/>
  <c r="BL143" i="33"/>
  <c r="AX7" i="31"/>
  <c r="AX9" i="31" s="1"/>
  <c r="AZ146" i="33"/>
  <c r="AW9" i="31"/>
  <c r="I24" i="28"/>
  <c r="G315" i="6"/>
  <c r="P26" i="7"/>
  <c r="AO42" i="31"/>
  <c r="AO93" i="31"/>
  <c r="BA16" i="31"/>
  <c r="BG14" i="31"/>
  <c r="E14" i="31" s="1"/>
  <c r="BG23" i="31"/>
  <c r="E23" i="31" s="1"/>
  <c r="B24" i="30"/>
  <c r="BG30" i="31"/>
  <c r="E30" i="31" s="1"/>
  <c r="AC42" i="31"/>
  <c r="AC93" i="31"/>
  <c r="AC94" i="31" s="1"/>
  <c r="BB16" i="31"/>
  <c r="BG31" i="31"/>
  <c r="K40" i="31"/>
  <c r="BD34" i="31"/>
  <c r="C40" i="31"/>
  <c r="D40" i="31"/>
  <c r="D93" i="31" s="1"/>
  <c r="AF42" i="31"/>
  <c r="AF93" i="31"/>
  <c r="AF94" i="31" s="1"/>
  <c r="J313" i="6"/>
  <c r="B21" i="81"/>
  <c r="BE34" i="31"/>
  <c r="AP18" i="30"/>
  <c r="AX27" i="31"/>
  <c r="BG29" i="31"/>
  <c r="BA34" i="31"/>
  <c r="AM42" i="31"/>
  <c r="AM93" i="31"/>
  <c r="AD42" i="31"/>
  <c r="AD93" i="31"/>
  <c r="AD94" i="31" s="1"/>
  <c r="AO8" i="30"/>
  <c r="AO11" i="30" s="1"/>
  <c r="AW16" i="31"/>
  <c r="AV36" i="31"/>
  <c r="BG72" i="31"/>
  <c r="E72" i="31" s="1"/>
  <c r="BG20" i="31"/>
  <c r="AA53" i="30"/>
  <c r="BF9" i="31"/>
  <c r="D41" i="31"/>
  <c r="BG71" i="31"/>
  <c r="E71" i="31" s="1"/>
  <c r="AF51" i="30"/>
  <c r="AH51" i="30"/>
  <c r="Z53" i="30"/>
  <c r="BC34" i="31"/>
  <c r="BE16" i="31"/>
  <c r="O53" i="30"/>
  <c r="BG11" i="31"/>
  <c r="M55" i="31"/>
  <c r="E55" i="31"/>
  <c r="E45" i="31"/>
  <c r="J257" i="6"/>
  <c r="J259" i="6" s="1"/>
  <c r="M37" i="7" s="1"/>
  <c r="D33" i="30"/>
  <c r="BF49" i="31"/>
  <c r="BG48" i="31"/>
  <c r="AX16" i="31" l="1"/>
  <c r="H13" i="32"/>
  <c r="E11" i="31"/>
  <c r="I11" i="31"/>
  <c r="R53" i="30"/>
  <c r="AX34" i="31"/>
  <c r="AX36" i="31" s="1"/>
  <c r="AJ53" i="30"/>
  <c r="AJ55" i="30" s="1"/>
  <c r="I29" i="31"/>
  <c r="AR94" i="31"/>
  <c r="F39" i="7"/>
  <c r="D14" i="7"/>
  <c r="F14" i="7" s="1"/>
  <c r="E13" i="31"/>
  <c r="I7" i="31"/>
  <c r="E82" i="31"/>
  <c r="BG9" i="31"/>
  <c r="D45" i="30"/>
  <c r="D33" i="7"/>
  <c r="F33" i="7" s="1"/>
  <c r="J33" i="7" s="1"/>
  <c r="L33" i="7" s="1"/>
  <c r="N33" i="7" s="1"/>
  <c r="I233" i="6" s="1"/>
  <c r="J235" i="6" s="1"/>
  <c r="J165" i="6"/>
  <c r="D29" i="30"/>
  <c r="N34" i="7"/>
  <c r="AP24" i="30"/>
  <c r="D20" i="30"/>
  <c r="AQ94" i="31"/>
  <c r="AI52" i="30"/>
  <c r="AI53" i="30" s="1"/>
  <c r="AI55" i="30" s="1"/>
  <c r="AS94" i="31"/>
  <c r="AK52" i="30"/>
  <c r="AK53" i="30" s="1"/>
  <c r="E32" i="31"/>
  <c r="J181" i="6"/>
  <c r="J183" i="6" s="1"/>
  <c r="D23" i="30"/>
  <c r="D22" i="7" s="1"/>
  <c r="F22" i="7" s="1"/>
  <c r="AP5" i="30"/>
  <c r="AP6" i="30" s="1"/>
  <c r="AP94" i="31"/>
  <c r="AH52" i="30"/>
  <c r="AH53" i="30" s="1"/>
  <c r="AH55" i="30" s="1"/>
  <c r="C6" i="30"/>
  <c r="P11" i="7"/>
  <c r="B51" i="30"/>
  <c r="G53" i="30"/>
  <c r="D8" i="30"/>
  <c r="I24" i="31"/>
  <c r="R17" i="7"/>
  <c r="P19" i="7"/>
  <c r="R19" i="7" s="1"/>
  <c r="E29" i="31"/>
  <c r="AV16" i="32"/>
  <c r="AP12" i="32"/>
  <c r="AV12" i="32"/>
  <c r="AT7" i="31"/>
  <c r="AQ16" i="32"/>
  <c r="AR14" i="32"/>
  <c r="AT13" i="32"/>
  <c r="AP10" i="32"/>
  <c r="AY13" i="32"/>
  <c r="AU14" i="32"/>
  <c r="AS6" i="32"/>
  <c r="BB6" i="32"/>
  <c r="BD16" i="32"/>
  <c r="AU13" i="32"/>
  <c r="AS16" i="32"/>
  <c r="AS11" i="32"/>
  <c r="G26" i="7" s="1"/>
  <c r="AR11" i="32"/>
  <c r="E26" i="7" s="1"/>
  <c r="BC9" i="32"/>
  <c r="BA8" i="32"/>
  <c r="AS15" i="32"/>
  <c r="AU12" i="32"/>
  <c r="AW9" i="32"/>
  <c r="AQ11" i="32"/>
  <c r="AP14" i="32"/>
  <c r="BD15" i="32"/>
  <c r="AU31" i="31"/>
  <c r="AT11" i="32"/>
  <c r="AR12" i="32"/>
  <c r="AS10" i="32"/>
  <c r="AW11" i="32"/>
  <c r="AP16" i="32"/>
  <c r="AP15" i="32"/>
  <c r="AS9" i="32"/>
  <c r="AR15" i="32"/>
  <c r="AY10" i="32"/>
  <c r="AZ10" i="32" s="1"/>
  <c r="AY6" i="32"/>
  <c r="AQ8" i="32"/>
  <c r="BC10" i="32"/>
  <c r="AQ12" i="32"/>
  <c r="AS14" i="32"/>
  <c r="AU7" i="32"/>
  <c r="AT15" i="32"/>
  <c r="AY7" i="32"/>
  <c r="AZ7" i="32" s="1"/>
  <c r="AU6" i="32"/>
  <c r="BC13" i="32"/>
  <c r="AT6" i="32"/>
  <c r="AS12" i="32"/>
  <c r="AT12" i="32"/>
  <c r="AQ14" i="32"/>
  <c r="AQ15" i="32"/>
  <c r="AQ13" i="32"/>
  <c r="AP8" i="32"/>
  <c r="BD10" i="32"/>
  <c r="AU16" i="32"/>
  <c r="AY11" i="32"/>
  <c r="AZ11" i="32" s="1"/>
  <c r="AT16" i="32"/>
  <c r="AY9" i="32"/>
  <c r="AZ9" i="32" s="1"/>
  <c r="AU10" i="32"/>
  <c r="BD8" i="32"/>
  <c r="AE10" i="32"/>
  <c r="AW13" i="32"/>
  <c r="BD7" i="32"/>
  <c r="AU8" i="32"/>
  <c r="BC7" i="32"/>
  <c r="BA7" i="32"/>
  <c r="AV26" i="31"/>
  <c r="BB14" i="32"/>
  <c r="AV10" i="32"/>
  <c r="BA9" i="32"/>
  <c r="AN14" i="32"/>
  <c r="BA14" i="32"/>
  <c r="BD11" i="32"/>
  <c r="AY14" i="32"/>
  <c r="AZ14" i="32" s="1"/>
  <c r="BB15" i="32"/>
  <c r="BB9" i="32"/>
  <c r="BC6" i="32"/>
  <c r="BA10" i="32"/>
  <c r="BC12" i="32"/>
  <c r="BB8" i="32"/>
  <c r="BD14" i="32"/>
  <c r="BC11" i="32"/>
  <c r="AU11" i="32"/>
  <c r="AV13" i="32"/>
  <c r="AY12" i="32"/>
  <c r="AZ12" i="32" s="1"/>
  <c r="BB16" i="32"/>
  <c r="BA11" i="32"/>
  <c r="BC15" i="32"/>
  <c r="BC16" i="32"/>
  <c r="BA6" i="32"/>
  <c r="F13" i="32"/>
  <c r="AF16" i="32"/>
  <c r="AV7" i="32"/>
  <c r="BC14" i="32"/>
  <c r="AS8" i="32"/>
  <c r="AT14" i="32"/>
  <c r="AP13" i="32"/>
  <c r="BB11" i="32"/>
  <c r="BB10" i="32"/>
  <c r="BA12" i="32"/>
  <c r="AS7" i="32"/>
  <c r="AR9" i="32"/>
  <c r="AT10" i="32"/>
  <c r="AR8" i="32"/>
  <c r="AT8" i="32"/>
  <c r="AU9" i="32"/>
  <c r="BA16" i="32"/>
  <c r="BB12" i="32"/>
  <c r="AV8" i="32"/>
  <c r="BD6" i="32"/>
  <c r="F8" i="32"/>
  <c r="J13" i="32"/>
  <c r="AV9" i="32"/>
  <c r="Y6" i="32"/>
  <c r="AN10" i="32"/>
  <c r="AE13" i="32"/>
  <c r="AR6" i="32"/>
  <c r="AS13" i="32"/>
  <c r="AR10" i="32"/>
  <c r="AT7" i="32"/>
  <c r="AF6" i="32"/>
  <c r="BB7" i="32"/>
  <c r="H11" i="32"/>
  <c r="AE9" i="32"/>
  <c r="AP11" i="32"/>
  <c r="AT9" i="32"/>
  <c r="AR13" i="32"/>
  <c r="AR7" i="32"/>
  <c r="AL6" i="32"/>
  <c r="BA15" i="32"/>
  <c r="BD12" i="32"/>
  <c r="BD13" i="32"/>
  <c r="BA13" i="32"/>
  <c r="U12" i="32"/>
  <c r="AA12" i="32"/>
  <c r="J14" i="32"/>
  <c r="AE12" i="32"/>
  <c r="AF11" i="32"/>
  <c r="AQ7" i="32"/>
  <c r="I14" i="32"/>
  <c r="W12" i="32"/>
  <c r="Y9" i="32"/>
  <c r="W13" i="32"/>
  <c r="AB13" i="32"/>
  <c r="W10" i="32"/>
  <c r="AA11" i="32"/>
  <c r="W8" i="32"/>
  <c r="AF13" i="32"/>
  <c r="AB7" i="32"/>
  <c r="V8" i="32"/>
  <c r="AC15" i="32"/>
  <c r="AE16" i="32"/>
  <c r="AP7" i="32"/>
  <c r="V7" i="32"/>
  <c r="F15" i="32"/>
  <c r="V10" i="32"/>
  <c r="Y13" i="32"/>
  <c r="AC9" i="32"/>
  <c r="AF9" i="32"/>
  <c r="AE14" i="32"/>
  <c r="X8" i="32"/>
  <c r="U10" i="32"/>
  <c r="I12" i="32"/>
  <c r="X12" i="32"/>
  <c r="G12" i="32"/>
  <c r="G9" i="32"/>
  <c r="AW14" i="32"/>
  <c r="AC14" i="32"/>
  <c r="AF12" i="32"/>
  <c r="AA10" i="32"/>
  <c r="AA15" i="32"/>
  <c r="X10" i="32"/>
  <c r="AA8" i="32"/>
  <c r="AA13" i="32"/>
  <c r="AB15" i="32"/>
  <c r="J9" i="32"/>
  <c r="U8" i="32"/>
  <c r="AA7" i="32"/>
  <c r="W15" i="32"/>
  <c r="V6" i="32"/>
  <c r="I6" i="32"/>
  <c r="W11" i="32"/>
  <c r="U7" i="32"/>
  <c r="I7" i="32"/>
  <c r="AK6" i="32"/>
  <c r="V15" i="32"/>
  <c r="AX13" i="32"/>
  <c r="AB11" i="32"/>
  <c r="I16" i="32"/>
  <c r="U14" i="32"/>
  <c r="AB6" i="32"/>
  <c r="U11" i="32"/>
  <c r="AB16" i="32"/>
  <c r="AN12" i="32"/>
  <c r="AQ9" i="32"/>
  <c r="AF10" i="32"/>
  <c r="AX15" i="32"/>
  <c r="AZ15" i="32" s="1"/>
  <c r="U15" i="32"/>
  <c r="Y16" i="32"/>
  <c r="I10" i="32"/>
  <c r="AC13" i="32"/>
  <c r="AO10" i="32"/>
  <c r="Y12" i="32"/>
  <c r="J8" i="32"/>
  <c r="H6" i="32"/>
  <c r="AQ10" i="32"/>
  <c r="X9" i="32"/>
  <c r="K10" i="32"/>
  <c r="K6" i="32"/>
  <c r="U16" i="32"/>
  <c r="AV11" i="32"/>
  <c r="AC7" i="32"/>
  <c r="I8" i="32"/>
  <c r="H7" i="32"/>
  <c r="AJ6" i="32"/>
  <c r="AR16" i="32"/>
  <c r="V11" i="32"/>
  <c r="J7" i="32"/>
  <c r="J6" i="32"/>
  <c r="K7" i="32"/>
  <c r="AE11" i="32"/>
  <c r="AB14" i="32"/>
  <c r="K12" i="32"/>
  <c r="AC11" i="32"/>
  <c r="H14" i="32"/>
  <c r="G15" i="32"/>
  <c r="V9" i="32"/>
  <c r="X6" i="32"/>
  <c r="AE6" i="32"/>
  <c r="W7" i="32"/>
  <c r="X15" i="32"/>
  <c r="V16" i="32"/>
  <c r="AB8" i="32"/>
  <c r="Y11" i="32"/>
  <c r="Y15" i="32"/>
  <c r="V14" i="32"/>
  <c r="U13" i="32"/>
  <c r="X14" i="32"/>
  <c r="V13" i="32"/>
  <c r="K14" i="32"/>
  <c r="W16" i="32"/>
  <c r="Y7" i="32"/>
  <c r="AB10" i="32"/>
  <c r="X16" i="32"/>
  <c r="AE7" i="32"/>
  <c r="K16" i="32"/>
  <c r="J10" i="32"/>
  <c r="AX8" i="32"/>
  <c r="AC6" i="32"/>
  <c r="AO14" i="32"/>
  <c r="AI12" i="32"/>
  <c r="AJ14" i="32"/>
  <c r="F6" i="32"/>
  <c r="H15" i="32"/>
  <c r="AG12" i="32"/>
  <c r="G13" i="32"/>
  <c r="K13" i="32"/>
  <c r="AB9" i="32"/>
  <c r="H10" i="32"/>
  <c r="X7" i="32"/>
  <c r="K8" i="32"/>
  <c r="J12" i="32"/>
  <c r="AC10" i="32"/>
  <c r="AM7" i="32"/>
  <c r="AH7" i="32"/>
  <c r="G10" i="32"/>
  <c r="AH14" i="32"/>
  <c r="G6" i="32"/>
  <c r="AJ13" i="32"/>
  <c r="H8" i="32"/>
  <c r="K15" i="32"/>
  <c r="I11" i="32"/>
  <c r="G7" i="32"/>
  <c r="Y8" i="32"/>
  <c r="AF8" i="32"/>
  <c r="AE8" i="32"/>
  <c r="J15" i="32"/>
  <c r="F7" i="32"/>
  <c r="J11" i="32"/>
  <c r="AH12" i="32"/>
  <c r="AK16" i="32"/>
  <c r="J16" i="32"/>
  <c r="AH8" i="32"/>
  <c r="AJ15" i="32"/>
  <c r="V12" i="32"/>
  <c r="AL14" i="32"/>
  <c r="AI13" i="32"/>
  <c r="H12" i="32"/>
  <c r="AC8" i="32"/>
  <c r="X13" i="32"/>
  <c r="AA14" i="32"/>
  <c r="F10" i="32"/>
  <c r="F11" i="32"/>
  <c r="F12" i="32"/>
  <c r="AL15" i="32"/>
  <c r="AK8" i="32"/>
  <c r="K9" i="32"/>
  <c r="G8" i="32"/>
  <c r="AA9" i="32"/>
  <c r="G14" i="32"/>
  <c r="G16" i="32"/>
  <c r="F9" i="32"/>
  <c r="U9" i="32"/>
  <c r="I13" i="32"/>
  <c r="F14" i="32"/>
  <c r="F16" i="32"/>
  <c r="I15" i="32"/>
  <c r="K11" i="32"/>
  <c r="H16" i="32"/>
  <c r="U6" i="32"/>
  <c r="I9" i="32"/>
  <c r="G11" i="32"/>
  <c r="H9" i="32"/>
  <c r="I20" i="28"/>
  <c r="L18" i="28"/>
  <c r="F14" i="6"/>
  <c r="B52" i="30"/>
  <c r="L15" i="28"/>
  <c r="N15" i="28" s="1"/>
  <c r="Q15" i="28" s="1"/>
  <c r="AW36" i="31"/>
  <c r="AO5" i="30"/>
  <c r="AO6" i="30" s="1"/>
  <c r="AO51" i="30" s="1"/>
  <c r="AW40" i="31"/>
  <c r="I9" i="31"/>
  <c r="I16" i="31"/>
  <c r="AE52" i="30"/>
  <c r="AM94" i="31"/>
  <c r="BG34" i="31"/>
  <c r="BG16" i="31"/>
  <c r="J58" i="6" s="1"/>
  <c r="J315" i="6"/>
  <c r="J320" i="6" s="1"/>
  <c r="M26" i="7" s="1"/>
  <c r="C21" i="81"/>
  <c r="E21" i="81" s="1"/>
  <c r="S53" i="30"/>
  <c r="C51" i="30"/>
  <c r="AF52" i="30"/>
  <c r="AF53" i="30" s="1"/>
  <c r="AF55" i="30" s="1"/>
  <c r="AN94" i="31"/>
  <c r="H42" i="31"/>
  <c r="D42" i="31"/>
  <c r="D94" i="31"/>
  <c r="C55" i="30"/>
  <c r="E20" i="31"/>
  <c r="D15" i="30"/>
  <c r="J121" i="6"/>
  <c r="L42" i="31"/>
  <c r="AG52" i="30"/>
  <c r="AG53" i="30" s="1"/>
  <c r="AG55" i="30" s="1"/>
  <c r="AO94" i="31"/>
  <c r="L24" i="28"/>
  <c r="N24" i="28" s="1"/>
  <c r="Q24" i="28" s="1"/>
  <c r="R21" i="7"/>
  <c r="P23" i="7"/>
  <c r="R23" i="7" s="1"/>
  <c r="P15" i="7"/>
  <c r="R15" i="7" s="1"/>
  <c r="R13" i="7"/>
  <c r="D13" i="30"/>
  <c r="AE51" i="30"/>
  <c r="BG49" i="31"/>
  <c r="E48" i="31"/>
  <c r="D36" i="7"/>
  <c r="D36" i="30"/>
  <c r="F98" i="6" l="1"/>
  <c r="J98" i="6" s="1"/>
  <c r="AX40" i="31"/>
  <c r="J20" i="6"/>
  <c r="E16" i="31"/>
  <c r="I15" i="7"/>
  <c r="I19" i="7"/>
  <c r="H102" i="6"/>
  <c r="J102" i="6" s="1"/>
  <c r="G55" i="6"/>
  <c r="J55" i="6" s="1"/>
  <c r="AZ13" i="32"/>
  <c r="AP51" i="30"/>
  <c r="G15" i="7"/>
  <c r="G11" i="7"/>
  <c r="F52" i="6"/>
  <c r="J52" i="6" s="1"/>
  <c r="D29" i="7"/>
  <c r="D30" i="30"/>
  <c r="F161" i="6"/>
  <c r="G163" i="6"/>
  <c r="F97" i="6"/>
  <c r="E23" i="7"/>
  <c r="I23" i="7"/>
  <c r="AY18" i="32"/>
  <c r="AZ6" i="32"/>
  <c r="E19" i="7"/>
  <c r="AT9" i="31"/>
  <c r="M7" i="31"/>
  <c r="R11" i="7"/>
  <c r="R42" i="7" s="1"/>
  <c r="P10" i="7"/>
  <c r="R10" i="7" s="1"/>
  <c r="P42" i="7"/>
  <c r="AZ8" i="32"/>
  <c r="AX18" i="32"/>
  <c r="H56" i="6"/>
  <c r="J56" i="6" s="1"/>
  <c r="G19" i="7"/>
  <c r="G23" i="7"/>
  <c r="D13" i="7"/>
  <c r="D11" i="30"/>
  <c r="G17" i="6"/>
  <c r="C52" i="30"/>
  <c r="C56" i="30" s="1"/>
  <c r="AX93" i="31"/>
  <c r="AX42" i="31"/>
  <c r="S24" i="28"/>
  <c r="D21" i="28" s="1"/>
  <c r="F21" i="28" s="1"/>
  <c r="B21" i="28"/>
  <c r="AW93" i="31"/>
  <c r="AW42" i="31"/>
  <c r="J14" i="6"/>
  <c r="B9" i="81"/>
  <c r="D17" i="7"/>
  <c r="D16" i="30"/>
  <c r="AE53" i="30"/>
  <c r="AE55" i="30" s="1"/>
  <c r="N18" i="28"/>
  <c r="Q18" i="28" s="1"/>
  <c r="L20" i="28"/>
  <c r="N20" i="28" s="1"/>
  <c r="J122" i="6"/>
  <c r="J124" i="6" s="1"/>
  <c r="D18" i="7"/>
  <c r="F18" i="7" s="1"/>
  <c r="J18" i="7" s="1"/>
  <c r="L18" i="7" s="1"/>
  <c r="S15" i="28"/>
  <c r="B15" i="28"/>
  <c r="J104" i="6"/>
  <c r="G101" i="6"/>
  <c r="I26" i="7"/>
  <c r="C17" i="5"/>
  <c r="C25" i="5" s="1"/>
  <c r="C30" i="5" s="1"/>
  <c r="AV27" i="31"/>
  <c r="AN18" i="30"/>
  <c r="I26" i="31"/>
  <c r="E26" i="31"/>
  <c r="AV40" i="31"/>
  <c r="AM21" i="30"/>
  <c r="E31" i="31"/>
  <c r="AU34" i="31"/>
  <c r="I31" i="31"/>
  <c r="I11" i="7"/>
  <c r="E11" i="7"/>
  <c r="E7" i="31"/>
  <c r="F51" i="6"/>
  <c r="E15" i="7"/>
  <c r="B53" i="30"/>
  <c r="D37" i="7"/>
  <c r="F36" i="7"/>
  <c r="C11" i="81" l="1"/>
  <c r="E42" i="7"/>
  <c r="C53" i="30"/>
  <c r="F29" i="7"/>
  <c r="J29" i="7" s="1"/>
  <c r="L29" i="7" s="1"/>
  <c r="D30" i="7"/>
  <c r="F30" i="7" s="1"/>
  <c r="J30" i="7" s="1"/>
  <c r="L30" i="7" s="1"/>
  <c r="M18" i="7"/>
  <c r="N18" i="7" s="1"/>
  <c r="I126" i="6" s="1"/>
  <c r="J128" i="6" s="1"/>
  <c r="J101" i="6"/>
  <c r="C13" i="81"/>
  <c r="F13" i="7"/>
  <c r="D15" i="7"/>
  <c r="F15" i="7" s="1"/>
  <c r="J15" i="7" s="1"/>
  <c r="L15" i="7" s="1"/>
  <c r="AM24" i="30"/>
  <c r="D21" i="30"/>
  <c r="S18" i="28"/>
  <c r="S20" i="28" s="1"/>
  <c r="D17" i="28" s="1"/>
  <c r="F17" i="28" s="1"/>
  <c r="Q20" i="28"/>
  <c r="B17" i="28" s="1"/>
  <c r="B23" i="28" s="1"/>
  <c r="J51" i="6"/>
  <c r="J60" i="6" s="1"/>
  <c r="J70" i="6" s="1"/>
  <c r="M15" i="7" s="1"/>
  <c r="B11" i="81"/>
  <c r="AV42" i="31"/>
  <c r="AV93" i="31"/>
  <c r="AN51" i="30"/>
  <c r="D18" i="30"/>
  <c r="D25" i="7" s="1"/>
  <c r="AP52" i="30"/>
  <c r="AP53" i="30" s="1"/>
  <c r="AX94" i="31"/>
  <c r="AU40" i="31"/>
  <c r="AU36" i="31"/>
  <c r="I34" i="31"/>
  <c r="F17" i="7"/>
  <c r="J17" i="7" s="1"/>
  <c r="L17" i="7" s="1"/>
  <c r="D19" i="7"/>
  <c r="F19" i="7" s="1"/>
  <c r="J19" i="7" s="1"/>
  <c r="L19" i="7" s="1"/>
  <c r="E34" i="31"/>
  <c r="G42" i="7"/>
  <c r="C15" i="81"/>
  <c r="J163" i="6"/>
  <c r="B13" i="81"/>
  <c r="J97" i="6"/>
  <c r="D15" i="28"/>
  <c r="AW94" i="31"/>
  <c r="AO52" i="30"/>
  <c r="AO53" i="30" s="1"/>
  <c r="C9" i="81"/>
  <c r="E9" i="81" s="1"/>
  <c r="J17" i="6"/>
  <c r="J23" i="6" s="1"/>
  <c r="M11" i="7" s="1"/>
  <c r="AL5" i="30"/>
  <c r="AT40" i="31"/>
  <c r="AT36" i="31"/>
  <c r="M9" i="31"/>
  <c r="E9" i="31"/>
  <c r="I42" i="7"/>
  <c r="J161" i="6"/>
  <c r="B15" i="81"/>
  <c r="F37" i="7"/>
  <c r="E11" i="81" l="1"/>
  <c r="J106" i="6"/>
  <c r="M17" i="7" s="1"/>
  <c r="N17" i="7" s="1"/>
  <c r="I108" i="6" s="1"/>
  <c r="J110" i="6" s="1"/>
  <c r="J168" i="6"/>
  <c r="M23" i="7" s="1"/>
  <c r="S27" i="28"/>
  <c r="N30" i="7"/>
  <c r="I216" i="6" s="1"/>
  <c r="J218" i="6" s="1"/>
  <c r="M31" i="7"/>
  <c r="AM51" i="30"/>
  <c r="N15" i="7"/>
  <c r="I72" i="6" s="1"/>
  <c r="J74" i="6" s="1"/>
  <c r="AU42" i="31"/>
  <c r="I42" i="31" s="1"/>
  <c r="AU93" i="31"/>
  <c r="I40" i="31"/>
  <c r="D23" i="28"/>
  <c r="F15" i="28"/>
  <c r="F23" i="28" s="1"/>
  <c r="AN52" i="30"/>
  <c r="AN53" i="30" s="1"/>
  <c r="AV94" i="31"/>
  <c r="AL6" i="30"/>
  <c r="D5" i="30"/>
  <c r="D6" i="30" s="1"/>
  <c r="AT93" i="31"/>
  <c r="AT42" i="31"/>
  <c r="M40" i="31"/>
  <c r="E40" i="31"/>
  <c r="E93" i="31" s="1"/>
  <c r="E15" i="81"/>
  <c r="D26" i="7"/>
  <c r="F25" i="7"/>
  <c r="F26" i="7" s="1"/>
  <c r="J26" i="7" s="1"/>
  <c r="L26" i="7" s="1"/>
  <c r="N26" i="7" s="1"/>
  <c r="I322" i="6" s="1"/>
  <c r="J324" i="6" s="1"/>
  <c r="D21" i="7"/>
  <c r="D24" i="30"/>
  <c r="E13" i="81"/>
  <c r="J37" i="7"/>
  <c r="J135" i="6" l="1"/>
  <c r="B15" i="5"/>
  <c r="G15" i="5" s="1"/>
  <c r="G13" i="81" s="1"/>
  <c r="I13" i="81" s="1"/>
  <c r="M19" i="7"/>
  <c r="N19" i="7" s="1"/>
  <c r="J223" i="6"/>
  <c r="B21" i="5"/>
  <c r="G21" i="5" s="1"/>
  <c r="G17" i="81" s="1"/>
  <c r="AT94" i="31"/>
  <c r="AL52" i="30"/>
  <c r="D10" i="7"/>
  <c r="D52" i="30"/>
  <c r="B13" i="5"/>
  <c r="G13" i="5" s="1"/>
  <c r="G11" i="81" s="1"/>
  <c r="J81" i="6"/>
  <c r="J329" i="6"/>
  <c r="B17" i="5"/>
  <c r="G17" i="5" s="1"/>
  <c r="G21" i="81" s="1"/>
  <c r="AL51" i="30"/>
  <c r="D51" i="30" s="1"/>
  <c r="D55" i="30"/>
  <c r="E94" i="31"/>
  <c r="F21" i="7"/>
  <c r="D23" i="7"/>
  <c r="F23" i="7" s="1"/>
  <c r="J23" i="7" s="1"/>
  <c r="L23" i="7" s="1"/>
  <c r="N23" i="7" s="1"/>
  <c r="I170" i="6" s="1"/>
  <c r="E42" i="31"/>
  <c r="M42" i="31"/>
  <c r="AM52" i="30"/>
  <c r="AM53" i="30" s="1"/>
  <c r="AU94" i="31"/>
  <c r="L37" i="7"/>
  <c r="N37" i="7" s="1"/>
  <c r="I261" i="6" s="1"/>
  <c r="J263" i="6" s="1"/>
  <c r="B13" i="82" l="1"/>
  <c r="M42" i="7"/>
  <c r="M20" i="7"/>
  <c r="D53" i="30"/>
  <c r="I17" i="81"/>
  <c r="B17" i="82"/>
  <c r="B21" i="82"/>
  <c r="I21" i="81"/>
  <c r="D56" i="30"/>
  <c r="D11" i="7"/>
  <c r="F10" i="7"/>
  <c r="J172" i="6"/>
  <c r="I185" i="6"/>
  <c r="J187" i="6" s="1"/>
  <c r="AL53" i="30"/>
  <c r="I11" i="81"/>
  <c r="B11" i="82"/>
  <c r="B23" i="5"/>
  <c r="J268" i="6"/>
  <c r="F11" i="7" l="1"/>
  <c r="D42" i="7"/>
  <c r="J193" i="6"/>
  <c r="B19" i="5"/>
  <c r="G19" i="5" s="1"/>
  <c r="G15" i="81" s="1"/>
  <c r="G23" i="5"/>
  <c r="I15" i="81" l="1"/>
  <c r="B15" i="82"/>
  <c r="J11" i="7"/>
  <c r="F42" i="7"/>
  <c r="G19" i="81"/>
  <c r="L11" i="7" l="1"/>
  <c r="J42" i="7"/>
  <c r="L42" i="7" s="1"/>
  <c r="N42" i="7" s="1"/>
  <c r="B19" i="82"/>
  <c r="I19" i="81"/>
  <c r="M12" i="7" l="1"/>
  <c r="N11" i="7"/>
  <c r="I25" i="6" s="1"/>
  <c r="J27" i="6" s="1"/>
  <c r="B11" i="5" l="1"/>
  <c r="J35" i="6"/>
  <c r="G11" i="5" l="1"/>
  <c r="B25" i="5"/>
  <c r="B30" i="5" s="1"/>
  <c r="G9" i="81" l="1"/>
  <c r="G25" i="5"/>
  <c r="G30" i="5" s="1"/>
  <c r="I9" i="81" l="1"/>
  <c r="B9" i="82"/>
  <c r="B23" i="82" s="1"/>
  <c r="B31" i="82" s="1"/>
  <c r="BG24" i="31"/>
  <c r="E24" i="31" s="1"/>
</calcChain>
</file>

<file path=xl/sharedStrings.xml><?xml version="1.0" encoding="utf-8"?>
<sst xmlns="http://schemas.openxmlformats.org/spreadsheetml/2006/main" count="27233" uniqueCount="1241">
  <si>
    <t># Contracts</t>
  </si>
  <si>
    <t>Revenue Amount</t>
  </si>
  <si>
    <t>Distribution Charge</t>
  </si>
  <si>
    <t xml:space="preserve"> DSM</t>
  </si>
  <si>
    <t xml:space="preserve"> GSC</t>
  </si>
  <si>
    <t xml:space="preserve"> WNA</t>
  </si>
  <si>
    <t>VDT</t>
  </si>
  <si>
    <t xml:space="preserve"> HEA</t>
  </si>
  <si>
    <t xml:space="preserve"> Gas  Demand</t>
  </si>
  <si>
    <t xml:space="preserve"> Franchise   Fees</t>
  </si>
  <si>
    <t>CC</t>
  </si>
  <si>
    <t>Contract Group ADID</t>
  </si>
  <si>
    <t>Rate Category</t>
  </si>
  <si>
    <t>Tariff</t>
  </si>
  <si>
    <t>CCF</t>
  </si>
  <si>
    <t>$</t>
  </si>
  <si>
    <t>LG&amp;E</t>
  </si>
  <si>
    <t>Large Commercial Customers</t>
  </si>
  <si>
    <t>LGCMG865</t>
  </si>
  <si>
    <t>As-Available Gas Service, Commercial</t>
  </si>
  <si>
    <t>Public Authorities Customers</t>
  </si>
  <si>
    <t>Industrial Customers</t>
  </si>
  <si>
    <t>LGING866</t>
  </si>
  <si>
    <t>As-Available Gas Service, Industrial</t>
  </si>
  <si>
    <t>LGUMG860</t>
  </si>
  <si>
    <t>Commercial Gas Light</t>
  </si>
  <si>
    <t>LGCMG851</t>
  </si>
  <si>
    <t>Firm Commercial Gas Service</t>
  </si>
  <si>
    <t>Residential Customers</t>
  </si>
  <si>
    <t>LGUMG861</t>
  </si>
  <si>
    <t>Insight Gas Generators</t>
  </si>
  <si>
    <t>LGING855</t>
  </si>
  <si>
    <t>Firm Industrial Gas Service</t>
  </si>
  <si>
    <t>LGUMG830</t>
  </si>
  <si>
    <t>Residential Gas Light</t>
  </si>
  <si>
    <t>LGRSG811</t>
  </si>
  <si>
    <t>Residential Gas Service</t>
  </si>
  <si>
    <t>LGRSG840</t>
  </si>
  <si>
    <t>Volunteer Fire Department Gas</t>
  </si>
  <si>
    <t>LGCMG881</t>
  </si>
  <si>
    <t>Gas Transport Service, TS (CGS)</t>
  </si>
  <si>
    <t>TS Commercial</t>
  </si>
  <si>
    <t>LGING882</t>
  </si>
  <si>
    <t>Gas Transport Service, TS (IGS)</t>
  </si>
  <si>
    <t>TS Industrial</t>
  </si>
  <si>
    <t>LGING996</t>
  </si>
  <si>
    <t>Gas Special Contracts - LG&amp;E</t>
  </si>
  <si>
    <t>MC &amp; CR Gas Demand</t>
  </si>
  <si>
    <t>Paddy's Run Transport</t>
  </si>
  <si>
    <t>FT</t>
  </si>
  <si>
    <t>LGCMG895</t>
  </si>
  <si>
    <t>Gas Transport Service, FT Commercial</t>
  </si>
  <si>
    <t>LGING896</t>
  </si>
  <si>
    <t>Gas Transport Service, FT Industrial</t>
  </si>
  <si>
    <t>LGING896PM</t>
  </si>
  <si>
    <t>Gas Transport Service, PS-FT Industrial</t>
  </si>
  <si>
    <t>PS-FT</t>
  </si>
  <si>
    <t>LGING997</t>
  </si>
  <si>
    <t>Gas Transport Service, Paddy's Run</t>
  </si>
  <si>
    <t>Division</t>
  </si>
  <si>
    <t>Bill Class</t>
  </si>
  <si>
    <t>Description</t>
  </si>
  <si>
    <t>Language</t>
  </si>
  <si>
    <t>LGNR</t>
  </si>
  <si>
    <t>ES</t>
  </si>
  <si>
    <t>EN</t>
  </si>
  <si>
    <t>LG&amp;E Commercial Gas Rate CGS</t>
  </si>
  <si>
    <t>LG&amp;E Commercial Gas Rate AAGS</t>
  </si>
  <si>
    <t>LGCMG875</t>
  </si>
  <si>
    <t>Distributed Generation Gas Service</t>
  </si>
  <si>
    <t>LG&amp;E Commercial Gas Rate DGGS</t>
  </si>
  <si>
    <t>Gas Transport - TS Commercial (CGS)</t>
  </si>
  <si>
    <t>LGCMG881PM</t>
  </si>
  <si>
    <t>Gas Transport - PS-TS Pool Manager (CGS)</t>
  </si>
  <si>
    <t>Gas Transport Service, PS-TS (CGS)</t>
  </si>
  <si>
    <t>LGCMG891</t>
  </si>
  <si>
    <t>Gas Transport - TS Commercial (AAGS)</t>
  </si>
  <si>
    <t>Gas Transport Service, TS  (AAGS Comm)</t>
  </si>
  <si>
    <t>LGCMG891PM</t>
  </si>
  <si>
    <t>Gas Trans,  PS-TS Pool Manager AAGS Comm</t>
  </si>
  <si>
    <t>Gas Transport Service, PS-TS (AAGS Comm)</t>
  </si>
  <si>
    <t>Gas Transport - FT Commercial</t>
  </si>
  <si>
    <t>LGCMG895PM</t>
  </si>
  <si>
    <t>Gas Transport - PS-FT Pool Mgr (Comm)</t>
  </si>
  <si>
    <t>Gas Transport Service, PS-FT Commercial</t>
  </si>
  <si>
    <t>LGCMG995</t>
  </si>
  <si>
    <t>Off System Gas Sales</t>
  </si>
  <si>
    <t>LGCUG994</t>
  </si>
  <si>
    <t>Company Use - Gas</t>
  </si>
  <si>
    <t>LGE Company Use - Gas</t>
  </si>
  <si>
    <t>LG&amp;E Industrial Gas Rate</t>
  </si>
  <si>
    <t>LG&amp;E Industrial Gas Rate AAGS</t>
  </si>
  <si>
    <t>Gas Transport - TS Industrial (IGS)</t>
  </si>
  <si>
    <t>LGING882PM</t>
  </si>
  <si>
    <t>Gas Transport - PS-TS Pool Manager (IGS)</t>
  </si>
  <si>
    <t>Gas Transport Service, PS-TS (IGS)</t>
  </si>
  <si>
    <t>LGING892</t>
  </si>
  <si>
    <t>Gas Transport - TS Industrial (AAGS)</t>
  </si>
  <si>
    <t>Gas Transport Service, TS (AAGS Ind)</t>
  </si>
  <si>
    <t>LGING892PM</t>
  </si>
  <si>
    <t>Gas Trans,  PS-TS Pool Manager AAGS Ind</t>
  </si>
  <si>
    <t>Gas Transport Service,  PS-TS (AAGS Ind)</t>
  </si>
  <si>
    <t>Gas Transport - FT Industrial</t>
  </si>
  <si>
    <t>Gas Transport - PS-FT Pool Manager (Ind)</t>
  </si>
  <si>
    <t>LGING995</t>
  </si>
  <si>
    <t>LGRS</t>
  </si>
  <si>
    <t>LG&amp;E Residential Gas Rate</t>
  </si>
  <si>
    <t>LGUM</t>
  </si>
  <si>
    <t>Old Rate Code</t>
  </si>
  <si>
    <t>CGS</t>
  </si>
  <si>
    <t>AAGS-C</t>
  </si>
  <si>
    <t>DGGS-C</t>
  </si>
  <si>
    <t>CGS-TS</t>
  </si>
  <si>
    <t>CGS-TS-PM</t>
  </si>
  <si>
    <t>AAGS-C-TS</t>
  </si>
  <si>
    <t>AAGS-C-TS-PM</t>
  </si>
  <si>
    <t>FT-C</t>
  </si>
  <si>
    <t>FT-C-PM</t>
  </si>
  <si>
    <t>IGS</t>
  </si>
  <si>
    <t>AAGS-I</t>
  </si>
  <si>
    <t>IGS-TS</t>
  </si>
  <si>
    <t>IGS-TS-PM</t>
  </si>
  <si>
    <t>AAGS-I-TS</t>
  </si>
  <si>
    <t>AAGS-I-TS-PM</t>
  </si>
  <si>
    <t>FT-I</t>
  </si>
  <si>
    <t>FT-I-PM</t>
  </si>
  <si>
    <t>OSS-I</t>
  </si>
  <si>
    <t>OSS-C</t>
  </si>
  <si>
    <t>SPC-LGE</t>
  </si>
  <si>
    <t>RGS</t>
  </si>
  <si>
    <t>Company</t>
  </si>
  <si>
    <t>851</t>
  </si>
  <si>
    <t>865</t>
  </si>
  <si>
    <t>875</t>
  </si>
  <si>
    <t>881</t>
  </si>
  <si>
    <t>891</t>
  </si>
  <si>
    <t>895</t>
  </si>
  <si>
    <t>995</t>
  </si>
  <si>
    <t>994</t>
  </si>
  <si>
    <t>855</t>
  </si>
  <si>
    <t>866</t>
  </si>
  <si>
    <t>882</t>
  </si>
  <si>
    <t>892</t>
  </si>
  <si>
    <t>896</t>
  </si>
  <si>
    <t>811</t>
  </si>
  <si>
    <t>840</t>
  </si>
  <si>
    <t>830</t>
  </si>
  <si>
    <t>860</t>
  </si>
  <si>
    <t>861</t>
  </si>
  <si>
    <t>CCF On Peak</t>
  </si>
  <si>
    <t>CCF Off Peak</t>
  </si>
  <si>
    <t>Low Capacity Basic  Service Charges</t>
  </si>
  <si>
    <t>High Capacity Basic  Service Charges</t>
  </si>
  <si>
    <t>Base Energy</t>
  </si>
  <si>
    <t>Gas Transport Purchases</t>
  </si>
  <si>
    <t>Administrative  Charges Revenue</t>
  </si>
  <si>
    <t>Utilization Charge  for Daily Imbalance</t>
  </si>
  <si>
    <t>Taxes</t>
  </si>
  <si>
    <t>Wholesale</t>
  </si>
  <si>
    <t>Receivable Amount</t>
  </si>
  <si>
    <t>Other</t>
  </si>
  <si>
    <t>Revenue Period</t>
  </si>
  <si>
    <t>MCF</t>
  </si>
  <si>
    <t>Revenue</t>
  </si>
  <si>
    <t>Month</t>
  </si>
  <si>
    <t>Intra-company</t>
  </si>
  <si>
    <t>PK</t>
  </si>
  <si>
    <t>Rate Class</t>
  </si>
  <si>
    <t>Rate Code</t>
  </si>
  <si>
    <t>CustChg</t>
  </si>
  <si>
    <t>Admin Chg</t>
  </si>
  <si>
    <t>UCDI Storage</t>
  </si>
  <si>
    <t>Demand Chg</t>
  </si>
  <si>
    <t># of Contracts</t>
  </si>
  <si>
    <t>ACTUAL CHARGES</t>
  </si>
  <si>
    <t>CustChrg</t>
  </si>
  <si>
    <t xml:space="preserve">ACTUALS </t>
  </si>
  <si>
    <t>CCF OnPeak</t>
  </si>
  <si>
    <t>CCF OffPeak</t>
  </si>
  <si>
    <t>CustChrg &gt;5000cf/hr</t>
  </si>
  <si>
    <t>CustRevenue</t>
  </si>
  <si>
    <t>ACTUALS</t>
  </si>
  <si>
    <t>Dist OnPeak CCF</t>
  </si>
  <si>
    <t>Dist OffPeak CCF</t>
  </si>
  <si>
    <t>CustRev &gt;5000cf/hr</t>
  </si>
  <si>
    <t>SumCalc Revenue</t>
  </si>
  <si>
    <t>BilledRevenue</t>
  </si>
  <si>
    <t>CorrFactor</t>
  </si>
  <si>
    <t>DSM Rev</t>
  </si>
  <si>
    <t>HEA</t>
  </si>
  <si>
    <t>CustChg Revenue</t>
  </si>
  <si>
    <t>ADJUSTMENTS</t>
  </si>
  <si>
    <t>CustRev</t>
  </si>
  <si>
    <t>Distribution Revenue</t>
  </si>
  <si>
    <t>GSC Rev</t>
  </si>
  <si>
    <t>WNA Rev</t>
  </si>
  <si>
    <t>GSC</t>
  </si>
  <si>
    <t xml:space="preserve">                     MONTHLY GAS ADJUSTMENTS</t>
  </si>
  <si>
    <t>DSM</t>
  </si>
  <si>
    <t>RATES</t>
  </si>
  <si>
    <t>100 Cu. Ft.)</t>
  </si>
  <si>
    <t>Gas Supply</t>
  </si>
  <si>
    <t>Residential</t>
  </si>
  <si>
    <t>Commercial</t>
  </si>
  <si>
    <t>Value</t>
  </si>
  <si>
    <t>Clause</t>
  </si>
  <si>
    <t>Rate</t>
  </si>
  <si>
    <t xml:space="preserve">CGS, </t>
  </si>
  <si>
    <t xml:space="preserve">Delivery </t>
  </si>
  <si>
    <t>AAGS,</t>
  </si>
  <si>
    <t>Surcredit</t>
  </si>
  <si>
    <t>Cubic Feet)</t>
  </si>
  <si>
    <t>&amp; VFD</t>
  </si>
  <si>
    <t>TS and FT</t>
  </si>
  <si>
    <t>(% X Total Bill)</t>
  </si>
  <si>
    <t># of Contracts-Low Capacity</t>
  </si>
  <si>
    <t># of Contracts-High Capacity</t>
  </si>
  <si>
    <t># of Cust - Low Cap.</t>
  </si>
  <si>
    <t># of Cust - High Cap.</t>
  </si>
  <si>
    <t>(AE)</t>
  </si>
  <si>
    <t>(AF)</t>
  </si>
  <si>
    <t>(AG)</t>
  </si>
  <si>
    <t>(AH)</t>
  </si>
  <si>
    <t>(AI)</t>
  </si>
  <si>
    <t>(AJ)</t>
  </si>
  <si>
    <t>(AK)</t>
  </si>
  <si>
    <t>(AL)</t>
  </si>
  <si>
    <t>(AM)</t>
  </si>
  <si>
    <t>All Adjustments calculated in separate files by Rate Category</t>
  </si>
  <si>
    <t>(G)</t>
  </si>
  <si>
    <t>(H)</t>
  </si>
  <si>
    <t>CustRev &lt;5000cf/hr</t>
  </si>
  <si>
    <t>DistRev</t>
  </si>
  <si>
    <t>GSCRev</t>
  </si>
  <si>
    <t>Gas Transport Sales (CustChg-Distrib)</t>
  </si>
  <si>
    <t>Gas Transport (GSC-DSM)</t>
  </si>
  <si>
    <t>( $ Per 100</t>
  </si>
  <si>
    <t>( $ Per</t>
  </si>
  <si>
    <t>Total CCF</t>
  </si>
  <si>
    <t>Total Revenue</t>
  </si>
  <si>
    <t>Total</t>
  </si>
  <si>
    <t>Gas Supply Expense</t>
  </si>
  <si>
    <t>Purchased Gas</t>
  </si>
  <si>
    <t>Gas to Storage</t>
  </si>
  <si>
    <t>Gas from Storage</t>
  </si>
  <si>
    <t>Other Supply Expenses</t>
  </si>
  <si>
    <t>Other Electric Credits</t>
  </si>
  <si>
    <t xml:space="preserve"> Total Gas Supply Expenses</t>
  </si>
  <si>
    <t>Purchased Gas - Wholesale Sales</t>
  </si>
  <si>
    <t>Wholesale Sales Margin</t>
  </si>
  <si>
    <t>Acquisition and Transportation Incentive</t>
  </si>
  <si>
    <t>Performanced-Based Ratemaking Recovery</t>
  </si>
  <si>
    <t>Other Gas Credits</t>
  </si>
  <si>
    <t>Refunds</t>
  </si>
  <si>
    <t>Gas Supply Actual Adjustment</t>
  </si>
  <si>
    <t>Gas Cost Balance Adjustment</t>
  </si>
  <si>
    <t>Net Gas Supply Expense</t>
  </si>
  <si>
    <t>Pipeline Supplier Demand Component</t>
  </si>
  <si>
    <t>Total Rate RGS</t>
  </si>
  <si>
    <t>Total Rate CGS</t>
  </si>
  <si>
    <t>Total Rate AAGS</t>
  </si>
  <si>
    <t>Total Rate FT</t>
  </si>
  <si>
    <t>Difference</t>
  </si>
  <si>
    <t>($ per Mcf)</t>
  </si>
  <si>
    <t>Demand</t>
  </si>
  <si>
    <t>Demand Revenue</t>
  </si>
  <si>
    <t>LOUISVILLE GAS AND ELECTRIC COMPANY</t>
  </si>
  <si>
    <t>TOTAL</t>
  </si>
  <si>
    <t>Customers</t>
  </si>
  <si>
    <t>Mcf</t>
  </si>
  <si>
    <t>Admin. Chg.</t>
  </si>
  <si>
    <t>Distribution Component</t>
  </si>
  <si>
    <t>DSM Charge</t>
  </si>
  <si>
    <t>Billings</t>
  </si>
  <si>
    <t>Admin. Chgs.</t>
  </si>
  <si>
    <t>Distrib. Chgs.</t>
  </si>
  <si>
    <t>Sub-total</t>
  </si>
  <si>
    <t>DSM Chgs.</t>
  </si>
  <si>
    <t>Calculated Revenue</t>
  </si>
  <si>
    <t>UCDI - Daily Demand Charge</t>
  </si>
  <si>
    <t>UCDI - Daily Storage Charge</t>
  </si>
  <si>
    <t>OFO Charges</t>
  </si>
  <si>
    <t>Sub-Total</t>
  </si>
  <si>
    <t>Plus: Administrative Charges</t>
  </si>
  <si>
    <t>Calculated Revenue (incl. Admin. Chg.)</t>
  </si>
  <si>
    <t>Billing Demand</t>
  </si>
  <si>
    <t>Demand Charge</t>
  </si>
  <si>
    <t>Demand Chgs.</t>
  </si>
  <si>
    <t>Total Calculated Revenue</t>
  </si>
  <si>
    <t>Total Calculated</t>
  </si>
  <si>
    <t>12-month</t>
  </si>
  <si>
    <t>FT-C-Cashout</t>
  </si>
  <si>
    <t>FT-I-Cashout</t>
  </si>
  <si>
    <t>FT-I-PM-Cashout</t>
  </si>
  <si>
    <t>WNA</t>
  </si>
  <si>
    <t>Basic Service Chg</t>
  </si>
  <si>
    <t>Gas Demand</t>
  </si>
  <si>
    <t>Distribution Chg</t>
  </si>
  <si>
    <t>Adjustment</t>
  </si>
  <si>
    <t>Weather</t>
  </si>
  <si>
    <t>Mcf per</t>
  </si>
  <si>
    <t>Net Revenue</t>
  </si>
  <si>
    <t>Residential Rate RGS</t>
  </si>
  <si>
    <t>Commercial Rate CGS</t>
  </si>
  <si>
    <t>Industrial Rate IGS</t>
  </si>
  <si>
    <t>Rate AAGS</t>
  </si>
  <si>
    <t>Rate FT</t>
  </si>
  <si>
    <t>SUMMARY</t>
  </si>
  <si>
    <t>CUSTOMERS NOT BILLED UNDER WEATHER NORMALIZATION ADJUSTMENT CLAUSE</t>
  </si>
  <si>
    <t>CUSTOMERS BILLED UNDER WEATHER NORMALIZATION ADJUSTMENT CLAUSE</t>
  </si>
  <si>
    <t>SUMMARY OF ACTUAL MONTHLY BILLINGS UNDER THE WEATHER NORMALIZATION ADJUSTMENT CLAUSE</t>
  </si>
  <si>
    <t>Actual</t>
  </si>
  <si>
    <t>Normal</t>
  </si>
  <si>
    <t>(under)Actual</t>
  </si>
  <si>
    <t>Normal over/(under) Actual</t>
  </si>
  <si>
    <t xml:space="preserve">  </t>
  </si>
  <si>
    <t>Less:</t>
  </si>
  <si>
    <t>Billing Cycle Heating Degree Days</t>
  </si>
  <si>
    <t>Calendar Month Degree Days</t>
  </si>
  <si>
    <t>12 Months</t>
  </si>
  <si>
    <t>Billed under</t>
  </si>
  <si>
    <t xml:space="preserve">Net  </t>
  </si>
  <si>
    <t xml:space="preserve">Billing Cycle Degree Days </t>
  </si>
  <si>
    <t>Annual</t>
  </si>
  <si>
    <t>Normalization</t>
  </si>
  <si>
    <t xml:space="preserve">(1)     </t>
  </si>
  <si>
    <t xml:space="preserve">(2)     </t>
  </si>
  <si>
    <t xml:space="preserve">(3)     </t>
  </si>
  <si>
    <t xml:space="preserve">(4)     </t>
  </si>
  <si>
    <t xml:space="preserve">(5)     </t>
  </si>
  <si>
    <t xml:space="preserve">(6)     </t>
  </si>
  <si>
    <t xml:space="preserve">(7)     </t>
  </si>
  <si>
    <t xml:space="preserve">(8)     </t>
  </si>
  <si>
    <t xml:space="preserve">(9)     </t>
  </si>
  <si>
    <t xml:space="preserve">(10)    </t>
  </si>
  <si>
    <t xml:space="preserve">(11)    </t>
  </si>
  <si>
    <t>BILLINGS:</t>
  </si>
  <si>
    <t xml:space="preserve">MCF    </t>
  </si>
  <si>
    <t>to Revenue</t>
  </si>
  <si>
    <t>Non-Temp</t>
  </si>
  <si>
    <t>Temp</t>
  </si>
  <si>
    <t>Net</t>
  </si>
  <si>
    <t xml:space="preserve">Sales &amp; </t>
  </si>
  <si>
    <t>Sensitive</t>
  </si>
  <si>
    <t>Departure</t>
  </si>
  <si>
    <t xml:space="preserve">Net </t>
  </si>
  <si>
    <t>MCF Sales</t>
  </si>
  <si>
    <t>Trans.</t>
  </si>
  <si>
    <t>Sales &amp;</t>
  </si>
  <si>
    <t>Degree</t>
  </si>
  <si>
    <t>From</t>
  </si>
  <si>
    <t>Per Mcf</t>
  </si>
  <si>
    <t>&amp; Trans,</t>
  </si>
  <si>
    <t>(Jul - Aug)</t>
  </si>
  <si>
    <t>Full Year</t>
  </si>
  <si>
    <t>Days</t>
  </si>
  <si>
    <t>Day</t>
  </si>
  <si>
    <t>Sold</t>
  </si>
  <si>
    <t>col 2 x 6</t>
  </si>
  <si>
    <t xml:space="preserve">col 1 - col 3 </t>
  </si>
  <si>
    <t>col 4 / col 5</t>
  </si>
  <si>
    <t>col 7 - col 5</t>
  </si>
  <si>
    <t>col 6 x col 8</t>
  </si>
  <si>
    <t>col 9 x col 10</t>
  </si>
  <si>
    <t xml:space="preserve">     Total Billings</t>
  </si>
  <si>
    <t>Unit</t>
  </si>
  <si>
    <t>APPLICABLE MCF:</t>
  </si>
  <si>
    <t>As Available Gas Service (AAGS)</t>
  </si>
  <si>
    <t xml:space="preserve">Mcf  </t>
  </si>
  <si>
    <t>Price</t>
  </si>
  <si>
    <t>Industrial</t>
  </si>
  <si>
    <t>Actual Billing Adustments (Mcf and Revenue) under WNA - 6 mos.  (see page 4)</t>
  </si>
  <si>
    <t xml:space="preserve">      Total Rate AAGS</t>
  </si>
  <si>
    <t>Degree Day Deficiency  for 12 months as compared to WNA Period -</t>
  </si>
  <si>
    <t xml:space="preserve">     Total Mcf</t>
  </si>
  <si>
    <t>Calculated Adjustment (Mcf and Revenue) to Temperature Normalize for 12 months -</t>
  </si>
  <si>
    <t>Net Adjustment for Residential Rate RGS</t>
  </si>
  <si>
    <t>Total Net Temperature Normalization Adjustment for Customers Not Billed Under the WNA</t>
  </si>
  <si>
    <t>Actual Billing Adustments (Mcf and Revenue) under WNA - 5 mos.  (see page 4)</t>
  </si>
  <si>
    <t>Notes:</t>
  </si>
  <si>
    <t>Non-Temperature Sensitive Sales and Transportation are based on July and August deliveries.</t>
  </si>
  <si>
    <t>Net Adjustment for Residential Rate CGS</t>
  </si>
  <si>
    <t>Total Net Temperature Normalization Adjustment for Customers Billed Under the WNA</t>
  </si>
  <si>
    <t xml:space="preserve">(1)    </t>
  </si>
  <si>
    <t xml:space="preserve">(2)    </t>
  </si>
  <si>
    <t xml:space="preserve">(3)    </t>
  </si>
  <si>
    <t xml:space="preserve">(4)    </t>
  </si>
  <si>
    <t xml:space="preserve">(6)    </t>
  </si>
  <si>
    <t xml:space="preserve">(7)    </t>
  </si>
  <si>
    <t xml:space="preserve">Less:  </t>
  </si>
  <si>
    <t>Calculated</t>
  </si>
  <si>
    <t>excluding</t>
  </si>
  <si>
    <t>Demand-Side</t>
  </si>
  <si>
    <t>Column 2</t>
  </si>
  <si>
    <t>Billed</t>
  </si>
  <si>
    <t>Adjusted to</t>
  </si>
  <si>
    <t>Cost (GSC)</t>
  </si>
  <si>
    <t xml:space="preserve">GSC </t>
  </si>
  <si>
    <t>Mgmt. (DSM)</t>
  </si>
  <si>
    <t>divided by</t>
  </si>
  <si>
    <t>Cashouts and</t>
  </si>
  <si>
    <t xml:space="preserve">at </t>
  </si>
  <si>
    <t>as Billed Basis</t>
  </si>
  <si>
    <t>Page 1, Col. 7</t>
  </si>
  <si>
    <t>Pages 3 thru 9</t>
  </si>
  <si>
    <t>Column 1</t>
  </si>
  <si>
    <t>Off-system sales</t>
  </si>
  <si>
    <t>Base Rates</t>
  </si>
  <si>
    <t>GAS SALES AND TRANSPORTATION</t>
  </si>
  <si>
    <t xml:space="preserve">Residential Gas Service Rate RGS </t>
  </si>
  <si>
    <t xml:space="preserve">     Total Residential Gas Service Rate RGS </t>
  </si>
  <si>
    <t xml:space="preserve">Firm Commercial Gas Service Rate CGS </t>
  </si>
  <si>
    <t>Gas Transportation Service/Standby Rider to Rate CGS</t>
  </si>
  <si>
    <t xml:space="preserve">     Total Firm Commercial Gas Service Rate CGS</t>
  </si>
  <si>
    <t xml:space="preserve">Firm Industrial Gas Service Rate IGS </t>
  </si>
  <si>
    <t>Gas Transportation Service/Standby Rider to Rate IGS</t>
  </si>
  <si>
    <t xml:space="preserve">     Total Firm Industrial Gas Service Rate IGS</t>
  </si>
  <si>
    <t>As Available Gas Service</t>
  </si>
  <si>
    <t xml:space="preserve">     Total Rate AAGS</t>
  </si>
  <si>
    <t>Firm Transportation Service Rate FT</t>
  </si>
  <si>
    <t xml:space="preserve">     Total Rate FT</t>
  </si>
  <si>
    <t xml:space="preserve">     Pooling Service Rate PS-FT</t>
  </si>
  <si>
    <t xml:space="preserve">     Total Intra-Company</t>
  </si>
  <si>
    <t>Total Ultimate Consumers</t>
  </si>
  <si>
    <t>Grand Total</t>
  </si>
  <si>
    <t>WNA Revenue</t>
  </si>
  <si>
    <t>Billing Adjustments</t>
  </si>
  <si>
    <t>Present</t>
  </si>
  <si>
    <t>@ Present</t>
  </si>
  <si>
    <t>Rates</t>
  </si>
  <si>
    <t>RATE RGS:</t>
  </si>
  <si>
    <t>Residential Gas Service Rate RGS</t>
  </si>
  <si>
    <t>Customer Charges</t>
  </si>
  <si>
    <t>Distribution Cost Component</t>
  </si>
  <si>
    <t>RATE CGS:</t>
  </si>
  <si>
    <t>Firm Commercial Gas Service Rate CGS</t>
  </si>
  <si>
    <t>On Peak Mcf</t>
  </si>
  <si>
    <t>Off Peak Mcf</t>
  </si>
  <si>
    <t>Administrative Charges</t>
  </si>
  <si>
    <t>RATE IGS:</t>
  </si>
  <si>
    <t>Firm Industrial Gas Service Rate IGS</t>
  </si>
  <si>
    <t>RATE FT:</t>
  </si>
  <si>
    <t>Firm Transportation Service (Non-Standby) Rate FT</t>
  </si>
  <si>
    <t>RATE PS-FT:</t>
  </si>
  <si>
    <t>Pooling Service Rate PS - FT</t>
  </si>
  <si>
    <t>AAGS</t>
  </si>
  <si>
    <t>Distribution Cost Component (MCF)</t>
  </si>
  <si>
    <t>TSC-Cashout</t>
  </si>
  <si>
    <t>TSI-Cashout</t>
  </si>
  <si>
    <t>Customer-Mos.</t>
  </si>
  <si>
    <t xml:space="preserve">Mcf      </t>
  </si>
  <si>
    <t>SALES</t>
  </si>
  <si>
    <t>Total Residential</t>
  </si>
  <si>
    <t>AAGS - Commercial</t>
  </si>
  <si>
    <t>Total Commercial</t>
  </si>
  <si>
    <t>AAGS - Industrial</t>
  </si>
  <si>
    <t>Total Industrial</t>
  </si>
  <si>
    <t>Billing Adjustments (see below for detail)</t>
  </si>
  <si>
    <t xml:space="preserve">INTRA-COMPANY </t>
  </si>
  <si>
    <t>Total Intra-Company (unadjusted)</t>
  </si>
  <si>
    <t>TOTAL - Intra-Company -adjusted</t>
  </si>
  <si>
    <t>TRANSPORTATION</t>
  </si>
  <si>
    <t>Rate TS / IGS</t>
  </si>
  <si>
    <t>Rate FT Commercial</t>
  </si>
  <si>
    <t>Rate FT Industrial</t>
  </si>
  <si>
    <t>Total Rate FT - Transportation</t>
  </si>
  <si>
    <t>TOTAL Transportation</t>
  </si>
  <si>
    <t>Total AAGS</t>
  </si>
  <si>
    <t>CGS Mcf / 1st 100</t>
  </si>
  <si>
    <t>Off-Peak Mcf - (&gt; 100)</t>
  </si>
  <si>
    <t>Total Mcf</t>
  </si>
  <si>
    <t>Distrib. Component - (1st 100 Mcf)</t>
  </si>
  <si>
    <t>Distrib. Component - (&gt;100 Mcf)</t>
  </si>
  <si>
    <t>Distrib. Chgs. - (CGS Mcf / 1st 100)</t>
  </si>
  <si>
    <t>Distrib. Chgs. - (Off-Peak Mcf &gt;100)</t>
  </si>
  <si>
    <t>Billing Adjustments (see SBR)</t>
  </si>
  <si>
    <t>REVENUE</t>
  </si>
  <si>
    <t xml:space="preserve">Mcf   </t>
  </si>
  <si>
    <t xml:space="preserve">  Total Residential Gas Service Rate RGS </t>
  </si>
  <si>
    <t>Transportation Service/Standby Rider to Rate CGS</t>
  </si>
  <si>
    <t xml:space="preserve">  Total Firm Commercial Gas Service Rate CGS</t>
  </si>
  <si>
    <t>Transportation Service/Standby Rider to Rate IGS</t>
  </si>
  <si>
    <t xml:space="preserve">  Total Firm Industrial Gas Service Rate IGS</t>
  </si>
  <si>
    <t xml:space="preserve">As Available Gas Service - Commercial  </t>
  </si>
  <si>
    <t>As Available Gas Service - Industrial</t>
  </si>
  <si>
    <t xml:space="preserve">  Total Rate AAGS</t>
  </si>
  <si>
    <t>Firm Transportation Service Rate FT - Commercial</t>
  </si>
  <si>
    <t>Firm Transportation Service Rate FT - Industrial</t>
  </si>
  <si>
    <t>Firm Transportation Service Rate FT - Public Authority</t>
  </si>
  <si>
    <t xml:space="preserve">  Firm Transportation Service Rate FT</t>
  </si>
  <si>
    <t xml:space="preserve">  Total Rate FT</t>
  </si>
  <si>
    <t xml:space="preserve">     Total IntraCompany Sales &amp; Rate FT</t>
  </si>
  <si>
    <t xml:space="preserve">  Pooling Service Rate PS-FT</t>
  </si>
  <si>
    <t xml:space="preserve">     Total Sales and Transportation Service</t>
  </si>
  <si>
    <t xml:space="preserve">  Total Sales and Transportation Service</t>
  </si>
  <si>
    <t>As Available Gas Service Rate AAGS</t>
  </si>
  <si>
    <t>Off-Peak</t>
  </si>
  <si>
    <t>INTRA-COMPANY SPECIAL CONTRACTS</t>
  </si>
  <si>
    <t>Customers for the 12-Month Period</t>
  </si>
  <si>
    <t>Underground Gas Storage Losses</t>
  </si>
  <si>
    <t>UCDI-Demand</t>
  </si>
  <si>
    <t>UCDI-Storage</t>
  </si>
  <si>
    <t xml:space="preserve">Key Column for </t>
  </si>
  <si>
    <t>Lookups</t>
  </si>
  <si>
    <t>Customer Count</t>
  </si>
  <si>
    <t>UCDI</t>
  </si>
  <si>
    <t>FT Commercial</t>
  </si>
  <si>
    <t>FT Industrial</t>
  </si>
  <si>
    <t>PS-FT Industrial</t>
  </si>
  <si>
    <t>Public Authority FT Industrial</t>
  </si>
  <si>
    <t>Public Authority FT Commercial</t>
  </si>
  <si>
    <t>Intercompany</t>
  </si>
  <si>
    <t>For Rate FT Lookups</t>
  </si>
  <si>
    <t>SEE ADJUSTMENTS TAB FOR CUSTOMER COUNTS</t>
  </si>
  <si>
    <t>CustRevenue / CustRev &lt;5000cf/hr</t>
  </si>
  <si>
    <t>from TS Tab</t>
  </si>
  <si>
    <t>Bruise Report Description</t>
  </si>
  <si>
    <t>Key Lookup</t>
  </si>
  <si>
    <t>GDISTR</t>
  </si>
  <si>
    <t>LG&amp;E and KU Energy LLC</t>
  </si>
  <si>
    <t>Last Data Update:</t>
  </si>
  <si>
    <t>Dynamic Filters</t>
  </si>
  <si>
    <t>Gas Transport</t>
  </si>
  <si>
    <t>StatisticGrp Amount</t>
  </si>
  <si>
    <t>GTPADM</t>
  </si>
  <si>
    <t>GCASHO</t>
  </si>
  <si>
    <t>Gas Distribution Charge D</t>
  </si>
  <si>
    <t>GMMBTU</t>
  </si>
  <si>
    <t>GCSTCH</t>
  </si>
  <si>
    <t>GTPDEM</t>
  </si>
  <si>
    <t>GPLSDC</t>
  </si>
  <si>
    <t>Admin Chg - Pools</t>
  </si>
  <si>
    <t>Revenue Reporting</t>
  </si>
  <si>
    <t xml:space="preserve">  Daily Demand Charge (UCDI)</t>
  </si>
  <si>
    <t xml:space="preserve">  Daily Storage Charge (UCDI)</t>
  </si>
  <si>
    <t>Billed Month</t>
  </si>
  <si>
    <t>Revenue Month</t>
  </si>
  <si>
    <t>(cashout item)</t>
  </si>
  <si>
    <t>Pipeline</t>
  </si>
  <si>
    <t>Suppliers</t>
  </si>
  <si>
    <t>Component</t>
  </si>
  <si>
    <t>GSC Chgs</t>
  </si>
  <si>
    <t>GSC Chg</t>
  </si>
  <si>
    <t>Rate TS / IGS CASHOUTS</t>
  </si>
  <si>
    <t>INTRA-COMPANY</t>
  </si>
  <si>
    <t>CASHOUTS - added to RETAIL SALES (IGS)</t>
  </si>
  <si>
    <t xml:space="preserve">INTRA-COMPANY - CASHOUTS </t>
  </si>
  <si>
    <t>GDEMAN</t>
  </si>
  <si>
    <t>Gas Demand Chg</t>
  </si>
  <si>
    <t xml:space="preserve">  Total Retail -Adjusted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</si>
  <si>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</si>
  <si>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</si>
  <si>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</si>
  <si>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</si>
  <si>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</si>
  <si>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</si>
  <si>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</si>
  <si>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</si>
  <si>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</si>
  <si>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</si>
  <si>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</si>
  <si>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</si>
  <si>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</si>
  <si>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</si>
  <si>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</si>
  <si>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</si>
  <si>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</si>
  <si>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</si>
  <si>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</si>
  <si>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</si>
  <si>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</si>
  <si>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</si>
  <si>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</si>
  <si>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</si>
  <si>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</si>
  <si>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</si>
  <si>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</si>
  <si>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</si>
  <si>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</si>
  <si>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</si>
  <si>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</si>
  <si>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</si>
  <si>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</si>
  <si>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</si>
  <si>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</si>
  <si>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Rate RGS</t>
  </si>
  <si>
    <t>Rate CGS</t>
  </si>
  <si>
    <t>Rate IGS</t>
  </si>
  <si>
    <t>INTRA-COMPANY - SPECIAL CONTRACT RETAIL</t>
  </si>
  <si>
    <t>Cashout</t>
  </si>
  <si>
    <t>TS only</t>
  </si>
  <si>
    <t>TOTAL - PVA</t>
  </si>
  <si>
    <t>TOTAL - Billing Determinants</t>
  </si>
  <si>
    <t>Base Rate</t>
  </si>
  <si>
    <t>Basic Service Charge</t>
  </si>
  <si>
    <t>Subtotal</t>
  </si>
  <si>
    <t>Cust Chg</t>
  </si>
  <si>
    <t>Total Retail - Unadjusted</t>
  </si>
  <si>
    <t>Correction Factor</t>
  </si>
  <si>
    <t>Proposed rate in most recent GSC filing</t>
  </si>
  <si>
    <t>Total Industrial Gas Service Rate IGS</t>
  </si>
  <si>
    <t>Basic Service Charge (meters &lt; 5000 cfh)</t>
  </si>
  <si>
    <t>Basic Service Charge (meters 5000 cfh or &gt;)</t>
  </si>
  <si>
    <t>Total Intra-Company Special Contract - Sales Service</t>
  </si>
  <si>
    <t>Intra-Company Special Contract - Sales Service</t>
  </si>
  <si>
    <t xml:space="preserve">  Subtotal</t>
  </si>
  <si>
    <t>Residential Gas Service - Rate RGS</t>
  </si>
  <si>
    <t>Commercial Gas Service - Rate CGS</t>
  </si>
  <si>
    <t>Industrial Gas Service - Rate IGS</t>
  </si>
  <si>
    <t>As-Available Gas Service - Rate AAGS</t>
  </si>
  <si>
    <t>Special Contract - Intra-Company Sales</t>
  </si>
  <si>
    <t>Total Sales to Ultimate Consumers and Inter-Company</t>
  </si>
  <si>
    <t>Current</t>
  </si>
  <si>
    <t>Other Gas Revenue</t>
  </si>
  <si>
    <t>Miscellaneous Service Revenue</t>
  </si>
  <si>
    <t>Subtotal Sales to Ultimate Consumers and Inter-Company</t>
  </si>
  <si>
    <t>Miscellaneous Revenue</t>
  </si>
  <si>
    <t xml:space="preserve">(8)    </t>
  </si>
  <si>
    <t xml:space="preserve">(9)    </t>
  </si>
  <si>
    <t>(11)</t>
  </si>
  <si>
    <t>(12)</t>
  </si>
  <si>
    <t>(13)</t>
  </si>
  <si>
    <r>
      <t xml:space="preserve">  Rate RGS</t>
    </r>
    <r>
      <rPr>
        <sz val="12"/>
        <rFont val="Times New Roman"/>
        <family val="1"/>
      </rPr>
      <t xml:space="preserve"> </t>
    </r>
  </si>
  <si>
    <r>
      <t>Residential Rate RGS</t>
    </r>
    <r>
      <rPr>
        <sz val="12"/>
        <rFont val="Times New Roman"/>
        <family val="1"/>
      </rPr>
      <t xml:space="preserve"> - see page 3</t>
    </r>
  </si>
  <si>
    <r>
      <t xml:space="preserve">  Rate CGS</t>
    </r>
    <r>
      <rPr>
        <sz val="12"/>
        <rFont val="Times New Roman"/>
        <family val="1"/>
      </rPr>
      <t xml:space="preserve"> </t>
    </r>
  </si>
  <si>
    <r>
      <t>Commercial Rate CGS</t>
    </r>
    <r>
      <rPr>
        <sz val="12"/>
        <rFont val="Times New Roman"/>
        <family val="1"/>
      </rPr>
      <t xml:space="preserve"> - see page 3</t>
    </r>
  </si>
  <si>
    <r>
      <t>Industrial Rate IGS</t>
    </r>
    <r>
      <rPr>
        <sz val="12"/>
        <rFont val="Times New Roman"/>
        <family val="1"/>
      </rPr>
      <t xml:space="preserve"> - see page 2</t>
    </r>
  </si>
  <si>
    <r>
      <t>Rate FT</t>
    </r>
    <r>
      <rPr>
        <sz val="12"/>
        <rFont val="Times New Roman"/>
        <family val="1"/>
      </rPr>
      <t xml:space="preserve"> - see page 2</t>
    </r>
  </si>
  <si>
    <r>
      <t xml:space="preserve">       </t>
    </r>
    <r>
      <rPr>
        <b/>
        <sz val="12"/>
        <rFont val="Times New Roman"/>
        <family val="1"/>
      </rPr>
      <t>Total</t>
    </r>
  </si>
  <si>
    <r>
      <rPr>
        <b/>
        <sz val="12"/>
        <rFont val="Times New Roman"/>
        <family val="1"/>
      </rPr>
      <t>Note:</t>
    </r>
    <r>
      <rPr>
        <sz val="12"/>
        <rFont val="Times New Roman"/>
        <family val="1"/>
      </rPr>
      <t xml:space="preserve">  WNA Billings are included in "Sales."  However, the applicable volumes used to compute the Billings are not included</t>
    </r>
  </si>
  <si>
    <t>Rate DGGS</t>
  </si>
  <si>
    <t>Monthly Transport Customer Charge</t>
  </si>
  <si>
    <r>
      <t xml:space="preserve">Rate AAGS - </t>
    </r>
    <r>
      <rPr>
        <sz val="12"/>
        <rFont val="Times New Roman"/>
        <family val="1"/>
      </rPr>
      <t>see page 2</t>
    </r>
  </si>
  <si>
    <t>Mcfd</t>
  </si>
  <si>
    <t>Gas Transport Service, TS /TS-2  (AAGS Comm)</t>
  </si>
  <si>
    <t>Gas Transport Service, PS-TS/PS-TS-2  (AAGS Comm)</t>
  </si>
  <si>
    <t>Gas Transport Service, TS/TS-2 (AAGS Ind)</t>
  </si>
  <si>
    <t>Gas Transport Service,  PS-TS/TS-2 (AAGS Ind)</t>
  </si>
  <si>
    <t>On-Peak Distribution</t>
  </si>
  <si>
    <t>Off-Peak Distribution</t>
  </si>
  <si>
    <t>Gas Transport Service, TS/TS-2 (CGS)</t>
  </si>
  <si>
    <t>Gas Transport Service, TS/TS-2 (IGS)</t>
  </si>
  <si>
    <t>Gas Transport Service, PS-TS/TS-2 (IGS)</t>
  </si>
  <si>
    <t>Gas Line Tracker</t>
  </si>
  <si>
    <t>Excess Facility Charges</t>
  </si>
  <si>
    <t>Min Daily Min Annual Thresholds</t>
  </si>
  <si>
    <t>Gas True-Up</t>
  </si>
  <si>
    <t>Telemetry</t>
  </si>
  <si>
    <t>Billing  Period</t>
  </si>
  <si>
    <t>2012/05</t>
  </si>
  <si>
    <t>2012/06</t>
  </si>
  <si>
    <t>2012/07</t>
  </si>
  <si>
    <t>2012/08</t>
  </si>
  <si>
    <t>2012/09</t>
  </si>
  <si>
    <t>2012/10</t>
  </si>
  <si>
    <t>2012/11</t>
  </si>
  <si>
    <t>2012/12</t>
  </si>
  <si>
    <t>2013/01</t>
  </si>
  <si>
    <t>2013/02</t>
  </si>
  <si>
    <t>2013/03</t>
  </si>
  <si>
    <t>2013/04</t>
  </si>
  <si>
    <t>Gas Trans Large Comm Cust</t>
  </si>
  <si>
    <t>Gas Trans Pub Auth Cust</t>
  </si>
  <si>
    <t>Gas Trans Ind Cust</t>
  </si>
  <si>
    <t>Gas Trans Intercompany</t>
  </si>
  <si>
    <t>2013/05</t>
  </si>
  <si>
    <t xml:space="preserve">Gas </t>
  </si>
  <si>
    <t>Line</t>
  </si>
  <si>
    <t>Tracker</t>
  </si>
  <si>
    <t>Rate VFD</t>
  </si>
  <si>
    <t>GLT</t>
  </si>
  <si>
    <t>GMNDTH</t>
  </si>
  <si>
    <t>GOFO</t>
  </si>
  <si>
    <t>GLNTRK</t>
  </si>
  <si>
    <t>GWNA</t>
  </si>
  <si>
    <t>TS-2: Gas Transport/Firm Balancing (IGS)</t>
  </si>
  <si>
    <t>UCDIDD</t>
  </si>
  <si>
    <t>UCDIST</t>
  </si>
  <si>
    <t>Customer Charge</t>
  </si>
  <si>
    <t>Min Daily Threshold</t>
  </si>
  <si>
    <t>Base Revenue</t>
  </si>
  <si>
    <t>MMBTU</t>
  </si>
  <si>
    <t>OFO</t>
  </si>
  <si>
    <t>UCDI DD</t>
  </si>
  <si>
    <t>Pipeline Storage</t>
  </si>
  <si>
    <t>Franchise Fees</t>
  </si>
  <si>
    <t>Retail</t>
  </si>
  <si>
    <t>SPEC</t>
  </si>
  <si>
    <t>VFD</t>
  </si>
  <si>
    <t>TS</t>
  </si>
  <si>
    <t>Gas Transport Sales and Purchases</t>
  </si>
  <si>
    <t>Min Daily Threshold Charge</t>
  </si>
  <si>
    <t>Additional Trip Charge</t>
  </si>
  <si>
    <t>Min Annual Threshold</t>
  </si>
  <si>
    <t>Action Alert Charge</t>
  </si>
  <si>
    <t>Gas True Up</t>
  </si>
  <si>
    <t>CCFOSS</t>
  </si>
  <si>
    <t>Grand Total  All Structures</t>
  </si>
  <si>
    <t>Intercompany Sales and Purchases</t>
  </si>
  <si>
    <t>Structure</t>
  </si>
  <si>
    <t>Rate FT Commercial Public Authority</t>
  </si>
  <si>
    <t>Calculated Revenue 896</t>
  </si>
  <si>
    <t>Rate FT Industrial Public Authority</t>
  </si>
  <si>
    <t>Minimum Daily Threshold Charge</t>
  </si>
  <si>
    <t>Rate FT / Pub Authority Combined</t>
  </si>
  <si>
    <t>SUMMARY OF BRUISE REPORT FROM REVENUE ACCOUNTING</t>
  </si>
  <si>
    <t>CGS Gas Lights</t>
  </si>
  <si>
    <t>LGCMG851LT</t>
  </si>
  <si>
    <t>Commercial Gas Service (Lights)</t>
  </si>
  <si>
    <t>Rate TS / CGS Public Authority</t>
  </si>
  <si>
    <t>DSM Charges</t>
  </si>
  <si>
    <t xml:space="preserve">Rate FT / Commercial </t>
  </si>
  <si>
    <t>Rate FT / Industrial</t>
  </si>
  <si>
    <t>2013/06</t>
  </si>
  <si>
    <t>2013/07</t>
  </si>
  <si>
    <t>Struct.</t>
  </si>
  <si>
    <t>!Grand Total  All Structures</t>
  </si>
  <si>
    <t>Total GSC</t>
  </si>
  <si>
    <t>CGS: Commercial Gas Service (Lights)</t>
  </si>
  <si>
    <t>PS-TS-2: Pooling Service Rider TS-2 IGS</t>
  </si>
  <si>
    <t>PS-TS</t>
  </si>
  <si>
    <t>2013/08</t>
  </si>
  <si>
    <t>2013/09</t>
  </si>
  <si>
    <t>2013/10</t>
  </si>
  <si>
    <t>2013/11</t>
  </si>
  <si>
    <t>2013/12</t>
  </si>
  <si>
    <t>FRNFEE</t>
  </si>
  <si>
    <t>GDSM</t>
  </si>
  <si>
    <t>GHEA</t>
  </si>
  <si>
    <t>GASTRU</t>
  </si>
  <si>
    <t>Gas Transportation Service, Pool Manager</t>
  </si>
  <si>
    <t>Pool Manager Admin Chg.</t>
  </si>
  <si>
    <t>Pool Manger Admin. Chg.</t>
  </si>
  <si>
    <t>On-Peak Rate &lt;= 100 Mcf</t>
  </si>
  <si>
    <t>Distrib. Component - On Peak &lt;= 100 Mcf</t>
  </si>
  <si>
    <t>Distrib. Component - Off Peak &gt;100 Mcf</t>
  </si>
  <si>
    <t>All volumes On Peak</t>
  </si>
  <si>
    <t>Prorated Volumes at prior rate for PSDC</t>
  </si>
  <si>
    <t>Prorated Volumes at current rate for PSDC</t>
  </si>
  <si>
    <t>Excess Facility  Charges</t>
  </si>
  <si>
    <t>Gas Transport Sales</t>
  </si>
  <si>
    <t>Sub-Transaction</t>
  </si>
  <si>
    <t>DSM Debit</t>
  </si>
  <si>
    <t>Gas Transport DSM d</t>
  </si>
  <si>
    <t>MMBTU Sales C</t>
  </si>
  <si>
    <t>TS - Pipline Supplier</t>
  </si>
  <si>
    <t>Admin Charge Gas Transport D</t>
  </si>
  <si>
    <t>MMBTU Purchases C</t>
  </si>
  <si>
    <t>OFO, UCDI - Gas transport D</t>
  </si>
  <si>
    <t>UCDI - Storage D</t>
  </si>
  <si>
    <t>Cashout - Sales D</t>
  </si>
  <si>
    <t>Customer Charge (LGE / KU)</t>
  </si>
  <si>
    <t>Cashout - Purchases C</t>
  </si>
  <si>
    <t>Rate FT / Commercial Public Authority</t>
  </si>
  <si>
    <t>GLT Charge</t>
  </si>
  <si>
    <t>Rate TS / CGS CASHOUTS Public Authority</t>
  </si>
  <si>
    <t>Rate TS / CGS CASHOUTS Large Commercial</t>
  </si>
  <si>
    <t>Rate FT / Industrial Public Authority</t>
  </si>
  <si>
    <t>2014/01</t>
  </si>
  <si>
    <t>2014/02</t>
  </si>
  <si>
    <t>2014/03</t>
  </si>
  <si>
    <t>LGING895</t>
  </si>
  <si>
    <t>LGCMG896</t>
  </si>
  <si>
    <t>Pool Cashout</t>
  </si>
  <si>
    <t>Gas Cost True-Up</t>
  </si>
  <si>
    <t xml:space="preserve">FT-Industrial - cashouts </t>
  </si>
  <si>
    <t xml:space="preserve">FT-Commercial - cashouts </t>
  </si>
  <si>
    <t xml:space="preserve">FT-Industrial - Public Authority - cashouts </t>
  </si>
  <si>
    <t>2014/04</t>
  </si>
  <si>
    <t>2014/05</t>
  </si>
  <si>
    <t>Administration Charge</t>
  </si>
  <si>
    <t>2014/06</t>
  </si>
  <si>
    <t>Pool Managers' Customers</t>
  </si>
  <si>
    <t xml:space="preserve">  Pooling Service Rate PS-TS/TS-2</t>
  </si>
  <si>
    <t>Total Pooling Service</t>
  </si>
  <si>
    <t>Variance</t>
  </si>
  <si>
    <t>Degree Day Surplus  for 12 months as compared to WNA Period -</t>
  </si>
  <si>
    <t>Normal over/</t>
  </si>
  <si>
    <t>Distribution</t>
  </si>
  <si>
    <t>WNA Months</t>
  </si>
  <si>
    <t>Degree Days divided by Normal  for 12 months as compared to WNA Period -</t>
  </si>
  <si>
    <t>GSC Portion of Bad Debt Expense</t>
  </si>
  <si>
    <t xml:space="preserve">(5)    </t>
  </si>
  <si>
    <t>2014/07</t>
  </si>
  <si>
    <t>Pooling Service Rate FT-Admin Fee</t>
  </si>
  <si>
    <t>Pooling Service Rate FT-OFO</t>
  </si>
  <si>
    <t>Pooling Service Rate FT-UCDI Demand</t>
  </si>
  <si>
    <t>Pooling Service Rate FT-UCDI Storage</t>
  </si>
  <si>
    <t xml:space="preserve">     Pooling Service Rate PS-TS-2</t>
  </si>
  <si>
    <t>Bill Calc from SBR tab</t>
  </si>
  <si>
    <t xml:space="preserve">Rider TS-2 Commercial Cashouts </t>
  </si>
  <si>
    <t>Pooling Service Rate PS-FT-Admin Charges</t>
  </si>
  <si>
    <t>Pooling Service Rate PS-FT-Other Charges</t>
  </si>
  <si>
    <t>Pooling Service Rate PS-TS/TS-2</t>
  </si>
  <si>
    <t xml:space="preserve">     Total Pool Service </t>
  </si>
  <si>
    <t>TS-2: Gas Trans/Firm Balancing (AAGS In)</t>
  </si>
  <si>
    <t>TOTAL - Intra-Company (PVA)/Total Retail Budget</t>
  </si>
  <si>
    <t>TOTAL Transportation (PVA)/Total Retail Budget</t>
  </si>
  <si>
    <t>2014/08</t>
  </si>
  <si>
    <t>Low Cap</t>
  </si>
  <si>
    <t>Hi Cap</t>
  </si>
  <si>
    <t>Full</t>
  </si>
  <si>
    <t>Discount</t>
  </si>
  <si>
    <t>TOTAL Retail (PVA) or Total Retail Budget</t>
  </si>
  <si>
    <t># of Customers in Forecast</t>
  </si>
  <si>
    <t>GSC Charge</t>
  </si>
  <si>
    <t>ACTUAL SEPTEMBER DATA</t>
  </si>
  <si>
    <t>Rider TS-2 As Available Gas Service</t>
  </si>
  <si>
    <t>Admin. Charge</t>
  </si>
  <si>
    <t>Admin. Charge Revenue</t>
  </si>
  <si>
    <t>Calculated Revenue 892</t>
  </si>
  <si>
    <t>Calculated Revenue 896PM</t>
  </si>
  <si>
    <t>Total Calculated Revenue for 896</t>
  </si>
  <si>
    <t>Revenue Reporting All 896</t>
  </si>
  <si>
    <t>6-mo Total</t>
  </si>
  <si>
    <t>Bill Adjustments</t>
  </si>
  <si>
    <t>Gas Transportation Service/Standby Rider to Rate AAGS</t>
  </si>
  <si>
    <t>Total of UCDI DEM, Min Daily, Addl Trip, OFO</t>
  </si>
  <si>
    <t>Total of UCDI DEM, Min Daily, Addl Trip, OFO, True up</t>
  </si>
  <si>
    <t>BUDGET NUMBERS INSERTED FROM HERE DOWN</t>
  </si>
  <si>
    <t>Forecasted/Billed</t>
  </si>
  <si>
    <t xml:space="preserve">Actual </t>
  </si>
  <si>
    <t>LPC</t>
  </si>
  <si>
    <t>DATA:  __X__ BASE PERIOD  ____  FORECAST PERIOD</t>
  </si>
  <si>
    <t>TYPE OF FILING: __X__ ORIGINAL  _____ UPDATED  _____ REVISED</t>
  </si>
  <si>
    <t>WORK PAPER REFERENCE NO(S):</t>
  </si>
  <si>
    <t>30 Year Normalized with Adjustments</t>
  </si>
  <si>
    <t>Page 2 of 8</t>
  </si>
  <si>
    <t>Pool Manager's Charge</t>
  </si>
  <si>
    <t>Gas Supply Clause</t>
  </si>
  <si>
    <t>Demand-Side Management</t>
  </si>
  <si>
    <t>Weather Normalization Adjustment</t>
  </si>
  <si>
    <t xml:space="preserve">GLT </t>
  </si>
  <si>
    <t>Page 8 of 8</t>
  </si>
  <si>
    <t>Page 7 of 8</t>
  </si>
  <si>
    <t>Page 6 of 8</t>
  </si>
  <si>
    <t>Page 5 of 8</t>
  </si>
  <si>
    <t>Page 4 of 8</t>
  </si>
  <si>
    <t>Page 3 of 8</t>
  </si>
  <si>
    <t>SCHEDULE M</t>
  </si>
  <si>
    <t>BASE PERIOD:</t>
  </si>
  <si>
    <t>SCHEDULE</t>
  </si>
  <si>
    <t>DESCRIPTION</t>
  </si>
  <si>
    <t>M-1.1-G</t>
  </si>
  <si>
    <t>M-1.2-G</t>
  </si>
  <si>
    <t>M-1.3-G</t>
  </si>
  <si>
    <t>Total Revenue at Present Rates</t>
  </si>
  <si>
    <t>Residential Gas Service (RGS)</t>
  </si>
  <si>
    <t>Commercial Gas Service (CGS)</t>
  </si>
  <si>
    <t>Industrial Gas Service (IGS)</t>
  </si>
  <si>
    <t>Special Contract Intra-Company Sales</t>
  </si>
  <si>
    <t>Firm Transportation (FT)</t>
  </si>
  <si>
    <t>Distributed Generation Gas Service (DGGS)</t>
  </si>
  <si>
    <t>SCHEDULE M-1.1-G</t>
  </si>
  <si>
    <t>Page 1 of 1</t>
  </si>
  <si>
    <t>Customer Months</t>
  </si>
  <si>
    <t>Annual Revenue at Current Rates</t>
  </si>
  <si>
    <t>Average Current Bill</t>
  </si>
  <si>
    <t>@ Current Rates</t>
  </si>
  <si>
    <t>SCHEDULE M-1.3-G</t>
  </si>
  <si>
    <t>Billed Mcf</t>
  </si>
  <si>
    <t>Average Consumption Mcf</t>
  </si>
  <si>
    <t>PAGE 1 OF 8</t>
  </si>
  <si>
    <t>SCHEDULE M-1.2-G</t>
  </si>
  <si>
    <t>Gas Transportation Service/Firm Balancing Service Rider to Rate CGS</t>
  </si>
  <si>
    <t>Gas Transportation Service/Firm Balancing Service Rider to Rate IGS</t>
  </si>
  <si>
    <t>Firm Transportation Service (Transportation Only) Rate FT</t>
  </si>
  <si>
    <t>4022C Billed Revenue - Gas</t>
  </si>
  <si>
    <t>04/07/2016 02:21:09</t>
  </si>
  <si>
    <t>MAR 2016</t>
  </si>
  <si>
    <t>DGGS</t>
  </si>
  <si>
    <t>MAY 2016</t>
  </si>
  <si>
    <t>LGING866DS</t>
  </si>
  <si>
    <t>AAGS - Industrial, DSM</t>
  </si>
  <si>
    <t>AAGS - Industrial, DSM Opt-out</t>
  </si>
  <si>
    <t>CGS: Firm Commercial Gas Service</t>
  </si>
  <si>
    <t>CGS: Gas Lights</t>
  </si>
  <si>
    <t>DGGS: Distributed Generation Gas Service</t>
  </si>
  <si>
    <t>LGING855DS</t>
  </si>
  <si>
    <t>IGS: Industrial Gas Service, DSM</t>
  </si>
  <si>
    <t>IGS: Industrial Gas Service DSM Opt-out</t>
  </si>
  <si>
    <t>FT - Commercial</t>
  </si>
  <si>
    <t>FT - Industrial DSM opt-out</t>
  </si>
  <si>
    <t>TS-2 Firm Balancing AAGS Ind, DSM Optout</t>
  </si>
  <si>
    <t>TS-2 Firm Balancing IGS, DSM Opt-out</t>
  </si>
  <si>
    <t>APR 2016</t>
  </si>
  <si>
    <t>PSC Gas No. 10, Effective July 1, 2015</t>
  </si>
  <si>
    <t>AAGS-C-TS-2</t>
  </si>
  <si>
    <t>AAGS-C-TS-2-PM</t>
  </si>
  <si>
    <t>AAGS-I-TS-2</t>
  </si>
  <si>
    <t>AAGS-I-TS-2-PM</t>
  </si>
  <si>
    <t>CGS-TS-2</t>
  </si>
  <si>
    <t>CGS-TS-2-PM</t>
  </si>
  <si>
    <t>IGS-TS-2</t>
  </si>
  <si>
    <t>IGS-TS-2-PM</t>
  </si>
  <si>
    <t>12 Months Ended February 28, 2017</t>
  </si>
  <si>
    <t>FOR THE 12 MONTHS ENDED FEBRUARY 28, 2017</t>
  </si>
  <si>
    <t>2014/09</t>
  </si>
  <si>
    <t>2014/10</t>
  </si>
  <si>
    <t>2014/11</t>
  </si>
  <si>
    <t>2014/12</t>
  </si>
  <si>
    <t>2015/01</t>
  </si>
  <si>
    <t>2015/02</t>
  </si>
  <si>
    <t>2015/03</t>
  </si>
  <si>
    <t>2015/04</t>
  </si>
  <si>
    <t>2015/05</t>
  </si>
  <si>
    <t>2015/06</t>
  </si>
  <si>
    <t>2015/07</t>
  </si>
  <si>
    <t>2015/08</t>
  </si>
  <si>
    <t>2015/09</t>
  </si>
  <si>
    <t>2015/10</t>
  </si>
  <si>
    <t>2015/11</t>
  </si>
  <si>
    <t>2015/12</t>
  </si>
  <si>
    <t>2016/01</t>
  </si>
  <si>
    <t>2016/02</t>
  </si>
  <si>
    <t>2016/03</t>
  </si>
  <si>
    <t>Metro Franchise   Fees</t>
  </si>
  <si>
    <t>2016/04</t>
  </si>
  <si>
    <t>2016/05</t>
  </si>
  <si>
    <t>FFADJ</t>
  </si>
  <si>
    <t>Calculated Revenue 895PM</t>
  </si>
  <si>
    <t>Total Calculated Revenue for 895</t>
  </si>
  <si>
    <t>Revenue Reporting All 895</t>
  </si>
  <si>
    <t>TS-2 AAGS</t>
  </si>
  <si>
    <t>TS-2 Industrial Pool Manager</t>
  </si>
  <si>
    <t>TS-2 Commercial</t>
  </si>
  <si>
    <t>TS-2 Industrial</t>
  </si>
  <si>
    <t>AAGS TS-2</t>
  </si>
  <si>
    <t>Gas Transportation Service, TS-2 (AAGS)</t>
  </si>
  <si>
    <t>Gas Transport Service, TS-2 (CGS)</t>
  </si>
  <si>
    <t>Gas Transport Service, TS-2 (IGS)</t>
  </si>
  <si>
    <t>Adm Chg</t>
  </si>
  <si>
    <t>Customer Charge Revenue</t>
  </si>
  <si>
    <t>LGING896DS</t>
  </si>
  <si>
    <t>FT-I-DSM</t>
  </si>
  <si>
    <t>AAGS TS-2-PM</t>
  </si>
  <si>
    <t>TS AAGS</t>
  </si>
  <si>
    <t>Start Summer Discount</t>
  </si>
  <si>
    <t>TS-2 Commercial Pool Manager</t>
  </si>
  <si>
    <t>FT-I-DSM Opt In</t>
  </si>
  <si>
    <t>Total Calculated Revenue 892</t>
  </si>
  <si>
    <t>Total TS-2 Industrial Revenue</t>
  </si>
  <si>
    <t>Total Calculated Revenue 881</t>
  </si>
  <si>
    <t>Gas True-up</t>
  </si>
  <si>
    <t>Rate TS-2 / CGS</t>
  </si>
  <si>
    <t>Transportation Service/Firm Balancing Service</t>
  </si>
  <si>
    <t>Rate TS-2 AAGS</t>
  </si>
  <si>
    <t>Gas True-up Charge C</t>
  </si>
  <si>
    <t>AAGS-TS-2</t>
  </si>
  <si>
    <t>Distrib. Component</t>
  </si>
  <si>
    <t>TS-2 Public Authority</t>
  </si>
  <si>
    <t>Related to Rate Category</t>
  </si>
  <si>
    <t>FT Public Authority</t>
  </si>
  <si>
    <t>FT Intracompany</t>
  </si>
  <si>
    <t>882, 892</t>
  </si>
  <si>
    <t>895, 896</t>
  </si>
  <si>
    <t>Total FT Public Authority</t>
  </si>
  <si>
    <t>Ts-2 Industrial</t>
  </si>
  <si>
    <t>This GLT was approved by PSC effective April 29</t>
  </si>
  <si>
    <t>This amount was prorated</t>
  </si>
  <si>
    <t>Rate TS / IGS CASHOUTS PUBLIC AUTHORITY</t>
  </si>
  <si>
    <t>Distrib. Charge</t>
  </si>
  <si>
    <t>Total TS-2 Public Authority Revenue</t>
  </si>
  <si>
    <t>Total TS-2 Public Authority</t>
  </si>
  <si>
    <t>Ft Public Authority</t>
  </si>
  <si>
    <t>Gas Trans Comm Cust</t>
  </si>
  <si>
    <t>AAGS-C-TS/TS-2</t>
  </si>
  <si>
    <t>AAGS-C-TS/TS-2-PM</t>
  </si>
  <si>
    <t>TS-2 AAGS-C</t>
  </si>
  <si>
    <t>TS-2 AAGS-I</t>
  </si>
  <si>
    <t>Total TS-2 Commercial</t>
  </si>
  <si>
    <t>Rate TS-2 /IGS Public Authority</t>
  </si>
  <si>
    <t>Total TS-2 Commercial Revenue</t>
  </si>
  <si>
    <t xml:space="preserve">Distrib. Chgs. </t>
  </si>
  <si>
    <t>Sales by Rates Revenue</t>
  </si>
  <si>
    <t>3/1/2016</t>
  </si>
  <si>
    <t>Source:  LG&amp;E Financial Report, page 43-44 -- MCF Sendout and Supply Cost</t>
  </si>
  <si>
    <t>6-Month Period March 2016 through August 2016</t>
  </si>
  <si>
    <t>Rider TS-2 / CGS</t>
  </si>
  <si>
    <t>Rider TS-2 / IGS</t>
  </si>
  <si>
    <t>Rider TS-2 / AAGS Commercial</t>
  </si>
  <si>
    <t>Rider TS-2 / AAGS Industrial</t>
  </si>
  <si>
    <t>Total Rider TS-2 - Transportation</t>
  </si>
  <si>
    <t>AAGS-TS-2-PM</t>
  </si>
  <si>
    <t>Rate TS-2 / AAGS</t>
  </si>
  <si>
    <t xml:space="preserve">LGING892 </t>
  </si>
  <si>
    <t>Rider TS-2/ AAGS Industrial Public Authority</t>
  </si>
  <si>
    <t>Rider TS-2 / IGS Industrial Public Authority</t>
  </si>
  <si>
    <t>Rider TS-2 / CGS Commercial Public Authority</t>
  </si>
  <si>
    <t>Rider TS-2 / AAGS Commercial Public Authority</t>
  </si>
  <si>
    <t>Gas Transport Service, TS-2 (CGS) - Cashouts</t>
  </si>
  <si>
    <t>Gas Transport Service, TS-2 (AAGS) - Cashouts</t>
  </si>
  <si>
    <t>Gas Transport Service, TS-2 (IGS) - Cashouts</t>
  </si>
  <si>
    <t>Gas Transport Service, TS-2 (AAGS) - Public Authority- Cashouts</t>
  </si>
  <si>
    <t>Pooling Service Rate TS-2 AAGS</t>
  </si>
  <si>
    <t>Pooling Service Rate TS-2 IGS</t>
  </si>
  <si>
    <t>DGGS-Commercial</t>
  </si>
  <si>
    <t>IGS Opt Out</t>
  </si>
  <si>
    <t>As-Available Gas Service, Industrial Opt Out</t>
  </si>
  <si>
    <t>JUN 2016</t>
  </si>
  <si>
    <t>2016/06</t>
  </si>
  <si>
    <t>LGING882DS</t>
  </si>
  <si>
    <t>TS-2 Firm Balancing IGS, DSM</t>
  </si>
  <si>
    <t>LGING892DS</t>
  </si>
  <si>
    <t>TS-2 Firm Balancing AAGS Ind, DSM</t>
  </si>
  <si>
    <t>FT - Industrial with DSM</t>
  </si>
  <si>
    <t>5 Winter Months Mar16, Nov-Dec16, Jan17-Feb17</t>
  </si>
  <si>
    <t>7 Summer Months Apr16 thru Oct16</t>
  </si>
  <si>
    <t>AX</t>
  </si>
  <si>
    <t>Rider TS-2 As Available Gas Service Cashouts</t>
  </si>
  <si>
    <t>Mar. 2016</t>
  </si>
  <si>
    <t>Apr. 2016</t>
  </si>
  <si>
    <t>MC</t>
  </si>
  <si>
    <t>PR</t>
  </si>
  <si>
    <t>Revenue Accounting</t>
  </si>
  <si>
    <t>MMBTU Purchases D</t>
  </si>
  <si>
    <t>MMBTU Sales D</t>
  </si>
  <si>
    <t>Gas True-up Charge</t>
  </si>
  <si>
    <t>JUL 2016</t>
  </si>
  <si>
    <t>2016/07</t>
  </si>
  <si>
    <t>LGCMG895DS</t>
  </si>
  <si>
    <t>Gas Transport Service, TS-2 (IGS) - Public Authority -Cashouts</t>
  </si>
  <si>
    <t>FT Commercial Public Authority</t>
  </si>
  <si>
    <t>FT Commercial PM</t>
  </si>
  <si>
    <t>FT Industrial Public Authority</t>
  </si>
  <si>
    <t>FT Industrial PM</t>
  </si>
  <si>
    <t># Customers</t>
  </si>
  <si>
    <t>TS-2 Industrial Public Authority</t>
  </si>
  <si>
    <t>TS-2 Industrial PM</t>
  </si>
  <si>
    <t>TS-2 AAGS Public Authority</t>
  </si>
  <si>
    <t>TS-2 AAGS PM</t>
  </si>
  <si>
    <t>FT Commercial Cashouts</t>
  </si>
  <si>
    <t>FT Industrial Cashouts</t>
  </si>
  <si>
    <t>TS-2 Industrial Cashouts</t>
  </si>
  <si>
    <t>TS-2 AAGS Cashouts</t>
  </si>
  <si>
    <t>FT Commercial Public Authority Cashouts</t>
  </si>
  <si>
    <t>FT Industrial Public Authority Cashouts</t>
  </si>
  <si>
    <t>TS-2 Industrial Public Authority Cashouts</t>
  </si>
  <si>
    <t>TS-2 AAGS Public Authority Cashouts</t>
  </si>
  <si>
    <t xml:space="preserve">FT-Commercial - Public Authority cashouts </t>
  </si>
  <si>
    <t>Cashouts</t>
  </si>
  <si>
    <t>Transport rate</t>
  </si>
  <si>
    <t>Month Total</t>
  </si>
  <si>
    <t>less IntraCompany</t>
  </si>
  <si>
    <t>Bruise Report Tariff</t>
  </si>
  <si>
    <t>Bruise Report Cashouts</t>
  </si>
  <si>
    <t>AUG 2016</t>
  </si>
  <si>
    <t>2011/09</t>
  </si>
  <si>
    <t>2011/10</t>
  </si>
  <si>
    <t>2011/11</t>
  </si>
  <si>
    <t>2011/12</t>
  </si>
  <si>
    <t>2012/01</t>
  </si>
  <si>
    <t>2012/02</t>
  </si>
  <si>
    <t>2012/03</t>
  </si>
  <si>
    <t>2012/04</t>
  </si>
  <si>
    <t>2016/08</t>
  </si>
  <si>
    <t>SEP 2016</t>
  </si>
  <si>
    <t>Witness:  W. S. SEELYE</t>
  </si>
  <si>
    <t>WITNESS:   W. S. SEELYE</t>
  </si>
  <si>
    <t>Procurement Expenses 6-Month Period ended August 2016</t>
  </si>
  <si>
    <t>LG&amp;E Natural Gas Volume Forecast (Calendar Volumes, MCF)</t>
  </si>
  <si>
    <t>2017 BP</t>
  </si>
  <si>
    <t>Revenue Class</t>
  </si>
  <si>
    <t>Fcst Agg</t>
  </si>
  <si>
    <t>CCS Tariff Name</t>
  </si>
  <si>
    <t>Residential Total</t>
  </si>
  <si>
    <t>CAAGS</t>
  </si>
  <si>
    <t>CGS &lt; 5000 cf/hr</t>
  </si>
  <si>
    <t>CGS &gt; 5000 cf/hr</t>
  </si>
  <si>
    <t>Commercial Total</t>
  </si>
  <si>
    <t>IAAGS</t>
  </si>
  <si>
    <t>IGS &lt; 5000 cf/hr</t>
  </si>
  <si>
    <t>IGS &gt; 5000 cf/hr</t>
  </si>
  <si>
    <t>Industrial Total</t>
  </si>
  <si>
    <t>Public Authority Total</t>
  </si>
  <si>
    <t>IFT</t>
  </si>
  <si>
    <t>TS-2</t>
  </si>
  <si>
    <t>Gas Trans Ind Total</t>
  </si>
  <si>
    <t>CFT</t>
  </si>
  <si>
    <t>Gas Trans Large Comm Total</t>
  </si>
  <si>
    <t>Gas Trans Pub Auth Total</t>
  </si>
  <si>
    <t xml:space="preserve"> </t>
  </si>
  <si>
    <t>Transportation Subtotals for Gas Supply:</t>
  </si>
  <si>
    <t>Total TS Transportation</t>
  </si>
  <si>
    <t>Total FT Transportation</t>
  </si>
  <si>
    <t>PACGS &lt; 5000 cf/hr</t>
  </si>
  <si>
    <t>PAIGS &lt; 5000 cf/hr</t>
  </si>
  <si>
    <t>CGS &lt; 100 Mcf</t>
  </si>
  <si>
    <t>CGS &gt; 100 Mcf</t>
  </si>
  <si>
    <t>IGS &lt; 100 Mcf</t>
  </si>
  <si>
    <t>IGS &gt; 100 Mcf</t>
  </si>
  <si>
    <t>PACGS &lt; 100 Mcf</t>
  </si>
  <si>
    <t>PAIGS &lt; 100 Mcf</t>
  </si>
  <si>
    <t>Commercial &lt; 100 Mcf</t>
  </si>
  <si>
    <t>Industrial &lt; 100 Mcf</t>
  </si>
  <si>
    <t>Sep 2016</t>
  </si>
  <si>
    <t>Oct 2016</t>
  </si>
  <si>
    <t>Nov 2016</t>
  </si>
  <si>
    <t>Dec 2016</t>
  </si>
  <si>
    <t>Jan 2017</t>
  </si>
  <si>
    <t>Feb 2017</t>
  </si>
  <si>
    <t>Jul 2017</t>
  </si>
  <si>
    <t>Aug 2017</t>
  </si>
  <si>
    <t>Sep 2017</t>
  </si>
  <si>
    <t>Oct 2017</t>
  </si>
  <si>
    <t>Nov 2017</t>
  </si>
  <si>
    <t>Dec 2017</t>
  </si>
  <si>
    <t>Jan 2018</t>
  </si>
  <si>
    <t>Feb 2018</t>
  </si>
  <si>
    <t>Mar 2018</t>
  </si>
  <si>
    <t>Apr 2018</t>
  </si>
  <si>
    <t>May 2018</t>
  </si>
  <si>
    <t>Jun 2018</t>
  </si>
  <si>
    <t>LGE-Commercial As Available Gas Service CAAGS </t>
  </si>
  <si>
    <t>Customer Revenue:</t>
  </si>
  <si>
    <t xml:space="preserve">     Customer Count Meter&lt;5000 cf/hr</t>
  </si>
  <si>
    <t xml:space="preserve">     Customer Count Meter&gt;5000 cf/hr</t>
  </si>
  <si>
    <t xml:space="preserve">     Total Customer Count</t>
  </si>
  <si>
    <t xml:space="preserve">          Customer Rate Meter&lt;5000 cf/hr</t>
  </si>
  <si>
    <t xml:space="preserve">          Customer Rate Meter&gt;5000 cf/hr</t>
  </si>
  <si>
    <t>Total Customer Revenue</t>
  </si>
  <si>
    <t>Distribution Revenue:</t>
  </si>
  <si>
    <t xml:space="preserve">     Distribution usage&lt;100 Mcf</t>
  </si>
  <si>
    <t xml:space="preserve">     Distribution usage&gt;100 Mcf</t>
  </si>
  <si>
    <t xml:space="preserve">     Total Distribution Usage</t>
  </si>
  <si>
    <t xml:space="preserve">          Distribution rate usage&lt;100 Mcf</t>
  </si>
  <si>
    <t xml:space="preserve">          Total Distribution Rate Usage - &lt;100 Mcf $/Mcf</t>
  </si>
  <si>
    <t xml:space="preserve">          Distribution rate usage&gt;100 Mcf</t>
  </si>
  <si>
    <t>Total Distribution Revenue</t>
  </si>
  <si>
    <t>Admin Revenue:</t>
  </si>
  <si>
    <t>Demand Revenue:</t>
  </si>
  <si>
    <t>Total Gas Base Revenue</t>
  </si>
  <si>
    <t>GSC Revenue:</t>
  </si>
  <si>
    <t xml:space="preserve">     GSC Rate</t>
  </si>
  <si>
    <t xml:space="preserve">     GSC revenue</t>
  </si>
  <si>
    <t>DSM Revenue:</t>
  </si>
  <si>
    <t xml:space="preserve">     DSM $/Mcf</t>
  </si>
  <si>
    <t xml:space="preserve">     DSM Revenue</t>
  </si>
  <si>
    <t>GLT Revenue:</t>
  </si>
  <si>
    <t xml:space="preserve">     GLT Allocator</t>
  </si>
  <si>
    <t xml:space="preserve">     GLT Revenue</t>
  </si>
  <si>
    <t>Total Gas Revenue</t>
  </si>
  <si>
    <t>LGE-Commercial DGGS </t>
  </si>
  <si>
    <t xml:space="preserve">     Contract Demand- Mcf</t>
  </si>
  <si>
    <t xml:space="preserve">     Demand Rate</t>
  </si>
  <si>
    <t>Total Demand Revenue</t>
  </si>
  <si>
    <t>LGE-Commercial Firm Transportation Service CFT </t>
  </si>
  <si>
    <t xml:space="preserve">          Admin Rate</t>
  </si>
  <si>
    <t>Admin</t>
  </si>
  <si>
    <t>Total Admin Revenue</t>
  </si>
  <si>
    <t>LGE-Commercial Gas Transportation Service/Standby CGS-TS </t>
  </si>
  <si>
    <t>LGE-Firm Commercial Gas Service CGS </t>
  </si>
  <si>
    <t>LGE-Firm Industrial Gas Service IGS </t>
  </si>
  <si>
    <t>LGE-Firm Public Authority Gas Service PACGS </t>
  </si>
  <si>
    <t>InterCo</t>
  </si>
  <si>
    <t>LGE-Industrial As Available Gas Service IAAGS </t>
  </si>
  <si>
    <t>LGE-Industrial Firm Transportation Service IFT </t>
  </si>
  <si>
    <t>Pool</t>
  </si>
  <si>
    <t xml:space="preserve">     Pool Manager's Fee</t>
  </si>
  <si>
    <t>LGE-Industrial Gas Transportation Service/Standby IAAGS-TS </t>
  </si>
  <si>
    <t>LGE-Industrial Gas Transportation Service/Standby IGS-TS </t>
  </si>
  <si>
    <t>LGE-Public Authority As Available Gas Service PAAAGS </t>
  </si>
  <si>
    <t>LGE-Public Authority Commercial Gas Service PACGS </t>
  </si>
  <si>
    <t>FT-PA</t>
  </si>
  <si>
    <t>LGE-Public Authority Firm Transportation Service PAFT </t>
  </si>
  <si>
    <t>LGE-Public Authority Industrial Gas Service PAIGS </t>
  </si>
  <si>
    <t>LGE-Residential Gas Service </t>
  </si>
  <si>
    <t>CASE NO. 2016-00371</t>
  </si>
  <si>
    <r>
      <rPr>
        <b/>
        <sz val="10"/>
        <rFont val="Times New Roman"/>
        <family val="1"/>
      </rPr>
      <t>Subtotal Rate IGS</t>
    </r>
    <r>
      <rPr>
        <sz val="10"/>
        <rFont val="Times New Roman"/>
        <family val="1"/>
      </rPr>
      <t xml:space="preserve"> after application of Correction Factor</t>
    </r>
  </si>
  <si>
    <r>
      <t>RATE AAGS:</t>
    </r>
    <r>
      <rPr>
        <sz val="10"/>
        <rFont val="Times New Roman"/>
        <family val="1"/>
      </rPr>
      <t xml:space="preserve">  </t>
    </r>
  </si>
  <si>
    <t>Off System Customers</t>
  </si>
  <si>
    <t>GASOSS</t>
  </si>
  <si>
    <t>Not Assigned Rate Category (s)</t>
  </si>
  <si>
    <t>LOAD FORECAST</t>
  </si>
  <si>
    <t>CURRENT CHARGES</t>
  </si>
  <si>
    <t>CALCULATED REVENUES</t>
  </si>
  <si>
    <t># PM Cust</t>
  </si>
  <si>
    <t>Pool Mgr Fee</t>
  </si>
  <si>
    <t>Admin Rev</t>
  </si>
  <si>
    <t>Pool Mgr Rev</t>
  </si>
  <si>
    <t>Forecasted</t>
  </si>
  <si>
    <t>No discount</t>
  </si>
  <si>
    <t>KY Aug 2016 Forecast (2017 BP-Prelim View)-No RC</t>
  </si>
  <si>
    <t>BASE PERIOD REVENUES AT CURRENT GAS RATES</t>
  </si>
  <si>
    <t xml:space="preserve">AVERAGE BILL AT CURRENT GAS RATES </t>
  </si>
  <si>
    <t>SUMMARY OF BASE GAS REVENUES</t>
  </si>
  <si>
    <t>DETAILED CALCULATION OF BASE PERIOD GAS REVENUES</t>
  </si>
  <si>
    <t>6-MO TOTAL</t>
  </si>
  <si>
    <t>12 mos. Ended August 31, 2016</t>
  </si>
  <si>
    <t>WNA Months - Mar16-Apr16</t>
  </si>
  <si>
    <r>
      <t xml:space="preserve">Rate DGGS </t>
    </r>
    <r>
      <rPr>
        <sz val="12"/>
        <rFont val="Times New Roman"/>
        <family val="1"/>
      </rPr>
      <t>- see page 2</t>
    </r>
  </si>
  <si>
    <t>DISTRIBUTED GENERATION GAS SERVICE</t>
  </si>
  <si>
    <t>Rider TS-2 IGS/Rate FT Cashouts</t>
  </si>
  <si>
    <t>Totals from SBR</t>
  </si>
  <si>
    <t>Total DGGS</t>
  </si>
  <si>
    <t>Intra-Company Special Contract - FT Service</t>
  </si>
  <si>
    <t>Subtotal after application of Correction Factor</t>
  </si>
  <si>
    <t>Rider PS-TS-2</t>
  </si>
  <si>
    <t>Pool Manager Fee</t>
  </si>
  <si>
    <t>Gas Transportation Service Rider TS-2 to Rate AAGS</t>
  </si>
  <si>
    <t>Cashout Revenue</t>
  </si>
  <si>
    <t xml:space="preserve">     Total Rate DGGS</t>
  </si>
  <si>
    <t xml:space="preserve">Intra-Company Special Contract - FT Custmomer </t>
  </si>
  <si>
    <t>Intra-Company Special Contract - Sales Customers</t>
  </si>
  <si>
    <t>SUBTOTAL</t>
  </si>
  <si>
    <t>Other Operating Revenues:</t>
  </si>
  <si>
    <t>Forfeited Discounts</t>
  </si>
  <si>
    <t>Rent from Gas Property</t>
  </si>
  <si>
    <r>
      <rPr>
        <b/>
        <sz val="10"/>
        <rFont val="Times New Roman"/>
        <family val="1"/>
      </rPr>
      <t xml:space="preserve">Subtotal </t>
    </r>
    <r>
      <rPr>
        <sz val="10"/>
        <rFont val="Times New Roman"/>
        <family val="1"/>
      </rPr>
      <t>after application of Correction Factor</t>
    </r>
  </si>
  <si>
    <t xml:space="preserve">         Total Rate PS-FT after application of Correction Factor</t>
  </si>
  <si>
    <t>Total Intra-Company Special Contract - FT Service</t>
  </si>
  <si>
    <t>Total Rate DGGS</t>
  </si>
  <si>
    <t>REVENUE SUMMARY FOR THE BASE PERIOD</t>
  </si>
  <si>
    <t>GAS OPERATIONS</t>
  </si>
  <si>
    <t>PG 1</t>
  </si>
  <si>
    <t>PGS 2-8</t>
  </si>
  <si>
    <t>Gas Transport Service, PR</t>
  </si>
  <si>
    <t>Total SP Transportation (includes PR)</t>
  </si>
  <si>
    <t>on peak</t>
  </si>
  <si>
    <t>off peak</t>
  </si>
  <si>
    <t>mcf on peak</t>
  </si>
  <si>
    <t>mcf off peak</t>
  </si>
  <si>
    <t>LG&amp;E Special Contract - Sales</t>
  </si>
  <si>
    <t>LG&amp;E Special Contract Cashouts</t>
  </si>
  <si>
    <t>LG&amp;E Special Contract Transportation</t>
  </si>
  <si>
    <t>Intra-Company - Special Contract Sales</t>
  </si>
  <si>
    <t>Special Contract - FT (Cashouts)</t>
  </si>
  <si>
    <t>Special Contract - FT (Rate FT)</t>
  </si>
  <si>
    <t xml:space="preserve">Gas Transport Service, </t>
  </si>
  <si>
    <t>Gas Transport Service,</t>
  </si>
  <si>
    <t>SPC-</t>
  </si>
  <si>
    <t>SPC-P</t>
  </si>
  <si>
    <t xml:space="preserve">LGE-Firm Sales </t>
  </si>
  <si>
    <t xml:space="preserve">LGE-Firm-FT </t>
  </si>
  <si>
    <t>Firm Sales -</t>
  </si>
  <si>
    <t>Firm-FT -</t>
  </si>
  <si>
    <t xml:space="preserve">Firm Sales - </t>
  </si>
  <si>
    <t xml:space="preserve">Firm-FT - </t>
  </si>
  <si>
    <t>Rate FT Special Contract - (LG&amp;E)</t>
  </si>
  <si>
    <t>Rate FT Special Contract - CASHOUTS</t>
  </si>
  <si>
    <t xml:space="preserve">LG&amp;E Special Contract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</si>
</sst>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;\-#,##0;#,##0;@"/>
    <numFmt numFmtId="166" formatCode="#,##0.00;\-#,##0.00;#,##0.00;@"/>
    <numFmt numFmtId="167" formatCode="_(&quot;$&quot;* #,##0_);_(&quot;$&quot;* \(#,##0\);_(&quot;$&quot;* &quot;-&quot;??_);_(@_)"/>
    <numFmt numFmtId="168" formatCode="[$-409]mmm\-yy;@"/>
    <numFmt numFmtId="169" formatCode="0.00000"/>
    <numFmt numFmtId="170" formatCode="_(&quot;$&quot;* #,##0.00000_);_(&quot;$&quot;* \(#,##0.00000\);_(&quot;$&quot;* &quot;-&quot;??_);_(@_)"/>
    <numFmt numFmtId="171" formatCode="_(* #,##0.000000_);_(* \(#,##0.000000\);_(* &quot;-&quot;??_);_(@_)"/>
    <numFmt numFmtId="172" formatCode="mmm\-yyyy"/>
    <numFmt numFmtId="173" formatCode="0.000%"/>
    <numFmt numFmtId="174" formatCode="0.000000%"/>
    <numFmt numFmtId="175" formatCode="[$-409]mmmm\-yy;@"/>
    <numFmt numFmtId="176" formatCode="_(* #,##0.0_);_(* \(#,##0.0\);_(* &quot;-&quot;??_);_(@_)"/>
    <numFmt numFmtId="177" formatCode="_(* #,##0.0_);_(* \(#,##0.0\);_(* &quot;-&quot;?_);_(@_)"/>
    <numFmt numFmtId="178" formatCode="General_)"/>
    <numFmt numFmtId="179" formatCode="#,##0.0_);\(#,##0.0\)"/>
    <numFmt numFmtId="180" formatCode="&quot;$&quot;#,##0.0000_);[Red]\(&quot;$&quot;#,##0.0000\)"/>
    <numFmt numFmtId="181" formatCode="#,##0.0_);[Red]\(#,##0.0\)"/>
    <numFmt numFmtId="182" formatCode="_(&quot;$&quot;* #,##0.0000_);_(&quot;$&quot;* \(#,##0.0000\);_(&quot;$&quot;* &quot;-&quot;??_);_(@_)"/>
    <numFmt numFmtId="183" formatCode="_(* #,##0.0000_);_(* \(#,##0.0000\);_(* &quot;-&quot;??_);_(@_)"/>
    <numFmt numFmtId="184" formatCode="&quot;$&quot;#,##0\ ;\(&quot;$&quot;#,##0\)"/>
    <numFmt numFmtId="185" formatCode="_([$€-2]* #,##0.00_);_([$€-2]* \(#,##0.00\);_([$€-2]* &quot;-&quot;??_)"/>
    <numFmt numFmtId="186" formatCode="0_);\(0\)"/>
    <numFmt numFmtId="187" formatCode="0.0000"/>
    <numFmt numFmtId="188" formatCode="_(* #,##0.00000_);_(* \(#,##0.00000\);_(* &quot;-&quot;??_);_(@_)"/>
    <numFmt numFmtId="189" formatCode="#,##0.0;\-#,##0.0;#,##0.0;@"/>
    <numFmt numFmtId="190" formatCode="&quot;$&quot;#,##0.00000_);[Red]\(&quot;$&quot;#,##0.00000\)"/>
    <numFmt numFmtId="191" formatCode="#,##0_);[Red]\(#,##0\);&quot; &quot;"/>
    <numFmt numFmtId="192" formatCode="#,##0.00000_);[Red]\(#,##0.00000\);&quot; &quot;"/>
    <numFmt numFmtId="193" formatCode="#,##0.00_);[Red]\(#,##0.00\);&quot; &quot;"/>
    <numFmt numFmtId="194" formatCode="_(&quot;$&quot;* #,##0.0000000_);_(&quot;$&quot;* \(#,##0.0000000\);_(&quot;$&quot;* &quot;-&quot;??_);_(@_)"/>
    <numFmt numFmtId="195" formatCode="#,##0.0000000_);\(#,##0.0000000\)"/>
    <numFmt numFmtId="196" formatCode="_(&quot;$&quot;* #,##0.00_);_(&quot;$&quot;* \(#,##0.00\);_(&quot;$&quot;* &quot;-&quot;_);_(@_)"/>
    <numFmt numFmtId="197" formatCode="0.000000"/>
  </numFmts>
  <fonts count="112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 Narrow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Times New Roman"/>
      <family val="2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color indexed="10"/>
      <name val="Times New Roman"/>
      <family val="1"/>
    </font>
    <font>
      <b/>
      <sz val="10"/>
      <color indexed="8"/>
      <name val="Arial"/>
      <family val="2"/>
    </font>
    <font>
      <sz val="10"/>
      <name val="Courier"/>
      <family val="3"/>
    </font>
    <font>
      <b/>
      <sz val="14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u/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2"/>
      <name val="Times New Roman"/>
      <family val="1"/>
    </font>
    <font>
      <sz val="12"/>
      <name val="Times New Roman"/>
      <family val="1"/>
    </font>
    <font>
      <b/>
      <u/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1"/>
      <color theme="0"/>
      <name val="Times New Roman"/>
      <family val="2"/>
    </font>
    <font>
      <sz val="11"/>
      <color indexed="20"/>
      <name val="Calibri"/>
      <family val="2"/>
    </font>
    <font>
      <sz val="11"/>
      <color rgb="FF9C0006"/>
      <name val="Times New Roman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b/>
      <sz val="11"/>
      <color indexed="9"/>
      <name val="Calibri"/>
      <family val="2"/>
    </font>
    <font>
      <b/>
      <sz val="11"/>
      <color theme="0"/>
      <name val="Times New Roman"/>
      <family val="2"/>
    </font>
    <font>
      <i/>
      <sz val="11"/>
      <color indexed="23"/>
      <name val="Calibri"/>
      <family val="2"/>
    </font>
    <font>
      <i/>
      <sz val="11"/>
      <color rgb="FF7F7F7F"/>
      <name val="Times New Roman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sz val="11"/>
      <color indexed="62"/>
      <name val="Calibri"/>
      <family val="2"/>
    </font>
    <font>
      <sz val="11"/>
      <color rgb="FF3F3F76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0"/>
      <name val="MS Sans Serif"/>
      <family val="2"/>
    </font>
    <font>
      <sz val="11"/>
      <color indexed="8"/>
      <name val="Times New Roman"/>
      <family val="2"/>
    </font>
    <font>
      <b/>
      <sz val="11"/>
      <color indexed="63"/>
      <name val="Calibri"/>
      <family val="2"/>
    </font>
    <font>
      <b/>
      <sz val="11"/>
      <color rgb="FF3F3F3F"/>
      <name val="Times New Roman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Times New Roman"/>
      <family val="2"/>
    </font>
    <font>
      <sz val="11"/>
      <color indexed="10"/>
      <name val="Calibri"/>
      <family val="2"/>
    </font>
    <font>
      <sz val="11"/>
      <color rgb="FFFF0000"/>
      <name val="Times New Roman"/>
      <family val="2"/>
    </font>
    <font>
      <sz val="8"/>
      <name val="Times New Roman"/>
      <family val="1"/>
    </font>
    <font>
      <sz val="11"/>
      <color theme="1"/>
      <name val="Times New Roman"/>
      <family val="1"/>
    </font>
    <font>
      <sz val="10"/>
      <color indexed="8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sz val="10"/>
      <color indexed="10"/>
      <name val="Times New Roman"/>
      <family val="1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0"/>
      <color theme="1"/>
      <name val="Arial Narrow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8"/>
      <color rgb="FF000000"/>
      <name val="Arial"/>
      <family val="2"/>
    </font>
    <font>
      <b/>
      <sz val="12"/>
      <color rgb="FFB60005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u/>
      <sz val="10"/>
      <name val="Calibri"/>
      <family val="2"/>
      <scheme val="minor"/>
    </font>
    <font>
      <u/>
      <sz val="10"/>
      <color theme="1"/>
      <name val="Calibri"/>
      <family val="2"/>
      <scheme val="minor"/>
    </font>
    <font>
      <u val="singleAccounting"/>
      <sz val="10"/>
      <name val="Arial Narrow"/>
      <family val="2"/>
    </font>
    <font>
      <b/>
      <sz val="10"/>
      <color indexed="10"/>
      <name val="Arial Narrow"/>
      <family val="2"/>
    </font>
    <font>
      <b/>
      <u/>
      <sz val="10"/>
      <name val="Arial Narrow"/>
      <family val="2"/>
    </font>
    <font>
      <sz val="10"/>
      <color indexed="8"/>
      <name val="Arial Narrow"/>
      <family val="2"/>
    </font>
    <font>
      <sz val="10"/>
      <color indexed="12"/>
      <name val="Arial Narrow"/>
      <family val="2"/>
    </font>
    <font>
      <sz val="12"/>
      <color indexed="1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4"/>
      <name val="Times New Roman"/>
      <family val="1"/>
    </font>
    <font>
      <sz val="16"/>
      <name val="Times New Roman"/>
      <family val="1"/>
    </font>
    <font>
      <b/>
      <sz val="12"/>
      <color theme="1"/>
      <name val="Times New Roman"/>
      <family val="1"/>
    </font>
    <font>
      <sz val="10"/>
      <color rgb="FFFF0000"/>
      <name val="Arial Narrow"/>
      <family val="2"/>
    </font>
    <font>
      <sz val="11"/>
      <color rgb="FF006100"/>
      <name val="Calibri"/>
      <family val="2"/>
      <scheme val="minor"/>
    </font>
    <font>
      <sz val="10"/>
      <color rgb="FF0070C0"/>
      <name val="Arial Narrow"/>
      <family val="2"/>
    </font>
    <font>
      <sz val="12"/>
      <color rgb="FFFF0000"/>
      <name val="Times New Roman"/>
      <family val="1"/>
    </font>
    <font>
      <sz val="10"/>
      <color theme="1"/>
      <name val="Arial"/>
      <family val="2"/>
    </font>
    <font>
      <b/>
      <sz val="10"/>
      <color rgb="FFFF0000"/>
      <name val="Arial Narrow"/>
      <family val="2"/>
    </font>
    <font>
      <sz val="11"/>
      <name val="Calibri"/>
      <family val="2"/>
      <scheme val="minor"/>
    </font>
    <font>
      <sz val="8"/>
      <color theme="1"/>
      <name val="Arial"/>
      <family val="2"/>
    </font>
    <font>
      <sz val="10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sz val="12"/>
      <color theme="1"/>
      <name val="Times New Roman"/>
      <family val="1"/>
    </font>
    <font>
      <u val="singleAccounting"/>
      <sz val="12"/>
      <color theme="1"/>
      <name val="Times New Roman"/>
      <family val="1"/>
    </font>
    <font>
      <u/>
      <sz val="12"/>
      <color theme="1"/>
      <name val="Times New Roman"/>
      <family val="1"/>
    </font>
    <font>
      <u val="doubleAccounting"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</fonts>
  <fills count="8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ECC8E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B7CFE8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1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AEAEAE"/>
      </top>
      <bottom style="medium">
        <color rgb="FFAEAEAE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theme="3" tint="0.39997558519241921"/>
      </right>
      <top style="thin">
        <color indexed="64"/>
      </top>
      <bottom/>
      <diagonal/>
    </border>
    <border>
      <left/>
      <right style="thin">
        <color theme="3" tint="0.3999755851924192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</borders>
  <cellStyleXfs count="853">
    <xf numFmtId="0" fontId="0" fillId="0" borderId="0"/>
    <xf numFmtId="43" fontId="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3" fillId="0" borderId="0"/>
    <xf numFmtId="0" fontId="3" fillId="0" borderId="0"/>
    <xf numFmtId="178" fontId="18" fillId="0" borderId="0"/>
    <xf numFmtId="0" fontId="3" fillId="0" borderId="0"/>
    <xf numFmtId="0" fontId="3" fillId="0" borderId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168" fontId="28" fillId="29" borderId="0" applyNumberFormat="0" applyBorder="0" applyAlignment="0" applyProtection="0"/>
    <xf numFmtId="168" fontId="28" fillId="29" borderId="0" applyNumberFormat="0" applyBorder="0" applyAlignment="0" applyProtection="0"/>
    <xf numFmtId="175" fontId="27" fillId="52" borderId="0" applyNumberFormat="0" applyBorder="0" applyAlignment="0" applyProtection="0"/>
    <xf numFmtId="175" fontId="27" fillId="52" borderId="0" applyNumberFormat="0" applyBorder="0" applyAlignment="0" applyProtection="0"/>
    <xf numFmtId="175" fontId="27" fillId="52" borderId="0" applyNumberFormat="0" applyBorder="0" applyAlignment="0" applyProtection="0"/>
    <xf numFmtId="175" fontId="27" fillId="52" borderId="0" applyNumberFormat="0" applyBorder="0" applyAlignment="0" applyProtection="0"/>
    <xf numFmtId="175" fontId="27" fillId="52" borderId="0" applyNumberFormat="0" applyBorder="0" applyAlignment="0" applyProtection="0"/>
    <xf numFmtId="175" fontId="27" fillId="52" borderId="0" applyNumberFormat="0" applyBorder="0" applyAlignment="0" applyProtection="0"/>
    <xf numFmtId="175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175" fontId="27" fillId="53" borderId="0" applyNumberFormat="0" applyBorder="0" applyAlignment="0" applyProtection="0"/>
    <xf numFmtId="175" fontId="27" fillId="53" borderId="0" applyNumberFormat="0" applyBorder="0" applyAlignment="0" applyProtection="0"/>
    <xf numFmtId="175" fontId="27" fillId="53" borderId="0" applyNumberFormat="0" applyBorder="0" applyAlignment="0" applyProtection="0"/>
    <xf numFmtId="175" fontId="27" fillId="53" borderId="0" applyNumberFormat="0" applyBorder="0" applyAlignment="0" applyProtection="0"/>
    <xf numFmtId="175" fontId="27" fillId="53" borderId="0" applyNumberFormat="0" applyBorder="0" applyAlignment="0" applyProtection="0"/>
    <xf numFmtId="175" fontId="27" fillId="53" borderId="0" applyNumberFormat="0" applyBorder="0" applyAlignment="0" applyProtection="0"/>
    <xf numFmtId="175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175" fontId="27" fillId="54" borderId="0" applyNumberFormat="0" applyBorder="0" applyAlignment="0" applyProtection="0"/>
    <xf numFmtId="175" fontId="27" fillId="54" borderId="0" applyNumberFormat="0" applyBorder="0" applyAlignment="0" applyProtection="0"/>
    <xf numFmtId="175" fontId="27" fillId="54" borderId="0" applyNumberFormat="0" applyBorder="0" applyAlignment="0" applyProtection="0"/>
    <xf numFmtId="175" fontId="27" fillId="54" borderId="0" applyNumberFormat="0" applyBorder="0" applyAlignment="0" applyProtection="0"/>
    <xf numFmtId="175" fontId="27" fillId="54" borderId="0" applyNumberFormat="0" applyBorder="0" applyAlignment="0" applyProtection="0"/>
    <xf numFmtId="175" fontId="27" fillId="54" borderId="0" applyNumberFormat="0" applyBorder="0" applyAlignment="0" applyProtection="0"/>
    <xf numFmtId="175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168" fontId="28" fillId="41" borderId="0" applyNumberFormat="0" applyBorder="0" applyAlignment="0" applyProtection="0"/>
    <xf numFmtId="168" fontId="28" fillId="41" borderId="0" applyNumberFormat="0" applyBorder="0" applyAlignment="0" applyProtection="0"/>
    <xf numFmtId="175" fontId="27" fillId="55" borderId="0" applyNumberFormat="0" applyBorder="0" applyAlignment="0" applyProtection="0"/>
    <xf numFmtId="175" fontId="27" fillId="55" borderId="0" applyNumberFormat="0" applyBorder="0" applyAlignment="0" applyProtection="0"/>
    <xf numFmtId="175" fontId="27" fillId="55" borderId="0" applyNumberFormat="0" applyBorder="0" applyAlignment="0" applyProtection="0"/>
    <xf numFmtId="175" fontId="27" fillId="55" borderId="0" applyNumberFormat="0" applyBorder="0" applyAlignment="0" applyProtection="0"/>
    <xf numFmtId="175" fontId="27" fillId="55" borderId="0" applyNumberFormat="0" applyBorder="0" applyAlignment="0" applyProtection="0"/>
    <xf numFmtId="175" fontId="27" fillId="55" borderId="0" applyNumberFormat="0" applyBorder="0" applyAlignment="0" applyProtection="0"/>
    <xf numFmtId="175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168" fontId="28" fillId="45" borderId="0" applyNumberFormat="0" applyBorder="0" applyAlignment="0" applyProtection="0"/>
    <xf numFmtId="168" fontId="28" fillId="45" borderId="0" applyNumberFormat="0" applyBorder="0" applyAlignment="0" applyProtection="0"/>
    <xf numFmtId="175" fontId="27" fillId="56" borderId="0" applyNumberFormat="0" applyBorder="0" applyAlignment="0" applyProtection="0"/>
    <xf numFmtId="175" fontId="27" fillId="56" borderId="0" applyNumberFormat="0" applyBorder="0" applyAlignment="0" applyProtection="0"/>
    <xf numFmtId="175" fontId="27" fillId="56" borderId="0" applyNumberFormat="0" applyBorder="0" applyAlignment="0" applyProtection="0"/>
    <xf numFmtId="175" fontId="27" fillId="56" borderId="0" applyNumberFormat="0" applyBorder="0" applyAlignment="0" applyProtection="0"/>
    <xf numFmtId="175" fontId="27" fillId="56" borderId="0" applyNumberFormat="0" applyBorder="0" applyAlignment="0" applyProtection="0"/>
    <xf numFmtId="175" fontId="27" fillId="56" borderId="0" applyNumberFormat="0" applyBorder="0" applyAlignment="0" applyProtection="0"/>
    <xf numFmtId="175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168" fontId="28" fillId="49" borderId="0" applyNumberFormat="0" applyBorder="0" applyAlignment="0" applyProtection="0"/>
    <xf numFmtId="168" fontId="28" fillId="49" borderId="0" applyNumberFormat="0" applyBorder="0" applyAlignment="0" applyProtection="0"/>
    <xf numFmtId="175" fontId="27" fillId="57" borderId="0" applyNumberFormat="0" applyBorder="0" applyAlignment="0" applyProtection="0"/>
    <xf numFmtId="175" fontId="27" fillId="57" borderId="0" applyNumberFormat="0" applyBorder="0" applyAlignment="0" applyProtection="0"/>
    <xf numFmtId="175" fontId="27" fillId="57" borderId="0" applyNumberFormat="0" applyBorder="0" applyAlignment="0" applyProtection="0"/>
    <xf numFmtId="175" fontId="27" fillId="57" borderId="0" applyNumberFormat="0" applyBorder="0" applyAlignment="0" applyProtection="0"/>
    <xf numFmtId="175" fontId="27" fillId="57" borderId="0" applyNumberFormat="0" applyBorder="0" applyAlignment="0" applyProtection="0"/>
    <xf numFmtId="175" fontId="27" fillId="57" borderId="0" applyNumberFormat="0" applyBorder="0" applyAlignment="0" applyProtection="0"/>
    <xf numFmtId="175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168" fontId="28" fillId="30" borderId="0" applyNumberFormat="0" applyBorder="0" applyAlignment="0" applyProtection="0"/>
    <xf numFmtId="168" fontId="28" fillId="30" borderId="0" applyNumberFormat="0" applyBorder="0" applyAlignment="0" applyProtection="0"/>
    <xf numFmtId="175" fontId="27" fillId="58" borderId="0" applyNumberFormat="0" applyBorder="0" applyAlignment="0" applyProtection="0"/>
    <xf numFmtId="175" fontId="27" fillId="58" borderId="0" applyNumberFormat="0" applyBorder="0" applyAlignment="0" applyProtection="0"/>
    <xf numFmtId="175" fontId="27" fillId="58" borderId="0" applyNumberFormat="0" applyBorder="0" applyAlignment="0" applyProtection="0"/>
    <xf numFmtId="175" fontId="27" fillId="58" borderId="0" applyNumberFormat="0" applyBorder="0" applyAlignment="0" applyProtection="0"/>
    <xf numFmtId="175" fontId="27" fillId="58" borderId="0" applyNumberFormat="0" applyBorder="0" applyAlignment="0" applyProtection="0"/>
    <xf numFmtId="175" fontId="27" fillId="58" borderId="0" applyNumberFormat="0" applyBorder="0" applyAlignment="0" applyProtection="0"/>
    <xf numFmtId="175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175" fontId="27" fillId="59" borderId="0" applyNumberFormat="0" applyBorder="0" applyAlignment="0" applyProtection="0"/>
    <xf numFmtId="175" fontId="27" fillId="59" borderId="0" applyNumberFormat="0" applyBorder="0" applyAlignment="0" applyProtection="0"/>
    <xf numFmtId="175" fontId="27" fillId="59" borderId="0" applyNumberFormat="0" applyBorder="0" applyAlignment="0" applyProtection="0"/>
    <xf numFmtId="175" fontId="27" fillId="59" borderId="0" applyNumberFormat="0" applyBorder="0" applyAlignment="0" applyProtection="0"/>
    <xf numFmtId="175" fontId="27" fillId="59" borderId="0" applyNumberFormat="0" applyBorder="0" applyAlignment="0" applyProtection="0"/>
    <xf numFmtId="175" fontId="27" fillId="59" borderId="0" applyNumberFormat="0" applyBorder="0" applyAlignment="0" applyProtection="0"/>
    <xf numFmtId="175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75" fontId="27" fillId="60" borderId="0" applyNumberFormat="0" applyBorder="0" applyAlignment="0" applyProtection="0"/>
    <xf numFmtId="175" fontId="27" fillId="60" borderId="0" applyNumberFormat="0" applyBorder="0" applyAlignment="0" applyProtection="0"/>
    <xf numFmtId="175" fontId="27" fillId="60" borderId="0" applyNumberFormat="0" applyBorder="0" applyAlignment="0" applyProtection="0"/>
    <xf numFmtId="175" fontId="27" fillId="60" borderId="0" applyNumberFormat="0" applyBorder="0" applyAlignment="0" applyProtection="0"/>
    <xf numFmtId="175" fontId="27" fillId="60" borderId="0" applyNumberFormat="0" applyBorder="0" applyAlignment="0" applyProtection="0"/>
    <xf numFmtId="175" fontId="27" fillId="60" borderId="0" applyNumberFormat="0" applyBorder="0" applyAlignment="0" applyProtection="0"/>
    <xf numFmtId="175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168" fontId="28" fillId="42" borderId="0" applyNumberFormat="0" applyBorder="0" applyAlignment="0" applyProtection="0"/>
    <xf numFmtId="168" fontId="28" fillId="42" borderId="0" applyNumberFormat="0" applyBorder="0" applyAlignment="0" applyProtection="0"/>
    <xf numFmtId="175" fontId="27" fillId="55" borderId="0" applyNumberFormat="0" applyBorder="0" applyAlignment="0" applyProtection="0"/>
    <xf numFmtId="175" fontId="27" fillId="55" borderId="0" applyNumberFormat="0" applyBorder="0" applyAlignment="0" applyProtection="0"/>
    <xf numFmtId="175" fontId="27" fillId="55" borderId="0" applyNumberFormat="0" applyBorder="0" applyAlignment="0" applyProtection="0"/>
    <xf numFmtId="175" fontId="27" fillId="55" borderId="0" applyNumberFormat="0" applyBorder="0" applyAlignment="0" applyProtection="0"/>
    <xf numFmtId="175" fontId="27" fillId="55" borderId="0" applyNumberFormat="0" applyBorder="0" applyAlignment="0" applyProtection="0"/>
    <xf numFmtId="175" fontId="27" fillId="55" borderId="0" applyNumberFormat="0" applyBorder="0" applyAlignment="0" applyProtection="0"/>
    <xf numFmtId="175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168" fontId="28" fillId="46" borderId="0" applyNumberFormat="0" applyBorder="0" applyAlignment="0" applyProtection="0"/>
    <xf numFmtId="168" fontId="28" fillId="46" borderId="0" applyNumberFormat="0" applyBorder="0" applyAlignment="0" applyProtection="0"/>
    <xf numFmtId="175" fontId="27" fillId="58" borderId="0" applyNumberFormat="0" applyBorder="0" applyAlignment="0" applyProtection="0"/>
    <xf numFmtId="175" fontId="27" fillId="58" borderId="0" applyNumberFormat="0" applyBorder="0" applyAlignment="0" applyProtection="0"/>
    <xf numFmtId="175" fontId="27" fillId="58" borderId="0" applyNumberFormat="0" applyBorder="0" applyAlignment="0" applyProtection="0"/>
    <xf numFmtId="175" fontId="27" fillId="58" borderId="0" applyNumberFormat="0" applyBorder="0" applyAlignment="0" applyProtection="0"/>
    <xf numFmtId="175" fontId="27" fillId="58" borderId="0" applyNumberFormat="0" applyBorder="0" applyAlignment="0" applyProtection="0"/>
    <xf numFmtId="175" fontId="27" fillId="58" borderId="0" applyNumberFormat="0" applyBorder="0" applyAlignment="0" applyProtection="0"/>
    <xf numFmtId="175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168" fontId="28" fillId="50" borderId="0" applyNumberFormat="0" applyBorder="0" applyAlignment="0" applyProtection="0"/>
    <xf numFmtId="168" fontId="28" fillId="50" borderId="0" applyNumberFormat="0" applyBorder="0" applyAlignment="0" applyProtection="0"/>
    <xf numFmtId="175" fontId="27" fillId="61" borderId="0" applyNumberFormat="0" applyBorder="0" applyAlignment="0" applyProtection="0"/>
    <xf numFmtId="175" fontId="27" fillId="61" borderId="0" applyNumberFormat="0" applyBorder="0" applyAlignment="0" applyProtection="0"/>
    <xf numFmtId="175" fontId="27" fillId="61" borderId="0" applyNumberFormat="0" applyBorder="0" applyAlignment="0" applyProtection="0"/>
    <xf numFmtId="175" fontId="27" fillId="61" borderId="0" applyNumberFormat="0" applyBorder="0" applyAlignment="0" applyProtection="0"/>
    <xf numFmtId="175" fontId="27" fillId="61" borderId="0" applyNumberFormat="0" applyBorder="0" applyAlignment="0" applyProtection="0"/>
    <xf numFmtId="175" fontId="27" fillId="61" borderId="0" applyNumberFormat="0" applyBorder="0" applyAlignment="0" applyProtection="0"/>
    <xf numFmtId="175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168" fontId="30" fillId="31" borderId="0" applyNumberFormat="0" applyBorder="0" applyAlignment="0" applyProtection="0"/>
    <xf numFmtId="168" fontId="30" fillId="31" borderId="0" applyNumberFormat="0" applyBorder="0" applyAlignment="0" applyProtection="0"/>
    <xf numFmtId="175" fontId="29" fillId="62" borderId="0" applyNumberFormat="0" applyBorder="0" applyAlignment="0" applyProtection="0"/>
    <xf numFmtId="175" fontId="29" fillId="62" borderId="0" applyNumberFormat="0" applyBorder="0" applyAlignment="0" applyProtection="0"/>
    <xf numFmtId="175" fontId="29" fillId="62" borderId="0" applyNumberFormat="0" applyBorder="0" applyAlignment="0" applyProtection="0"/>
    <xf numFmtId="175" fontId="29" fillId="62" borderId="0" applyNumberFormat="0" applyBorder="0" applyAlignment="0" applyProtection="0"/>
    <xf numFmtId="175" fontId="29" fillId="62" borderId="0" applyNumberFormat="0" applyBorder="0" applyAlignment="0" applyProtection="0"/>
    <xf numFmtId="175" fontId="29" fillId="62" borderId="0" applyNumberFormat="0" applyBorder="0" applyAlignment="0" applyProtection="0"/>
    <xf numFmtId="175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168" fontId="30" fillId="35" borderId="0" applyNumberFormat="0" applyBorder="0" applyAlignment="0" applyProtection="0"/>
    <xf numFmtId="168" fontId="30" fillId="35" borderId="0" applyNumberFormat="0" applyBorder="0" applyAlignment="0" applyProtection="0"/>
    <xf numFmtId="175" fontId="29" fillId="59" borderId="0" applyNumberFormat="0" applyBorder="0" applyAlignment="0" applyProtection="0"/>
    <xf numFmtId="175" fontId="29" fillId="59" borderId="0" applyNumberFormat="0" applyBorder="0" applyAlignment="0" applyProtection="0"/>
    <xf numFmtId="175" fontId="29" fillId="59" borderId="0" applyNumberFormat="0" applyBorder="0" applyAlignment="0" applyProtection="0"/>
    <xf numFmtId="175" fontId="29" fillId="59" borderId="0" applyNumberFormat="0" applyBorder="0" applyAlignment="0" applyProtection="0"/>
    <xf numFmtId="175" fontId="29" fillId="59" borderId="0" applyNumberFormat="0" applyBorder="0" applyAlignment="0" applyProtection="0"/>
    <xf numFmtId="175" fontId="29" fillId="59" borderId="0" applyNumberFormat="0" applyBorder="0" applyAlignment="0" applyProtection="0"/>
    <xf numFmtId="175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168" fontId="30" fillId="39" borderId="0" applyNumberFormat="0" applyBorder="0" applyAlignment="0" applyProtection="0"/>
    <xf numFmtId="168" fontId="30" fillId="39" borderId="0" applyNumberFormat="0" applyBorder="0" applyAlignment="0" applyProtection="0"/>
    <xf numFmtId="175" fontId="29" fillId="60" borderId="0" applyNumberFormat="0" applyBorder="0" applyAlignment="0" applyProtection="0"/>
    <xf numFmtId="175" fontId="29" fillId="60" borderId="0" applyNumberFormat="0" applyBorder="0" applyAlignment="0" applyProtection="0"/>
    <xf numFmtId="175" fontId="29" fillId="60" borderId="0" applyNumberFormat="0" applyBorder="0" applyAlignment="0" applyProtection="0"/>
    <xf numFmtId="175" fontId="29" fillId="60" borderId="0" applyNumberFormat="0" applyBorder="0" applyAlignment="0" applyProtection="0"/>
    <xf numFmtId="175" fontId="29" fillId="60" borderId="0" applyNumberFormat="0" applyBorder="0" applyAlignment="0" applyProtection="0"/>
    <xf numFmtId="175" fontId="29" fillId="60" borderId="0" applyNumberFormat="0" applyBorder="0" applyAlignment="0" applyProtection="0"/>
    <xf numFmtId="175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168" fontId="30" fillId="43" borderId="0" applyNumberFormat="0" applyBorder="0" applyAlignment="0" applyProtection="0"/>
    <xf numFmtId="168" fontId="30" fillId="43" borderId="0" applyNumberFormat="0" applyBorder="0" applyAlignment="0" applyProtection="0"/>
    <xf numFmtId="175" fontId="29" fillId="63" borderId="0" applyNumberFormat="0" applyBorder="0" applyAlignment="0" applyProtection="0"/>
    <xf numFmtId="175" fontId="29" fillId="63" borderId="0" applyNumberFormat="0" applyBorder="0" applyAlignment="0" applyProtection="0"/>
    <xf numFmtId="175" fontId="29" fillId="63" borderId="0" applyNumberFormat="0" applyBorder="0" applyAlignment="0" applyProtection="0"/>
    <xf numFmtId="175" fontId="29" fillId="63" borderId="0" applyNumberFormat="0" applyBorder="0" applyAlignment="0" applyProtection="0"/>
    <xf numFmtId="175" fontId="29" fillId="63" borderId="0" applyNumberFormat="0" applyBorder="0" applyAlignment="0" applyProtection="0"/>
    <xf numFmtId="175" fontId="29" fillId="63" borderId="0" applyNumberFormat="0" applyBorder="0" applyAlignment="0" applyProtection="0"/>
    <xf numFmtId="175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168" fontId="30" fillId="47" borderId="0" applyNumberFormat="0" applyBorder="0" applyAlignment="0" applyProtection="0"/>
    <xf numFmtId="168" fontId="30" fillId="47" borderId="0" applyNumberFormat="0" applyBorder="0" applyAlignment="0" applyProtection="0"/>
    <xf numFmtId="175" fontId="29" fillId="64" borderId="0" applyNumberFormat="0" applyBorder="0" applyAlignment="0" applyProtection="0"/>
    <xf numFmtId="175" fontId="29" fillId="64" borderId="0" applyNumberFormat="0" applyBorder="0" applyAlignment="0" applyProtection="0"/>
    <xf numFmtId="175" fontId="29" fillId="64" borderId="0" applyNumberFormat="0" applyBorder="0" applyAlignment="0" applyProtection="0"/>
    <xf numFmtId="175" fontId="29" fillId="64" borderId="0" applyNumberFormat="0" applyBorder="0" applyAlignment="0" applyProtection="0"/>
    <xf numFmtId="175" fontId="29" fillId="64" borderId="0" applyNumberFormat="0" applyBorder="0" applyAlignment="0" applyProtection="0"/>
    <xf numFmtId="175" fontId="29" fillId="64" borderId="0" applyNumberFormat="0" applyBorder="0" applyAlignment="0" applyProtection="0"/>
    <xf numFmtId="175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168" fontId="30" fillId="51" borderId="0" applyNumberFormat="0" applyBorder="0" applyAlignment="0" applyProtection="0"/>
    <xf numFmtId="168" fontId="30" fillId="51" borderId="0" applyNumberFormat="0" applyBorder="0" applyAlignment="0" applyProtection="0"/>
    <xf numFmtId="175" fontId="29" fillId="65" borderId="0" applyNumberFormat="0" applyBorder="0" applyAlignment="0" applyProtection="0"/>
    <xf numFmtId="175" fontId="29" fillId="65" borderId="0" applyNumberFormat="0" applyBorder="0" applyAlignment="0" applyProtection="0"/>
    <xf numFmtId="175" fontId="29" fillId="65" borderId="0" applyNumberFormat="0" applyBorder="0" applyAlignment="0" applyProtection="0"/>
    <xf numFmtId="175" fontId="29" fillId="65" borderId="0" applyNumberFormat="0" applyBorder="0" applyAlignment="0" applyProtection="0"/>
    <xf numFmtId="175" fontId="29" fillId="65" borderId="0" applyNumberFormat="0" applyBorder="0" applyAlignment="0" applyProtection="0"/>
    <xf numFmtId="175" fontId="29" fillId="65" borderId="0" applyNumberFormat="0" applyBorder="0" applyAlignment="0" applyProtection="0"/>
    <xf numFmtId="175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68" fontId="30" fillId="28" borderId="0" applyNumberFormat="0" applyBorder="0" applyAlignment="0" applyProtection="0"/>
    <xf numFmtId="168" fontId="30" fillId="28" borderId="0" applyNumberFormat="0" applyBorder="0" applyAlignment="0" applyProtection="0"/>
    <xf numFmtId="175" fontId="29" fillId="66" borderId="0" applyNumberFormat="0" applyBorder="0" applyAlignment="0" applyProtection="0"/>
    <xf numFmtId="175" fontId="29" fillId="66" borderId="0" applyNumberFormat="0" applyBorder="0" applyAlignment="0" applyProtection="0"/>
    <xf numFmtId="175" fontId="29" fillId="66" borderId="0" applyNumberFormat="0" applyBorder="0" applyAlignment="0" applyProtection="0"/>
    <xf numFmtId="175" fontId="29" fillId="66" borderId="0" applyNumberFormat="0" applyBorder="0" applyAlignment="0" applyProtection="0"/>
    <xf numFmtId="175" fontId="29" fillId="66" borderId="0" applyNumberFormat="0" applyBorder="0" applyAlignment="0" applyProtection="0"/>
    <xf numFmtId="175" fontId="29" fillId="66" borderId="0" applyNumberFormat="0" applyBorder="0" applyAlignment="0" applyProtection="0"/>
    <xf numFmtId="175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168" fontId="30" fillId="32" borderId="0" applyNumberFormat="0" applyBorder="0" applyAlignment="0" applyProtection="0"/>
    <xf numFmtId="168" fontId="30" fillId="32" borderId="0" applyNumberFormat="0" applyBorder="0" applyAlignment="0" applyProtection="0"/>
    <xf numFmtId="175" fontId="29" fillId="67" borderId="0" applyNumberFormat="0" applyBorder="0" applyAlignment="0" applyProtection="0"/>
    <xf numFmtId="175" fontId="29" fillId="67" borderId="0" applyNumberFormat="0" applyBorder="0" applyAlignment="0" applyProtection="0"/>
    <xf numFmtId="175" fontId="29" fillId="67" borderId="0" applyNumberFormat="0" applyBorder="0" applyAlignment="0" applyProtection="0"/>
    <xf numFmtId="175" fontId="29" fillId="67" borderId="0" applyNumberFormat="0" applyBorder="0" applyAlignment="0" applyProtection="0"/>
    <xf numFmtId="175" fontId="29" fillId="67" borderId="0" applyNumberFormat="0" applyBorder="0" applyAlignment="0" applyProtection="0"/>
    <xf numFmtId="175" fontId="29" fillId="67" borderId="0" applyNumberFormat="0" applyBorder="0" applyAlignment="0" applyProtection="0"/>
    <xf numFmtId="175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168" fontId="30" fillId="36" borderId="0" applyNumberFormat="0" applyBorder="0" applyAlignment="0" applyProtection="0"/>
    <xf numFmtId="168" fontId="30" fillId="36" borderId="0" applyNumberFormat="0" applyBorder="0" applyAlignment="0" applyProtection="0"/>
    <xf numFmtId="175" fontId="29" fillId="68" borderId="0" applyNumberFormat="0" applyBorder="0" applyAlignment="0" applyProtection="0"/>
    <xf numFmtId="175" fontId="29" fillId="68" borderId="0" applyNumberFormat="0" applyBorder="0" applyAlignment="0" applyProtection="0"/>
    <xf numFmtId="175" fontId="29" fillId="68" borderId="0" applyNumberFormat="0" applyBorder="0" applyAlignment="0" applyProtection="0"/>
    <xf numFmtId="175" fontId="29" fillId="68" borderId="0" applyNumberFormat="0" applyBorder="0" applyAlignment="0" applyProtection="0"/>
    <xf numFmtId="175" fontId="29" fillId="68" borderId="0" applyNumberFormat="0" applyBorder="0" applyAlignment="0" applyProtection="0"/>
    <xf numFmtId="175" fontId="29" fillId="68" borderId="0" applyNumberFormat="0" applyBorder="0" applyAlignment="0" applyProtection="0"/>
    <xf numFmtId="175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168" fontId="30" fillId="40" borderId="0" applyNumberFormat="0" applyBorder="0" applyAlignment="0" applyProtection="0"/>
    <xf numFmtId="168" fontId="30" fillId="40" borderId="0" applyNumberFormat="0" applyBorder="0" applyAlignment="0" applyProtection="0"/>
    <xf numFmtId="175" fontId="29" fillId="63" borderId="0" applyNumberFormat="0" applyBorder="0" applyAlignment="0" applyProtection="0"/>
    <xf numFmtId="175" fontId="29" fillId="63" borderId="0" applyNumberFormat="0" applyBorder="0" applyAlignment="0" applyProtection="0"/>
    <xf numFmtId="175" fontId="29" fillId="63" borderId="0" applyNumberFormat="0" applyBorder="0" applyAlignment="0" applyProtection="0"/>
    <xf numFmtId="175" fontId="29" fillId="63" borderId="0" applyNumberFormat="0" applyBorder="0" applyAlignment="0" applyProtection="0"/>
    <xf numFmtId="175" fontId="29" fillId="63" borderId="0" applyNumberFormat="0" applyBorder="0" applyAlignment="0" applyProtection="0"/>
    <xf numFmtId="175" fontId="29" fillId="63" borderId="0" applyNumberFormat="0" applyBorder="0" applyAlignment="0" applyProtection="0"/>
    <xf numFmtId="175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168" fontId="30" fillId="44" borderId="0" applyNumberFormat="0" applyBorder="0" applyAlignment="0" applyProtection="0"/>
    <xf numFmtId="168" fontId="30" fillId="44" borderId="0" applyNumberFormat="0" applyBorder="0" applyAlignment="0" applyProtection="0"/>
    <xf numFmtId="175" fontId="29" fillId="64" borderId="0" applyNumberFormat="0" applyBorder="0" applyAlignment="0" applyProtection="0"/>
    <xf numFmtId="175" fontId="29" fillId="64" borderId="0" applyNumberFormat="0" applyBorder="0" applyAlignment="0" applyProtection="0"/>
    <xf numFmtId="175" fontId="29" fillId="64" borderId="0" applyNumberFormat="0" applyBorder="0" applyAlignment="0" applyProtection="0"/>
    <xf numFmtId="175" fontId="29" fillId="64" borderId="0" applyNumberFormat="0" applyBorder="0" applyAlignment="0" applyProtection="0"/>
    <xf numFmtId="175" fontId="29" fillId="64" borderId="0" applyNumberFormat="0" applyBorder="0" applyAlignment="0" applyProtection="0"/>
    <xf numFmtId="175" fontId="29" fillId="64" borderId="0" applyNumberFormat="0" applyBorder="0" applyAlignment="0" applyProtection="0"/>
    <xf numFmtId="175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168" fontId="30" fillId="48" borderId="0" applyNumberFormat="0" applyBorder="0" applyAlignment="0" applyProtection="0"/>
    <xf numFmtId="168" fontId="30" fillId="48" borderId="0" applyNumberFormat="0" applyBorder="0" applyAlignment="0" applyProtection="0"/>
    <xf numFmtId="175" fontId="29" fillId="69" borderId="0" applyNumberFormat="0" applyBorder="0" applyAlignment="0" applyProtection="0"/>
    <xf numFmtId="175" fontId="29" fillId="69" borderId="0" applyNumberFormat="0" applyBorder="0" applyAlignment="0" applyProtection="0"/>
    <xf numFmtId="175" fontId="29" fillId="69" borderId="0" applyNumberFormat="0" applyBorder="0" applyAlignment="0" applyProtection="0"/>
    <xf numFmtId="175" fontId="29" fillId="69" borderId="0" applyNumberFormat="0" applyBorder="0" applyAlignment="0" applyProtection="0"/>
    <xf numFmtId="175" fontId="29" fillId="69" borderId="0" applyNumberFormat="0" applyBorder="0" applyAlignment="0" applyProtection="0"/>
    <xf numFmtId="175" fontId="29" fillId="69" borderId="0" applyNumberFormat="0" applyBorder="0" applyAlignment="0" applyProtection="0"/>
    <xf numFmtId="175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168" fontId="32" fillId="22" borderId="0" applyNumberFormat="0" applyBorder="0" applyAlignment="0" applyProtection="0"/>
    <xf numFmtId="168" fontId="32" fillId="22" borderId="0" applyNumberFormat="0" applyBorder="0" applyAlignment="0" applyProtection="0"/>
    <xf numFmtId="175" fontId="31" fillId="53" borderId="0" applyNumberFormat="0" applyBorder="0" applyAlignment="0" applyProtection="0"/>
    <xf numFmtId="175" fontId="31" fillId="53" borderId="0" applyNumberFormat="0" applyBorder="0" applyAlignment="0" applyProtection="0"/>
    <xf numFmtId="175" fontId="31" fillId="53" borderId="0" applyNumberFormat="0" applyBorder="0" applyAlignment="0" applyProtection="0"/>
    <xf numFmtId="175" fontId="31" fillId="53" borderId="0" applyNumberFormat="0" applyBorder="0" applyAlignment="0" applyProtection="0"/>
    <xf numFmtId="175" fontId="31" fillId="53" borderId="0" applyNumberFormat="0" applyBorder="0" applyAlignment="0" applyProtection="0"/>
    <xf numFmtId="175" fontId="31" fillId="53" borderId="0" applyNumberFormat="0" applyBorder="0" applyAlignment="0" applyProtection="0"/>
    <xf numFmtId="175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3" fillId="70" borderId="31" applyNumberFormat="0" applyAlignment="0" applyProtection="0"/>
    <xf numFmtId="0" fontId="33" fillId="70" borderId="31" applyNumberFormat="0" applyAlignment="0" applyProtection="0"/>
    <xf numFmtId="0" fontId="33" fillId="70" borderId="31" applyNumberFormat="0" applyAlignment="0" applyProtection="0"/>
    <xf numFmtId="0" fontId="33" fillId="70" borderId="31" applyNumberFormat="0" applyAlignment="0" applyProtection="0"/>
    <xf numFmtId="0" fontId="33" fillId="70" borderId="31" applyNumberFormat="0" applyAlignment="0" applyProtection="0"/>
    <xf numFmtId="168" fontId="34" fillId="25" borderId="23" applyNumberFormat="0" applyAlignment="0" applyProtection="0"/>
    <xf numFmtId="168" fontId="34" fillId="25" borderId="23" applyNumberFormat="0" applyAlignment="0" applyProtection="0"/>
    <xf numFmtId="175" fontId="33" fillId="70" borderId="31" applyNumberFormat="0" applyAlignment="0" applyProtection="0"/>
    <xf numFmtId="175" fontId="33" fillId="70" borderId="31" applyNumberFormat="0" applyAlignment="0" applyProtection="0"/>
    <xf numFmtId="175" fontId="33" fillId="70" borderId="31" applyNumberFormat="0" applyAlignment="0" applyProtection="0"/>
    <xf numFmtId="175" fontId="33" fillId="70" borderId="31" applyNumberFormat="0" applyAlignment="0" applyProtection="0"/>
    <xf numFmtId="175" fontId="33" fillId="70" borderId="31" applyNumberFormat="0" applyAlignment="0" applyProtection="0"/>
    <xf numFmtId="175" fontId="33" fillId="70" borderId="31" applyNumberFormat="0" applyAlignment="0" applyProtection="0"/>
    <xf numFmtId="175" fontId="33" fillId="70" borderId="31" applyNumberFormat="0" applyAlignment="0" applyProtection="0"/>
    <xf numFmtId="0" fontId="33" fillId="70" borderId="31" applyNumberFormat="0" applyAlignment="0" applyProtection="0"/>
    <xf numFmtId="0" fontId="35" fillId="71" borderId="32" applyNumberFormat="0" applyAlignment="0" applyProtection="0"/>
    <xf numFmtId="0" fontId="35" fillId="71" borderId="32" applyNumberFormat="0" applyAlignment="0" applyProtection="0"/>
    <xf numFmtId="0" fontId="35" fillId="71" borderId="32" applyNumberFormat="0" applyAlignment="0" applyProtection="0"/>
    <xf numFmtId="0" fontId="35" fillId="71" borderId="32" applyNumberFormat="0" applyAlignment="0" applyProtection="0"/>
    <xf numFmtId="0" fontId="35" fillId="71" borderId="32" applyNumberFormat="0" applyAlignment="0" applyProtection="0"/>
    <xf numFmtId="168" fontId="36" fillId="26" borderId="26" applyNumberFormat="0" applyAlignment="0" applyProtection="0"/>
    <xf numFmtId="168" fontId="36" fillId="26" borderId="26" applyNumberFormat="0" applyAlignment="0" applyProtection="0"/>
    <xf numFmtId="175" fontId="35" fillId="71" borderId="32" applyNumberFormat="0" applyAlignment="0" applyProtection="0"/>
    <xf numFmtId="175" fontId="35" fillId="71" borderId="32" applyNumberFormat="0" applyAlignment="0" applyProtection="0"/>
    <xf numFmtId="175" fontId="35" fillId="71" borderId="32" applyNumberFormat="0" applyAlignment="0" applyProtection="0"/>
    <xf numFmtId="175" fontId="35" fillId="71" borderId="32" applyNumberFormat="0" applyAlignment="0" applyProtection="0"/>
    <xf numFmtId="175" fontId="35" fillId="71" borderId="32" applyNumberFormat="0" applyAlignment="0" applyProtection="0"/>
    <xf numFmtId="175" fontId="35" fillId="71" borderId="32" applyNumberFormat="0" applyAlignment="0" applyProtection="0"/>
    <xf numFmtId="175" fontId="35" fillId="71" borderId="32" applyNumberFormat="0" applyAlignment="0" applyProtection="0"/>
    <xf numFmtId="0" fontId="35" fillId="71" borderId="32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5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8" fontId="38" fillId="0" borderId="0" applyNumberFormat="0" applyFill="0" applyBorder="0" applyAlignment="0" applyProtection="0"/>
    <xf numFmtId="168" fontId="38" fillId="0" borderId="0" applyNumberFormat="0" applyFill="0" applyBorder="0" applyAlignment="0" applyProtection="0"/>
    <xf numFmtId="175" fontId="37" fillId="0" borderId="0" applyNumberFormat="0" applyFill="0" applyBorder="0" applyAlignment="0" applyProtection="0"/>
    <xf numFmtId="175" fontId="37" fillId="0" borderId="0" applyNumberFormat="0" applyFill="0" applyBorder="0" applyAlignment="0" applyProtection="0"/>
    <xf numFmtId="175" fontId="37" fillId="0" borderId="0" applyNumberFormat="0" applyFill="0" applyBorder="0" applyAlignment="0" applyProtection="0"/>
    <xf numFmtId="175" fontId="37" fillId="0" borderId="0" applyNumberFormat="0" applyFill="0" applyBorder="0" applyAlignment="0" applyProtection="0"/>
    <xf numFmtId="175" fontId="37" fillId="0" borderId="0" applyNumberFormat="0" applyFill="0" applyBorder="0" applyAlignment="0" applyProtection="0"/>
    <xf numFmtId="175" fontId="37" fillId="0" borderId="0" applyNumberFormat="0" applyFill="0" applyBorder="0" applyAlignment="0" applyProtection="0"/>
    <xf numFmtId="175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5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168" fontId="1" fillId="0" borderId="0" applyProtection="0"/>
    <xf numFmtId="168" fontId="1" fillId="0" borderId="0" applyProtection="0"/>
    <xf numFmtId="0" fontId="1" fillId="0" borderId="0" applyProtection="0"/>
    <xf numFmtId="175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68" fontId="13" fillId="0" borderId="0" applyProtection="0"/>
    <xf numFmtId="168" fontId="13" fillId="0" borderId="0" applyProtection="0"/>
    <xf numFmtId="0" fontId="13" fillId="0" borderId="0" applyProtection="0"/>
    <xf numFmtId="175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168" fontId="19" fillId="0" borderId="0" applyProtection="0"/>
    <xf numFmtId="168" fontId="19" fillId="0" borderId="0" applyProtection="0"/>
    <xf numFmtId="0" fontId="19" fillId="0" borderId="0" applyProtection="0"/>
    <xf numFmtId="175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168" fontId="2" fillId="0" borderId="0" applyProtection="0"/>
    <xf numFmtId="168" fontId="2" fillId="0" borderId="0" applyProtection="0"/>
    <xf numFmtId="0" fontId="2" fillId="0" borderId="0" applyProtection="0"/>
    <xf numFmtId="175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168" fontId="3" fillId="0" borderId="0" applyProtection="0"/>
    <xf numFmtId="168" fontId="3" fillId="0" borderId="0" applyProtection="0"/>
    <xf numFmtId="0" fontId="3" fillId="0" borderId="0" applyProtection="0"/>
    <xf numFmtId="175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168" fontId="1" fillId="0" borderId="0" applyProtection="0"/>
    <xf numFmtId="168" fontId="1" fillId="0" borderId="0" applyProtection="0"/>
    <xf numFmtId="0" fontId="1" fillId="0" borderId="0" applyProtection="0"/>
    <xf numFmtId="175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168" fontId="39" fillId="0" borderId="0" applyProtection="0"/>
    <xf numFmtId="168" fontId="39" fillId="0" borderId="0" applyProtection="0"/>
    <xf numFmtId="0" fontId="39" fillId="0" borderId="0" applyProtection="0"/>
    <xf numFmtId="2" fontId="3" fillId="0" borderId="0" applyFont="0" applyFill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168" fontId="41" fillId="21" borderId="0" applyNumberFormat="0" applyBorder="0" applyAlignment="0" applyProtection="0"/>
    <xf numFmtId="168" fontId="41" fillId="21" borderId="0" applyNumberFormat="0" applyBorder="0" applyAlignment="0" applyProtection="0"/>
    <xf numFmtId="175" fontId="40" fillId="54" borderId="0" applyNumberFormat="0" applyBorder="0" applyAlignment="0" applyProtection="0"/>
    <xf numFmtId="175" fontId="40" fillId="54" borderId="0" applyNumberFormat="0" applyBorder="0" applyAlignment="0" applyProtection="0"/>
    <xf numFmtId="175" fontId="40" fillId="54" borderId="0" applyNumberFormat="0" applyBorder="0" applyAlignment="0" applyProtection="0"/>
    <xf numFmtId="175" fontId="40" fillId="54" borderId="0" applyNumberFormat="0" applyBorder="0" applyAlignment="0" applyProtection="0"/>
    <xf numFmtId="175" fontId="40" fillId="54" borderId="0" applyNumberFormat="0" applyBorder="0" applyAlignment="0" applyProtection="0"/>
    <xf numFmtId="175" fontId="40" fillId="54" borderId="0" applyNumberFormat="0" applyBorder="0" applyAlignment="0" applyProtection="0"/>
    <xf numFmtId="175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2" fillId="0" borderId="33" applyNumberFormat="0" applyFill="0" applyAlignment="0" applyProtection="0"/>
    <xf numFmtId="0" fontId="42" fillId="0" borderId="33" applyNumberFormat="0" applyFill="0" applyAlignment="0" applyProtection="0"/>
    <xf numFmtId="0" fontId="42" fillId="0" borderId="33" applyNumberFormat="0" applyFill="0" applyAlignment="0" applyProtection="0"/>
    <xf numFmtId="0" fontId="42" fillId="0" borderId="33" applyNumberFormat="0" applyFill="0" applyAlignment="0" applyProtection="0"/>
    <xf numFmtId="0" fontId="42" fillId="0" borderId="33" applyNumberFormat="0" applyFill="0" applyAlignment="0" applyProtection="0"/>
    <xf numFmtId="168" fontId="43" fillId="0" borderId="20" applyNumberFormat="0" applyFill="0" applyAlignment="0" applyProtection="0"/>
    <xf numFmtId="168" fontId="43" fillId="0" borderId="20" applyNumberFormat="0" applyFill="0" applyAlignment="0" applyProtection="0"/>
    <xf numFmtId="175" fontId="42" fillId="0" borderId="33" applyNumberFormat="0" applyFill="0" applyAlignment="0" applyProtection="0"/>
    <xf numFmtId="175" fontId="42" fillId="0" borderId="33" applyNumberFormat="0" applyFill="0" applyAlignment="0" applyProtection="0"/>
    <xf numFmtId="175" fontId="42" fillId="0" borderId="33" applyNumberFormat="0" applyFill="0" applyAlignment="0" applyProtection="0"/>
    <xf numFmtId="175" fontId="42" fillId="0" borderId="33" applyNumberFormat="0" applyFill="0" applyAlignment="0" applyProtection="0"/>
    <xf numFmtId="175" fontId="42" fillId="0" borderId="33" applyNumberFormat="0" applyFill="0" applyAlignment="0" applyProtection="0"/>
    <xf numFmtId="175" fontId="42" fillId="0" borderId="33" applyNumberFormat="0" applyFill="0" applyAlignment="0" applyProtection="0"/>
    <xf numFmtId="175" fontId="42" fillId="0" borderId="33" applyNumberFormat="0" applyFill="0" applyAlignment="0" applyProtection="0"/>
    <xf numFmtId="0" fontId="42" fillId="0" borderId="33" applyNumberFormat="0" applyFill="0" applyAlignment="0" applyProtection="0"/>
    <xf numFmtId="0" fontId="44" fillId="0" borderId="34" applyNumberFormat="0" applyFill="0" applyAlignment="0" applyProtection="0"/>
    <xf numFmtId="0" fontId="44" fillId="0" borderId="34" applyNumberFormat="0" applyFill="0" applyAlignment="0" applyProtection="0"/>
    <xf numFmtId="0" fontId="44" fillId="0" borderId="34" applyNumberFormat="0" applyFill="0" applyAlignment="0" applyProtection="0"/>
    <xf numFmtId="0" fontId="44" fillId="0" borderId="34" applyNumberFormat="0" applyFill="0" applyAlignment="0" applyProtection="0"/>
    <xf numFmtId="0" fontId="44" fillId="0" borderId="34" applyNumberFormat="0" applyFill="0" applyAlignment="0" applyProtection="0"/>
    <xf numFmtId="168" fontId="45" fillId="0" borderId="21" applyNumberFormat="0" applyFill="0" applyAlignment="0" applyProtection="0"/>
    <xf numFmtId="168" fontId="45" fillId="0" borderId="21" applyNumberFormat="0" applyFill="0" applyAlignment="0" applyProtection="0"/>
    <xf numFmtId="175" fontId="44" fillId="0" borderId="34" applyNumberFormat="0" applyFill="0" applyAlignment="0" applyProtection="0"/>
    <xf numFmtId="175" fontId="44" fillId="0" borderId="34" applyNumberFormat="0" applyFill="0" applyAlignment="0" applyProtection="0"/>
    <xf numFmtId="175" fontId="44" fillId="0" borderId="34" applyNumberFormat="0" applyFill="0" applyAlignment="0" applyProtection="0"/>
    <xf numFmtId="175" fontId="44" fillId="0" borderId="34" applyNumberFormat="0" applyFill="0" applyAlignment="0" applyProtection="0"/>
    <xf numFmtId="175" fontId="44" fillId="0" borderId="34" applyNumberFormat="0" applyFill="0" applyAlignment="0" applyProtection="0"/>
    <xf numFmtId="175" fontId="44" fillId="0" borderId="34" applyNumberFormat="0" applyFill="0" applyAlignment="0" applyProtection="0"/>
    <xf numFmtId="175" fontId="44" fillId="0" borderId="34" applyNumberFormat="0" applyFill="0" applyAlignment="0" applyProtection="0"/>
    <xf numFmtId="0" fontId="44" fillId="0" borderId="34" applyNumberFormat="0" applyFill="0" applyAlignment="0" applyProtection="0"/>
    <xf numFmtId="0" fontId="46" fillId="0" borderId="35" applyNumberFormat="0" applyFill="0" applyAlignment="0" applyProtection="0"/>
    <xf numFmtId="0" fontId="46" fillId="0" borderId="35" applyNumberFormat="0" applyFill="0" applyAlignment="0" applyProtection="0"/>
    <xf numFmtId="0" fontId="46" fillId="0" borderId="35" applyNumberFormat="0" applyFill="0" applyAlignment="0" applyProtection="0"/>
    <xf numFmtId="0" fontId="46" fillId="0" borderId="35" applyNumberFormat="0" applyFill="0" applyAlignment="0" applyProtection="0"/>
    <xf numFmtId="0" fontId="46" fillId="0" borderId="35" applyNumberFormat="0" applyFill="0" applyAlignment="0" applyProtection="0"/>
    <xf numFmtId="168" fontId="47" fillId="0" borderId="22" applyNumberFormat="0" applyFill="0" applyAlignment="0" applyProtection="0"/>
    <xf numFmtId="168" fontId="47" fillId="0" borderId="22" applyNumberFormat="0" applyFill="0" applyAlignment="0" applyProtection="0"/>
    <xf numFmtId="175" fontId="46" fillId="0" borderId="35" applyNumberFormat="0" applyFill="0" applyAlignment="0" applyProtection="0"/>
    <xf numFmtId="175" fontId="46" fillId="0" borderId="35" applyNumberFormat="0" applyFill="0" applyAlignment="0" applyProtection="0"/>
    <xf numFmtId="175" fontId="46" fillId="0" borderId="35" applyNumberFormat="0" applyFill="0" applyAlignment="0" applyProtection="0"/>
    <xf numFmtId="175" fontId="46" fillId="0" borderId="35" applyNumberFormat="0" applyFill="0" applyAlignment="0" applyProtection="0"/>
    <xf numFmtId="175" fontId="46" fillId="0" borderId="35" applyNumberFormat="0" applyFill="0" applyAlignment="0" applyProtection="0"/>
    <xf numFmtId="175" fontId="46" fillId="0" borderId="35" applyNumberFormat="0" applyFill="0" applyAlignment="0" applyProtection="0"/>
    <xf numFmtId="175" fontId="46" fillId="0" borderId="35" applyNumberFormat="0" applyFill="0" applyAlignment="0" applyProtection="0"/>
    <xf numFmtId="0" fontId="46" fillId="0" borderId="35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8" fontId="47" fillId="0" borderId="0" applyNumberFormat="0" applyFill="0" applyBorder="0" applyAlignment="0" applyProtection="0"/>
    <xf numFmtId="168" fontId="47" fillId="0" borderId="0" applyNumberFormat="0" applyFill="0" applyBorder="0" applyAlignment="0" applyProtection="0"/>
    <xf numFmtId="175" fontId="46" fillId="0" borderId="0" applyNumberFormat="0" applyFill="0" applyBorder="0" applyAlignment="0" applyProtection="0"/>
    <xf numFmtId="175" fontId="46" fillId="0" borderId="0" applyNumberFormat="0" applyFill="0" applyBorder="0" applyAlignment="0" applyProtection="0"/>
    <xf numFmtId="175" fontId="46" fillId="0" borderId="0" applyNumberFormat="0" applyFill="0" applyBorder="0" applyAlignment="0" applyProtection="0"/>
    <xf numFmtId="175" fontId="46" fillId="0" borderId="0" applyNumberFormat="0" applyFill="0" applyBorder="0" applyAlignment="0" applyProtection="0"/>
    <xf numFmtId="175" fontId="46" fillId="0" borderId="0" applyNumberFormat="0" applyFill="0" applyBorder="0" applyAlignment="0" applyProtection="0"/>
    <xf numFmtId="175" fontId="46" fillId="0" borderId="0" applyNumberFormat="0" applyFill="0" applyBorder="0" applyAlignment="0" applyProtection="0"/>
    <xf numFmtId="175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8" fillId="57" borderId="31" applyNumberFormat="0" applyAlignment="0" applyProtection="0"/>
    <xf numFmtId="0" fontId="48" fillId="57" borderId="31" applyNumberFormat="0" applyAlignment="0" applyProtection="0"/>
    <xf numFmtId="0" fontId="48" fillId="57" borderId="31" applyNumberFormat="0" applyAlignment="0" applyProtection="0"/>
    <xf numFmtId="0" fontId="48" fillId="57" borderId="31" applyNumberFormat="0" applyAlignment="0" applyProtection="0"/>
    <xf numFmtId="0" fontId="48" fillId="57" borderId="31" applyNumberFormat="0" applyAlignment="0" applyProtection="0"/>
    <xf numFmtId="168" fontId="49" fillId="24" borderId="23" applyNumberFormat="0" applyAlignment="0" applyProtection="0"/>
    <xf numFmtId="168" fontId="49" fillId="24" borderId="23" applyNumberFormat="0" applyAlignment="0" applyProtection="0"/>
    <xf numFmtId="175" fontId="48" fillId="57" borderId="31" applyNumberFormat="0" applyAlignment="0" applyProtection="0"/>
    <xf numFmtId="175" fontId="48" fillId="57" borderId="31" applyNumberFormat="0" applyAlignment="0" applyProtection="0"/>
    <xf numFmtId="175" fontId="48" fillId="57" borderId="31" applyNumberFormat="0" applyAlignment="0" applyProtection="0"/>
    <xf numFmtId="175" fontId="48" fillId="57" borderId="31" applyNumberFormat="0" applyAlignment="0" applyProtection="0"/>
    <xf numFmtId="175" fontId="48" fillId="57" borderId="31" applyNumberFormat="0" applyAlignment="0" applyProtection="0"/>
    <xf numFmtId="175" fontId="48" fillId="57" borderId="31" applyNumberFormat="0" applyAlignment="0" applyProtection="0"/>
    <xf numFmtId="175" fontId="48" fillId="57" borderId="31" applyNumberFormat="0" applyAlignment="0" applyProtection="0"/>
    <xf numFmtId="0" fontId="48" fillId="57" borderId="31" applyNumberFormat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168" fontId="51" fillId="0" borderId="25" applyNumberFormat="0" applyFill="0" applyAlignment="0" applyProtection="0"/>
    <xf numFmtId="168" fontId="51" fillId="0" borderId="25" applyNumberFormat="0" applyFill="0" applyAlignment="0" applyProtection="0"/>
    <xf numFmtId="175" fontId="50" fillId="0" borderId="36" applyNumberFormat="0" applyFill="0" applyAlignment="0" applyProtection="0"/>
    <xf numFmtId="175" fontId="50" fillId="0" borderId="36" applyNumberFormat="0" applyFill="0" applyAlignment="0" applyProtection="0"/>
    <xf numFmtId="175" fontId="50" fillId="0" borderId="36" applyNumberFormat="0" applyFill="0" applyAlignment="0" applyProtection="0"/>
    <xf numFmtId="175" fontId="50" fillId="0" borderId="36" applyNumberFormat="0" applyFill="0" applyAlignment="0" applyProtection="0"/>
    <xf numFmtId="175" fontId="50" fillId="0" borderId="36" applyNumberFormat="0" applyFill="0" applyAlignment="0" applyProtection="0"/>
    <xf numFmtId="175" fontId="50" fillId="0" borderId="36" applyNumberFormat="0" applyFill="0" applyAlignment="0" applyProtection="0"/>
    <xf numFmtId="175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168" fontId="53" fillId="23" borderId="0" applyNumberFormat="0" applyBorder="0" applyAlignment="0" applyProtection="0"/>
    <xf numFmtId="168" fontId="53" fillId="23" borderId="0" applyNumberFormat="0" applyBorder="0" applyAlignment="0" applyProtection="0"/>
    <xf numFmtId="175" fontId="52" fillId="72" borderId="0" applyNumberFormat="0" applyBorder="0" applyAlignment="0" applyProtection="0"/>
    <xf numFmtId="175" fontId="52" fillId="72" borderId="0" applyNumberFormat="0" applyBorder="0" applyAlignment="0" applyProtection="0"/>
    <xf numFmtId="175" fontId="52" fillId="72" borderId="0" applyNumberFormat="0" applyBorder="0" applyAlignment="0" applyProtection="0"/>
    <xf numFmtId="175" fontId="52" fillId="72" borderId="0" applyNumberFormat="0" applyBorder="0" applyAlignment="0" applyProtection="0"/>
    <xf numFmtId="175" fontId="52" fillId="72" borderId="0" applyNumberFormat="0" applyBorder="0" applyAlignment="0" applyProtection="0"/>
    <xf numFmtId="175" fontId="52" fillId="72" borderId="0" applyNumberFormat="0" applyBorder="0" applyAlignment="0" applyProtection="0"/>
    <xf numFmtId="175" fontId="52" fillId="72" borderId="0" applyNumberFormat="0" applyBorder="0" applyAlignment="0" applyProtection="0"/>
    <xf numFmtId="0" fontId="52" fillId="72" borderId="0" applyNumberFormat="0" applyBorder="0" applyAlignment="0" applyProtection="0"/>
    <xf numFmtId="175" fontId="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68" fontId="3" fillId="0" borderId="0"/>
    <xf numFmtId="16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3" fillId="0" borderId="0"/>
    <xf numFmtId="41" fontId="25" fillId="0" borderId="0"/>
    <xf numFmtId="41" fontId="25" fillId="0" borderId="0"/>
    <xf numFmtId="41" fontId="25" fillId="0" borderId="0"/>
    <xf numFmtId="175" fontId="54" fillId="0" borderId="0"/>
    <xf numFmtId="175" fontId="54" fillId="0" borderId="0"/>
    <xf numFmtId="175" fontId="54" fillId="0" borderId="0"/>
    <xf numFmtId="175" fontId="54" fillId="0" borderId="0"/>
    <xf numFmtId="175" fontId="54" fillId="0" borderId="0"/>
    <xf numFmtId="168" fontId="28" fillId="0" borderId="0"/>
    <xf numFmtId="168" fontId="28" fillId="0" borderId="0"/>
    <xf numFmtId="175" fontId="54" fillId="0" borderId="0"/>
    <xf numFmtId="175" fontId="54" fillId="0" borderId="0"/>
    <xf numFmtId="175" fontId="54" fillId="0" borderId="0"/>
    <xf numFmtId="175" fontId="54" fillId="0" borderId="0"/>
    <xf numFmtId="175" fontId="54" fillId="0" borderId="0"/>
    <xf numFmtId="175" fontId="54" fillId="0" borderId="0"/>
    <xf numFmtId="175" fontId="54" fillId="0" borderId="0"/>
    <xf numFmtId="175" fontId="54" fillId="0" borderId="0"/>
    <xf numFmtId="175" fontId="54" fillId="0" borderId="0"/>
    <xf numFmtId="168" fontId="28" fillId="0" borderId="0"/>
    <xf numFmtId="168" fontId="28" fillId="0" borderId="0"/>
    <xf numFmtId="0" fontId="3" fillId="0" borderId="0"/>
    <xf numFmtId="168" fontId="28" fillId="0" borderId="0"/>
    <xf numFmtId="168" fontId="28" fillId="0" borderId="0"/>
    <xf numFmtId="175" fontId="3" fillId="0" borderId="0"/>
    <xf numFmtId="168" fontId="28" fillId="0" borderId="0"/>
    <xf numFmtId="168" fontId="28" fillId="0" borderId="0"/>
    <xf numFmtId="175" fontId="3" fillId="0" borderId="0"/>
    <xf numFmtId="168" fontId="28" fillId="0" borderId="0"/>
    <xf numFmtId="168" fontId="28" fillId="0" borderId="0"/>
    <xf numFmtId="175" fontId="3" fillId="0" borderId="0"/>
    <xf numFmtId="168" fontId="28" fillId="0" borderId="0"/>
    <xf numFmtId="168" fontId="28" fillId="0" borderId="0"/>
    <xf numFmtId="175" fontId="3" fillId="0" borderId="0"/>
    <xf numFmtId="168" fontId="28" fillId="0" borderId="0"/>
    <xf numFmtId="168" fontId="28" fillId="0" borderId="0"/>
    <xf numFmtId="0" fontId="55" fillId="73" borderId="37" applyNumberFormat="0" applyFont="0" applyAlignment="0" applyProtection="0"/>
    <xf numFmtId="0" fontId="55" fillId="73" borderId="37" applyNumberFormat="0" applyFont="0" applyAlignment="0" applyProtection="0"/>
    <xf numFmtId="0" fontId="55" fillId="73" borderId="37" applyNumberFormat="0" applyFont="0" applyAlignment="0" applyProtection="0"/>
    <xf numFmtId="0" fontId="55" fillId="73" borderId="37" applyNumberFormat="0" applyFont="0" applyAlignment="0" applyProtection="0"/>
    <xf numFmtId="0" fontId="55" fillId="73" borderId="37" applyNumberFormat="0" applyFont="0" applyAlignment="0" applyProtection="0"/>
    <xf numFmtId="175" fontId="55" fillId="73" borderId="37" applyNumberFormat="0" applyFont="0" applyAlignment="0" applyProtection="0"/>
    <xf numFmtId="168" fontId="55" fillId="27" borderId="27" applyNumberFormat="0" applyFont="0" applyAlignment="0" applyProtection="0"/>
    <xf numFmtId="168" fontId="55" fillId="27" borderId="27" applyNumberFormat="0" applyFont="0" applyAlignment="0" applyProtection="0"/>
    <xf numFmtId="175" fontId="55" fillId="73" borderId="37" applyNumberFormat="0" applyFont="0" applyAlignment="0" applyProtection="0"/>
    <xf numFmtId="168" fontId="55" fillId="27" borderId="27" applyNumberFormat="0" applyFont="0" applyAlignment="0" applyProtection="0"/>
    <xf numFmtId="168" fontId="55" fillId="27" borderId="27" applyNumberFormat="0" applyFont="0" applyAlignment="0" applyProtection="0"/>
    <xf numFmtId="175" fontId="55" fillId="73" borderId="37" applyNumberFormat="0" applyFont="0" applyAlignment="0" applyProtection="0"/>
    <xf numFmtId="168" fontId="55" fillId="27" borderId="27" applyNumberFormat="0" applyFont="0" applyAlignment="0" applyProtection="0"/>
    <xf numFmtId="168" fontId="55" fillId="27" borderId="27" applyNumberFormat="0" applyFont="0" applyAlignment="0" applyProtection="0"/>
    <xf numFmtId="175" fontId="55" fillId="73" borderId="37" applyNumberFormat="0" applyFont="0" applyAlignment="0" applyProtection="0"/>
    <xf numFmtId="168" fontId="55" fillId="27" borderId="27" applyNumberFormat="0" applyFont="0" applyAlignment="0" applyProtection="0"/>
    <xf numFmtId="168" fontId="55" fillId="27" borderId="27" applyNumberFormat="0" applyFont="0" applyAlignment="0" applyProtection="0"/>
    <xf numFmtId="175" fontId="55" fillId="73" borderId="37" applyNumberFormat="0" applyFont="0" applyAlignment="0" applyProtection="0"/>
    <xf numFmtId="168" fontId="55" fillId="27" borderId="27" applyNumberFormat="0" applyFont="0" applyAlignment="0" applyProtection="0"/>
    <xf numFmtId="168" fontId="55" fillId="27" borderId="27" applyNumberFormat="0" applyFont="0" applyAlignment="0" applyProtection="0"/>
    <xf numFmtId="175" fontId="55" fillId="73" borderId="37" applyNumberFormat="0" applyFont="0" applyAlignment="0" applyProtection="0"/>
    <xf numFmtId="168" fontId="55" fillId="27" borderId="27" applyNumberFormat="0" applyFont="0" applyAlignment="0" applyProtection="0"/>
    <xf numFmtId="168" fontId="55" fillId="27" borderId="27" applyNumberFormat="0" applyFont="0" applyAlignment="0" applyProtection="0"/>
    <xf numFmtId="175" fontId="55" fillId="73" borderId="37" applyNumberFormat="0" applyFont="0" applyAlignment="0" applyProtection="0"/>
    <xf numFmtId="168" fontId="55" fillId="27" borderId="27" applyNumberFormat="0" applyFont="0" applyAlignment="0" applyProtection="0"/>
    <xf numFmtId="168" fontId="55" fillId="27" borderId="27" applyNumberFormat="0" applyFont="0" applyAlignment="0" applyProtection="0"/>
    <xf numFmtId="0" fontId="55" fillId="73" borderId="37" applyNumberFormat="0" applyFont="0" applyAlignment="0" applyProtection="0"/>
    <xf numFmtId="0" fontId="56" fillId="70" borderId="38" applyNumberFormat="0" applyAlignment="0" applyProtection="0"/>
    <xf numFmtId="0" fontId="56" fillId="70" borderId="38" applyNumberFormat="0" applyAlignment="0" applyProtection="0"/>
    <xf numFmtId="0" fontId="56" fillId="70" borderId="38" applyNumberFormat="0" applyAlignment="0" applyProtection="0"/>
    <xf numFmtId="0" fontId="56" fillId="70" borderId="38" applyNumberFormat="0" applyAlignment="0" applyProtection="0"/>
    <xf numFmtId="0" fontId="56" fillId="70" borderId="38" applyNumberFormat="0" applyAlignment="0" applyProtection="0"/>
    <xf numFmtId="168" fontId="57" fillId="25" borderId="24" applyNumberFormat="0" applyAlignment="0" applyProtection="0"/>
    <xf numFmtId="168" fontId="57" fillId="25" borderId="24" applyNumberFormat="0" applyAlignment="0" applyProtection="0"/>
    <xf numFmtId="175" fontId="56" fillId="70" borderId="38" applyNumberFormat="0" applyAlignment="0" applyProtection="0"/>
    <xf numFmtId="175" fontId="56" fillId="70" borderId="38" applyNumberFormat="0" applyAlignment="0" applyProtection="0"/>
    <xf numFmtId="175" fontId="56" fillId="70" borderId="38" applyNumberFormat="0" applyAlignment="0" applyProtection="0"/>
    <xf numFmtId="175" fontId="56" fillId="70" borderId="38" applyNumberFormat="0" applyAlignment="0" applyProtection="0"/>
    <xf numFmtId="175" fontId="56" fillId="70" borderId="38" applyNumberFormat="0" applyAlignment="0" applyProtection="0"/>
    <xf numFmtId="175" fontId="56" fillId="70" borderId="38" applyNumberFormat="0" applyAlignment="0" applyProtection="0"/>
    <xf numFmtId="175" fontId="56" fillId="70" borderId="38" applyNumberFormat="0" applyAlignment="0" applyProtection="0"/>
    <xf numFmtId="0" fontId="56" fillId="70" borderId="38" applyNumberFormat="0" applyAlignment="0" applyProtection="0"/>
    <xf numFmtId="4" fontId="20" fillId="2" borderId="0">
      <alignment horizontal="right"/>
    </xf>
    <xf numFmtId="175" fontId="58" fillId="2" borderId="0">
      <alignment horizontal="center" vertical="center"/>
    </xf>
    <xf numFmtId="0" fontId="58" fillId="2" borderId="0">
      <alignment horizontal="center" vertical="center"/>
    </xf>
    <xf numFmtId="0" fontId="58" fillId="2" borderId="0">
      <alignment horizontal="center" vertical="center"/>
    </xf>
    <xf numFmtId="0" fontId="58" fillId="2" borderId="0">
      <alignment horizontal="center" vertical="center"/>
    </xf>
    <xf numFmtId="0" fontId="58" fillId="2" borderId="0">
      <alignment horizontal="center" vertical="center"/>
    </xf>
    <xf numFmtId="0" fontId="58" fillId="2" borderId="0">
      <alignment horizontal="center" vertical="center"/>
    </xf>
    <xf numFmtId="0" fontId="58" fillId="2" borderId="0">
      <alignment horizontal="center" vertical="center"/>
    </xf>
    <xf numFmtId="168" fontId="58" fillId="2" borderId="0">
      <alignment horizontal="center" vertical="center"/>
    </xf>
    <xf numFmtId="168" fontId="58" fillId="2" borderId="0">
      <alignment horizontal="center" vertical="center"/>
    </xf>
    <xf numFmtId="0" fontId="58" fillId="2" borderId="0">
      <alignment horizontal="center" vertical="center"/>
    </xf>
    <xf numFmtId="175" fontId="17" fillId="2" borderId="15"/>
    <xf numFmtId="0" fontId="17" fillId="2" borderId="15"/>
    <xf numFmtId="0" fontId="17" fillId="2" borderId="15"/>
    <xf numFmtId="0" fontId="17" fillId="2" borderId="15"/>
    <xf numFmtId="0" fontId="17" fillId="2" borderId="15"/>
    <xf numFmtId="0" fontId="17" fillId="2" borderId="15"/>
    <xf numFmtId="0" fontId="17" fillId="2" borderId="15"/>
    <xf numFmtId="168" fontId="17" fillId="2" borderId="15"/>
    <xf numFmtId="168" fontId="17" fillId="2" borderId="15"/>
    <xf numFmtId="0" fontId="17" fillId="2" borderId="15"/>
    <xf numFmtId="175" fontId="58" fillId="2" borderId="0" applyBorder="0">
      <alignment horizontal="centerContinuous"/>
    </xf>
    <xf numFmtId="0" fontId="58" fillId="2" borderId="0" applyBorder="0">
      <alignment horizontal="centerContinuous"/>
    </xf>
    <xf numFmtId="0" fontId="58" fillId="2" borderId="0" applyBorder="0">
      <alignment horizontal="centerContinuous"/>
    </xf>
    <xf numFmtId="0" fontId="58" fillId="2" borderId="0" applyBorder="0">
      <alignment horizontal="centerContinuous"/>
    </xf>
    <xf numFmtId="0" fontId="58" fillId="2" borderId="0" applyBorder="0">
      <alignment horizontal="centerContinuous"/>
    </xf>
    <xf numFmtId="0" fontId="58" fillId="2" borderId="0" applyBorder="0">
      <alignment horizontal="centerContinuous"/>
    </xf>
    <xf numFmtId="0" fontId="58" fillId="2" borderId="0" applyBorder="0">
      <alignment horizontal="centerContinuous"/>
    </xf>
    <xf numFmtId="168" fontId="58" fillId="2" borderId="0" applyBorder="0">
      <alignment horizontal="centerContinuous"/>
    </xf>
    <xf numFmtId="168" fontId="58" fillId="2" borderId="0" applyBorder="0">
      <alignment horizontal="centerContinuous"/>
    </xf>
    <xf numFmtId="0" fontId="58" fillId="2" borderId="0" applyBorder="0">
      <alignment horizontal="centerContinuous"/>
    </xf>
    <xf numFmtId="175" fontId="59" fillId="2" borderId="0" applyBorder="0">
      <alignment horizontal="centerContinuous"/>
    </xf>
    <xf numFmtId="0" fontId="59" fillId="2" borderId="0" applyBorder="0">
      <alignment horizontal="centerContinuous"/>
    </xf>
    <xf numFmtId="0" fontId="59" fillId="2" borderId="0" applyBorder="0">
      <alignment horizontal="centerContinuous"/>
    </xf>
    <xf numFmtId="0" fontId="59" fillId="2" borderId="0" applyBorder="0">
      <alignment horizontal="centerContinuous"/>
    </xf>
    <xf numFmtId="0" fontId="59" fillId="2" borderId="0" applyBorder="0">
      <alignment horizontal="centerContinuous"/>
    </xf>
    <xf numFmtId="0" fontId="59" fillId="2" borderId="0" applyBorder="0">
      <alignment horizontal="centerContinuous"/>
    </xf>
    <xf numFmtId="0" fontId="59" fillId="2" borderId="0" applyBorder="0">
      <alignment horizontal="centerContinuous"/>
    </xf>
    <xf numFmtId="168" fontId="59" fillId="2" borderId="0" applyBorder="0">
      <alignment horizontal="centerContinuous"/>
    </xf>
    <xf numFmtId="168" fontId="59" fillId="2" borderId="0" applyBorder="0">
      <alignment horizontal="centerContinuous"/>
    </xf>
    <xf numFmtId="0" fontId="59" fillId="2" borderId="0" applyBorder="0">
      <alignment horizontal="centerContinuous"/>
    </xf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68" fontId="23" fillId="0" borderId="0" applyNumberFormat="0" applyFill="0" applyBorder="0" applyAlignment="0" applyProtection="0"/>
    <xf numFmtId="168" fontId="23" fillId="0" borderId="0" applyNumberFormat="0" applyFill="0" applyBorder="0" applyAlignment="0" applyProtection="0"/>
    <xf numFmtId="175" fontId="60" fillId="0" borderId="0" applyNumberFormat="0" applyFill="0" applyBorder="0" applyAlignment="0" applyProtection="0"/>
    <xf numFmtId="175" fontId="60" fillId="0" borderId="0" applyNumberFormat="0" applyFill="0" applyBorder="0" applyAlignment="0" applyProtection="0"/>
    <xf numFmtId="175" fontId="60" fillId="0" borderId="0" applyNumberFormat="0" applyFill="0" applyBorder="0" applyAlignment="0" applyProtection="0"/>
    <xf numFmtId="175" fontId="60" fillId="0" borderId="0" applyNumberFormat="0" applyFill="0" applyBorder="0" applyAlignment="0" applyProtection="0"/>
    <xf numFmtId="175" fontId="60" fillId="0" borderId="0" applyNumberFormat="0" applyFill="0" applyBorder="0" applyAlignment="0" applyProtection="0"/>
    <xf numFmtId="175" fontId="60" fillId="0" borderId="0" applyNumberFormat="0" applyFill="0" applyBorder="0" applyAlignment="0" applyProtection="0"/>
    <xf numFmtId="175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39" applyNumberFormat="0" applyFill="0" applyAlignment="0" applyProtection="0"/>
    <xf numFmtId="0" fontId="61" fillId="0" borderId="39" applyNumberFormat="0" applyFill="0" applyAlignment="0" applyProtection="0"/>
    <xf numFmtId="0" fontId="61" fillId="0" borderId="39" applyNumberFormat="0" applyFill="0" applyAlignment="0" applyProtection="0"/>
    <xf numFmtId="0" fontId="61" fillId="0" borderId="39" applyNumberFormat="0" applyFill="0" applyAlignment="0" applyProtection="0"/>
    <xf numFmtId="0" fontId="61" fillId="0" borderId="39" applyNumberFormat="0" applyFill="0" applyAlignment="0" applyProtection="0"/>
    <xf numFmtId="168" fontId="62" fillId="0" borderId="28" applyNumberFormat="0" applyFill="0" applyAlignment="0" applyProtection="0"/>
    <xf numFmtId="168" fontId="62" fillId="0" borderId="28" applyNumberFormat="0" applyFill="0" applyAlignment="0" applyProtection="0"/>
    <xf numFmtId="175" fontId="61" fillId="0" borderId="39" applyNumberFormat="0" applyFill="0" applyAlignment="0" applyProtection="0"/>
    <xf numFmtId="175" fontId="61" fillId="0" borderId="39" applyNumberFormat="0" applyFill="0" applyAlignment="0" applyProtection="0"/>
    <xf numFmtId="175" fontId="61" fillId="0" borderId="39" applyNumberFormat="0" applyFill="0" applyAlignment="0" applyProtection="0"/>
    <xf numFmtId="175" fontId="61" fillId="0" borderId="39" applyNumberFormat="0" applyFill="0" applyAlignment="0" applyProtection="0"/>
    <xf numFmtId="175" fontId="61" fillId="0" borderId="39" applyNumberFormat="0" applyFill="0" applyAlignment="0" applyProtection="0"/>
    <xf numFmtId="175" fontId="61" fillId="0" borderId="39" applyNumberFormat="0" applyFill="0" applyAlignment="0" applyProtection="0"/>
    <xf numFmtId="175" fontId="61" fillId="0" borderId="39" applyNumberFormat="0" applyFill="0" applyAlignment="0" applyProtection="0"/>
    <xf numFmtId="0" fontId="61" fillId="0" borderId="39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75" fontId="63" fillId="0" borderId="0" applyNumberFormat="0" applyFill="0" applyBorder="0" applyAlignment="0" applyProtection="0"/>
    <xf numFmtId="175" fontId="63" fillId="0" borderId="0" applyNumberFormat="0" applyFill="0" applyBorder="0" applyAlignment="0" applyProtection="0"/>
    <xf numFmtId="175" fontId="63" fillId="0" borderId="0" applyNumberFormat="0" applyFill="0" applyBorder="0" applyAlignment="0" applyProtection="0"/>
    <xf numFmtId="175" fontId="63" fillId="0" borderId="0" applyNumberFormat="0" applyFill="0" applyBorder="0" applyAlignment="0" applyProtection="0"/>
    <xf numFmtId="175" fontId="63" fillId="0" borderId="0" applyNumberFormat="0" applyFill="0" applyBorder="0" applyAlignment="0" applyProtection="0"/>
    <xf numFmtId="175" fontId="63" fillId="0" borderId="0" applyNumberFormat="0" applyFill="0" applyBorder="0" applyAlignment="0" applyProtection="0"/>
    <xf numFmtId="175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43" fontId="27" fillId="0" borderId="0" applyFont="0" applyFill="0" applyBorder="0" applyAlignment="0" applyProtection="0"/>
    <xf numFmtId="0" fontId="3" fillId="0" borderId="0"/>
    <xf numFmtId="0" fontId="3" fillId="0" borderId="0"/>
    <xf numFmtId="44" fontId="27" fillId="0" borderId="0" applyFont="0" applyFill="0" applyBorder="0" applyAlignment="0" applyProtection="0"/>
    <xf numFmtId="175" fontId="3" fillId="0" borderId="0"/>
    <xf numFmtId="41" fontId="25" fillId="0" borderId="0"/>
    <xf numFmtId="0" fontId="96" fillId="21" borderId="0" applyNumberFormat="0" applyBorder="0" applyAlignment="0" applyProtection="0"/>
  </cellStyleXfs>
  <cellXfs count="1167">
    <xf numFmtId="0" fontId="0" fillId="0" borderId="0" xfId="0"/>
    <xf numFmtId="0" fontId="5" fillId="0" borderId="0" xfId="2"/>
    <xf numFmtId="0" fontId="5" fillId="0" borderId="0" xfId="2" applyAlignment="1">
      <alignment horizontal="center" wrapText="1"/>
    </xf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6" fillId="0" borderId="0" xfId="0" applyFont="1"/>
    <xf numFmtId="0" fontId="6" fillId="0" borderId="0" xfId="0" applyFont="1" applyAlignment="1"/>
    <xf numFmtId="49" fontId="6" fillId="5" borderId="2" xfId="0" applyNumberFormat="1" applyFont="1" applyFill="1" applyBorder="1" applyAlignment="1">
      <alignment vertical="center" wrapText="1"/>
    </xf>
    <xf numFmtId="49" fontId="6" fillId="5" borderId="6" xfId="0" applyNumberFormat="1" applyFont="1" applyFill="1" applyBorder="1" applyAlignment="1">
      <alignment vertical="center" wrapText="1"/>
    </xf>
    <xf numFmtId="49" fontId="6" fillId="5" borderId="3" xfId="0" applyNumberFormat="1" applyFont="1" applyFill="1" applyBorder="1" applyAlignment="1">
      <alignment vertical="center" wrapText="1"/>
    </xf>
    <xf numFmtId="0" fontId="6" fillId="0" borderId="0" xfId="0" applyFont="1" applyAlignment="1">
      <alignment wrapText="1"/>
    </xf>
    <xf numFmtId="49" fontId="7" fillId="5" borderId="4" xfId="0" applyNumberFormat="1" applyFont="1" applyFill="1" applyBorder="1" applyAlignment="1">
      <alignment horizontal="left" vertical="center" wrapText="1"/>
    </xf>
    <xf numFmtId="49" fontId="7" fillId="5" borderId="4" xfId="0" applyNumberFormat="1" applyFont="1" applyFill="1" applyBorder="1" applyAlignment="1">
      <alignment horizontal="right" vertical="center" wrapText="1"/>
    </xf>
    <xf numFmtId="0" fontId="8" fillId="12" borderId="0" xfId="0" applyFont="1" applyFill="1"/>
    <xf numFmtId="0" fontId="8" fillId="12" borderId="0" xfId="0" applyFont="1" applyFill="1" applyAlignment="1">
      <alignment horizontal="center"/>
    </xf>
    <xf numFmtId="38" fontId="9" fillId="12" borderId="0" xfId="0" applyNumberFormat="1" applyFont="1" applyFill="1" applyAlignment="1">
      <alignment horizontal="center"/>
    </xf>
    <xf numFmtId="41" fontId="9" fillId="12" borderId="0" xfId="0" applyNumberFormat="1" applyFont="1" applyFill="1" applyAlignment="1">
      <alignment horizontal="center"/>
    </xf>
    <xf numFmtId="38" fontId="9" fillId="12" borderId="0" xfId="0" applyNumberFormat="1" applyFont="1" applyFill="1" applyAlignment="1">
      <alignment horizontal="center" wrapText="1"/>
    </xf>
    <xf numFmtId="41" fontId="9" fillId="12" borderId="0" xfId="0" applyNumberFormat="1" applyFont="1" applyFill="1" applyAlignment="1">
      <alignment horizontal="center" wrapText="1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wrapText="1"/>
    </xf>
    <xf numFmtId="0" fontId="8" fillId="0" borderId="0" xfId="0" applyFont="1"/>
    <xf numFmtId="168" fontId="8" fillId="12" borderId="0" xfId="0" applyNumberFormat="1" applyFont="1" applyFill="1"/>
    <xf numFmtId="41" fontId="9" fillId="13" borderId="0" xfId="0" quotePrefix="1" applyNumberFormat="1" applyFont="1" applyFill="1" applyBorder="1" applyAlignment="1">
      <alignment horizontal="center" wrapText="1"/>
    </xf>
    <xf numFmtId="41" fontId="9" fillId="13" borderId="0" xfId="0" applyNumberFormat="1" applyFont="1" applyFill="1" applyBorder="1" applyAlignment="1">
      <alignment horizontal="center" wrapText="1"/>
    </xf>
    <xf numFmtId="0" fontId="8" fillId="13" borderId="0" xfId="0" applyFont="1" applyFill="1"/>
    <xf numFmtId="41" fontId="10" fillId="13" borderId="0" xfId="0" quotePrefix="1" applyNumberFormat="1" applyFont="1" applyFill="1" applyAlignment="1">
      <alignment horizontal="left"/>
    </xf>
    <xf numFmtId="41" fontId="9" fillId="13" borderId="0" xfId="0" applyNumberFormat="1" applyFont="1" applyFill="1"/>
    <xf numFmtId="0" fontId="8" fillId="14" borderId="0" xfId="0" applyFont="1" applyFill="1"/>
    <xf numFmtId="41" fontId="10" fillId="14" borderId="0" xfId="0" quotePrefix="1" applyNumberFormat="1" applyFont="1" applyFill="1" applyAlignment="1">
      <alignment horizontal="left"/>
    </xf>
    <xf numFmtId="41" fontId="9" fillId="14" borderId="0" xfId="0" applyNumberFormat="1" applyFont="1" applyFill="1"/>
    <xf numFmtId="41" fontId="9" fillId="14" borderId="0" xfId="0" applyNumberFormat="1" applyFont="1" applyFill="1" applyBorder="1" applyAlignment="1">
      <alignment horizontal="center" wrapText="1"/>
    </xf>
    <xf numFmtId="41" fontId="9" fillId="14" borderId="0" xfId="0" quotePrefix="1" applyNumberFormat="1" applyFont="1" applyFill="1" applyBorder="1" applyAlignment="1">
      <alignment horizontal="center" wrapText="1"/>
    </xf>
    <xf numFmtId="164" fontId="8" fillId="13" borderId="0" xfId="3" applyNumberFormat="1" applyFont="1" applyFill="1"/>
    <xf numFmtId="44" fontId="8" fillId="14" borderId="0" xfId="4" applyFont="1" applyFill="1"/>
    <xf numFmtId="170" fontId="8" fillId="14" borderId="0" xfId="4" applyNumberFormat="1" applyFont="1" applyFill="1"/>
    <xf numFmtId="44" fontId="8" fillId="13" borderId="0" xfId="0" applyNumberFormat="1" applyFont="1" applyFill="1"/>
    <xf numFmtId="43" fontId="9" fillId="13" borderId="0" xfId="3" applyFont="1" applyFill="1"/>
    <xf numFmtId="41" fontId="9" fillId="0" borderId="0" xfId="0" applyNumberFormat="1" applyFont="1"/>
    <xf numFmtId="43" fontId="9" fillId="14" borderId="0" xfId="3" applyFont="1" applyFill="1" applyBorder="1" applyAlignment="1">
      <alignment horizontal="center"/>
    </xf>
    <xf numFmtId="43" fontId="9" fillId="14" borderId="0" xfId="3" quotePrefix="1" applyFont="1" applyFill="1" applyBorder="1" applyAlignment="1">
      <alignment horizontal="center" wrapText="1"/>
    </xf>
    <xf numFmtId="43" fontId="9" fillId="14" borderId="0" xfId="3" applyFont="1" applyFill="1" applyBorder="1" applyAlignment="1">
      <alignment horizontal="center" wrapText="1"/>
    </xf>
    <xf numFmtId="43" fontId="9" fillId="0" borderId="0" xfId="3" applyFont="1" applyBorder="1" applyAlignment="1">
      <alignment horizontal="center" wrapText="1"/>
    </xf>
    <xf numFmtId="44" fontId="8" fillId="14" borderId="0" xfId="0" applyNumberFormat="1" applyFont="1" applyFill="1"/>
    <xf numFmtId="171" fontId="0" fillId="11" borderId="0" xfId="9" applyNumberFormat="1" applyFont="1" applyFill="1"/>
    <xf numFmtId="0" fontId="8" fillId="15" borderId="0" xfId="0" applyFont="1" applyFill="1"/>
    <xf numFmtId="41" fontId="9" fillId="15" borderId="0" xfId="0" applyNumberFormat="1" applyFont="1" applyFill="1"/>
    <xf numFmtId="41" fontId="9" fillId="15" borderId="0" xfId="0" applyNumberFormat="1" applyFont="1" applyFill="1" applyBorder="1" applyAlignment="1">
      <alignment horizontal="center" wrapText="1"/>
    </xf>
    <xf numFmtId="44" fontId="8" fillId="15" borderId="0" xfId="0" applyNumberFormat="1" applyFont="1" applyFill="1"/>
    <xf numFmtId="41" fontId="10" fillId="15" borderId="0" xfId="0" applyNumberFormat="1" applyFont="1" applyFill="1"/>
    <xf numFmtId="0" fontId="0" fillId="0" borderId="0" xfId="0" applyBorder="1"/>
    <xf numFmtId="167" fontId="8" fillId="0" borderId="0" xfId="0" applyNumberFormat="1" applyFont="1"/>
    <xf numFmtId="41" fontId="9" fillId="15" borderId="0" xfId="0" quotePrefix="1" applyNumberFormat="1" applyFont="1" applyFill="1" applyBorder="1" applyAlignment="1">
      <alignment horizontal="center" wrapText="1"/>
    </xf>
    <xf numFmtId="0" fontId="8" fillId="15" borderId="0" xfId="0" applyFont="1" applyFill="1" applyAlignment="1">
      <alignment horizontal="center"/>
    </xf>
    <xf numFmtId="0" fontId="8" fillId="8" borderId="0" xfId="0" applyFont="1" applyFill="1"/>
    <xf numFmtId="0" fontId="8" fillId="8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41" fontId="8" fillId="15" borderId="0" xfId="0" applyNumberFormat="1" applyFont="1" applyFill="1"/>
    <xf numFmtId="44" fontId="8" fillId="0" borderId="0" xfId="0" applyNumberFormat="1" applyFont="1"/>
    <xf numFmtId="0" fontId="8" fillId="0" borderId="0" xfId="0" applyFont="1" applyAlignment="1">
      <alignment horizontal="center"/>
    </xf>
    <xf numFmtId="49" fontId="7" fillId="5" borderId="4" xfId="0" quotePrefix="1" applyNumberFormat="1" applyFont="1" applyFill="1" applyBorder="1" applyAlignment="1">
      <alignment horizontal="left" vertical="center" wrapText="1"/>
    </xf>
    <xf numFmtId="174" fontId="8" fillId="0" borderId="0" xfId="10" applyNumberFormat="1" applyFont="1"/>
    <xf numFmtId="165" fontId="8" fillId="0" borderId="0" xfId="0" applyNumberFormat="1" applyFont="1"/>
    <xf numFmtId="164" fontId="8" fillId="0" borderId="0" xfId="0" applyNumberFormat="1" applyFont="1"/>
    <xf numFmtId="0" fontId="13" fillId="0" borderId="0" xfId="11" applyFont="1"/>
    <xf numFmtId="0" fontId="13" fillId="0" borderId="0" xfId="12" applyFont="1"/>
    <xf numFmtId="0" fontId="3" fillId="0" borderId="0" xfId="12" applyFont="1"/>
    <xf numFmtId="167" fontId="13" fillId="0" borderId="0" xfId="4" applyNumberFormat="1" applyFont="1" applyFill="1" applyBorder="1"/>
    <xf numFmtId="0" fontId="8" fillId="0" borderId="0" xfId="0" quotePrefix="1" applyFont="1" applyAlignment="1">
      <alignment horizontal="fill"/>
    </xf>
    <xf numFmtId="49" fontId="17" fillId="3" borderId="1" xfId="5" applyNumberFormat="1" applyFont="1" applyFill="1" applyBorder="1" applyAlignment="1">
      <alignment horizontal="right" vertical="center"/>
    </xf>
    <xf numFmtId="43" fontId="8" fillId="15" borderId="0" xfId="0" applyNumberFormat="1" applyFont="1" applyFill="1"/>
    <xf numFmtId="44" fontId="0" fillId="0" borderId="0" xfId="0" applyNumberFormat="1"/>
    <xf numFmtId="41" fontId="10" fillId="13" borderId="0" xfId="0" applyNumberFormat="1" applyFont="1" applyFill="1" applyBorder="1" applyAlignment="1">
      <alignment horizontal="center" wrapText="1"/>
    </xf>
    <xf numFmtId="0" fontId="0" fillId="0" borderId="0" xfId="0" applyFill="1"/>
    <xf numFmtId="43" fontId="8" fillId="13" borderId="0" xfId="3" applyNumberFormat="1" applyFont="1" applyFill="1"/>
    <xf numFmtId="188" fontId="65" fillId="0" borderId="0" xfId="846" applyNumberFormat="1" applyFont="1" applyFill="1" applyBorder="1"/>
    <xf numFmtId="182" fontId="13" fillId="0" borderId="0" xfId="4" applyNumberFormat="1" applyFont="1" applyFill="1"/>
    <xf numFmtId="167" fontId="13" fillId="0" borderId="5" xfId="4" applyNumberFormat="1" applyFont="1" applyFill="1" applyBorder="1"/>
    <xf numFmtId="0" fontId="0" fillId="0" borderId="0" xfId="0" quotePrefix="1" applyFill="1" applyAlignment="1">
      <alignment horizontal="left"/>
    </xf>
    <xf numFmtId="0" fontId="13" fillId="0" borderId="0" xfId="848" applyFont="1" applyFill="1"/>
    <xf numFmtId="164" fontId="13" fillId="0" borderId="0" xfId="1" applyNumberFormat="1" applyFont="1" applyFill="1"/>
    <xf numFmtId="164" fontId="13" fillId="0" borderId="5" xfId="1" applyNumberFormat="1" applyFont="1" applyFill="1" applyBorder="1"/>
    <xf numFmtId="0" fontId="0" fillId="8" borderId="0" xfId="0" applyFill="1"/>
    <xf numFmtId="41" fontId="10" fillId="13" borderId="0" xfId="0" applyNumberFormat="1" applyFont="1" applyFill="1" applyAlignment="1">
      <alignment horizontal="left"/>
    </xf>
    <xf numFmtId="49" fontId="71" fillId="0" borderId="0" xfId="0" applyNumberFormat="1" applyFont="1" applyFill="1" applyBorder="1" applyAlignment="1">
      <alignment horizontal="left" vertical="center"/>
    </xf>
    <xf numFmtId="0" fontId="8" fillId="0" borderId="0" xfId="0" applyFont="1" applyFill="1" applyBorder="1"/>
    <xf numFmtId="169" fontId="0" fillId="0" borderId="0" xfId="0" applyNumberFormat="1" applyFill="1" applyBorder="1"/>
    <xf numFmtId="0" fontId="12" fillId="9" borderId="0" xfId="0" applyFont="1" applyFill="1"/>
    <xf numFmtId="0" fontId="8" fillId="9" borderId="0" xfId="0" applyFont="1" applyFill="1"/>
    <xf numFmtId="0" fontId="75" fillId="0" borderId="0" xfId="0" applyFont="1"/>
    <xf numFmtId="49" fontId="78" fillId="5" borderId="4" xfId="0" applyNumberFormat="1" applyFont="1" applyFill="1" applyBorder="1" applyAlignment="1">
      <alignment horizontal="left" vertical="center" wrapText="1"/>
    </xf>
    <xf numFmtId="49" fontId="78" fillId="5" borderId="4" xfId="0" applyNumberFormat="1" applyFont="1" applyFill="1" applyBorder="1" applyAlignment="1">
      <alignment horizontal="right" vertical="center" wrapText="1"/>
    </xf>
    <xf numFmtId="49" fontId="78" fillId="6" borderId="4" xfId="0" applyNumberFormat="1" applyFont="1" applyFill="1" applyBorder="1" applyAlignment="1">
      <alignment horizontal="right" vertical="center" wrapText="1"/>
    </xf>
    <xf numFmtId="166" fontId="78" fillId="6" borderId="4" xfId="0" applyNumberFormat="1" applyFont="1" applyFill="1" applyBorder="1" applyAlignment="1">
      <alignment horizontal="right" vertical="center" wrapText="1"/>
    </xf>
    <xf numFmtId="49" fontId="78" fillId="7" borderId="4" xfId="0" applyNumberFormat="1" applyFont="1" applyFill="1" applyBorder="1" applyAlignment="1">
      <alignment horizontal="right" vertical="center" wrapText="1"/>
    </xf>
    <xf numFmtId="166" fontId="78" fillId="7" borderId="4" xfId="0" applyNumberFormat="1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/>
    <xf numFmtId="0" fontId="72" fillId="0" borderId="0" xfId="848" applyFont="1"/>
    <xf numFmtId="164" fontId="72" fillId="0" borderId="0" xfId="1" applyNumberFormat="1" applyFont="1"/>
    <xf numFmtId="176" fontId="72" fillId="0" borderId="0" xfId="1" applyNumberFormat="1" applyFont="1"/>
    <xf numFmtId="164" fontId="72" fillId="0" borderId="0" xfId="1" applyNumberFormat="1" applyFont="1" applyAlignment="1">
      <alignment horizontal="right"/>
    </xf>
    <xf numFmtId="176" fontId="72" fillId="0" borderId="0" xfId="1" applyNumberFormat="1" applyFont="1" applyAlignment="1">
      <alignment horizontal="right"/>
    </xf>
    <xf numFmtId="164" fontId="72" fillId="0" borderId="0" xfId="1" applyNumberFormat="1" applyFont="1" applyAlignment="1"/>
    <xf numFmtId="164" fontId="74" fillId="0" borderId="0" xfId="1" applyNumberFormat="1" applyFont="1"/>
    <xf numFmtId="176" fontId="85" fillId="0" borderId="0" xfId="1" applyNumberFormat="1" applyFont="1" applyAlignment="1">
      <alignment horizontal="center"/>
    </xf>
    <xf numFmtId="0" fontId="72" fillId="0" borderId="0" xfId="848" applyFont="1" applyBorder="1"/>
    <xf numFmtId="164" fontId="72" fillId="0" borderId="0" xfId="1" applyNumberFormat="1" applyFont="1" applyBorder="1"/>
    <xf numFmtId="176" fontId="72" fillId="0" borderId="0" xfId="1" applyNumberFormat="1" applyFont="1" applyBorder="1"/>
    <xf numFmtId="1" fontId="72" fillId="4" borderId="0" xfId="1" applyNumberFormat="1" applyFont="1" applyFill="1" applyBorder="1" applyAlignment="1">
      <alignment horizontal="center"/>
    </xf>
    <xf numFmtId="43" fontId="72" fillId="19" borderId="0" xfId="1" applyFont="1" applyFill="1" applyBorder="1" applyAlignment="1">
      <alignment horizontal="center"/>
    </xf>
    <xf numFmtId="43" fontId="72" fillId="4" borderId="0" xfId="1" applyFont="1" applyFill="1" applyBorder="1" applyAlignment="1">
      <alignment horizontal="center"/>
    </xf>
    <xf numFmtId="164" fontId="72" fillId="0" borderId="0" xfId="1" applyNumberFormat="1" applyFont="1" applyBorder="1" applyAlignment="1">
      <alignment horizontal="center"/>
    </xf>
    <xf numFmtId="168" fontId="72" fillId="4" borderId="5" xfId="1" quotePrefix="1" applyNumberFormat="1" applyFont="1" applyFill="1" applyBorder="1" applyAlignment="1">
      <alignment horizontal="center"/>
    </xf>
    <xf numFmtId="168" fontId="72" fillId="19" borderId="5" xfId="1" quotePrefix="1" applyNumberFormat="1" applyFont="1" applyFill="1" applyBorder="1" applyAlignment="1">
      <alignment horizontal="center"/>
    </xf>
    <xf numFmtId="164" fontId="72" fillId="0" borderId="5" xfId="1" applyNumberFormat="1" applyFont="1" applyBorder="1" applyAlignment="1">
      <alignment horizontal="right"/>
    </xf>
    <xf numFmtId="176" fontId="72" fillId="0" borderId="5" xfId="1" applyNumberFormat="1" applyFont="1" applyBorder="1" applyAlignment="1">
      <alignment horizontal="right"/>
    </xf>
    <xf numFmtId="164" fontId="72" fillId="0" borderId="0" xfId="1" applyNumberFormat="1" applyFont="1" applyBorder="1" applyAlignment="1">
      <alignment horizontal="right"/>
    </xf>
    <xf numFmtId="164" fontId="72" fillId="4" borderId="0" xfId="1" quotePrefix="1" applyNumberFormat="1" applyFont="1" applyFill="1" applyBorder="1" applyAlignment="1" applyProtection="1">
      <alignment horizontal="right"/>
    </xf>
    <xf numFmtId="164" fontId="72" fillId="4" borderId="0" xfId="1" quotePrefix="1" applyNumberFormat="1" applyFont="1" applyFill="1" applyBorder="1" applyAlignment="1">
      <alignment horizontal="right"/>
    </xf>
    <xf numFmtId="164" fontId="72" fillId="19" borderId="0" xfId="1" quotePrefix="1" applyNumberFormat="1" applyFont="1" applyFill="1" applyBorder="1" applyAlignment="1">
      <alignment horizontal="right"/>
    </xf>
    <xf numFmtId="0" fontId="72" fillId="4" borderId="0" xfId="848" applyFont="1" applyFill="1"/>
    <xf numFmtId="0" fontId="86" fillId="0" borderId="0" xfId="848" applyFont="1"/>
    <xf numFmtId="164" fontId="86" fillId="0" borderId="0" xfId="1" applyNumberFormat="1" applyFont="1"/>
    <xf numFmtId="176" fontId="86" fillId="0" borderId="0" xfId="1" applyNumberFormat="1" applyFont="1"/>
    <xf numFmtId="164" fontId="72" fillId="4" borderId="0" xfId="1" quotePrefix="1" applyNumberFormat="1" applyFont="1" applyFill="1" applyAlignment="1" applyProtection="1">
      <alignment horizontal="right"/>
    </xf>
    <xf numFmtId="164" fontId="72" fillId="4" borderId="0" xfId="1" quotePrefix="1" applyNumberFormat="1" applyFont="1" applyFill="1" applyAlignment="1">
      <alignment horizontal="right"/>
    </xf>
    <xf numFmtId="176" fontId="72" fillId="19" borderId="0" xfId="1" applyNumberFormat="1" applyFont="1" applyFill="1" applyAlignment="1">
      <alignment horizontal="right"/>
    </xf>
    <xf numFmtId="0" fontId="72" fillId="0" borderId="0" xfId="848" applyFont="1" applyAlignment="1"/>
    <xf numFmtId="164" fontId="72" fillId="0" borderId="0" xfId="1" applyNumberFormat="1" applyFont="1" applyAlignment="1" applyProtection="1">
      <alignment horizontal="left"/>
    </xf>
    <xf numFmtId="176" fontId="72" fillId="0" borderId="0" xfId="1" applyNumberFormat="1" applyFont="1" applyAlignment="1" applyProtection="1">
      <alignment horizontal="left"/>
    </xf>
    <xf numFmtId="164" fontId="72" fillId="4" borderId="0" xfId="1" applyNumberFormat="1" applyFont="1" applyFill="1" applyAlignment="1" applyProtection="1">
      <alignment horizontal="left"/>
    </xf>
    <xf numFmtId="176" fontId="72" fillId="19" borderId="0" xfId="1" applyNumberFormat="1" applyFont="1" applyFill="1" applyAlignment="1" applyProtection="1">
      <alignment horizontal="right"/>
    </xf>
    <xf numFmtId="42" fontId="72" fillId="4" borderId="0" xfId="1" applyNumberFormat="1" applyFont="1" applyFill="1" applyAlignment="1" applyProtection="1">
      <alignment horizontal="left"/>
    </xf>
    <xf numFmtId="164" fontId="72" fillId="0" borderId="0" xfId="848" applyNumberFormat="1" applyFont="1"/>
    <xf numFmtId="164" fontId="72" fillId="0" borderId="5" xfId="1" applyNumberFormat="1" applyFont="1" applyBorder="1" applyAlignment="1" applyProtection="1">
      <alignment horizontal="left"/>
    </xf>
    <xf numFmtId="176" fontId="72" fillId="0" borderId="5" xfId="1" applyNumberFormat="1" applyFont="1" applyBorder="1" applyAlignment="1" applyProtection="1">
      <alignment horizontal="left"/>
    </xf>
    <xf numFmtId="164" fontId="72" fillId="0" borderId="0" xfId="1" applyNumberFormat="1" applyFont="1" applyBorder="1" applyAlignment="1" applyProtection="1">
      <alignment horizontal="left"/>
    </xf>
    <xf numFmtId="164" fontId="72" fillId="4" borderId="5" xfId="1" applyNumberFormat="1" applyFont="1" applyFill="1" applyBorder="1" applyAlignment="1" applyProtection="1">
      <alignment horizontal="left"/>
    </xf>
    <xf numFmtId="176" fontId="72" fillId="19" borderId="5" xfId="1" applyNumberFormat="1" applyFont="1" applyFill="1" applyBorder="1" applyAlignment="1" applyProtection="1">
      <alignment horizontal="right"/>
    </xf>
    <xf numFmtId="42" fontId="72" fillId="4" borderId="5" xfId="1" applyNumberFormat="1" applyFont="1" applyFill="1" applyBorder="1" applyAlignment="1" applyProtection="1">
      <alignment horizontal="left"/>
    </xf>
    <xf numFmtId="178" fontId="72" fillId="0" borderId="0" xfId="848" applyNumberFormat="1" applyFont="1" applyAlignment="1" applyProtection="1">
      <alignment horizontal="center"/>
    </xf>
    <xf numFmtId="164" fontId="72" fillId="4" borderId="0" xfId="1" applyNumberFormat="1" applyFont="1" applyFill="1" applyAlignment="1" applyProtection="1">
      <alignment horizontal="center"/>
    </xf>
    <xf numFmtId="42" fontId="72" fillId="4" borderId="0" xfId="1" applyNumberFormat="1" applyFont="1" applyFill="1"/>
    <xf numFmtId="178" fontId="72" fillId="0" borderId="0" xfId="848" applyNumberFormat="1" applyFont="1" applyProtection="1"/>
    <xf numFmtId="164" fontId="72" fillId="0" borderId="0" xfId="1" applyNumberFormat="1" applyFont="1" applyAlignment="1" applyProtection="1">
      <alignment horizontal="center"/>
    </xf>
    <xf numFmtId="176" fontId="72" fillId="0" borderId="0" xfId="1" applyNumberFormat="1" applyFont="1" applyAlignment="1" applyProtection="1">
      <alignment horizontal="center"/>
    </xf>
    <xf numFmtId="178" fontId="72" fillId="4" borderId="0" xfId="848" applyNumberFormat="1" applyFont="1" applyFill="1" applyProtection="1"/>
    <xf numFmtId="164" fontId="72" fillId="19" borderId="0" xfId="1" applyNumberFormat="1" applyFont="1" applyFill="1" applyAlignment="1">
      <alignment horizontal="right"/>
    </xf>
    <xf numFmtId="164" fontId="72" fillId="0" borderId="0" xfId="1" applyNumberFormat="1" applyFont="1" applyProtection="1"/>
    <xf numFmtId="176" fontId="72" fillId="19" borderId="0" xfId="1" applyNumberFormat="1" applyFont="1" applyFill="1" applyBorder="1" applyAlignment="1" applyProtection="1">
      <alignment horizontal="right"/>
    </xf>
    <xf numFmtId="42" fontId="72" fillId="4" borderId="0" xfId="1" applyNumberFormat="1" applyFont="1" applyFill="1" applyBorder="1" applyAlignment="1" applyProtection="1">
      <alignment horizontal="left"/>
    </xf>
    <xf numFmtId="178" fontId="72" fillId="0" borderId="0" xfId="848" quotePrefix="1" applyNumberFormat="1" applyFont="1" applyAlignment="1" applyProtection="1">
      <alignment horizontal="left"/>
    </xf>
    <xf numFmtId="164" fontId="72" fillId="4" borderId="5" xfId="1" applyNumberFormat="1" applyFont="1" applyFill="1" applyBorder="1" applyAlignment="1" applyProtection="1">
      <alignment horizontal="center"/>
    </xf>
    <xf numFmtId="178" fontId="72" fillId="0" borderId="0" xfId="848" applyNumberFormat="1" applyFont="1" applyAlignment="1" applyProtection="1">
      <alignment horizontal="left"/>
    </xf>
    <xf numFmtId="178" fontId="72" fillId="0" borderId="0" xfId="848" quotePrefix="1" applyNumberFormat="1" applyFont="1" applyAlignment="1" applyProtection="1">
      <alignment horizontal="center"/>
    </xf>
    <xf numFmtId="164" fontId="72" fillId="0" borderId="0" xfId="848" applyNumberFormat="1" applyFont="1" applyBorder="1"/>
    <xf numFmtId="0" fontId="87" fillId="0" borderId="0" xfId="848" applyFont="1" applyAlignment="1" applyProtection="1">
      <alignment horizontal="left"/>
      <protection locked="0"/>
    </xf>
    <xf numFmtId="164" fontId="72" fillId="0" borderId="0" xfId="1" applyNumberFormat="1" applyFont="1" applyFill="1" applyAlignment="1" applyProtection="1">
      <alignment horizontal="left"/>
    </xf>
    <xf numFmtId="178" fontId="72" fillId="4" borderId="0" xfId="848" applyNumberFormat="1" applyFont="1" applyFill="1" applyAlignment="1" applyProtection="1">
      <alignment horizontal="left"/>
    </xf>
    <xf numFmtId="164" fontId="72" fillId="19" borderId="0" xfId="1" applyNumberFormat="1" applyFont="1" applyFill="1" applyBorder="1" applyAlignment="1" applyProtection="1">
      <alignment horizontal="right"/>
    </xf>
    <xf numFmtId="167" fontId="72" fillId="4" borderId="0" xfId="1" applyNumberFormat="1" applyFont="1" applyFill="1"/>
    <xf numFmtId="178" fontId="72" fillId="0" borderId="0" xfId="848" applyNumberFormat="1" applyFont="1" applyAlignment="1" applyProtection="1"/>
    <xf numFmtId="164" fontId="72" fillId="4" borderId="0" xfId="1" applyNumberFormat="1" applyFont="1" applyFill="1" applyAlignment="1">
      <alignment horizontal="center"/>
    </xf>
    <xf numFmtId="164" fontId="72" fillId="19" borderId="0" xfId="1" applyNumberFormat="1" applyFont="1" applyFill="1"/>
    <xf numFmtId="167" fontId="72" fillId="4" borderId="0" xfId="849" applyNumberFormat="1" applyFont="1" applyFill="1"/>
    <xf numFmtId="164" fontId="72" fillId="0" borderId="0" xfId="848" applyNumberFormat="1" applyFont="1" applyFill="1"/>
    <xf numFmtId="0" fontId="72" fillId="0" borderId="0" xfId="848" applyFont="1" applyFill="1"/>
    <xf numFmtId="178" fontId="72" fillId="0" borderId="0" xfId="0" applyNumberFormat="1" applyFont="1" applyFill="1" applyAlignment="1" applyProtection="1">
      <alignment horizontal="left"/>
    </xf>
    <xf numFmtId="176" fontId="72" fillId="0" borderId="0" xfId="1" applyNumberFormat="1" applyFont="1" applyFill="1" applyAlignment="1" applyProtection="1">
      <alignment horizontal="left"/>
    </xf>
    <xf numFmtId="164" fontId="72" fillId="0" borderId="0" xfId="848" applyNumberFormat="1" applyFont="1" applyFill="1" applyBorder="1"/>
    <xf numFmtId="0" fontId="87" fillId="0" borderId="0" xfId="848" applyFont="1" applyFill="1" applyAlignment="1" applyProtection="1">
      <alignment horizontal="left"/>
      <protection locked="0"/>
    </xf>
    <xf numFmtId="164" fontId="72" fillId="0" borderId="5" xfId="1" applyNumberFormat="1" applyFont="1" applyFill="1" applyBorder="1" applyAlignment="1" applyProtection="1">
      <alignment horizontal="left"/>
    </xf>
    <xf numFmtId="176" fontId="72" fillId="0" borderId="5" xfId="1" applyNumberFormat="1" applyFont="1" applyFill="1" applyBorder="1" applyAlignment="1" applyProtection="1">
      <alignment horizontal="left"/>
    </xf>
    <xf numFmtId="164" fontId="72" fillId="19" borderId="5" xfId="1" applyNumberFormat="1" applyFont="1" applyFill="1" applyBorder="1" applyAlignment="1">
      <alignment horizontal="right"/>
    </xf>
    <xf numFmtId="167" fontId="72" fillId="4" borderId="5" xfId="1" applyNumberFormat="1" applyFont="1" applyFill="1" applyBorder="1"/>
    <xf numFmtId="178" fontId="72" fillId="0" borderId="0" xfId="848" applyNumberFormat="1" applyFont="1" applyFill="1" applyAlignment="1" applyProtection="1">
      <alignment horizontal="center"/>
    </xf>
    <xf numFmtId="164" fontId="72" fillId="0" borderId="0" xfId="1" applyNumberFormat="1" applyFont="1" applyFill="1" applyAlignment="1" applyProtection="1">
      <alignment horizontal="center"/>
    </xf>
    <xf numFmtId="167" fontId="72" fillId="4" borderId="5" xfId="849" applyNumberFormat="1" applyFont="1" applyFill="1" applyBorder="1"/>
    <xf numFmtId="178" fontId="72" fillId="0" borderId="0" xfId="848" applyNumberFormat="1" applyFont="1" applyFill="1" applyAlignment="1" applyProtection="1"/>
    <xf numFmtId="37" fontId="72" fillId="19" borderId="0" xfId="1" applyNumberFormat="1" applyFont="1" applyFill="1" applyAlignment="1">
      <alignment horizontal="right"/>
    </xf>
    <xf numFmtId="164" fontId="72" fillId="8" borderId="0" xfId="1" applyNumberFormat="1" applyFont="1" applyFill="1" applyAlignment="1">
      <alignment horizontal="right"/>
    </xf>
    <xf numFmtId="164" fontId="88" fillId="0" borderId="0" xfId="1" applyNumberFormat="1" applyFont="1" applyFill="1" applyAlignment="1">
      <alignment horizontal="right"/>
    </xf>
    <xf numFmtId="176" fontId="72" fillId="0" borderId="0" xfId="1" applyNumberFormat="1" applyFont="1" applyFill="1" applyAlignment="1">
      <alignment horizontal="right"/>
    </xf>
    <xf numFmtId="176" fontId="72" fillId="0" borderId="0" xfId="848" applyNumberFormat="1" applyFont="1" applyFill="1"/>
    <xf numFmtId="176" fontId="88" fillId="0" borderId="0" xfId="1" applyNumberFormat="1" applyFont="1" applyFill="1" applyAlignment="1">
      <alignment horizontal="right"/>
    </xf>
    <xf numFmtId="164" fontId="72" fillId="0" borderId="0" xfId="1" applyNumberFormat="1" applyFont="1" applyFill="1" applyAlignment="1">
      <alignment horizontal="right"/>
    </xf>
    <xf numFmtId="164" fontId="88" fillId="0" borderId="0" xfId="1" applyNumberFormat="1" applyFont="1" applyFill="1" applyBorder="1" applyAlignment="1">
      <alignment horizontal="right"/>
    </xf>
    <xf numFmtId="164" fontId="72" fillId="0" borderId="0" xfId="1" applyNumberFormat="1" applyFont="1" applyFill="1" applyBorder="1" applyAlignment="1" applyProtection="1">
      <alignment horizontal="left"/>
    </xf>
    <xf numFmtId="164" fontId="72" fillId="0" borderId="0" xfId="1" applyNumberFormat="1" applyFont="1" applyFill="1"/>
    <xf numFmtId="6" fontId="72" fillId="0" borderId="0" xfId="1" applyNumberFormat="1" applyFont="1" applyAlignment="1">
      <alignment horizontal="right"/>
    </xf>
    <xf numFmtId="178" fontId="72" fillId="0" borderId="0" xfId="848" applyNumberFormat="1" applyFont="1"/>
    <xf numFmtId="42" fontId="72" fillId="8" borderId="0" xfId="1" applyNumberFormat="1" applyFont="1" applyFill="1" applyAlignment="1">
      <alignment horizontal="right"/>
    </xf>
    <xf numFmtId="6" fontId="72" fillId="0" borderId="0" xfId="1" applyNumberFormat="1" applyFont="1"/>
    <xf numFmtId="168" fontId="72" fillId="0" borderId="0" xfId="848" applyNumberFormat="1" applyFont="1"/>
    <xf numFmtId="0" fontId="75" fillId="0" borderId="0" xfId="0" quotePrefix="1" applyFont="1" applyAlignment="1">
      <alignment horizontal="left"/>
    </xf>
    <xf numFmtId="37" fontId="72" fillId="19" borderId="5" xfId="1" applyNumberFormat="1" applyFont="1" applyFill="1" applyBorder="1" applyAlignment="1" applyProtection="1">
      <alignment horizontal="right"/>
    </xf>
    <xf numFmtId="0" fontId="0" fillId="0" borderId="0" xfId="0" applyFill="1" applyAlignment="1">
      <alignment horizontal="left"/>
    </xf>
    <xf numFmtId="164" fontId="72" fillId="0" borderId="0" xfId="3" applyNumberFormat="1" applyFont="1" applyFill="1" applyBorder="1" applyAlignment="1" applyProtection="1">
      <alignment horizontal="right"/>
    </xf>
    <xf numFmtId="164" fontId="73" fillId="0" borderId="0" xfId="1" applyNumberFormat="1" applyFont="1" applyAlignment="1"/>
    <xf numFmtId="164" fontId="72" fillId="8" borderId="5" xfId="1" applyNumberFormat="1" applyFont="1" applyFill="1" applyBorder="1" applyAlignment="1">
      <alignment horizontal="right"/>
    </xf>
    <xf numFmtId="167" fontId="25" fillId="0" borderId="0" xfId="6" applyNumberFormat="1" applyFont="1" applyFill="1"/>
    <xf numFmtId="43" fontId="72" fillId="0" borderId="0" xfId="1" applyNumberFormat="1" applyFont="1"/>
    <xf numFmtId="10" fontId="16" fillId="0" borderId="0" xfId="8" applyNumberFormat="1" applyFont="1" applyFill="1"/>
    <xf numFmtId="10" fontId="16" fillId="0" borderId="0" xfId="0" applyNumberFormat="1" applyFont="1" applyFill="1"/>
    <xf numFmtId="0" fontId="13" fillId="0" borderId="0" xfId="847" applyFont="1" applyFill="1"/>
    <xf numFmtId="167" fontId="25" fillId="0" borderId="0" xfId="4" applyNumberFormat="1" applyFont="1" applyFill="1"/>
    <xf numFmtId="0" fontId="25" fillId="0" borderId="0" xfId="15" applyFont="1" applyFill="1" applyAlignment="1">
      <alignment horizontal="left"/>
    </xf>
    <xf numFmtId="164" fontId="13" fillId="0" borderId="0" xfId="847" applyNumberFormat="1" applyFont="1" applyFill="1"/>
    <xf numFmtId="0" fontId="25" fillId="0" borderId="0" xfId="15" applyFont="1" applyFill="1"/>
    <xf numFmtId="0" fontId="13" fillId="0" borderId="0" xfId="847" applyFont="1" applyFill="1" applyBorder="1"/>
    <xf numFmtId="164" fontId="13" fillId="0" borderId="0" xfId="847" applyNumberFormat="1" applyFont="1" applyFill="1" applyBorder="1"/>
    <xf numFmtId="164" fontId="13" fillId="0" borderId="0" xfId="846" applyNumberFormat="1" applyFont="1" applyFill="1"/>
    <xf numFmtId="0" fontId="90" fillId="0" borderId="0" xfId="0" applyFont="1"/>
    <xf numFmtId="0" fontId="90" fillId="0" borderId="0" xfId="0" applyFont="1" applyFill="1"/>
    <xf numFmtId="170" fontId="13" fillId="0" borderId="0" xfId="4" applyNumberFormat="1" applyFont="1" applyFill="1"/>
    <xf numFmtId="42" fontId="90" fillId="0" borderId="0" xfId="0" applyNumberFormat="1" applyFont="1"/>
    <xf numFmtId="0" fontId="13" fillId="0" borderId="0" xfId="15" applyFont="1" applyFill="1"/>
    <xf numFmtId="0" fontId="24" fillId="0" borderId="0" xfId="15" applyFont="1" applyFill="1"/>
    <xf numFmtId="0" fontId="25" fillId="0" borderId="0" xfId="15" applyFont="1" applyFill="1" applyAlignment="1">
      <alignment horizontal="right"/>
    </xf>
    <xf numFmtId="0" fontId="25" fillId="0" borderId="0" xfId="15" applyFont="1" applyFill="1" applyBorder="1" applyAlignment="1">
      <alignment horizontal="center"/>
    </xf>
    <xf numFmtId="164" fontId="25" fillId="0" borderId="0" xfId="15" applyNumberFormat="1" applyFont="1" applyFill="1" applyBorder="1" applyAlignment="1">
      <alignment horizontal="right"/>
    </xf>
    <xf numFmtId="0" fontId="93" fillId="0" borderId="0" xfId="15" applyFont="1" applyFill="1"/>
    <xf numFmtId="0" fontId="24" fillId="0" borderId="0" xfId="15" applyFont="1" applyFill="1" applyBorder="1"/>
    <xf numFmtId="164" fontId="25" fillId="0" borderId="12" xfId="1" applyNumberFormat="1" applyFont="1" applyFill="1" applyBorder="1"/>
    <xf numFmtId="164" fontId="25" fillId="0" borderId="9" xfId="1" applyNumberFormat="1" applyFont="1" applyFill="1" applyBorder="1"/>
    <xf numFmtId="0" fontId="25" fillId="0" borderId="0" xfId="15" applyFont="1" applyFill="1" applyBorder="1" applyAlignment="1">
      <alignment horizontal="right"/>
    </xf>
    <xf numFmtId="0" fontId="26" fillId="0" borderId="0" xfId="15" applyFont="1" applyFill="1" applyBorder="1"/>
    <xf numFmtId="0" fontId="25" fillId="0" borderId="0" xfId="15" quotePrefix="1" applyFont="1" applyFill="1" applyAlignment="1">
      <alignment horizontal="left"/>
    </xf>
    <xf numFmtId="164" fontId="25" fillId="0" borderId="17" xfId="1" applyNumberFormat="1" applyFont="1" applyFill="1" applyBorder="1"/>
    <xf numFmtId="0" fontId="25" fillId="0" borderId="5" xfId="15" applyFont="1" applyFill="1" applyBorder="1" applyAlignment="1">
      <alignment horizontal="right"/>
    </xf>
    <xf numFmtId="164" fontId="25" fillId="0" borderId="0" xfId="1" applyNumberFormat="1" applyFont="1" applyFill="1" applyBorder="1" applyAlignment="1">
      <alignment horizontal="right"/>
    </xf>
    <xf numFmtId="164" fontId="25" fillId="0" borderId="5" xfId="15" applyNumberFormat="1" applyFont="1" applyFill="1" applyBorder="1"/>
    <xf numFmtId="164" fontId="25" fillId="0" borderId="0" xfId="15" applyNumberFormat="1" applyFont="1" applyFill="1"/>
    <xf numFmtId="164" fontId="25" fillId="0" borderId="0" xfId="1" applyNumberFormat="1" applyFont="1" applyFill="1"/>
    <xf numFmtId="164" fontId="25" fillId="0" borderId="0" xfId="1" applyNumberFormat="1" applyFont="1" applyFill="1" applyBorder="1"/>
    <xf numFmtId="186" fontId="25" fillId="0" borderId="0" xfId="15" quotePrefix="1" applyNumberFormat="1" applyFont="1" applyFill="1" applyAlignment="1">
      <alignment horizontal="right"/>
    </xf>
    <xf numFmtId="0" fontId="25" fillId="0" borderId="0" xfId="15" quotePrefix="1" applyFont="1" applyFill="1" applyAlignment="1">
      <alignment horizontal="right"/>
    </xf>
    <xf numFmtId="164" fontId="25" fillId="0" borderId="14" xfId="1" applyNumberFormat="1" applyFont="1" applyFill="1" applyBorder="1"/>
    <xf numFmtId="164" fontId="25" fillId="0" borderId="12" xfId="15" applyNumberFormat="1" applyFont="1" applyFill="1" applyBorder="1"/>
    <xf numFmtId="0" fontId="26" fillId="0" borderId="0" xfId="15" applyFont="1" applyFill="1"/>
    <xf numFmtId="0" fontId="25" fillId="0" borderId="29" xfId="15" applyFont="1" applyFill="1" applyBorder="1" applyAlignment="1">
      <alignment horizontal="right"/>
    </xf>
    <xf numFmtId="164" fontId="25" fillId="0" borderId="16" xfId="1" applyNumberFormat="1" applyFont="1" applyFill="1" applyBorder="1"/>
    <xf numFmtId="164" fontId="25" fillId="0" borderId="17" xfId="15" applyNumberFormat="1" applyFont="1" applyFill="1" applyBorder="1"/>
    <xf numFmtId="167" fontId="25" fillId="0" borderId="0" xfId="6" applyNumberFormat="1" applyFont="1" applyFill="1" applyBorder="1"/>
    <xf numFmtId="164" fontId="25" fillId="0" borderId="0" xfId="15" applyNumberFormat="1" applyFont="1" applyFill="1" applyAlignment="1">
      <alignment horizontal="right"/>
    </xf>
    <xf numFmtId="44" fontId="25" fillId="0" borderId="0" xfId="6" applyFont="1" applyFill="1" applyBorder="1"/>
    <xf numFmtId="176" fontId="25" fillId="0" borderId="0" xfId="1" applyNumberFormat="1" applyFont="1" applyFill="1"/>
    <xf numFmtId="167" fontId="25" fillId="0" borderId="0" xfId="15" applyNumberFormat="1" applyFont="1" applyFill="1"/>
    <xf numFmtId="164" fontId="25" fillId="0" borderId="0" xfId="1" quotePrefix="1" applyNumberFormat="1" applyFont="1" applyFill="1" applyAlignment="1">
      <alignment horizontal="right"/>
    </xf>
    <xf numFmtId="183" fontId="25" fillId="0" borderId="0" xfId="1" applyNumberFormat="1" applyFont="1" applyFill="1"/>
    <xf numFmtId="164" fontId="25" fillId="0" borderId="0" xfId="15" applyNumberFormat="1" applyFont="1" applyFill="1" applyBorder="1"/>
    <xf numFmtId="167" fontId="25" fillId="0" borderId="7" xfId="6" applyNumberFormat="1" applyFont="1" applyFill="1" applyBorder="1"/>
    <xf numFmtId="0" fontId="25" fillId="0" borderId="0" xfId="15" applyFont="1" applyFill="1" applyBorder="1"/>
    <xf numFmtId="176" fontId="25" fillId="0" borderId="0" xfId="1" applyNumberFormat="1" applyFont="1" applyFill="1" applyBorder="1"/>
    <xf numFmtId="187" fontId="25" fillId="0" borderId="0" xfId="15" applyNumberFormat="1" applyFont="1" applyFill="1"/>
    <xf numFmtId="164" fontId="25" fillId="0" borderId="5" xfId="1" applyNumberFormat="1" applyFont="1" applyFill="1" applyBorder="1"/>
    <xf numFmtId="176" fontId="25" fillId="0" borderId="5" xfId="1" applyNumberFormat="1" applyFont="1" applyFill="1" applyBorder="1"/>
    <xf numFmtId="0" fontId="25" fillId="0" borderId="5" xfId="15" applyFont="1" applyFill="1" applyBorder="1"/>
    <xf numFmtId="0" fontId="25" fillId="0" borderId="0" xfId="1" applyNumberFormat="1" applyFont="1" applyFill="1" applyAlignment="1">
      <alignment horizontal="left"/>
    </xf>
    <xf numFmtId="10" fontId="25" fillId="0" borderId="0" xfId="15" applyNumberFormat="1" applyFont="1" applyFill="1" applyBorder="1"/>
    <xf numFmtId="10" fontId="25" fillId="0" borderId="0" xfId="15" applyNumberFormat="1" applyFont="1" applyFill="1"/>
    <xf numFmtId="176" fontId="25" fillId="0" borderId="30" xfId="15" applyNumberFormat="1" applyFont="1" applyFill="1" applyBorder="1"/>
    <xf numFmtId="167" fontId="25" fillId="0" borderId="30" xfId="6" applyNumberFormat="1" applyFont="1" applyFill="1" applyBorder="1"/>
    <xf numFmtId="182" fontId="25" fillId="0" borderId="0" xfId="6" applyNumberFormat="1" applyFont="1" applyFill="1" applyAlignment="1">
      <alignment horizontal="right"/>
    </xf>
    <xf numFmtId="0" fontId="25" fillId="0" borderId="0" xfId="15" applyFont="1" applyFill="1" applyBorder="1" applyAlignment="1">
      <alignment horizontal="left"/>
    </xf>
    <xf numFmtId="43" fontId="25" fillId="0" borderId="0" xfId="1" applyFont="1" applyFill="1"/>
    <xf numFmtId="178" fontId="25" fillId="0" borderId="0" xfId="15" applyNumberFormat="1" applyFont="1" applyFill="1" applyProtection="1"/>
    <xf numFmtId="0" fontId="24" fillId="0" borderId="0" xfId="15" applyFont="1" applyFill="1" applyAlignment="1">
      <alignment horizontal="right"/>
    </xf>
    <xf numFmtId="178" fontId="25" fillId="0" borderId="0" xfId="15" applyNumberFormat="1" applyFont="1" applyFill="1" applyAlignment="1" applyProtection="1">
      <alignment horizontal="center"/>
    </xf>
    <xf numFmtId="0" fontId="24" fillId="0" borderId="0" xfId="15" applyFont="1" applyFill="1" applyAlignment="1">
      <alignment horizontal="left"/>
    </xf>
    <xf numFmtId="0" fontId="89" fillId="0" borderId="0" xfId="15" applyFont="1" applyFill="1" applyAlignment="1">
      <alignment horizontal="right"/>
    </xf>
    <xf numFmtId="178" fontId="25" fillId="0" borderId="0" xfId="15" applyNumberFormat="1" applyFont="1" applyFill="1" applyAlignment="1" applyProtection="1">
      <alignment horizontal="left"/>
    </xf>
    <xf numFmtId="178" fontId="25" fillId="0" borderId="0" xfId="15" quotePrefix="1" applyNumberFormat="1" applyFont="1" applyFill="1" applyAlignment="1" applyProtection="1">
      <alignment horizontal="left"/>
    </xf>
    <xf numFmtId="167" fontId="25" fillId="0" borderId="7" xfId="15" applyNumberFormat="1" applyFont="1" applyFill="1" applyBorder="1"/>
    <xf numFmtId="182" fontId="25" fillId="0" borderId="0" xfId="6" applyNumberFormat="1" applyFont="1" applyFill="1"/>
    <xf numFmtId="182" fontId="25" fillId="0" borderId="0" xfId="6" applyNumberFormat="1" applyFont="1" applyFill="1" applyBorder="1"/>
    <xf numFmtId="14" fontId="25" fillId="0" borderId="0" xfId="15" applyNumberFormat="1" applyFont="1" applyFill="1"/>
    <xf numFmtId="168" fontId="25" fillId="0" borderId="0" xfId="15" applyNumberFormat="1" applyFont="1" applyFill="1"/>
    <xf numFmtId="178" fontId="25" fillId="0" borderId="0" xfId="15" applyNumberFormat="1" applyFont="1" applyFill="1"/>
    <xf numFmtId="180" fontId="25" fillId="0" borderId="0" xfId="15" applyNumberFormat="1" applyFont="1" applyFill="1"/>
    <xf numFmtId="0" fontId="24" fillId="0" borderId="0" xfId="11" applyFont="1"/>
    <xf numFmtId="0" fontId="25" fillId="0" borderId="0" xfId="11" applyFont="1"/>
    <xf numFmtId="0" fontId="24" fillId="0" borderId="0" xfId="11" applyFont="1" applyAlignment="1">
      <alignment horizontal="center"/>
    </xf>
    <xf numFmtId="0" fontId="24" fillId="0" borderId="5" xfId="11" applyFont="1" applyBorder="1" applyAlignment="1">
      <alignment horizontal="left"/>
    </xf>
    <xf numFmtId="0" fontId="24" fillId="0" borderId="0" xfId="11" applyFont="1" applyBorder="1" applyAlignment="1">
      <alignment horizontal="center"/>
    </xf>
    <xf numFmtId="0" fontId="25" fillId="0" borderId="0" xfId="11" quotePrefix="1" applyFont="1" applyFill="1" applyAlignment="1">
      <alignment horizontal="left"/>
    </xf>
    <xf numFmtId="0" fontId="25" fillId="0" borderId="0" xfId="11" applyFont="1" applyFill="1" applyAlignment="1">
      <alignment horizontal="left"/>
    </xf>
    <xf numFmtId="0" fontId="25" fillId="0" borderId="0" xfId="11" applyFont="1" applyAlignment="1">
      <alignment horizontal="center"/>
    </xf>
    <xf numFmtId="0" fontId="25" fillId="0" borderId="0" xfId="12" applyFont="1"/>
    <xf numFmtId="0" fontId="25" fillId="0" borderId="0" xfId="11" applyFont="1" applyFill="1"/>
    <xf numFmtId="0" fontId="24" fillId="0" borderId="0" xfId="12" applyFont="1" applyAlignment="1">
      <alignment horizontal="center"/>
    </xf>
    <xf numFmtId="43" fontId="25" fillId="0" borderId="0" xfId="3" applyFont="1" applyAlignment="1">
      <alignment horizontal="right"/>
    </xf>
    <xf numFmtId="0" fontId="24" fillId="0" borderId="0" xfId="12" applyFont="1" applyFill="1"/>
    <xf numFmtId="0" fontId="25" fillId="0" borderId="0" xfId="12" quotePrefix="1" applyFont="1" applyAlignment="1">
      <alignment horizontal="left"/>
    </xf>
    <xf numFmtId="43" fontId="25" fillId="0" borderId="0" xfId="3" applyFont="1"/>
    <xf numFmtId="43" fontId="90" fillId="0" borderId="0" xfId="0" applyNumberFormat="1" applyFont="1"/>
    <xf numFmtId="164" fontId="13" fillId="0" borderId="0" xfId="1" applyNumberFormat="1" applyFont="1" applyFill="1" applyAlignment="1">
      <alignment horizontal="center"/>
    </xf>
    <xf numFmtId="44" fontId="90" fillId="0" borderId="0" xfId="0" applyNumberFormat="1" applyFont="1"/>
    <xf numFmtId="0" fontId="90" fillId="0" borderId="0" xfId="0" applyFont="1" applyBorder="1"/>
    <xf numFmtId="0" fontId="90" fillId="0" borderId="0" xfId="0" applyFont="1" applyFill="1" applyAlignment="1">
      <alignment horizontal="center"/>
    </xf>
    <xf numFmtId="0" fontId="8" fillId="18" borderId="0" xfId="0" applyFont="1" applyFill="1"/>
    <xf numFmtId="49" fontId="7" fillId="5" borderId="4" xfId="0" applyNumberFormat="1" applyFont="1" applyFill="1" applyBorder="1" applyAlignment="1">
      <alignment horizontal="center" vertical="center" wrapText="1"/>
    </xf>
    <xf numFmtId="165" fontId="78" fillId="6" borderId="4" xfId="0" applyNumberFormat="1" applyFont="1" applyFill="1" applyBorder="1" applyAlignment="1">
      <alignment horizontal="right" vertical="center" wrapText="1"/>
    </xf>
    <xf numFmtId="165" fontId="78" fillId="7" borderId="4" xfId="0" applyNumberFormat="1" applyFont="1" applyFill="1" applyBorder="1" applyAlignment="1">
      <alignment horizontal="right" vertical="center" wrapText="1"/>
    </xf>
    <xf numFmtId="166" fontId="78" fillId="75" borderId="4" xfId="0" applyNumberFormat="1" applyFont="1" applyFill="1" applyBorder="1" applyAlignment="1">
      <alignment horizontal="right" vertical="center" wrapText="1"/>
    </xf>
    <xf numFmtId="0" fontId="6" fillId="0" borderId="0" xfId="0" applyFont="1" applyFill="1" applyAlignment="1"/>
    <xf numFmtId="49" fontId="6" fillId="0" borderId="6" xfId="0" applyNumberFormat="1" applyFont="1" applyFill="1" applyBorder="1" applyAlignment="1">
      <alignment vertical="center" wrapText="1"/>
    </xf>
    <xf numFmtId="0" fontId="8" fillId="0" borderId="0" xfId="0" applyFont="1" applyAlignment="1">
      <alignment wrapText="1"/>
    </xf>
    <xf numFmtId="49" fontId="80" fillId="6" borderId="0" xfId="0" applyNumberFormat="1" applyFont="1" applyFill="1" applyAlignment="1">
      <alignment wrapText="1"/>
    </xf>
    <xf numFmtId="49" fontId="78" fillId="6" borderId="0" xfId="0" applyNumberFormat="1" applyFont="1" applyFill="1" applyAlignment="1">
      <alignment wrapText="1"/>
    </xf>
    <xf numFmtId="49" fontId="0" fillId="5" borderId="4" xfId="0" applyNumberFormat="1" applyFill="1" applyBorder="1" applyAlignment="1">
      <alignment horizontal="right" vertical="center" wrapText="1"/>
    </xf>
    <xf numFmtId="49" fontId="78" fillId="5" borderId="4" xfId="0" applyNumberFormat="1" applyFont="1" applyFill="1" applyBorder="1" applyAlignment="1">
      <alignment horizontal="center" vertical="center" wrapText="1"/>
    </xf>
    <xf numFmtId="168" fontId="77" fillId="0" borderId="0" xfId="0" applyNumberFormat="1" applyFont="1" applyAlignment="1">
      <alignment horizontal="center"/>
    </xf>
    <xf numFmtId="49" fontId="0" fillId="5" borderId="4" xfId="0" applyNumberFormat="1" applyFill="1" applyBorder="1" applyAlignment="1">
      <alignment horizontal="center" vertical="center" wrapText="1"/>
    </xf>
    <xf numFmtId="49" fontId="78" fillId="76" borderId="4" xfId="0" applyNumberFormat="1" applyFont="1" applyFill="1" applyBorder="1" applyAlignment="1">
      <alignment horizontal="left" vertical="center" wrapText="1"/>
    </xf>
    <xf numFmtId="49" fontId="78" fillId="77" borderId="4" xfId="0" applyNumberFormat="1" applyFont="1" applyFill="1" applyBorder="1" applyAlignment="1">
      <alignment horizontal="left" vertical="center" wrapText="1"/>
    </xf>
    <xf numFmtId="43" fontId="6" fillId="0" borderId="0" xfId="3" applyFont="1"/>
    <xf numFmtId="0" fontId="0" fillId="0" borderId="0" xfId="0" applyNumberFormat="1" applyBorder="1"/>
    <xf numFmtId="0" fontId="75" fillId="0" borderId="0" xfId="0" applyNumberFormat="1" applyFont="1"/>
    <xf numFmtId="0" fontId="70" fillId="0" borderId="0" xfId="0" applyNumberFormat="1" applyFont="1" applyBorder="1"/>
    <xf numFmtId="0" fontId="77" fillId="0" borderId="0" xfId="0" applyNumberFormat="1" applyFont="1"/>
    <xf numFmtId="0" fontId="77" fillId="0" borderId="0" xfId="0" applyNumberFormat="1" applyFont="1" applyAlignment="1">
      <alignment horizontal="right"/>
    </xf>
    <xf numFmtId="0" fontId="84" fillId="0" borderId="0" xfId="0" applyNumberFormat="1" applyFont="1" applyFill="1" applyAlignment="1">
      <alignment horizontal="center" wrapText="1"/>
    </xf>
    <xf numFmtId="0" fontId="20" fillId="19" borderId="0" xfId="0" applyNumberFormat="1" applyFont="1" applyFill="1" applyAlignment="1">
      <alignment horizontal="center"/>
    </xf>
    <xf numFmtId="0" fontId="1" fillId="0" borderId="0" xfId="0" applyNumberFormat="1" applyFont="1" applyFill="1"/>
    <xf numFmtId="0" fontId="75" fillId="10" borderId="0" xfId="0" applyNumberFormat="1" applyFont="1" applyFill="1"/>
    <xf numFmtId="0" fontId="75" fillId="10" borderId="0" xfId="0" applyNumberFormat="1" applyFont="1" applyFill="1" applyAlignment="1">
      <alignment horizontal="center"/>
    </xf>
    <xf numFmtId="0" fontId="20" fillId="10" borderId="0" xfId="0" applyNumberFormat="1" applyFont="1" applyFill="1" applyAlignment="1">
      <alignment horizontal="right"/>
    </xf>
    <xf numFmtId="0" fontId="1" fillId="10" borderId="0" xfId="0" applyNumberFormat="1" applyFont="1" applyFill="1" applyAlignment="1">
      <alignment horizontal="right"/>
    </xf>
    <xf numFmtId="0" fontId="21" fillId="10" borderId="0" xfId="0" applyNumberFormat="1" applyFont="1" applyFill="1" applyAlignment="1">
      <alignment horizontal="right"/>
    </xf>
    <xf numFmtId="0" fontId="20" fillId="10" borderId="0" xfId="0" applyNumberFormat="1" applyFont="1" applyFill="1" applyAlignment="1" applyProtection="1">
      <alignment horizontal="right"/>
      <protection locked="0"/>
    </xf>
    <xf numFmtId="0" fontId="20" fillId="10" borderId="0" xfId="14" applyNumberFormat="1" applyFont="1" applyFill="1" applyAlignment="1" applyProtection="1">
      <alignment horizontal="right"/>
    </xf>
    <xf numFmtId="0" fontId="22" fillId="10" borderId="0" xfId="0" applyNumberFormat="1" applyFont="1" applyFill="1" applyAlignment="1">
      <alignment horizontal="right"/>
    </xf>
    <xf numFmtId="0" fontId="75" fillId="8" borderId="0" xfId="0" applyNumberFormat="1" applyFont="1" applyFill="1" applyBorder="1"/>
    <xf numFmtId="0" fontId="1" fillId="10" borderId="0" xfId="0" applyNumberFormat="1" applyFont="1" applyFill="1"/>
    <xf numFmtId="0" fontId="1" fillId="10" borderId="0" xfId="0" quotePrefix="1" applyNumberFormat="1" applyFont="1" applyFill="1" applyAlignment="1">
      <alignment horizontal="left"/>
    </xf>
    <xf numFmtId="0" fontId="75" fillId="16" borderId="0" xfId="0" applyNumberFormat="1" applyFont="1" applyFill="1"/>
    <xf numFmtId="0" fontId="10" fillId="16" borderId="0" xfId="0" applyNumberFormat="1" applyFont="1" applyFill="1"/>
    <xf numFmtId="0" fontId="75" fillId="16" borderId="0" xfId="0" applyNumberFormat="1" applyFont="1" applyFill="1" applyAlignment="1">
      <alignment horizontal="center"/>
    </xf>
    <xf numFmtId="0" fontId="67" fillId="16" borderId="0" xfId="0" applyNumberFormat="1" applyFont="1" applyFill="1" applyAlignment="1">
      <alignment horizontal="right"/>
    </xf>
    <xf numFmtId="0" fontId="67" fillId="16" borderId="0" xfId="0" applyNumberFormat="1" applyFont="1" applyFill="1"/>
    <xf numFmtId="0" fontId="68" fillId="16" borderId="0" xfId="0" applyNumberFormat="1" applyFont="1" applyFill="1" applyAlignment="1">
      <alignment horizontal="right"/>
    </xf>
    <xf numFmtId="0" fontId="75" fillId="16" borderId="5" xfId="0" applyNumberFormat="1" applyFont="1" applyFill="1" applyBorder="1"/>
    <xf numFmtId="0" fontId="67" fillId="16" borderId="0" xfId="0" applyNumberFormat="1" applyFont="1" applyFill="1" applyBorder="1" applyAlignment="1">
      <alignment horizontal="right"/>
    </xf>
    <xf numFmtId="0" fontId="9" fillId="16" borderId="0" xfId="14" applyNumberFormat="1" applyFont="1" applyFill="1" applyAlignment="1" applyProtection="1">
      <alignment horizontal="right"/>
    </xf>
    <xf numFmtId="0" fontId="67" fillId="16" borderId="0" xfId="1" applyNumberFormat="1" applyFont="1" applyFill="1" applyAlignment="1">
      <alignment horizontal="right"/>
    </xf>
    <xf numFmtId="0" fontId="20" fillId="16" borderId="0" xfId="0" applyNumberFormat="1" applyFont="1" applyFill="1" applyAlignment="1">
      <alignment horizontal="right"/>
    </xf>
    <xf numFmtId="0" fontId="75" fillId="0" borderId="0" xfId="0" applyNumberFormat="1" applyFont="1" applyAlignment="1">
      <alignment horizontal="right"/>
    </xf>
    <xf numFmtId="0" fontId="70" fillId="9" borderId="0" xfId="0" applyNumberFormat="1" applyFont="1" applyFill="1" applyBorder="1"/>
    <xf numFmtId="0" fontId="75" fillId="9" borderId="0" xfId="0" applyNumberFormat="1" applyFont="1" applyFill="1"/>
    <xf numFmtId="0" fontId="84" fillId="9" borderId="0" xfId="0" applyNumberFormat="1" applyFont="1" applyFill="1" applyAlignment="1">
      <alignment horizontal="center" wrapText="1"/>
    </xf>
    <xf numFmtId="0" fontId="20" fillId="19" borderId="0" xfId="0" applyNumberFormat="1" applyFont="1" applyFill="1" applyAlignment="1">
      <alignment horizontal="center" wrapText="1"/>
    </xf>
    <xf numFmtId="0" fontId="1" fillId="9" borderId="0" xfId="0" applyNumberFormat="1" applyFont="1" applyFill="1"/>
    <xf numFmtId="0" fontId="75" fillId="9" borderId="0" xfId="0" applyNumberFormat="1" applyFont="1" applyFill="1" applyAlignment="1">
      <alignment horizontal="center"/>
    </xf>
    <xf numFmtId="0" fontId="20" fillId="9" borderId="0" xfId="0" applyNumberFormat="1" applyFont="1" applyFill="1" applyAlignment="1">
      <alignment horizontal="right"/>
    </xf>
    <xf numFmtId="0" fontId="20" fillId="9" borderId="0" xfId="14" applyNumberFormat="1" applyFont="1" applyFill="1" applyAlignment="1" applyProtection="1">
      <alignment horizontal="right"/>
    </xf>
    <xf numFmtId="0" fontId="22" fillId="9" borderId="0" xfId="0" applyNumberFormat="1" applyFont="1" applyFill="1" applyAlignment="1">
      <alignment horizontal="right"/>
    </xf>
    <xf numFmtId="0" fontId="75" fillId="9" borderId="0" xfId="0" applyNumberFormat="1" applyFont="1" applyFill="1" applyBorder="1"/>
    <xf numFmtId="0" fontId="20" fillId="9" borderId="0" xfId="0" applyNumberFormat="1" applyFont="1" applyFill="1" applyBorder="1" applyAlignment="1">
      <alignment horizontal="right"/>
    </xf>
    <xf numFmtId="0" fontId="75" fillId="0" borderId="0" xfId="0" applyNumberFormat="1" applyFont="1" applyFill="1"/>
    <xf numFmtId="0" fontId="75" fillId="15" borderId="0" xfId="0" applyNumberFormat="1" applyFont="1" applyFill="1"/>
    <xf numFmtId="0" fontId="10" fillId="15" borderId="0" xfId="0" applyNumberFormat="1" applyFont="1" applyFill="1"/>
    <xf numFmtId="0" fontId="75" fillId="15" borderId="0" xfId="0" applyNumberFormat="1" applyFont="1" applyFill="1" applyAlignment="1">
      <alignment horizontal="center"/>
    </xf>
    <xf numFmtId="0" fontId="67" fillId="15" borderId="0" xfId="0" applyNumberFormat="1" applyFont="1" applyFill="1" applyAlignment="1">
      <alignment horizontal="right"/>
    </xf>
    <xf numFmtId="0" fontId="67" fillId="15" borderId="0" xfId="0" applyNumberFormat="1" applyFont="1" applyFill="1"/>
    <xf numFmtId="0" fontId="68" fillId="15" borderId="0" xfId="0" applyNumberFormat="1" applyFont="1" applyFill="1" applyAlignment="1">
      <alignment horizontal="right"/>
    </xf>
    <xf numFmtId="0" fontId="20" fillId="15" borderId="0" xfId="0" applyNumberFormat="1" applyFont="1" applyFill="1" applyAlignment="1">
      <alignment horizontal="right"/>
    </xf>
    <xf numFmtId="0" fontId="75" fillId="15" borderId="5" xfId="0" applyNumberFormat="1" applyFont="1" applyFill="1" applyBorder="1"/>
    <xf numFmtId="0" fontId="67" fillId="15" borderId="0" xfId="0" applyNumberFormat="1" applyFont="1" applyFill="1" applyBorder="1" applyAlignment="1">
      <alignment horizontal="right"/>
    </xf>
    <xf numFmtId="0" fontId="9" fillId="15" borderId="0" xfId="14" applyNumberFormat="1" applyFont="1" applyFill="1" applyAlignment="1" applyProtection="1">
      <alignment horizontal="right"/>
    </xf>
    <xf numFmtId="0" fontId="67" fillId="15" borderId="0" xfId="1" applyNumberFormat="1" applyFont="1" applyFill="1" applyAlignment="1">
      <alignment horizontal="right"/>
    </xf>
    <xf numFmtId="0" fontId="77" fillId="17" borderId="0" xfId="0" applyNumberFormat="1" applyFont="1" applyFill="1"/>
    <xf numFmtId="0" fontId="75" fillId="17" borderId="0" xfId="0" applyNumberFormat="1" applyFont="1" applyFill="1"/>
    <xf numFmtId="0" fontId="1" fillId="17" borderId="0" xfId="0" applyNumberFormat="1" applyFont="1" applyFill="1"/>
    <xf numFmtId="0" fontId="75" fillId="17" borderId="0" xfId="0" applyNumberFormat="1" applyFont="1" applyFill="1" applyAlignment="1">
      <alignment horizontal="center"/>
    </xf>
    <xf numFmtId="0" fontId="20" fillId="17" borderId="0" xfId="0" applyNumberFormat="1" applyFont="1" applyFill="1" applyAlignment="1">
      <alignment horizontal="right"/>
    </xf>
    <xf numFmtId="0" fontId="22" fillId="17" borderId="0" xfId="0" applyNumberFormat="1" applyFont="1" applyFill="1" applyAlignment="1">
      <alignment horizontal="right"/>
    </xf>
    <xf numFmtId="0" fontId="75" fillId="17" borderId="5" xfId="0" applyNumberFormat="1" applyFont="1" applyFill="1" applyBorder="1"/>
    <xf numFmtId="0" fontId="66" fillId="18" borderId="0" xfId="4" applyNumberFormat="1" applyFont="1" applyFill="1"/>
    <xf numFmtId="0" fontId="77" fillId="18" borderId="0" xfId="0" applyNumberFormat="1" applyFont="1" applyFill="1"/>
    <xf numFmtId="0" fontId="75" fillId="18" borderId="0" xfId="0" applyNumberFormat="1" applyFont="1" applyFill="1" applyAlignment="1">
      <alignment horizontal="center"/>
    </xf>
    <xf numFmtId="0" fontId="75" fillId="18" borderId="0" xfId="0" applyNumberFormat="1" applyFont="1" applyFill="1"/>
    <xf numFmtId="0" fontId="20" fillId="18" borderId="0" xfId="0" applyNumberFormat="1" applyFont="1" applyFill="1" applyAlignment="1">
      <alignment horizontal="right"/>
    </xf>
    <xf numFmtId="0" fontId="1" fillId="18" borderId="0" xfId="0" applyNumberFormat="1" applyFont="1" applyFill="1"/>
    <xf numFmtId="0" fontId="22" fillId="18" borderId="0" xfId="0" applyNumberFormat="1" applyFont="1" applyFill="1" applyAlignment="1">
      <alignment horizontal="right"/>
    </xf>
    <xf numFmtId="0" fontId="75" fillId="18" borderId="0" xfId="0" applyNumberFormat="1" applyFont="1" applyFill="1" applyBorder="1"/>
    <xf numFmtId="0" fontId="75" fillId="20" borderId="0" xfId="0" applyNumberFormat="1" applyFont="1" applyFill="1"/>
    <xf numFmtId="0" fontId="75" fillId="20" borderId="0" xfId="0" applyNumberFormat="1" applyFont="1" applyFill="1" applyAlignment="1">
      <alignment horizontal="center"/>
    </xf>
    <xf numFmtId="0" fontId="20" fillId="20" borderId="0" xfId="0" applyNumberFormat="1" applyFont="1" applyFill="1" applyAlignment="1">
      <alignment horizontal="right"/>
    </xf>
    <xf numFmtId="0" fontId="77" fillId="20" borderId="0" xfId="0" applyNumberFormat="1" applyFont="1" applyFill="1"/>
    <xf numFmtId="0" fontId="1" fillId="20" borderId="0" xfId="0" applyNumberFormat="1" applyFont="1" applyFill="1"/>
    <xf numFmtId="187" fontId="75" fillId="10" borderId="0" xfId="0" applyNumberFormat="1" applyFont="1" applyFill="1"/>
    <xf numFmtId="176" fontId="75" fillId="8" borderId="0" xfId="3" applyNumberFormat="1" applyFont="1" applyFill="1" applyAlignment="1">
      <alignment horizontal="right"/>
    </xf>
    <xf numFmtId="43" fontId="75" fillId="8" borderId="0" xfId="3" applyFont="1" applyFill="1"/>
    <xf numFmtId="43" fontId="75" fillId="8" borderId="0" xfId="3" applyNumberFormat="1" applyFont="1" applyFill="1"/>
    <xf numFmtId="43" fontId="75" fillId="10" borderId="5" xfId="3" applyFont="1" applyFill="1" applyBorder="1"/>
    <xf numFmtId="43" fontId="75" fillId="10" borderId="0" xfId="3" applyFont="1" applyFill="1"/>
    <xf numFmtId="49" fontId="75" fillId="10" borderId="0" xfId="0" applyNumberFormat="1" applyFont="1" applyFill="1" applyAlignment="1">
      <alignment horizontal="center"/>
    </xf>
    <xf numFmtId="0" fontId="0" fillId="0" borderId="5" xfId="0" applyBorder="1" applyAlignment="1">
      <alignment horizontal="center"/>
    </xf>
    <xf numFmtId="14" fontId="0" fillId="0" borderId="0" xfId="0" applyNumberFormat="1"/>
    <xf numFmtId="8" fontId="0" fillId="0" borderId="0" xfId="0" applyNumberFormat="1"/>
    <xf numFmtId="43" fontId="75" fillId="0" borderId="0" xfId="0" applyNumberFormat="1" applyFont="1"/>
    <xf numFmtId="43" fontId="75" fillId="10" borderId="0" xfId="0" applyNumberFormat="1" applyFont="1" applyFill="1"/>
    <xf numFmtId="43" fontId="75" fillId="10" borderId="5" xfId="0" applyNumberFormat="1" applyFont="1" applyFill="1" applyBorder="1"/>
    <xf numFmtId="49" fontId="75" fillId="0" borderId="0" xfId="0" applyNumberFormat="1" applyFont="1" applyFill="1" applyAlignment="1">
      <alignment horizontal="center"/>
    </xf>
    <xf numFmtId="0" fontId="75" fillId="0" borderId="0" xfId="0" applyNumberFormat="1" applyFont="1" applyFill="1" applyAlignment="1">
      <alignment horizontal="center"/>
    </xf>
    <xf numFmtId="176" fontId="75" fillId="16" borderId="0" xfId="3" applyNumberFormat="1" applyFont="1" applyFill="1"/>
    <xf numFmtId="187" fontId="75" fillId="16" borderId="0" xfId="0" applyNumberFormat="1" applyFont="1" applyFill="1"/>
    <xf numFmtId="43" fontId="75" fillId="16" borderId="0" xfId="3" applyFont="1" applyFill="1"/>
    <xf numFmtId="176" fontId="75" fillId="8" borderId="0" xfId="3" applyNumberFormat="1" applyFont="1" applyFill="1"/>
    <xf numFmtId="177" fontId="75" fillId="0" borderId="0" xfId="0" applyNumberFormat="1" applyFont="1"/>
    <xf numFmtId="43" fontId="75" fillId="16" borderId="5" xfId="3" applyFont="1" applyFill="1" applyBorder="1"/>
    <xf numFmtId="43" fontId="75" fillId="8" borderId="5" xfId="3" applyFont="1" applyFill="1" applyBorder="1"/>
    <xf numFmtId="0" fontId="95" fillId="0" borderId="0" xfId="0" applyNumberFormat="1" applyFont="1"/>
    <xf numFmtId="43" fontId="75" fillId="16" borderId="0" xfId="0" applyNumberFormat="1" applyFont="1" applyFill="1"/>
    <xf numFmtId="43" fontId="75" fillId="12" borderId="0" xfId="3" applyFont="1" applyFill="1"/>
    <xf numFmtId="49" fontId="78" fillId="76" borderId="4" xfId="0" applyNumberFormat="1" applyFont="1" applyFill="1" applyBorder="1" applyAlignment="1">
      <alignment horizontal="left" vertical="center" wrapText="1" indent="1"/>
    </xf>
    <xf numFmtId="43" fontId="78" fillId="6" borderId="4" xfId="3" applyFont="1" applyFill="1" applyBorder="1" applyAlignment="1">
      <alignment horizontal="right" vertical="center" wrapText="1"/>
    </xf>
    <xf numFmtId="43" fontId="78" fillId="7" borderId="4" xfId="3" applyFont="1" applyFill="1" applyBorder="1" applyAlignment="1">
      <alignment horizontal="right" vertical="center" wrapText="1"/>
    </xf>
    <xf numFmtId="0" fontId="8" fillId="78" borderId="0" xfId="0" applyFont="1" applyFill="1"/>
    <xf numFmtId="168" fontId="8" fillId="78" borderId="0" xfId="0" applyNumberFormat="1" applyFont="1" applyFill="1"/>
    <xf numFmtId="0" fontId="8" fillId="78" borderId="0" xfId="0" applyFont="1" applyFill="1" applyAlignment="1">
      <alignment horizontal="center"/>
    </xf>
    <xf numFmtId="164" fontId="8" fillId="78" borderId="0" xfId="3" applyNumberFormat="1" applyFont="1" applyFill="1"/>
    <xf numFmtId="44" fontId="8" fillId="78" borderId="0" xfId="0" applyNumberFormat="1" applyFont="1" applyFill="1"/>
    <xf numFmtId="0" fontId="0" fillId="78" borderId="0" xfId="0" applyFill="1"/>
    <xf numFmtId="2" fontId="8" fillId="78" borderId="0" xfId="0" applyNumberFormat="1" applyFont="1" applyFill="1"/>
    <xf numFmtId="49" fontId="79" fillId="6" borderId="0" xfId="0" applyNumberFormat="1" applyFont="1" applyFill="1" applyAlignment="1"/>
    <xf numFmtId="0" fontId="0" fillId="0" borderId="0" xfId="0" applyAlignment="1"/>
    <xf numFmtId="0" fontId="8" fillId="0" borderId="0" xfId="0" applyFont="1" applyAlignment="1"/>
    <xf numFmtId="49" fontId="80" fillId="6" borderId="0" xfId="0" applyNumberFormat="1" applyFont="1" applyFill="1" applyAlignment="1"/>
    <xf numFmtId="43" fontId="78" fillId="5" borderId="4" xfId="3" applyFont="1" applyFill="1" applyBorder="1" applyAlignment="1">
      <alignment horizontal="left" vertical="center" wrapText="1"/>
    </xf>
    <xf numFmtId="43" fontId="0" fillId="0" borderId="0" xfId="3" applyFont="1"/>
    <xf numFmtId="43" fontId="78" fillId="80" borderId="4" xfId="3" applyFont="1" applyFill="1" applyBorder="1" applyAlignment="1">
      <alignment horizontal="left" vertical="center" wrapText="1"/>
    </xf>
    <xf numFmtId="43" fontId="78" fillId="18" borderId="4" xfId="3" applyFont="1" applyFill="1" applyBorder="1" applyAlignment="1">
      <alignment horizontal="left" vertical="center" wrapText="1"/>
    </xf>
    <xf numFmtId="43" fontId="78" fillId="17" borderId="4" xfId="3" applyFont="1" applyFill="1" applyBorder="1" applyAlignment="1">
      <alignment horizontal="left" vertical="center" wrapText="1"/>
    </xf>
    <xf numFmtId="43" fontId="78" fillId="5" borderId="4" xfId="3" applyFont="1" applyFill="1" applyBorder="1" applyAlignment="1">
      <alignment horizontal="right" vertical="center" wrapText="1"/>
    </xf>
    <xf numFmtId="43" fontId="78" fillId="79" borderId="4" xfId="3" applyFont="1" applyFill="1" applyBorder="1" applyAlignment="1">
      <alignment horizontal="left" vertical="center" wrapText="1"/>
    </xf>
    <xf numFmtId="187" fontId="75" fillId="17" borderId="0" xfId="0" applyNumberFormat="1" applyFont="1" applyFill="1"/>
    <xf numFmtId="43" fontId="75" fillId="17" borderId="0" xfId="3" applyFont="1" applyFill="1"/>
    <xf numFmtId="164" fontId="75" fillId="17" borderId="0" xfId="3" applyNumberFormat="1" applyFont="1" applyFill="1"/>
    <xf numFmtId="43" fontId="75" fillId="17" borderId="5" xfId="3" applyFont="1" applyFill="1" applyBorder="1"/>
    <xf numFmtId="43" fontId="75" fillId="17" borderId="0" xfId="3" applyNumberFormat="1" applyFont="1" applyFill="1"/>
    <xf numFmtId="0" fontId="0" fillId="10" borderId="0" xfId="0" applyFill="1"/>
    <xf numFmtId="0" fontId="0" fillId="0" borderId="0" xfId="0" applyFill="1" applyBorder="1"/>
    <xf numFmtId="164" fontId="75" fillId="16" borderId="0" xfId="0" applyNumberFormat="1" applyFont="1" applyFill="1"/>
    <xf numFmtId="43" fontId="77" fillId="10" borderId="0" xfId="3" applyFont="1" applyFill="1"/>
    <xf numFmtId="0" fontId="75" fillId="8" borderId="0" xfId="3" applyNumberFormat="1" applyFont="1" applyFill="1"/>
    <xf numFmtId="43" fontId="75" fillId="15" borderId="0" xfId="3" applyFont="1" applyFill="1"/>
    <xf numFmtId="43" fontId="75" fillId="8" borderId="0" xfId="3" applyFont="1" applyFill="1" applyBorder="1"/>
    <xf numFmtId="43" fontId="75" fillId="15" borderId="5" xfId="3" applyFont="1" applyFill="1" applyBorder="1"/>
    <xf numFmtId="43" fontId="75" fillId="20" borderId="0" xfId="3" applyFont="1" applyFill="1"/>
    <xf numFmtId="43" fontId="75" fillId="9" borderId="0" xfId="3" applyFont="1" applyFill="1"/>
    <xf numFmtId="43" fontId="75" fillId="9" borderId="0" xfId="3" applyFont="1" applyFill="1" applyBorder="1"/>
    <xf numFmtId="0" fontId="75" fillId="15" borderId="0" xfId="0" applyNumberFormat="1" applyFont="1" applyFill="1" applyBorder="1"/>
    <xf numFmtId="43" fontId="75" fillId="15" borderId="0" xfId="3" applyFont="1" applyFill="1" applyBorder="1"/>
    <xf numFmtId="0" fontId="3" fillId="9" borderId="0" xfId="0" applyNumberFormat="1" applyFont="1" applyFill="1"/>
    <xf numFmtId="0" fontId="75" fillId="8" borderId="5" xfId="3" applyNumberFormat="1" applyFont="1" applyFill="1" applyBorder="1"/>
    <xf numFmtId="164" fontId="75" fillId="15" borderId="0" xfId="3" applyNumberFormat="1" applyFont="1" applyFill="1"/>
    <xf numFmtId="0" fontId="8" fillId="14" borderId="0" xfId="0" applyFont="1" applyFill="1" applyAlignment="1">
      <alignment horizontal="center"/>
    </xf>
    <xf numFmtId="0" fontId="95" fillId="0" borderId="0" xfId="848" applyFont="1" applyBorder="1"/>
    <xf numFmtId="178" fontId="95" fillId="0" borderId="0" xfId="848" quotePrefix="1" applyNumberFormat="1" applyFont="1" applyAlignment="1" applyProtection="1">
      <alignment horizontal="right"/>
    </xf>
    <xf numFmtId="43" fontId="78" fillId="8" borderId="4" xfId="3" applyFont="1" applyFill="1" applyBorder="1" applyAlignment="1">
      <alignment horizontal="center" vertical="center" wrapText="1"/>
    </xf>
    <xf numFmtId="43" fontId="78" fillId="8" borderId="4" xfId="3" applyFont="1" applyFill="1" applyBorder="1" applyAlignment="1">
      <alignment horizontal="right" vertical="center" wrapText="1"/>
    </xf>
    <xf numFmtId="43" fontId="0" fillId="8" borderId="0" xfId="3" applyFont="1" applyFill="1"/>
    <xf numFmtId="164" fontId="72" fillId="4" borderId="0" xfId="1" applyNumberFormat="1" applyFont="1" applyFill="1" applyBorder="1" applyAlignment="1" applyProtection="1">
      <alignment horizontal="left"/>
    </xf>
    <xf numFmtId="164" fontId="72" fillId="4" borderId="0" xfId="1" applyNumberFormat="1" applyFont="1" applyFill="1" applyBorder="1" applyAlignment="1" applyProtection="1">
      <alignment horizontal="center"/>
    </xf>
    <xf numFmtId="164" fontId="97" fillId="0" borderId="0" xfId="1" applyNumberFormat="1" applyFont="1" applyAlignment="1" applyProtection="1">
      <alignment horizontal="left"/>
    </xf>
    <xf numFmtId="0" fontId="10" fillId="0" borderId="5" xfId="0" applyFont="1" applyFill="1" applyBorder="1"/>
    <xf numFmtId="0" fontId="8" fillId="0" borderId="5" xfId="0" applyFont="1" applyFill="1" applyBorder="1"/>
    <xf numFmtId="0" fontId="10" fillId="0" borderId="0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right"/>
    </xf>
    <xf numFmtId="0" fontId="8" fillId="0" borderId="5" xfId="0" quotePrefix="1" applyFont="1" applyFill="1" applyBorder="1" applyAlignment="1">
      <alignment horizontal="right"/>
    </xf>
    <xf numFmtId="0" fontId="82" fillId="0" borderId="0" xfId="0" applyFont="1" applyFill="1" applyAlignment="1">
      <alignment horizontal="center"/>
    </xf>
    <xf numFmtId="0" fontId="8" fillId="0" borderId="0" xfId="0" quotePrefix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3" fillId="0" borderId="0" xfId="0" applyFont="1" applyFill="1" applyAlignment="1">
      <alignment horizontal="center"/>
    </xf>
    <xf numFmtId="17" fontId="8" fillId="0" borderId="0" xfId="0" applyNumberFormat="1" applyFont="1" applyFill="1"/>
    <xf numFmtId="173" fontId="9" fillId="0" borderId="0" xfId="0" applyNumberFormat="1" applyFont="1" applyFill="1" applyAlignment="1">
      <alignment horizontal="center"/>
    </xf>
    <xf numFmtId="180" fontId="67" fillId="0" borderId="0" xfId="13" applyNumberFormat="1" applyFont="1" applyFill="1" applyProtection="1"/>
    <xf numFmtId="8" fontId="8" fillId="0" borderId="0" xfId="0" applyNumberFormat="1" applyFont="1" applyFill="1"/>
    <xf numFmtId="172" fontId="8" fillId="0" borderId="0" xfId="0" applyNumberFormat="1" applyFont="1" applyFill="1"/>
    <xf numFmtId="0" fontId="98" fillId="0" borderId="0" xfId="15" applyFont="1" applyFill="1"/>
    <xf numFmtId="0" fontId="0" fillId="0" borderId="43" xfId="0" applyFont="1" applyFill="1" applyBorder="1" applyAlignment="1">
      <alignment horizontal="center"/>
    </xf>
    <xf numFmtId="0" fontId="0" fillId="0" borderId="44" xfId="0" applyFont="1" applyFill="1" applyBorder="1" applyAlignment="1">
      <alignment horizontal="center"/>
    </xf>
    <xf numFmtId="0" fontId="0" fillId="0" borderId="0" xfId="0" applyFill="1" applyAlignment="1">
      <alignment wrapText="1"/>
    </xf>
    <xf numFmtId="0" fontId="0" fillId="0" borderId="0" xfId="2" applyFont="1" applyFill="1" applyAlignment="1">
      <alignment horizontal="center" wrapText="1"/>
    </xf>
    <xf numFmtId="0" fontId="0" fillId="0" borderId="0" xfId="2" applyFont="1" applyFill="1" applyAlignment="1">
      <alignment wrapText="1"/>
    </xf>
    <xf numFmtId="0" fontId="0" fillId="0" borderId="0" xfId="0" applyFill="1" applyAlignment="1">
      <alignment horizontal="center" wrapText="1"/>
    </xf>
    <xf numFmtId="0" fontId="5" fillId="0" borderId="0" xfId="2" applyFill="1"/>
    <xf numFmtId="2" fontId="0" fillId="0" borderId="0" xfId="0" applyNumberFormat="1" applyFill="1"/>
    <xf numFmtId="169" fontId="0" fillId="0" borderId="0" xfId="0" applyNumberFormat="1" applyFill="1"/>
    <xf numFmtId="167" fontId="13" fillId="0" borderId="0" xfId="4" applyNumberFormat="1" applyFont="1" applyFill="1"/>
    <xf numFmtId="176" fontId="13" fillId="0" borderId="5" xfId="848" applyNumberFormat="1" applyFont="1" applyFill="1" applyBorder="1"/>
    <xf numFmtId="176" fontId="13" fillId="0" borderId="0" xfId="1" applyNumberFormat="1" applyFont="1" applyFill="1"/>
    <xf numFmtId="176" fontId="13" fillId="0" borderId="0" xfId="848" applyNumberFormat="1" applyFont="1" applyFill="1"/>
    <xf numFmtId="176" fontId="72" fillId="0" borderId="5" xfId="1" applyNumberFormat="1" applyFont="1" applyFill="1" applyBorder="1" applyAlignment="1">
      <alignment horizontal="right"/>
    </xf>
    <xf numFmtId="43" fontId="96" fillId="10" borderId="0" xfId="852" applyNumberFormat="1" applyFill="1"/>
    <xf numFmtId="180" fontId="9" fillId="0" borderId="0" xfId="0" applyNumberFormat="1" applyFont="1" applyFill="1" applyAlignment="1">
      <alignment horizontal="center"/>
    </xf>
    <xf numFmtId="0" fontId="99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187" fontId="25" fillId="0" borderId="5" xfId="15" applyNumberFormat="1" applyFont="1" applyFill="1" applyBorder="1"/>
    <xf numFmtId="167" fontId="90" fillId="0" borderId="0" xfId="0" applyNumberFormat="1" applyFont="1" applyFill="1"/>
    <xf numFmtId="164" fontId="25" fillId="0" borderId="14" xfId="3" applyNumberFormat="1" applyFont="1" applyFill="1" applyBorder="1"/>
    <xf numFmtId="164" fontId="25" fillId="0" borderId="16" xfId="3" applyNumberFormat="1" applyFont="1" applyFill="1" applyBorder="1"/>
    <xf numFmtId="189" fontId="25" fillId="0" borderId="0" xfId="1" applyNumberFormat="1" applyFont="1" applyFill="1" applyBorder="1"/>
    <xf numFmtId="176" fontId="25" fillId="0" borderId="7" xfId="1" applyNumberFormat="1" applyFont="1" applyFill="1" applyBorder="1"/>
    <xf numFmtId="176" fontId="25" fillId="0" borderId="0" xfId="15" applyNumberFormat="1" applyFont="1" applyFill="1"/>
    <xf numFmtId="176" fontId="25" fillId="0" borderId="5" xfId="15" applyNumberFormat="1" applyFont="1" applyFill="1" applyBorder="1"/>
    <xf numFmtId="0" fontId="0" fillId="0" borderId="0" xfId="0" applyFill="1" applyAlignment="1">
      <alignment horizontal="right"/>
    </xf>
    <xf numFmtId="0" fontId="25" fillId="0" borderId="0" xfId="12" applyFont="1" applyFill="1"/>
    <xf numFmtId="0" fontId="72" fillId="10" borderId="0" xfId="848" applyFont="1" applyFill="1"/>
    <xf numFmtId="43" fontId="72" fillId="10" borderId="0" xfId="1" applyFont="1" applyFill="1" applyBorder="1" applyAlignment="1">
      <alignment horizontal="center"/>
    </xf>
    <xf numFmtId="168" fontId="72" fillId="10" borderId="5" xfId="1" quotePrefix="1" applyNumberFormat="1" applyFont="1" applyFill="1" applyBorder="1" applyAlignment="1">
      <alignment horizontal="center"/>
    </xf>
    <xf numFmtId="168" fontId="72" fillId="10" borderId="5" xfId="1" applyNumberFormat="1" applyFont="1" applyFill="1" applyBorder="1" applyAlignment="1">
      <alignment horizontal="center"/>
    </xf>
    <xf numFmtId="42" fontId="72" fillId="10" borderId="0" xfId="848" applyNumberFormat="1" applyFont="1" applyFill="1"/>
    <xf numFmtId="42" fontId="72" fillId="10" borderId="0" xfId="4" applyNumberFormat="1" applyFont="1" applyFill="1"/>
    <xf numFmtId="42" fontId="72" fillId="10" borderId="0" xfId="4" applyNumberFormat="1" applyFont="1" applyFill="1" applyBorder="1"/>
    <xf numFmtId="42" fontId="0" fillId="0" borderId="0" xfId="0" applyNumberFormat="1" applyBorder="1"/>
    <xf numFmtId="167" fontId="72" fillId="0" borderId="0" xfId="848" applyNumberFormat="1" applyFont="1" applyBorder="1"/>
    <xf numFmtId="42" fontId="72" fillId="10" borderId="13" xfId="4" applyNumberFormat="1" applyFont="1" applyFill="1" applyBorder="1"/>
    <xf numFmtId="42" fontId="72" fillId="10" borderId="13" xfId="848" applyNumberFormat="1" applyFont="1" applyFill="1" applyBorder="1"/>
    <xf numFmtId="167" fontId="72" fillId="10" borderId="5" xfId="848" applyNumberFormat="1" applyFont="1" applyFill="1" applyBorder="1"/>
    <xf numFmtId="167" fontId="72" fillId="10" borderId="0" xfId="848" applyNumberFormat="1" applyFont="1" applyFill="1" applyBorder="1"/>
    <xf numFmtId="167" fontId="72" fillId="10" borderId="13" xfId="848" applyNumberFormat="1" applyFont="1" applyFill="1" applyBorder="1"/>
    <xf numFmtId="164" fontId="72" fillId="10" borderId="13" xfId="848" applyNumberFormat="1" applyFont="1" applyFill="1" applyBorder="1"/>
    <xf numFmtId="167" fontId="72" fillId="10" borderId="0" xfId="848" applyNumberFormat="1" applyFont="1" applyFill="1"/>
    <xf numFmtId="1" fontId="8" fillId="78" borderId="0" xfId="0" applyNumberFormat="1" applyFont="1" applyFill="1"/>
    <xf numFmtId="164" fontId="73" fillId="0" borderId="0" xfId="1" applyNumberFormat="1" applyFont="1" applyAlignment="1">
      <alignment horizontal="center"/>
    </xf>
    <xf numFmtId="178" fontId="72" fillId="4" borderId="5" xfId="848" applyNumberFormat="1" applyFont="1" applyFill="1" applyBorder="1" applyAlignment="1" applyProtection="1">
      <alignment horizontal="left"/>
    </xf>
    <xf numFmtId="164" fontId="72" fillId="19" borderId="5" xfId="1" applyNumberFormat="1" applyFont="1" applyFill="1" applyBorder="1" applyAlignment="1" applyProtection="1">
      <alignment horizontal="right"/>
    </xf>
    <xf numFmtId="164" fontId="72" fillId="0" borderId="5" xfId="1" applyNumberFormat="1" applyFont="1" applyFill="1" applyBorder="1" applyAlignment="1" applyProtection="1">
      <alignment horizontal="center"/>
    </xf>
    <xf numFmtId="164" fontId="72" fillId="19" borderId="0" xfId="1" applyNumberFormat="1" applyFont="1" applyFill="1" applyBorder="1" applyAlignment="1" applyProtection="1">
      <alignment horizontal="center"/>
    </xf>
    <xf numFmtId="164" fontId="72" fillId="0" borderId="5" xfId="1" applyNumberFormat="1" applyFont="1" applyBorder="1" applyAlignment="1">
      <alignment horizontal="center"/>
    </xf>
    <xf numFmtId="176" fontId="72" fillId="0" borderId="0" xfId="1" applyNumberFormat="1" applyFont="1" applyFill="1"/>
    <xf numFmtId="190" fontId="67" fillId="0" borderId="0" xfId="13" applyNumberFormat="1" applyFont="1" applyFill="1" applyProtection="1"/>
    <xf numFmtId="176" fontId="72" fillId="0" borderId="5" xfId="1" applyNumberFormat="1" applyFont="1" applyBorder="1" applyAlignment="1">
      <alignment horizontal="center"/>
    </xf>
    <xf numFmtId="42" fontId="72" fillId="10" borderId="5" xfId="4" applyNumberFormat="1" applyFont="1" applyFill="1" applyBorder="1"/>
    <xf numFmtId="178" fontId="95" fillId="0" borderId="0" xfId="848" applyNumberFormat="1" applyFont="1" applyAlignment="1" applyProtection="1">
      <alignment horizontal="right"/>
    </xf>
    <xf numFmtId="0" fontId="95" fillId="0" borderId="0" xfId="848" quotePrefix="1" applyFont="1" applyAlignment="1">
      <alignment horizontal="right"/>
    </xf>
    <xf numFmtId="164" fontId="95" fillId="19" borderId="5" xfId="1" applyNumberFormat="1" applyFont="1" applyFill="1" applyBorder="1" applyAlignment="1" applyProtection="1">
      <alignment horizontal="left"/>
    </xf>
    <xf numFmtId="164" fontId="25" fillId="0" borderId="5" xfId="1" quotePrefix="1" applyNumberFormat="1" applyFont="1" applyFill="1" applyBorder="1" applyAlignment="1">
      <alignment horizontal="center"/>
    </xf>
    <xf numFmtId="164" fontId="25" fillId="0" borderId="0" xfId="1" applyNumberFormat="1" applyFont="1" applyFill="1" applyBorder="1" applyAlignment="1">
      <alignment horizontal="center"/>
    </xf>
    <xf numFmtId="176" fontId="8" fillId="0" borderId="0" xfId="3" applyNumberFormat="1" applyFont="1"/>
    <xf numFmtId="164" fontId="8" fillId="0" borderId="0" xfId="3" applyNumberFormat="1" applyFont="1"/>
    <xf numFmtId="0" fontId="3" fillId="0" borderId="0" xfId="5" applyBorder="1"/>
    <xf numFmtId="0" fontId="8" fillId="0" borderId="0" xfId="0" quotePrefix="1" applyFont="1"/>
    <xf numFmtId="0" fontId="20" fillId="20" borderId="0" xfId="0" quotePrefix="1" applyNumberFormat="1" applyFont="1" applyFill="1" applyAlignment="1">
      <alignment horizontal="right"/>
    </xf>
    <xf numFmtId="43" fontId="75" fillId="20" borderId="0" xfId="0" applyNumberFormat="1" applyFont="1" applyFill="1"/>
    <xf numFmtId="0" fontId="100" fillId="0" borderId="0" xfId="0" applyNumberFormat="1" applyFont="1" applyAlignment="1">
      <alignment horizontal="center"/>
    </xf>
    <xf numFmtId="164" fontId="75" fillId="18" borderId="0" xfId="3" applyNumberFormat="1" applyFont="1" applyFill="1"/>
    <xf numFmtId="37" fontId="75" fillId="16" borderId="0" xfId="0" applyNumberFormat="1" applyFont="1" applyFill="1"/>
    <xf numFmtId="164" fontId="95" fillId="0" borderId="0" xfId="1" applyNumberFormat="1" applyFont="1" applyBorder="1"/>
    <xf numFmtId="164" fontId="72" fillId="0" borderId="5" xfId="1" applyNumberFormat="1" applyFont="1" applyBorder="1"/>
    <xf numFmtId="44" fontId="8" fillId="14" borderId="0" xfId="4" applyNumberFormat="1" applyFont="1" applyFill="1"/>
    <xf numFmtId="171" fontId="8" fillId="13" borderId="0" xfId="3" applyNumberFormat="1" applyFont="1" applyFill="1"/>
    <xf numFmtId="37" fontId="8" fillId="15" borderId="0" xfId="0" applyNumberFormat="1" applyFont="1" applyFill="1"/>
    <xf numFmtId="37" fontId="8" fillId="78" borderId="0" xfId="0" applyNumberFormat="1" applyFont="1" applyFill="1"/>
    <xf numFmtId="0" fontId="14" fillId="0" borderId="0" xfId="847" applyFont="1" applyFill="1" applyBorder="1"/>
    <xf numFmtId="164" fontId="13" fillId="0" borderId="0" xfId="846" applyNumberFormat="1" applyFont="1" applyFill="1" applyBorder="1"/>
    <xf numFmtId="176" fontId="72" fillId="0" borderId="0" xfId="1" applyNumberFormat="1" applyFont="1" applyBorder="1" applyAlignment="1" applyProtection="1">
      <alignment horizontal="left"/>
    </xf>
    <xf numFmtId="0" fontId="8" fillId="10" borderId="0" xfId="0" applyFont="1" applyFill="1"/>
    <xf numFmtId="0" fontId="8" fillId="10" borderId="0" xfId="0" applyFont="1" applyFill="1" applyAlignment="1">
      <alignment horizontal="center"/>
    </xf>
    <xf numFmtId="164" fontId="8" fillId="10" borderId="0" xfId="3" applyNumberFormat="1" applyFont="1" applyFill="1"/>
    <xf numFmtId="44" fontId="8" fillId="10" borderId="0" xfId="4" applyFont="1" applyFill="1"/>
    <xf numFmtId="170" fontId="8" fillId="10" borderId="0" xfId="4" applyNumberFormat="1" applyFont="1" applyFill="1"/>
    <xf numFmtId="44" fontId="8" fillId="10" borderId="0" xfId="4" applyNumberFormat="1" applyFont="1" applyFill="1"/>
    <xf numFmtId="44" fontId="8" fillId="10" borderId="0" xfId="0" applyNumberFormat="1" applyFont="1" applyFill="1"/>
    <xf numFmtId="41" fontId="8" fillId="10" borderId="0" xfId="0" applyNumberFormat="1" applyFont="1" applyFill="1"/>
    <xf numFmtId="171" fontId="0" fillId="10" borderId="0" xfId="9" applyNumberFormat="1" applyFont="1" applyFill="1"/>
    <xf numFmtId="176" fontId="8" fillId="10" borderId="0" xfId="3" applyNumberFormat="1" applyFont="1" applyFill="1"/>
    <xf numFmtId="43" fontId="75" fillId="10" borderId="0" xfId="3" applyNumberFormat="1" applyFont="1" applyFill="1"/>
    <xf numFmtId="164" fontId="75" fillId="10" borderId="0" xfId="3" applyNumberFormat="1" applyFont="1" applyFill="1"/>
    <xf numFmtId="164" fontId="75" fillId="10" borderId="0" xfId="0" applyNumberFormat="1" applyFont="1" applyFill="1"/>
    <xf numFmtId="164" fontId="0" fillId="10" borderId="0" xfId="0" applyNumberFormat="1" applyFill="1"/>
    <xf numFmtId="164" fontId="72" fillId="4" borderId="5" xfId="1" applyNumberFormat="1" applyFont="1" applyFill="1" applyBorder="1" applyAlignment="1">
      <alignment horizontal="center"/>
    </xf>
    <xf numFmtId="164" fontId="72" fillId="4" borderId="0" xfId="3" applyNumberFormat="1" applyFont="1" applyFill="1" applyAlignment="1" applyProtection="1">
      <alignment horizontal="left"/>
    </xf>
    <xf numFmtId="191" fontId="72" fillId="4" borderId="5" xfId="1" applyNumberFormat="1" applyFont="1" applyFill="1" applyBorder="1" applyAlignment="1">
      <alignment horizontal="right"/>
    </xf>
    <xf numFmtId="191" fontId="72" fillId="0" borderId="0" xfId="1" applyNumberFormat="1" applyFont="1" applyAlignment="1" applyProtection="1">
      <alignment horizontal="right"/>
    </xf>
    <xf numFmtId="191" fontId="72" fillId="19" borderId="5" xfId="1" applyNumberFormat="1" applyFont="1" applyFill="1" applyBorder="1" applyAlignment="1" applyProtection="1">
      <alignment horizontal="right"/>
    </xf>
    <xf numFmtId="191" fontId="72" fillId="19" borderId="0" xfId="1" applyNumberFormat="1" applyFont="1" applyFill="1" applyAlignment="1">
      <alignment horizontal="right"/>
    </xf>
    <xf numFmtId="191" fontId="72" fillId="4" borderId="0" xfId="849" applyNumberFormat="1" applyFont="1" applyFill="1"/>
    <xf numFmtId="192" fontId="0" fillId="0" borderId="0" xfId="0" applyNumberFormat="1" applyFont="1" applyFill="1" applyAlignment="1">
      <alignment horizontal="right"/>
    </xf>
    <xf numFmtId="191" fontId="72" fillId="4" borderId="5" xfId="849" applyNumberFormat="1" applyFont="1" applyFill="1" applyBorder="1"/>
    <xf numFmtId="167" fontId="8" fillId="10" borderId="0" xfId="0" applyNumberFormat="1" applyFont="1" applyFill="1"/>
    <xf numFmtId="191" fontId="75" fillId="0" borderId="0" xfId="0" applyNumberFormat="1" applyFont="1"/>
    <xf numFmtId="164" fontId="75" fillId="20" borderId="0" xfId="3" applyNumberFormat="1" applyFont="1" applyFill="1"/>
    <xf numFmtId="164" fontId="25" fillId="0" borderId="7" xfId="12" applyNumberFormat="1" applyFont="1" applyFill="1" applyBorder="1"/>
    <xf numFmtId="49" fontId="24" fillId="0" borderId="5" xfId="11" quotePrefix="1" applyNumberFormat="1" applyFont="1" applyFill="1" applyBorder="1" applyAlignment="1">
      <alignment horizontal="center"/>
    </xf>
    <xf numFmtId="14" fontId="24" fillId="0" borderId="5" xfId="11" quotePrefix="1" applyNumberFormat="1" applyFont="1" applyFill="1" applyBorder="1" applyAlignment="1">
      <alignment horizontal="center"/>
    </xf>
    <xf numFmtId="167" fontId="25" fillId="0" borderId="0" xfId="12" applyNumberFormat="1" applyFont="1"/>
    <xf numFmtId="176" fontId="75" fillId="0" borderId="0" xfId="0" applyNumberFormat="1" applyFont="1"/>
    <xf numFmtId="0" fontId="8" fillId="81" borderId="0" xfId="0" applyFont="1" applyFill="1"/>
    <xf numFmtId="38" fontId="9" fillId="81" borderId="0" xfId="0" applyNumberFormat="1" applyFont="1" applyFill="1" applyAlignment="1">
      <alignment horizontal="center" wrapText="1"/>
    </xf>
    <xf numFmtId="41" fontId="9" fillId="81" borderId="0" xfId="0" applyNumberFormat="1" applyFont="1" applyFill="1" applyAlignment="1">
      <alignment horizontal="center" wrapText="1"/>
    </xf>
    <xf numFmtId="41" fontId="9" fillId="81" borderId="0" xfId="0" quotePrefix="1" applyNumberFormat="1" applyFont="1" applyFill="1" applyBorder="1" applyAlignment="1">
      <alignment horizontal="center" wrapText="1"/>
    </xf>
    <xf numFmtId="41" fontId="9" fillId="81" borderId="0" xfId="0" applyNumberFormat="1" applyFont="1" applyFill="1" applyBorder="1" applyAlignment="1">
      <alignment horizontal="center" wrapText="1"/>
    </xf>
    <xf numFmtId="41" fontId="10" fillId="81" borderId="0" xfId="0" applyNumberFormat="1" applyFont="1" applyFill="1" applyBorder="1" applyAlignment="1">
      <alignment horizontal="center" wrapText="1"/>
    </xf>
    <xf numFmtId="43" fontId="9" fillId="81" borderId="0" xfId="3" applyFont="1" applyFill="1" applyBorder="1" applyAlignment="1">
      <alignment horizontal="center"/>
    </xf>
    <xf numFmtId="43" fontId="9" fillId="81" borderId="0" xfId="3" quotePrefix="1" applyFont="1" applyFill="1" applyBorder="1" applyAlignment="1">
      <alignment horizontal="center" wrapText="1"/>
    </xf>
    <xf numFmtId="43" fontId="9" fillId="81" borderId="0" xfId="3" applyFont="1" applyFill="1" applyBorder="1" applyAlignment="1">
      <alignment horizontal="center" wrapText="1"/>
    </xf>
    <xf numFmtId="0" fontId="8" fillId="81" borderId="0" xfId="0" applyFont="1" applyFill="1" applyAlignment="1">
      <alignment horizontal="center"/>
    </xf>
    <xf numFmtId="168" fontId="8" fillId="12" borderId="0" xfId="0" applyNumberFormat="1" applyFont="1" applyFill="1" applyAlignment="1">
      <alignment horizontal="center"/>
    </xf>
    <xf numFmtId="168" fontId="8" fillId="10" borderId="0" xfId="0" applyNumberFormat="1" applyFont="1" applyFill="1" applyAlignment="1">
      <alignment horizontal="center"/>
    </xf>
    <xf numFmtId="0" fontId="0" fillId="10" borderId="0" xfId="0" applyFill="1" applyAlignment="1">
      <alignment horizontal="center"/>
    </xf>
    <xf numFmtId="0" fontId="13" fillId="0" borderId="0" xfId="847" applyFont="1" applyFill="1" applyAlignment="1">
      <alignment horizontal="center"/>
    </xf>
    <xf numFmtId="0" fontId="101" fillId="0" borderId="0" xfId="0" applyFont="1"/>
    <xf numFmtId="164" fontId="25" fillId="0" borderId="0" xfId="3" applyNumberFormat="1" applyFont="1" applyFill="1"/>
    <xf numFmtId="164" fontId="25" fillId="0" borderId="5" xfId="3" applyNumberFormat="1" applyFont="1" applyFill="1" applyBorder="1"/>
    <xf numFmtId="167" fontId="25" fillId="0" borderId="0" xfId="3" applyNumberFormat="1" applyFont="1" applyFill="1"/>
    <xf numFmtId="0" fontId="101" fillId="0" borderId="0" xfId="0" applyFont="1" applyFill="1"/>
    <xf numFmtId="17" fontId="101" fillId="0" borderId="0" xfId="0" applyNumberFormat="1" applyFont="1" applyAlignment="1">
      <alignment horizontal="right"/>
    </xf>
    <xf numFmtId="167" fontId="101" fillId="0" borderId="0" xfId="4" applyNumberFormat="1" applyFont="1"/>
    <xf numFmtId="0" fontId="101" fillId="0" borderId="0" xfId="0" applyFont="1" applyAlignment="1">
      <alignment horizontal="right"/>
    </xf>
    <xf numFmtId="17" fontId="101" fillId="0" borderId="5" xfId="0" applyNumberFormat="1" applyFont="1" applyBorder="1" applyAlignment="1">
      <alignment horizontal="right"/>
    </xf>
    <xf numFmtId="0" fontId="101" fillId="0" borderId="5" xfId="0" applyFont="1" applyBorder="1" applyAlignment="1">
      <alignment horizontal="right"/>
    </xf>
    <xf numFmtId="167" fontId="101" fillId="0" borderId="5" xfId="4" applyNumberFormat="1" applyFont="1" applyBorder="1"/>
    <xf numFmtId="167" fontId="101" fillId="0" borderId="0" xfId="0" applyNumberFormat="1" applyFont="1"/>
    <xf numFmtId="43" fontId="78" fillId="80" borderId="4" xfId="3" applyFont="1" applyFill="1" applyBorder="1" applyAlignment="1">
      <alignment horizontal="right" vertical="center" wrapText="1"/>
    </xf>
    <xf numFmtId="43" fontId="78" fillId="17" borderId="4" xfId="3" applyFont="1" applyFill="1" applyBorder="1" applyAlignment="1">
      <alignment horizontal="right" vertical="center" wrapText="1"/>
    </xf>
    <xf numFmtId="43" fontId="78" fillId="76" borderId="4" xfId="3" applyFont="1" applyFill="1" applyBorder="1" applyAlignment="1">
      <alignment horizontal="left" vertical="center" wrapText="1" indent="1"/>
    </xf>
    <xf numFmtId="43" fontId="78" fillId="76" borderId="4" xfId="3" applyFont="1" applyFill="1" applyBorder="1" applyAlignment="1">
      <alignment horizontal="left" vertical="center" wrapText="1"/>
    </xf>
    <xf numFmtId="43" fontId="78" fillId="77" borderId="4" xfId="3" applyFont="1" applyFill="1" applyBorder="1" applyAlignment="1">
      <alignment horizontal="left" vertical="center" wrapText="1"/>
    </xf>
    <xf numFmtId="0" fontId="70" fillId="0" borderId="0" xfId="0" applyFont="1" applyFill="1"/>
    <xf numFmtId="0" fontId="102" fillId="0" borderId="0" xfId="0" applyFont="1" applyFill="1" applyAlignment="1">
      <alignment horizontal="center"/>
    </xf>
    <xf numFmtId="49" fontId="78" fillId="5" borderId="4" xfId="0" applyNumberFormat="1" applyFont="1" applyFill="1" applyBorder="1" applyAlignment="1">
      <alignment horizontal="left" vertical="center"/>
    </xf>
    <xf numFmtId="49" fontId="78" fillId="0" borderId="2" xfId="0" applyNumberFormat="1" applyFont="1" applyFill="1" applyBorder="1" applyAlignment="1">
      <alignment horizontal="left" vertical="center" wrapText="1"/>
    </xf>
    <xf numFmtId="49" fontId="78" fillId="5" borderId="2" xfId="0" applyNumberFormat="1" applyFont="1" applyFill="1" applyBorder="1" applyAlignment="1">
      <alignment vertical="center"/>
    </xf>
    <xf numFmtId="49" fontId="78" fillId="5" borderId="3" xfId="0" applyNumberFormat="1" applyFont="1" applyFill="1" applyBorder="1" applyAlignment="1">
      <alignment vertical="center"/>
    </xf>
    <xf numFmtId="49" fontId="78" fillId="5" borderId="4" xfId="0" applyNumberFormat="1" applyFont="1" applyFill="1" applyBorder="1" applyAlignment="1">
      <alignment horizontal="right" vertical="center"/>
    </xf>
    <xf numFmtId="49" fontId="102" fillId="5" borderId="4" xfId="0" applyNumberFormat="1" applyFont="1" applyFill="1" applyBorder="1" applyAlignment="1">
      <alignment horizontal="right" vertical="center"/>
    </xf>
    <xf numFmtId="0" fontId="102" fillId="0" borderId="0" xfId="0" applyFont="1" applyAlignment="1"/>
    <xf numFmtId="164" fontId="8" fillId="20" borderId="0" xfId="3" applyNumberFormat="1" applyFont="1" applyFill="1"/>
    <xf numFmtId="44" fontId="8" fillId="20" borderId="0" xfId="0" applyNumberFormat="1" applyFont="1" applyFill="1"/>
    <xf numFmtId="37" fontId="8" fillId="20" borderId="0" xfId="0" applyNumberFormat="1" applyFont="1" applyFill="1"/>
    <xf numFmtId="43" fontId="8" fillId="20" borderId="0" xfId="0" applyNumberFormat="1" applyFont="1" applyFill="1"/>
    <xf numFmtId="43" fontId="8" fillId="20" borderId="0" xfId="3" applyNumberFormat="1" applyFont="1" applyFill="1"/>
    <xf numFmtId="0" fontId="8" fillId="20" borderId="0" xfId="0" applyFont="1" applyFill="1"/>
    <xf numFmtId="49" fontId="81" fillId="6" borderId="0" xfId="0" applyNumberFormat="1" applyFont="1" applyFill="1" applyAlignment="1">
      <alignment wrapText="1"/>
    </xf>
    <xf numFmtId="49" fontId="78" fillId="5" borderId="2" xfId="0" applyNumberFormat="1" applyFont="1" applyFill="1" applyBorder="1" applyAlignment="1">
      <alignment horizontal="left" vertical="center" wrapText="1"/>
    </xf>
    <xf numFmtId="49" fontId="78" fillId="5" borderId="3" xfId="0" applyNumberFormat="1" applyFont="1" applyFill="1" applyBorder="1" applyAlignment="1">
      <alignment horizontal="left" vertical="center" wrapText="1"/>
    </xf>
    <xf numFmtId="169" fontId="75" fillId="10" borderId="0" xfId="0" applyNumberFormat="1" applyFont="1" applyFill="1"/>
    <xf numFmtId="0" fontId="0" fillId="0" borderId="0" xfId="0" applyAlignment="1">
      <alignment horizontal="center"/>
    </xf>
    <xf numFmtId="49" fontId="78" fillId="5" borderId="2" xfId="0" applyNumberFormat="1" applyFont="1" applyFill="1" applyBorder="1" applyAlignment="1">
      <alignment horizontal="left" vertical="center" wrapText="1"/>
    </xf>
    <xf numFmtId="49" fontId="78" fillId="5" borderId="3" xfId="0" applyNumberFormat="1" applyFont="1" applyFill="1" applyBorder="1" applyAlignment="1">
      <alignment horizontal="left" vertical="center" wrapText="1"/>
    </xf>
    <xf numFmtId="1" fontId="75" fillId="16" borderId="0" xfId="0" applyNumberFormat="1" applyFont="1" applyFill="1"/>
    <xf numFmtId="43" fontId="75" fillId="16" borderId="0" xfId="3" applyNumberFormat="1" applyFont="1" applyFill="1"/>
    <xf numFmtId="0" fontId="22" fillId="16" borderId="0" xfId="0" applyNumberFormat="1" applyFont="1" applyFill="1" applyAlignment="1">
      <alignment horizontal="right"/>
    </xf>
    <xf numFmtId="176" fontId="75" fillId="16" borderId="0" xfId="3" applyNumberFormat="1" applyFont="1" applyFill="1" applyAlignment="1">
      <alignment horizontal="right"/>
    </xf>
    <xf numFmtId="183" fontId="75" fillId="16" borderId="0" xfId="0" applyNumberFormat="1" applyFont="1" applyFill="1"/>
    <xf numFmtId="0" fontId="20" fillId="16" borderId="0" xfId="0" applyNumberFormat="1" applyFont="1" applyFill="1" applyAlignment="1">
      <alignment horizontal="center"/>
    </xf>
    <xf numFmtId="0" fontId="20" fillId="16" borderId="0" xfId="0" applyNumberFormat="1" applyFont="1" applyFill="1" applyAlignment="1">
      <alignment horizontal="center" vertical="top"/>
    </xf>
    <xf numFmtId="43" fontId="75" fillId="16" borderId="0" xfId="3" applyFont="1" applyFill="1" applyBorder="1"/>
    <xf numFmtId="43" fontId="75" fillId="8" borderId="5" xfId="3" applyNumberFormat="1" applyFont="1" applyFill="1" applyBorder="1"/>
    <xf numFmtId="0" fontId="17" fillId="10" borderId="0" xfId="0" applyNumberFormat="1" applyFont="1" applyFill="1" applyAlignment="1">
      <alignment horizontal="left"/>
    </xf>
    <xf numFmtId="0" fontId="1" fillId="16" borderId="0" xfId="0" quotePrefix="1" applyNumberFormat="1" applyFont="1" applyFill="1" applyAlignment="1">
      <alignment horizontal="left"/>
    </xf>
    <xf numFmtId="0" fontId="3" fillId="16" borderId="0" xfId="0" quotePrefix="1" applyNumberFormat="1" applyFont="1" applyFill="1" applyAlignment="1">
      <alignment horizontal="left"/>
    </xf>
    <xf numFmtId="187" fontId="75" fillId="15" borderId="0" xfId="0" applyNumberFormat="1" applyFont="1" applyFill="1"/>
    <xf numFmtId="0" fontId="0" fillId="0" borderId="0" xfId="0" quotePrefix="1" applyAlignment="1">
      <alignment horizontal="center"/>
    </xf>
    <xf numFmtId="0" fontId="0" fillId="0" borderId="0" xfId="0" applyBorder="1" applyAlignment="1">
      <alignment horizontal="left"/>
    </xf>
    <xf numFmtId="8" fontId="0" fillId="0" borderId="0" xfId="0" applyNumberFormat="1" applyAlignment="1">
      <alignment horizontal="right"/>
    </xf>
    <xf numFmtId="14" fontId="0" fillId="0" borderId="0" xfId="0" applyNumberFormat="1" applyAlignment="1">
      <alignment horizontal="center"/>
    </xf>
    <xf numFmtId="43" fontId="75" fillId="9" borderId="0" xfId="0" applyNumberFormat="1" applyFont="1" applyFill="1"/>
    <xf numFmtId="0" fontId="1" fillId="9" borderId="0" xfId="0" applyNumberFormat="1" applyFont="1" applyFill="1" applyAlignment="1">
      <alignment horizontal="left"/>
    </xf>
    <xf numFmtId="49" fontId="78" fillId="5" borderId="6" xfId="0" applyNumberFormat="1" applyFont="1" applyFill="1" applyBorder="1" applyAlignment="1">
      <alignment horizontal="left" vertical="center" wrapText="1"/>
    </xf>
    <xf numFmtId="0" fontId="95" fillId="15" borderId="0" xfId="0" applyNumberFormat="1" applyFont="1" applyFill="1"/>
    <xf numFmtId="43" fontId="75" fillId="15" borderId="0" xfId="3" applyNumberFormat="1" applyFont="1" applyFill="1"/>
    <xf numFmtId="169" fontId="75" fillId="16" borderId="0" xfId="0" applyNumberFormat="1" applyFont="1" applyFill="1"/>
    <xf numFmtId="0" fontId="0" fillId="0" borderId="0" xfId="0" applyAlignment="1">
      <alignment horizontal="center"/>
    </xf>
    <xf numFmtId="176" fontId="72" fillId="0" borderId="0" xfId="1" applyNumberFormat="1" applyFont="1" applyFill="1" applyAlignment="1" applyProtection="1">
      <alignment horizontal="center"/>
    </xf>
    <xf numFmtId="164" fontId="72" fillId="0" borderId="0" xfId="1" applyNumberFormat="1" applyFont="1" applyFill="1" applyProtection="1"/>
    <xf numFmtId="176" fontId="72" fillId="0" borderId="0" xfId="1" applyNumberFormat="1" applyFont="1" applyFill="1" applyBorder="1" applyAlignment="1" applyProtection="1">
      <alignment horizontal="left"/>
    </xf>
    <xf numFmtId="164" fontId="86" fillId="0" borderId="0" xfId="1" applyNumberFormat="1" applyFont="1" applyFill="1"/>
    <xf numFmtId="176" fontId="86" fillId="0" borderId="0" xfId="1" applyNumberFormat="1" applyFont="1" applyFill="1"/>
    <xf numFmtId="176" fontId="72" fillId="0" borderId="5" xfId="1" applyNumberFormat="1" applyFont="1" applyFill="1" applyBorder="1" applyAlignment="1">
      <alignment horizontal="center"/>
    </xf>
    <xf numFmtId="164" fontId="72" fillId="0" borderId="5" xfId="1" applyNumberFormat="1" applyFont="1" applyFill="1" applyBorder="1" applyAlignment="1">
      <alignment horizontal="center"/>
    </xf>
    <xf numFmtId="164" fontId="72" fillId="19" borderId="5" xfId="1" applyNumberFormat="1" applyFont="1" applyFill="1" applyBorder="1" applyAlignment="1">
      <alignment horizontal="left"/>
    </xf>
    <xf numFmtId="176" fontId="72" fillId="0" borderId="0" xfId="1" applyNumberFormat="1" applyFont="1" applyFill="1" applyBorder="1" applyAlignment="1">
      <alignment horizontal="right"/>
    </xf>
    <xf numFmtId="176" fontId="88" fillId="0" borderId="0" xfId="1" applyNumberFormat="1" applyFont="1" applyFill="1" applyBorder="1" applyAlignment="1">
      <alignment horizontal="right"/>
    </xf>
    <xf numFmtId="176" fontId="72" fillId="0" borderId="0" xfId="1" applyNumberFormat="1" applyFont="1" applyBorder="1" applyAlignment="1">
      <alignment horizontal="right"/>
    </xf>
    <xf numFmtId="41" fontId="72" fillId="4" borderId="0" xfId="1" applyNumberFormat="1" applyFont="1" applyFill="1" applyBorder="1" applyAlignment="1" applyProtection="1">
      <alignment horizontal="left"/>
    </xf>
    <xf numFmtId="178" fontId="72" fillId="4" borderId="0" xfId="848" applyNumberFormat="1" applyFont="1" applyFill="1" applyBorder="1" applyAlignment="1" applyProtection="1">
      <alignment horizontal="left"/>
    </xf>
    <xf numFmtId="167" fontId="72" fillId="8" borderId="0" xfId="849" applyNumberFormat="1" applyFont="1" applyFill="1"/>
    <xf numFmtId="167" fontId="72" fillId="16" borderId="0" xfId="849" applyNumberFormat="1" applyFont="1" applyFill="1" applyBorder="1" applyAlignment="1">
      <alignment horizontal="right"/>
    </xf>
    <xf numFmtId="167" fontId="72" fillId="16" borderId="0" xfId="1" applyNumberFormat="1" applyFont="1" applyFill="1" applyBorder="1" applyAlignment="1">
      <alignment horizontal="right"/>
    </xf>
    <xf numFmtId="176" fontId="72" fillId="16" borderId="0" xfId="1" applyNumberFormat="1" applyFont="1" applyFill="1" applyBorder="1" applyAlignment="1">
      <alignment horizontal="right"/>
    </xf>
    <xf numFmtId="167" fontId="72" fillId="16" borderId="5" xfId="1" applyNumberFormat="1" applyFont="1" applyFill="1" applyBorder="1" applyAlignment="1">
      <alignment horizontal="right"/>
    </xf>
    <xf numFmtId="176" fontId="72" fillId="16" borderId="5" xfId="1" applyNumberFormat="1" applyFont="1" applyFill="1" applyBorder="1" applyAlignment="1">
      <alignment horizontal="right"/>
    </xf>
    <xf numFmtId="167" fontId="72" fillId="16" borderId="5" xfId="849" applyNumberFormat="1" applyFont="1" applyFill="1" applyBorder="1" applyAlignment="1">
      <alignment horizontal="right"/>
    </xf>
    <xf numFmtId="164" fontId="72" fillId="16" borderId="0" xfId="1" applyNumberFormat="1" applyFont="1" applyFill="1" applyAlignment="1">
      <alignment horizontal="right"/>
    </xf>
    <xf numFmtId="176" fontId="72" fillId="16" borderId="0" xfId="1" applyNumberFormat="1" applyFont="1" applyFill="1" applyAlignment="1">
      <alignment horizontal="right"/>
    </xf>
    <xf numFmtId="0" fontId="101" fillId="16" borderId="0" xfId="0" applyFont="1" applyFill="1"/>
    <xf numFmtId="164" fontId="72" fillId="16" borderId="0" xfId="1" applyNumberFormat="1" applyFont="1" applyFill="1" applyBorder="1" applyAlignment="1">
      <alignment horizontal="right"/>
    </xf>
    <xf numFmtId="0" fontId="72" fillId="16" borderId="0" xfId="848" applyFont="1" applyFill="1"/>
    <xf numFmtId="164" fontId="72" fillId="16" borderId="5" xfId="1" applyNumberFormat="1" applyFont="1" applyFill="1" applyBorder="1" applyAlignment="1">
      <alignment horizontal="right"/>
    </xf>
    <xf numFmtId="42" fontId="72" fillId="16" borderId="0" xfId="1" applyNumberFormat="1" applyFont="1" applyFill="1" applyAlignment="1">
      <alignment horizontal="right"/>
    </xf>
    <xf numFmtId="191" fontId="72" fillId="16" borderId="0" xfId="849" applyNumberFormat="1" applyFont="1" applyFill="1" applyBorder="1" applyAlignment="1">
      <alignment horizontal="right"/>
    </xf>
    <xf numFmtId="182" fontId="8" fillId="14" borderId="0" xfId="4" applyNumberFormat="1" applyFont="1" applyFill="1"/>
    <xf numFmtId="164" fontId="72" fillId="8" borderId="0" xfId="1" applyNumberFormat="1" applyFont="1" applyFill="1"/>
    <xf numFmtId="41" fontId="72" fillId="4" borderId="5" xfId="1" applyNumberFormat="1" applyFont="1" applyFill="1" applyBorder="1" applyAlignment="1" applyProtection="1">
      <alignment horizontal="left"/>
    </xf>
    <xf numFmtId="183" fontId="72" fillId="0" borderId="0" xfId="1" applyNumberFormat="1" applyFont="1" applyAlignment="1">
      <alignment horizontal="right"/>
    </xf>
    <xf numFmtId="43" fontId="8" fillId="18" borderId="0" xfId="0" applyNumberFormat="1" applyFont="1" applyFill="1"/>
    <xf numFmtId="164" fontId="8" fillId="18" borderId="0" xfId="3" applyNumberFormat="1" applyFont="1" applyFill="1"/>
    <xf numFmtId="164" fontId="72" fillId="0" borderId="0" xfId="1" applyNumberFormat="1" applyFont="1" applyFill="1" applyBorder="1" applyAlignment="1" applyProtection="1">
      <alignment horizontal="center"/>
    </xf>
    <xf numFmtId="164" fontId="72" fillId="19" borderId="0" xfId="1" applyNumberFormat="1" applyFont="1" applyFill="1" applyBorder="1" applyAlignment="1">
      <alignment horizontal="right"/>
    </xf>
    <xf numFmtId="164" fontId="95" fillId="19" borderId="0" xfId="1" applyNumberFormat="1" applyFont="1" applyFill="1" applyBorder="1" applyAlignment="1" applyProtection="1">
      <alignment horizontal="left"/>
    </xf>
    <xf numFmtId="167" fontId="72" fillId="4" borderId="0" xfId="849" applyNumberFormat="1" applyFont="1" applyFill="1" applyBorder="1"/>
    <xf numFmtId="49" fontId="0" fillId="5" borderId="3" xfId="0" applyNumberFormat="1" applyFill="1" applyBorder="1" applyAlignment="1">
      <alignment horizontal="left" vertical="center" wrapText="1"/>
    </xf>
    <xf numFmtId="49" fontId="78" fillId="5" borderId="2" xfId="0" applyNumberFormat="1" applyFont="1" applyFill="1" applyBorder="1" applyAlignment="1">
      <alignment horizontal="left" vertical="center" wrapText="1"/>
    </xf>
    <xf numFmtId="49" fontId="78" fillId="5" borderId="3" xfId="0" applyNumberFormat="1" applyFont="1" applyFill="1" applyBorder="1" applyAlignment="1">
      <alignment horizontal="left" vertical="center" wrapText="1"/>
    </xf>
    <xf numFmtId="49" fontId="0" fillId="5" borderId="2" xfId="0" applyNumberFormat="1" applyFill="1" applyBorder="1" applyAlignment="1">
      <alignment horizontal="left" vertical="center" wrapText="1"/>
    </xf>
    <xf numFmtId="49" fontId="81" fillId="6" borderId="0" xfId="0" applyNumberFormat="1" applyFont="1" applyFill="1" applyAlignment="1">
      <alignment wrapText="1"/>
    </xf>
    <xf numFmtId="0" fontId="0" fillId="0" borderId="0" xfId="0" applyAlignment="1">
      <alignment horizontal="center"/>
    </xf>
    <xf numFmtId="49" fontId="78" fillId="5" borderId="2" xfId="0" applyNumberFormat="1" applyFont="1" applyFill="1" applyBorder="1" applyAlignment="1">
      <alignment horizontal="left" vertical="center" wrapText="1"/>
    </xf>
    <xf numFmtId="49" fontId="78" fillId="5" borderId="3" xfId="0" applyNumberFormat="1" applyFont="1" applyFill="1" applyBorder="1" applyAlignment="1">
      <alignment horizontal="left" vertical="center" wrapText="1"/>
    </xf>
    <xf numFmtId="49" fontId="0" fillId="5" borderId="2" xfId="0" applyNumberFormat="1" applyFill="1" applyBorder="1" applyAlignment="1">
      <alignment vertical="center" wrapText="1"/>
    </xf>
    <xf numFmtId="49" fontId="0" fillId="5" borderId="6" xfId="0" applyNumberFormat="1" applyFill="1" applyBorder="1" applyAlignment="1">
      <alignment vertical="center" wrapText="1"/>
    </xf>
    <xf numFmtId="49" fontId="0" fillId="5" borderId="3" xfId="0" applyNumberFormat="1" applyFill="1" applyBorder="1" applyAlignment="1">
      <alignment vertical="center" wrapText="1"/>
    </xf>
    <xf numFmtId="49" fontId="78" fillId="5" borderId="2" xfId="0" applyNumberFormat="1" applyFont="1" applyFill="1" applyBorder="1" applyAlignment="1">
      <alignment vertical="center" wrapText="1"/>
    </xf>
    <xf numFmtId="49" fontId="78" fillId="5" borderId="3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43" fontId="8" fillId="18" borderId="0" xfId="3" applyNumberFormat="1" applyFont="1" applyFill="1"/>
    <xf numFmtId="44" fontId="8" fillId="18" borderId="0" xfId="0" applyNumberFormat="1" applyFont="1" applyFill="1"/>
    <xf numFmtId="0" fontId="75" fillId="0" borderId="5" xfId="0" applyNumberFormat="1" applyFont="1" applyBorder="1"/>
    <xf numFmtId="0" fontId="75" fillId="0" borderId="5" xfId="0" applyNumberFormat="1" applyFont="1" applyBorder="1" applyAlignment="1">
      <alignment horizontal="center"/>
    </xf>
    <xf numFmtId="0" fontId="75" fillId="0" borderId="5" xfId="0" applyNumberFormat="1" applyFont="1" applyBorder="1" applyAlignment="1">
      <alignment horizontal="right"/>
    </xf>
    <xf numFmtId="44" fontId="75" fillId="0" borderId="0" xfId="4" applyFont="1" applyBorder="1"/>
    <xf numFmtId="0" fontId="75" fillId="0" borderId="0" xfId="0" applyNumberFormat="1" applyFont="1" applyBorder="1"/>
    <xf numFmtId="1" fontId="75" fillId="0" borderId="0" xfId="0" applyNumberFormat="1" applyFont="1" applyBorder="1"/>
    <xf numFmtId="43" fontId="75" fillId="0" borderId="0" xfId="0" applyNumberFormat="1" applyFont="1" applyBorder="1"/>
    <xf numFmtId="176" fontId="75" fillId="0" borderId="0" xfId="0" applyNumberFormat="1" applyFont="1" applyBorder="1"/>
    <xf numFmtId="44" fontId="75" fillId="0" borderId="0" xfId="0" applyNumberFormat="1" applyFont="1"/>
    <xf numFmtId="44" fontId="75" fillId="0" borderId="5" xfId="0" applyNumberFormat="1" applyFont="1" applyBorder="1"/>
    <xf numFmtId="44" fontId="75" fillId="0" borderId="5" xfId="4" applyFont="1" applyBorder="1"/>
    <xf numFmtId="43" fontId="13" fillId="0" borderId="0" xfId="3" applyFont="1" applyFill="1"/>
    <xf numFmtId="0" fontId="1" fillId="0" borderId="0" xfId="5" applyFont="1"/>
    <xf numFmtId="0" fontId="3" fillId="0" borderId="0" xfId="5"/>
    <xf numFmtId="0" fontId="3" fillId="0" borderId="45" xfId="5" applyFill="1" applyBorder="1"/>
    <xf numFmtId="0" fontId="3" fillId="0" borderId="46" xfId="5" applyFill="1" applyBorder="1"/>
    <xf numFmtId="0" fontId="3" fillId="0" borderId="0" xfId="5" applyFill="1" applyBorder="1"/>
    <xf numFmtId="0" fontId="3" fillId="0" borderId="18" xfId="5" applyBorder="1"/>
    <xf numFmtId="0" fontId="3" fillId="0" borderId="8" xfId="5" applyBorder="1"/>
    <xf numFmtId="0" fontId="3" fillId="0" borderId="47" xfId="5" applyBorder="1"/>
    <xf numFmtId="0" fontId="3" fillId="0" borderId="48" xfId="5" applyBorder="1"/>
    <xf numFmtId="0" fontId="3" fillId="0" borderId="49" xfId="5" applyBorder="1"/>
    <xf numFmtId="0" fontId="3" fillId="0" borderId="9" xfId="5" applyBorder="1"/>
    <xf numFmtId="0" fontId="3" fillId="0" borderId="13" xfId="5" applyBorder="1"/>
    <xf numFmtId="0" fontId="3" fillId="0" borderId="12" xfId="5" applyBorder="1"/>
    <xf numFmtId="0" fontId="3" fillId="0" borderId="14" xfId="5" applyBorder="1"/>
    <xf numFmtId="0" fontId="3" fillId="0" borderId="50" xfId="5" applyBorder="1"/>
    <xf numFmtId="0" fontId="3" fillId="0" borderId="51" xfId="5" applyBorder="1"/>
    <xf numFmtId="164" fontId="3" fillId="0" borderId="52" xfId="3" applyNumberFormat="1" applyFont="1" applyBorder="1"/>
    <xf numFmtId="164" fontId="3" fillId="0" borderId="0" xfId="3" applyNumberFormat="1" applyFont="1" applyBorder="1"/>
    <xf numFmtId="164" fontId="3" fillId="0" borderId="15" xfId="3" applyNumberFormat="1" applyFont="1" applyBorder="1"/>
    <xf numFmtId="0" fontId="3" fillId="0" borderId="53" xfId="5" applyBorder="1"/>
    <xf numFmtId="0" fontId="3" fillId="0" borderId="54" xfId="5" applyBorder="1"/>
    <xf numFmtId="0" fontId="3" fillId="0" borderId="11" xfId="5" applyBorder="1"/>
    <xf numFmtId="164" fontId="3" fillId="0" borderId="18" xfId="3" applyNumberFormat="1" applyFont="1" applyBorder="1"/>
    <xf numFmtId="164" fontId="3" fillId="0" borderId="8" xfId="3" applyNumberFormat="1" applyFont="1" applyBorder="1"/>
    <xf numFmtId="164" fontId="3" fillId="0" borderId="19" xfId="3" applyNumberFormat="1" applyFont="1" applyBorder="1"/>
    <xf numFmtId="164" fontId="3" fillId="0" borderId="55" xfId="3" applyNumberFormat="1" applyFont="1" applyBorder="1"/>
    <xf numFmtId="0" fontId="3" fillId="0" borderId="56" xfId="5" applyBorder="1"/>
    <xf numFmtId="164" fontId="3" fillId="0" borderId="54" xfId="3" applyNumberFormat="1" applyFont="1" applyBorder="1"/>
    <xf numFmtId="164" fontId="3" fillId="0" borderId="57" xfId="3" applyNumberFormat="1" applyFont="1" applyBorder="1"/>
    <xf numFmtId="164" fontId="3" fillId="0" borderId="58" xfId="3" applyNumberFormat="1" applyFont="1" applyBorder="1"/>
    <xf numFmtId="164" fontId="3" fillId="0" borderId="59" xfId="3" applyNumberFormat="1" applyFont="1" applyBorder="1"/>
    <xf numFmtId="164" fontId="3" fillId="0" borderId="48" xfId="3" applyNumberFormat="1" applyFont="1" applyBorder="1"/>
    <xf numFmtId="0" fontId="3" fillId="0" borderId="9" xfId="5" applyFill="1" applyBorder="1"/>
    <xf numFmtId="0" fontId="3" fillId="0" borderId="13" xfId="5" applyFill="1" applyBorder="1"/>
    <xf numFmtId="0" fontId="3" fillId="0" borderId="14" xfId="5" applyFill="1" applyBorder="1"/>
    <xf numFmtId="164" fontId="3" fillId="0" borderId="12" xfId="3" applyNumberFormat="1" applyFont="1" applyFill="1" applyBorder="1"/>
    <xf numFmtId="164" fontId="3" fillId="0" borderId="13" xfId="3" applyNumberFormat="1" applyFont="1" applyFill="1" applyBorder="1"/>
    <xf numFmtId="164" fontId="3" fillId="0" borderId="14" xfId="3" applyNumberFormat="1" applyFont="1" applyFill="1" applyBorder="1"/>
    <xf numFmtId="164" fontId="3" fillId="0" borderId="50" xfId="3" applyNumberFormat="1" applyFont="1" applyFill="1" applyBorder="1"/>
    <xf numFmtId="0" fontId="3" fillId="0" borderId="0" xfId="5" applyFill="1"/>
    <xf numFmtId="0" fontId="3" fillId="0" borderId="11" xfId="5" applyFill="1" applyBorder="1"/>
    <xf numFmtId="0" fontId="3" fillId="0" borderId="8" xfId="5" applyFill="1" applyBorder="1"/>
    <xf numFmtId="0" fontId="3" fillId="0" borderId="19" xfId="5" applyFill="1" applyBorder="1"/>
    <xf numFmtId="164" fontId="3" fillId="0" borderId="18" xfId="3" applyNumberFormat="1" applyFont="1" applyFill="1" applyBorder="1"/>
    <xf numFmtId="164" fontId="3" fillId="0" borderId="8" xfId="3" applyNumberFormat="1" applyFont="1" applyFill="1" applyBorder="1"/>
    <xf numFmtId="164" fontId="3" fillId="0" borderId="19" xfId="3" applyNumberFormat="1" applyFont="1" applyFill="1" applyBorder="1"/>
    <xf numFmtId="164" fontId="3" fillId="0" borderId="48" xfId="3" applyNumberFormat="1" applyFont="1" applyFill="1" applyBorder="1"/>
    <xf numFmtId="0" fontId="3" fillId="0" borderId="53" xfId="5" applyFill="1" applyBorder="1"/>
    <xf numFmtId="0" fontId="3" fillId="0" borderId="15" xfId="5" applyFill="1" applyBorder="1"/>
    <xf numFmtId="164" fontId="3" fillId="0" borderId="52" xfId="3" applyNumberFormat="1" applyFont="1" applyFill="1" applyBorder="1"/>
    <xf numFmtId="164" fontId="3" fillId="0" borderId="0" xfId="3" applyNumberFormat="1" applyFont="1" applyFill="1" applyBorder="1"/>
    <xf numFmtId="164" fontId="3" fillId="0" borderId="15" xfId="3" applyNumberFormat="1" applyFont="1" applyFill="1" applyBorder="1"/>
    <xf numFmtId="164" fontId="3" fillId="0" borderId="55" xfId="3" applyNumberFormat="1" applyFont="1" applyFill="1" applyBorder="1"/>
    <xf numFmtId="0" fontId="3" fillId="0" borderId="10" xfId="5" applyBorder="1"/>
    <xf numFmtId="0" fontId="3" fillId="0" borderId="5" xfId="5" applyBorder="1"/>
    <xf numFmtId="164" fontId="3" fillId="0" borderId="17" xfId="3" applyNumberFormat="1" applyFont="1" applyBorder="1"/>
    <xf numFmtId="164" fontId="3" fillId="0" borderId="5" xfId="3" applyNumberFormat="1" applyFont="1" applyBorder="1"/>
    <xf numFmtId="164" fontId="3" fillId="0" borderId="16" xfId="3" applyNumberFormat="1" applyFont="1" applyBorder="1"/>
    <xf numFmtId="164" fontId="3" fillId="0" borderId="60" xfId="3" applyNumberFormat="1" applyFont="1" applyBorder="1"/>
    <xf numFmtId="164" fontId="3" fillId="0" borderId="61" xfId="3" applyNumberFormat="1" applyFont="1" applyBorder="1"/>
    <xf numFmtId="3" fontId="3" fillId="0" borderId="0" xfId="5" applyNumberFormat="1" applyFill="1"/>
    <xf numFmtId="3" fontId="3" fillId="0" borderId="62" xfId="5" applyNumberFormat="1" applyFill="1" applyBorder="1"/>
    <xf numFmtId="0" fontId="1" fillId="0" borderId="0" xfId="5" applyFont="1" applyFill="1"/>
    <xf numFmtId="37" fontId="3" fillId="0" borderId="0" xfId="5" applyNumberFormat="1" applyFill="1"/>
    <xf numFmtId="37" fontId="3" fillId="0" borderId="63" xfId="5" applyNumberFormat="1" applyFill="1" applyBorder="1"/>
    <xf numFmtId="0" fontId="3" fillId="83" borderId="18" xfId="5" applyFill="1" applyBorder="1"/>
    <xf numFmtId="0" fontId="3" fillId="83" borderId="8" xfId="5" applyFill="1" applyBorder="1"/>
    <xf numFmtId="37" fontId="3" fillId="83" borderId="18" xfId="5" applyNumberFormat="1" applyFill="1" applyBorder="1"/>
    <xf numFmtId="0" fontId="3" fillId="84" borderId="18" xfId="5" applyFill="1" applyBorder="1"/>
    <xf numFmtId="0" fontId="3" fillId="84" borderId="8" xfId="5" applyFill="1" applyBorder="1"/>
    <xf numFmtId="37" fontId="3" fillId="84" borderId="18" xfId="5" applyNumberFormat="1" applyFill="1" applyBorder="1"/>
    <xf numFmtId="0" fontId="3" fillId="4" borderId="18" xfId="5" applyFill="1" applyBorder="1"/>
    <xf numFmtId="0" fontId="3" fillId="4" borderId="8" xfId="5" applyFill="1" applyBorder="1"/>
    <xf numFmtId="37" fontId="3" fillId="4" borderId="18" xfId="5" applyNumberFormat="1" applyFill="1" applyBorder="1"/>
    <xf numFmtId="37" fontId="3" fillId="0" borderId="0" xfId="5" applyNumberFormat="1"/>
    <xf numFmtId="164" fontId="3" fillId="0" borderId="0" xfId="5" applyNumberFormat="1"/>
    <xf numFmtId="0" fontId="3" fillId="0" borderId="0" xfId="5" applyBorder="1" applyAlignment="1">
      <alignment horizontal="center"/>
    </xf>
    <xf numFmtId="0" fontId="3" fillId="0" borderId="0" xfId="5" quotePrefix="1" applyBorder="1" applyAlignment="1">
      <alignment horizontal="center"/>
    </xf>
    <xf numFmtId="0" fontId="3" fillId="0" borderId="5" xfId="5" quotePrefix="1" applyBorder="1" applyAlignment="1">
      <alignment horizontal="center"/>
    </xf>
    <xf numFmtId="0" fontId="3" fillId="0" borderId="0" xfId="5" applyFont="1"/>
    <xf numFmtId="0" fontId="3" fillId="0" borderId="45" xfId="5" applyFont="1" applyFill="1" applyBorder="1"/>
    <xf numFmtId="0" fontId="3" fillId="0" borderId="46" xfId="5" applyFont="1" applyFill="1" applyBorder="1"/>
    <xf numFmtId="0" fontId="3" fillId="0" borderId="0" xfId="5" applyFont="1" applyFill="1" applyBorder="1"/>
    <xf numFmtId="0" fontId="3" fillId="0" borderId="18" xfId="5" applyFont="1" applyBorder="1"/>
    <xf numFmtId="0" fontId="3" fillId="0" borderId="8" xfId="5" applyFont="1" applyBorder="1"/>
    <xf numFmtId="0" fontId="3" fillId="0" borderId="47" xfId="5" applyFont="1" applyBorder="1"/>
    <xf numFmtId="0" fontId="3" fillId="0" borderId="49" xfId="5" applyFont="1" applyBorder="1"/>
    <xf numFmtId="0" fontId="3" fillId="0" borderId="48" xfId="5" applyFont="1" applyBorder="1"/>
    <xf numFmtId="0" fontId="3" fillId="0" borderId="9" xfId="5" applyFont="1" applyBorder="1"/>
    <xf numFmtId="0" fontId="3" fillId="0" borderId="13" xfId="5" applyFont="1" applyBorder="1"/>
    <xf numFmtId="0" fontId="3" fillId="0" borderId="12" xfId="5" applyFont="1" applyBorder="1"/>
    <xf numFmtId="0" fontId="3" fillId="0" borderId="14" xfId="5" applyFont="1" applyBorder="1"/>
    <xf numFmtId="0" fontId="3" fillId="0" borderId="50" xfId="5" applyFont="1" applyBorder="1"/>
    <xf numFmtId="0" fontId="3" fillId="0" borderId="0" xfId="5" applyFont="1" applyBorder="1"/>
    <xf numFmtId="37" fontId="3" fillId="0" borderId="12" xfId="5" applyNumberFormat="1" applyFont="1" applyBorder="1"/>
    <xf numFmtId="164" fontId="3" fillId="0" borderId="13" xfId="3" applyNumberFormat="1" applyFont="1" applyBorder="1"/>
    <xf numFmtId="164" fontId="3" fillId="0" borderId="14" xfId="3" applyNumberFormat="1" applyFont="1" applyBorder="1"/>
    <xf numFmtId="0" fontId="3" fillId="0" borderId="10" xfId="5" applyFont="1" applyBorder="1"/>
    <xf numFmtId="37" fontId="3" fillId="0" borderId="52" xfId="5" applyNumberFormat="1" applyFont="1" applyBorder="1"/>
    <xf numFmtId="0" fontId="3" fillId="0" borderId="53" xfId="5" applyFont="1" applyBorder="1"/>
    <xf numFmtId="0" fontId="3" fillId="0" borderId="54" xfId="5" applyFont="1" applyBorder="1"/>
    <xf numFmtId="0" fontId="3" fillId="0" borderId="11" xfId="5" applyFont="1" applyBorder="1"/>
    <xf numFmtId="37" fontId="3" fillId="0" borderId="18" xfId="5" applyNumberFormat="1" applyFont="1" applyBorder="1"/>
    <xf numFmtId="0" fontId="3" fillId="0" borderId="51" xfId="5" applyFont="1" applyBorder="1"/>
    <xf numFmtId="0" fontId="3" fillId="0" borderId="56" xfId="5" applyFont="1" applyBorder="1"/>
    <xf numFmtId="37" fontId="3" fillId="0" borderId="59" xfId="5" applyNumberFormat="1" applyFont="1" applyBorder="1"/>
    <xf numFmtId="164" fontId="3" fillId="0" borderId="50" xfId="3" applyNumberFormat="1" applyFont="1" applyBorder="1"/>
    <xf numFmtId="0" fontId="3" fillId="0" borderId="9" xfId="5" applyFont="1" applyFill="1" applyBorder="1"/>
    <xf numFmtId="0" fontId="3" fillId="0" borderId="13" xfId="5" applyFont="1" applyFill="1" applyBorder="1"/>
    <xf numFmtId="0" fontId="3" fillId="0" borderId="14" xfId="5" applyFont="1" applyFill="1" applyBorder="1"/>
    <xf numFmtId="37" fontId="3" fillId="0" borderId="12" xfId="5" applyNumberFormat="1" applyFont="1" applyFill="1" applyBorder="1"/>
    <xf numFmtId="0" fontId="3" fillId="0" borderId="64" xfId="5" applyFont="1" applyFill="1" applyBorder="1"/>
    <xf numFmtId="0" fontId="3" fillId="0" borderId="5" xfId="5" applyFont="1" applyFill="1" applyBorder="1"/>
    <xf numFmtId="0" fontId="3" fillId="0" borderId="16" xfId="5" applyFont="1" applyFill="1" applyBorder="1"/>
    <xf numFmtId="37" fontId="3" fillId="0" borderId="17" xfId="5" applyNumberFormat="1" applyFont="1" applyFill="1" applyBorder="1"/>
    <xf numFmtId="164" fontId="3" fillId="0" borderId="5" xfId="3" applyNumberFormat="1" applyFont="1" applyFill="1" applyBorder="1"/>
    <xf numFmtId="164" fontId="3" fillId="0" borderId="16" xfId="3" applyNumberFormat="1" applyFont="1" applyFill="1" applyBorder="1"/>
    <xf numFmtId="164" fontId="3" fillId="0" borderId="65" xfId="3" applyNumberFormat="1" applyFont="1" applyFill="1" applyBorder="1"/>
    <xf numFmtId="0" fontId="3" fillId="0" borderId="11" xfId="5" applyFont="1" applyFill="1" applyBorder="1"/>
    <xf numFmtId="0" fontId="3" fillId="0" borderId="8" xfId="5" applyFont="1" applyFill="1" applyBorder="1"/>
    <xf numFmtId="0" fontId="3" fillId="0" borderId="19" xfId="5" applyFont="1" applyFill="1" applyBorder="1"/>
    <xf numFmtId="37" fontId="3" fillId="0" borderId="18" xfId="5" applyNumberFormat="1" applyFont="1" applyFill="1" applyBorder="1"/>
    <xf numFmtId="0" fontId="3" fillId="0" borderId="53" xfId="5" applyFont="1" applyFill="1" applyBorder="1"/>
    <xf numFmtId="0" fontId="3" fillId="0" borderId="15" xfId="5" applyFont="1" applyFill="1" applyBorder="1"/>
    <xf numFmtId="37" fontId="3" fillId="0" borderId="52" xfId="5" applyNumberFormat="1" applyFont="1" applyFill="1" applyBorder="1"/>
    <xf numFmtId="0" fontId="3" fillId="0" borderId="5" xfId="5" applyFont="1" applyBorder="1"/>
    <xf numFmtId="37" fontId="3" fillId="0" borderId="17" xfId="5" applyNumberFormat="1" applyFont="1" applyBorder="1"/>
    <xf numFmtId="0" fontId="3" fillId="0" borderId="0" xfId="5" applyFont="1" applyFill="1"/>
    <xf numFmtId="3" fontId="3" fillId="0" borderId="0" xfId="5" applyNumberFormat="1" applyFont="1" applyFill="1"/>
    <xf numFmtId="3" fontId="3" fillId="0" borderId="62" xfId="5" applyNumberFormat="1" applyFont="1" applyFill="1" applyBorder="1"/>
    <xf numFmtId="37" fontId="3" fillId="0" borderId="0" xfId="5" applyNumberFormat="1" applyFont="1" applyFill="1"/>
    <xf numFmtId="37" fontId="3" fillId="0" borderId="63" xfId="5" applyNumberFormat="1" applyFont="1" applyFill="1" applyBorder="1"/>
    <xf numFmtId="0" fontId="3" fillId="83" borderId="18" xfId="5" applyFont="1" applyFill="1" applyBorder="1"/>
    <xf numFmtId="0" fontId="3" fillId="83" borderId="8" xfId="5" applyFont="1" applyFill="1" applyBorder="1"/>
    <xf numFmtId="37" fontId="3" fillId="83" borderId="18" xfId="5" applyNumberFormat="1" applyFont="1" applyFill="1" applyBorder="1"/>
    <xf numFmtId="0" fontId="3" fillId="84" borderId="18" xfId="5" applyFont="1" applyFill="1" applyBorder="1"/>
    <xf numFmtId="0" fontId="3" fillId="84" borderId="8" xfId="5" applyFont="1" applyFill="1" applyBorder="1"/>
    <xf numFmtId="37" fontId="3" fillId="84" borderId="18" xfId="5" applyNumberFormat="1" applyFont="1" applyFill="1" applyBorder="1"/>
    <xf numFmtId="0" fontId="3" fillId="4" borderId="18" xfId="5" applyFont="1" applyFill="1" applyBorder="1"/>
    <xf numFmtId="0" fontId="3" fillId="4" borderId="8" xfId="5" applyFont="1" applyFill="1" applyBorder="1"/>
    <xf numFmtId="37" fontId="3" fillId="4" borderId="18" xfId="5" applyNumberFormat="1" applyFont="1" applyFill="1" applyBorder="1"/>
    <xf numFmtId="49" fontId="0" fillId="0" borderId="0" xfId="0" applyNumberFormat="1" applyFont="1" applyAlignment="1">
      <alignment horizontal="right" wrapText="1"/>
    </xf>
    <xf numFmtId="49" fontId="0" fillId="0" borderId="0" xfId="0" applyNumberFormat="1" applyFont="1" applyAlignment="1">
      <alignment horizontal="left" wrapText="1"/>
    </xf>
    <xf numFmtId="191" fontId="0" fillId="74" borderId="0" xfId="0" applyNumberFormat="1" applyFont="1" applyFill="1" applyAlignment="1">
      <alignment horizontal="right"/>
    </xf>
    <xf numFmtId="191" fontId="0" fillId="0" borderId="0" xfId="0" applyNumberFormat="1" applyFont="1" applyAlignment="1">
      <alignment horizontal="right"/>
    </xf>
    <xf numFmtId="191" fontId="70" fillId="0" borderId="0" xfId="0" applyNumberFormat="1" applyFont="1" applyAlignment="1">
      <alignment horizontal="left"/>
    </xf>
    <xf numFmtId="193" fontId="0" fillId="0" borderId="0" xfId="0" applyNumberFormat="1" applyFont="1" applyAlignment="1">
      <alignment horizontal="right"/>
    </xf>
    <xf numFmtId="191" fontId="0" fillId="0" borderId="0" xfId="0" applyNumberFormat="1" applyFont="1" applyAlignment="1">
      <alignment horizontal="left"/>
    </xf>
    <xf numFmtId="193" fontId="0" fillId="0" borderId="0" xfId="0" applyNumberFormat="1" applyFont="1" applyAlignment="1">
      <alignment horizontal="left"/>
    </xf>
    <xf numFmtId="193" fontId="70" fillId="0" borderId="0" xfId="0" applyNumberFormat="1" applyFont="1" applyAlignment="1">
      <alignment horizontal="left"/>
    </xf>
    <xf numFmtId="191" fontId="0" fillId="0" borderId="0" xfId="0" applyNumberFormat="1" applyFont="1" applyFill="1" applyAlignment="1">
      <alignment horizontal="right"/>
    </xf>
    <xf numFmtId="191" fontId="70" fillId="0" borderId="0" xfId="0" applyNumberFormat="1" applyFont="1" applyFill="1" applyAlignment="1">
      <alignment horizontal="left"/>
    </xf>
    <xf numFmtId="43" fontId="14" fillId="0" borderId="0" xfId="9" applyFont="1" applyBorder="1" applyAlignment="1">
      <alignment horizontal="left"/>
    </xf>
    <xf numFmtId="41" fontId="14" fillId="0" borderId="0" xfId="851" quotePrefix="1" applyFont="1" applyBorder="1" applyAlignment="1">
      <alignment horizontal="right"/>
    </xf>
    <xf numFmtId="41" fontId="14" fillId="0" borderId="0" xfId="851" applyFont="1" applyBorder="1" applyAlignment="1">
      <alignment horizontal="left"/>
    </xf>
    <xf numFmtId="41" fontId="13" fillId="0" borderId="0" xfId="851" applyFont="1" applyBorder="1" applyAlignment="1">
      <alignment horizontal="left"/>
    </xf>
    <xf numFmtId="175" fontId="13" fillId="0" borderId="0" xfId="850" applyFont="1" applyBorder="1"/>
    <xf numFmtId="175" fontId="13" fillId="0" borderId="0" xfId="850" applyFont="1" applyBorder="1" applyAlignment="1">
      <alignment horizontal="right"/>
    </xf>
    <xf numFmtId="175" fontId="13" fillId="0" borderId="0" xfId="850" quotePrefix="1" applyFont="1" applyBorder="1" applyAlignment="1"/>
    <xf numFmtId="167" fontId="90" fillId="0" borderId="0" xfId="0" applyNumberFormat="1" applyFont="1"/>
    <xf numFmtId="1" fontId="90" fillId="0" borderId="0" xfId="0" applyNumberFormat="1" applyFont="1"/>
    <xf numFmtId="176" fontId="13" fillId="0" borderId="0" xfId="846" applyNumberFormat="1" applyFont="1" applyFill="1"/>
    <xf numFmtId="164" fontId="14" fillId="0" borderId="0" xfId="846" quotePrefix="1" applyNumberFormat="1" applyFont="1" applyFill="1" applyAlignment="1">
      <alignment horizontal="center"/>
    </xf>
    <xf numFmtId="164" fontId="14" fillId="0" borderId="0" xfId="846" quotePrefix="1" applyNumberFormat="1" applyFont="1" applyFill="1" applyBorder="1" applyAlignment="1">
      <alignment horizontal="center"/>
    </xf>
    <xf numFmtId="43" fontId="14" fillId="0" borderId="0" xfId="846" quotePrefix="1" applyFont="1" applyFill="1" applyAlignment="1">
      <alignment horizontal="center"/>
    </xf>
    <xf numFmtId="176" fontId="14" fillId="0" borderId="0" xfId="846" quotePrefix="1" applyNumberFormat="1" applyFont="1" applyFill="1" applyAlignment="1">
      <alignment horizontal="center"/>
    </xf>
    <xf numFmtId="164" fontId="13" fillId="0" borderId="0" xfId="846" applyNumberFormat="1" applyFont="1" applyFill="1" applyAlignment="1">
      <alignment horizontal="right"/>
    </xf>
    <xf numFmtId="164" fontId="13" fillId="0" borderId="0" xfId="846" applyNumberFormat="1" applyFont="1" applyFill="1" applyBorder="1" applyAlignment="1">
      <alignment horizontal="right"/>
    </xf>
    <xf numFmtId="164" fontId="13" fillId="0" borderId="0" xfId="846" applyNumberFormat="1" applyFont="1" applyFill="1" applyAlignment="1">
      <alignment horizontal="center"/>
    </xf>
    <xf numFmtId="0" fontId="13" fillId="0" borderId="0" xfId="847" applyFont="1" applyFill="1" applyAlignment="1">
      <alignment horizontal="right"/>
    </xf>
    <xf numFmtId="164" fontId="13" fillId="0" borderId="5" xfId="846" applyNumberFormat="1" applyFont="1" applyFill="1" applyBorder="1" applyAlignment="1" applyProtection="1">
      <alignment horizontal="center"/>
    </xf>
    <xf numFmtId="164" fontId="13" fillId="0" borderId="5" xfId="846" applyNumberFormat="1" applyFont="1" applyFill="1" applyBorder="1" applyAlignment="1">
      <alignment horizontal="center"/>
    </xf>
    <xf numFmtId="164" fontId="13" fillId="0" borderId="5" xfId="846" quotePrefix="1" applyNumberFormat="1" applyFont="1" applyFill="1" applyBorder="1" applyAlignment="1" applyProtection="1">
      <alignment horizontal="center"/>
    </xf>
    <xf numFmtId="176" fontId="13" fillId="0" borderId="0" xfId="846" applyNumberFormat="1" applyFont="1" applyFill="1" applyBorder="1"/>
    <xf numFmtId="0" fontId="14" fillId="0" borderId="0" xfId="847" applyFont="1" applyFill="1"/>
    <xf numFmtId="0" fontId="13" fillId="0" borderId="0" xfId="15" applyFont="1" applyFill="1" applyAlignment="1">
      <alignment horizontal="left"/>
    </xf>
    <xf numFmtId="164" fontId="16" fillId="0" borderId="0" xfId="846" applyNumberFormat="1" applyFont="1" applyFill="1" applyBorder="1"/>
    <xf numFmtId="0" fontId="90" fillId="0" borderId="0" xfId="0" quotePrefix="1" applyFont="1" applyFill="1" applyAlignment="1">
      <alignment horizontal="left"/>
    </xf>
    <xf numFmtId="0" fontId="90" fillId="0" borderId="0" xfId="0" applyFont="1" applyFill="1" applyBorder="1"/>
    <xf numFmtId="0" fontId="13" fillId="0" borderId="0" xfId="847" applyFont="1" applyFill="1" applyBorder="1" applyAlignment="1">
      <alignment horizontal="right"/>
    </xf>
    <xf numFmtId="43" fontId="13" fillId="0" borderId="0" xfId="846" applyFont="1" applyFill="1" applyBorder="1"/>
    <xf numFmtId="44" fontId="13" fillId="0" borderId="0" xfId="4" applyFont="1" applyFill="1"/>
    <xf numFmtId="167" fontId="13" fillId="0" borderId="8" xfId="4" applyNumberFormat="1" applyFont="1" applyFill="1" applyBorder="1"/>
    <xf numFmtId="167" fontId="16" fillId="0" borderId="0" xfId="4" applyNumberFormat="1" applyFont="1" applyFill="1" applyBorder="1"/>
    <xf numFmtId="164" fontId="14" fillId="0" borderId="0" xfId="846" applyNumberFormat="1" applyFont="1" applyFill="1" applyBorder="1" applyAlignment="1">
      <alignment horizontal="center"/>
    </xf>
    <xf numFmtId="164" fontId="14" fillId="0" borderId="0" xfId="846" applyNumberFormat="1" applyFont="1" applyFill="1" applyAlignment="1">
      <alignment horizontal="center"/>
    </xf>
    <xf numFmtId="176" fontId="13" fillId="0" borderId="0" xfId="846" applyNumberFormat="1" applyFont="1" applyFill="1" applyAlignment="1">
      <alignment horizontal="center"/>
    </xf>
    <xf numFmtId="176" fontId="14" fillId="0" borderId="0" xfId="846" applyNumberFormat="1" applyFont="1" applyFill="1" applyAlignment="1">
      <alignment horizontal="center"/>
    </xf>
    <xf numFmtId="0" fontId="13" fillId="0" borderId="0" xfId="847" applyFont="1" applyFill="1" applyBorder="1" applyAlignment="1">
      <alignment horizontal="center"/>
    </xf>
    <xf numFmtId="178" fontId="13" fillId="0" borderId="0" xfId="847" applyNumberFormat="1" applyFont="1" applyFill="1" applyAlignment="1" applyProtection="1">
      <alignment horizontal="center"/>
    </xf>
    <xf numFmtId="164" fontId="13" fillId="0" borderId="0" xfId="846" quotePrefix="1" applyNumberFormat="1" applyFont="1" applyFill="1" applyBorder="1" applyAlignment="1" applyProtection="1">
      <alignment horizontal="center"/>
    </xf>
    <xf numFmtId="164" fontId="14" fillId="0" borderId="5" xfId="846" applyNumberFormat="1" applyFont="1" applyFill="1" applyBorder="1" applyAlignment="1" applyProtection="1">
      <alignment horizontal="center"/>
    </xf>
    <xf numFmtId="176" fontId="13" fillId="0" borderId="5" xfId="847" applyNumberFormat="1" applyFont="1" applyFill="1" applyBorder="1" applyAlignment="1">
      <alignment horizontal="center"/>
    </xf>
    <xf numFmtId="164" fontId="13" fillId="0" borderId="5" xfId="847" applyNumberFormat="1" applyFont="1" applyFill="1" applyBorder="1" applyAlignment="1">
      <alignment horizontal="center"/>
    </xf>
    <xf numFmtId="0" fontId="13" fillId="0" borderId="0" xfId="0" applyFont="1" applyFill="1"/>
    <xf numFmtId="41" fontId="14" fillId="0" borderId="0" xfId="851" applyFont="1" applyFill="1" applyBorder="1" applyAlignment="1">
      <alignment horizontal="right"/>
    </xf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175" fontId="14" fillId="0" borderId="0" xfId="850" applyFont="1" applyFill="1" applyBorder="1" applyAlignment="1">
      <alignment horizontal="center"/>
    </xf>
    <xf numFmtId="0" fontId="14" fillId="0" borderId="0" xfId="847" applyFont="1" applyFill="1" applyBorder="1" applyAlignment="1">
      <alignment horizontal="center"/>
    </xf>
    <xf numFmtId="0" fontId="14" fillId="0" borderId="0" xfId="0" quotePrefix="1" applyFont="1" applyFill="1" applyAlignment="1">
      <alignment horizontal="center"/>
    </xf>
    <xf numFmtId="0" fontId="14" fillId="0" borderId="29" xfId="0" applyFont="1" applyFill="1" applyBorder="1"/>
    <xf numFmtId="0" fontId="14" fillId="0" borderId="29" xfId="0" applyFont="1" applyFill="1" applyBorder="1" applyAlignment="1">
      <alignment horizontal="center"/>
    </xf>
    <xf numFmtId="0" fontId="14" fillId="0" borderId="29" xfId="847" applyFont="1" applyFill="1" applyBorder="1" applyAlignment="1">
      <alignment horizontal="center"/>
    </xf>
    <xf numFmtId="0" fontId="14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5" fillId="0" borderId="0" xfId="0" applyFont="1" applyFill="1"/>
    <xf numFmtId="0" fontId="14" fillId="0" borderId="0" xfId="0" applyFont="1" applyFill="1"/>
    <xf numFmtId="0" fontId="13" fillId="0" borderId="0" xfId="0" applyFont="1" applyFill="1" applyAlignment="1">
      <alignment horizontal="right"/>
    </xf>
    <xf numFmtId="167" fontId="13" fillId="0" borderId="0" xfId="0" applyNumberFormat="1" applyFont="1" applyFill="1"/>
    <xf numFmtId="0" fontId="13" fillId="0" borderId="0" xfId="0" quotePrefix="1" applyFont="1" applyFill="1" applyAlignment="1">
      <alignment horizontal="left"/>
    </xf>
    <xf numFmtId="167" fontId="14" fillId="0" borderId="0" xfId="847" applyNumberFormat="1" applyFont="1" applyFill="1" applyBorder="1"/>
    <xf numFmtId="171" fontId="13" fillId="0" borderId="0" xfId="1" applyNumberFormat="1" applyFont="1" applyFill="1" applyBorder="1"/>
    <xf numFmtId="0" fontId="13" fillId="0" borderId="0" xfId="0" applyFont="1" applyFill="1" applyAlignment="1">
      <alignment horizontal="left" indent="1"/>
    </xf>
    <xf numFmtId="42" fontId="13" fillId="0" borderId="0" xfId="0" applyNumberFormat="1" applyFont="1" applyFill="1"/>
    <xf numFmtId="44" fontId="13" fillId="0" borderId="0" xfId="0" applyNumberFormat="1" applyFont="1" applyFill="1"/>
    <xf numFmtId="167" fontId="13" fillId="0" borderId="0" xfId="847" applyNumberFormat="1" applyFont="1" applyFill="1" applyBorder="1"/>
    <xf numFmtId="37" fontId="13" fillId="0" borderId="0" xfId="3" applyNumberFormat="1" applyFont="1" applyFill="1" applyAlignment="1">
      <alignment horizontal="center"/>
    </xf>
    <xf numFmtId="10" fontId="90" fillId="0" borderId="0" xfId="0" applyNumberFormat="1" applyFont="1" applyFill="1"/>
    <xf numFmtId="0" fontId="15" fillId="0" borderId="0" xfId="0" quotePrefix="1" applyFont="1" applyFill="1" applyAlignment="1">
      <alignment horizontal="left"/>
    </xf>
    <xf numFmtId="0" fontId="13" fillId="0" borderId="0" xfId="0" applyFont="1" applyFill="1" applyBorder="1"/>
    <xf numFmtId="0" fontId="13" fillId="0" borderId="0" xfId="847" applyFont="1" applyFill="1" applyAlignment="1">
      <alignment horizontal="left" indent="1"/>
    </xf>
    <xf numFmtId="176" fontId="13" fillId="0" borderId="0" xfId="0" applyNumberFormat="1" applyFont="1" applyFill="1"/>
    <xf numFmtId="167" fontId="14" fillId="0" borderId="30" xfId="847" applyNumberFormat="1" applyFont="1" applyFill="1" applyBorder="1"/>
    <xf numFmtId="42" fontId="13" fillId="0" borderId="0" xfId="0" applyNumberFormat="1" applyFont="1" applyFill="1" applyBorder="1"/>
    <xf numFmtId="182" fontId="13" fillId="0" borderId="0" xfId="4" applyNumberFormat="1" applyFont="1" applyFill="1" applyBorder="1"/>
    <xf numFmtId="42" fontId="14" fillId="0" borderId="0" xfId="0" applyNumberFormat="1" applyFont="1" applyFill="1"/>
    <xf numFmtId="0" fontId="14" fillId="0" borderId="0" xfId="0" quotePrefix="1" applyFont="1" applyFill="1" applyProtection="1"/>
    <xf numFmtId="167" fontId="14" fillId="0" borderId="0" xfId="0" applyNumberFormat="1" applyFont="1" applyFill="1"/>
    <xf numFmtId="182" fontId="13" fillId="0" borderId="0" xfId="0" applyNumberFormat="1" applyFont="1" applyFill="1"/>
    <xf numFmtId="0" fontId="103" fillId="0" borderId="0" xfId="0" applyFont="1"/>
    <xf numFmtId="191" fontId="0" fillId="8" borderId="0" xfId="0" applyNumberFormat="1" applyFont="1" applyFill="1" applyAlignment="1">
      <alignment horizontal="right"/>
    </xf>
    <xf numFmtId="191" fontId="70" fillId="8" borderId="0" xfId="0" applyNumberFormat="1" applyFont="1" applyFill="1" applyAlignment="1">
      <alignment horizontal="left"/>
    </xf>
    <xf numFmtId="194" fontId="13" fillId="0" borderId="0" xfId="4" applyNumberFormat="1" applyFont="1" applyFill="1" applyBorder="1"/>
    <xf numFmtId="0" fontId="90" fillId="0" borderId="0" xfId="0" applyFont="1" applyAlignment="1">
      <alignment horizontal="center"/>
    </xf>
    <xf numFmtId="164" fontId="88" fillId="85" borderId="0" xfId="1" applyNumberFormat="1" applyFont="1" applyFill="1" applyAlignment="1">
      <alignment horizontal="right"/>
    </xf>
    <xf numFmtId="164" fontId="72" fillId="85" borderId="0" xfId="1" applyNumberFormat="1" applyFont="1" applyFill="1" applyAlignment="1" applyProtection="1">
      <alignment horizontal="left"/>
    </xf>
    <xf numFmtId="164" fontId="88" fillId="85" borderId="5" xfId="1" applyNumberFormat="1" applyFont="1" applyFill="1" applyBorder="1" applyAlignment="1">
      <alignment horizontal="right"/>
    </xf>
    <xf numFmtId="164" fontId="72" fillId="85" borderId="5" xfId="1" applyNumberFormat="1" applyFont="1" applyFill="1" applyBorder="1" applyAlignment="1" applyProtection="1">
      <alignment horizontal="left"/>
    </xf>
    <xf numFmtId="164" fontId="88" fillId="85" borderId="0" xfId="1" applyNumberFormat="1" applyFont="1" applyFill="1" applyBorder="1" applyAlignment="1">
      <alignment horizontal="right"/>
    </xf>
    <xf numFmtId="164" fontId="97" fillId="85" borderId="0" xfId="1" applyNumberFormat="1" applyFont="1" applyFill="1" applyAlignment="1" applyProtection="1">
      <alignment horizontal="left"/>
    </xf>
    <xf numFmtId="164" fontId="97" fillId="85" borderId="0" xfId="1" applyNumberFormat="1" applyFont="1" applyFill="1" applyBorder="1" applyAlignment="1" applyProtection="1">
      <alignment horizontal="left"/>
    </xf>
    <xf numFmtId="176" fontId="72" fillId="19" borderId="5" xfId="1" applyNumberFormat="1" applyFont="1" applyFill="1" applyBorder="1" applyAlignment="1">
      <alignment horizontal="right"/>
    </xf>
    <xf numFmtId="0" fontId="90" fillId="0" borderId="0" xfId="0" applyFont="1" applyBorder="1" applyAlignment="1">
      <alignment horizontal="center"/>
    </xf>
    <xf numFmtId="175" fontId="13" fillId="0" borderId="0" xfId="85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37" fontId="13" fillId="0" borderId="0" xfId="0" applyNumberFormat="1" applyFont="1" applyFill="1" applyAlignment="1">
      <alignment horizontal="center"/>
    </xf>
    <xf numFmtId="37" fontId="14" fillId="0" borderId="0" xfId="0" applyNumberFormat="1" applyFont="1" applyFill="1" applyAlignment="1">
      <alignment horizontal="center"/>
    </xf>
    <xf numFmtId="0" fontId="13" fillId="0" borderId="0" xfId="0" applyFont="1" applyFill="1" applyBorder="1" applyAlignment="1">
      <alignment horizontal="center"/>
    </xf>
    <xf numFmtId="164" fontId="13" fillId="0" borderId="0" xfId="0" applyNumberFormat="1" applyFont="1" applyFill="1" applyAlignment="1">
      <alignment horizontal="center"/>
    </xf>
    <xf numFmtId="176" fontId="13" fillId="0" borderId="0" xfId="0" applyNumberFormat="1" applyFont="1" applyFill="1" applyAlignment="1">
      <alignment horizontal="center"/>
    </xf>
    <xf numFmtId="164" fontId="14" fillId="0" borderId="0" xfId="0" applyNumberFormat="1" applyFont="1" applyFill="1" applyAlignment="1">
      <alignment horizontal="center"/>
    </xf>
    <xf numFmtId="178" fontId="13" fillId="0" borderId="0" xfId="850" applyNumberFormat="1" applyFont="1" applyBorder="1" applyAlignment="1" applyProtection="1">
      <alignment horizontal="center"/>
    </xf>
    <xf numFmtId="1" fontId="13" fillId="0" borderId="0" xfId="0" applyNumberFormat="1" applyFont="1" applyFill="1" applyBorder="1" applyAlignment="1">
      <alignment horizontal="center"/>
    </xf>
    <xf numFmtId="181" fontId="0" fillId="0" borderId="0" xfId="0" applyNumberFormat="1"/>
    <xf numFmtId="0" fontId="104" fillId="0" borderId="0" xfId="0" applyFont="1"/>
    <xf numFmtId="0" fontId="104" fillId="0" borderId="0" xfId="0" applyFont="1" applyAlignment="1">
      <alignment horizontal="center"/>
    </xf>
    <xf numFmtId="0" fontId="104" fillId="0" borderId="0" xfId="0" applyFont="1" applyAlignment="1">
      <alignment horizontal="left"/>
    </xf>
    <xf numFmtId="0" fontId="105" fillId="0" borderId="0" xfId="0" applyFont="1" applyAlignment="1">
      <alignment horizontal="left"/>
    </xf>
    <xf numFmtId="164" fontId="13" fillId="0" borderId="0" xfId="1" applyNumberFormat="1" applyFont="1" applyFill="1" applyBorder="1"/>
    <xf numFmtId="167" fontId="14" fillId="0" borderId="30" xfId="0" applyNumberFormat="1" applyFont="1" applyFill="1" applyBorder="1"/>
    <xf numFmtId="195" fontId="13" fillId="0" borderId="8" xfId="4" applyNumberFormat="1" applyFont="1" applyFill="1" applyBorder="1"/>
    <xf numFmtId="164" fontId="8" fillId="10" borderId="0" xfId="0" applyNumberFormat="1" applyFont="1" applyFill="1"/>
    <xf numFmtId="196" fontId="13" fillId="0" borderId="0" xfId="0" applyNumberFormat="1" applyFont="1" applyFill="1" applyBorder="1"/>
    <xf numFmtId="164" fontId="72" fillId="85" borderId="0" xfId="1" applyNumberFormat="1" applyFont="1" applyFill="1" applyBorder="1" applyAlignment="1" applyProtection="1">
      <alignment horizontal="left"/>
    </xf>
    <xf numFmtId="176" fontId="72" fillId="0" borderId="0" xfId="1" applyNumberFormat="1" applyFont="1" applyFill="1" applyBorder="1" applyAlignment="1" applyProtection="1">
      <alignment horizontal="right"/>
    </xf>
    <xf numFmtId="164" fontId="72" fillId="0" borderId="0" xfId="1" applyNumberFormat="1" applyFont="1" applyFill="1" applyBorder="1" applyAlignment="1" applyProtection="1">
      <alignment horizontal="right"/>
    </xf>
    <xf numFmtId="176" fontId="72" fillId="0" borderId="5" xfId="1" applyNumberFormat="1" applyFont="1" applyFill="1" applyBorder="1" applyAlignment="1" applyProtection="1">
      <alignment horizontal="right"/>
    </xf>
    <xf numFmtId="164" fontId="72" fillId="0" borderId="5" xfId="1" applyNumberFormat="1" applyFont="1" applyFill="1" applyBorder="1" applyAlignment="1" applyProtection="1">
      <alignment horizontal="right"/>
    </xf>
    <xf numFmtId="43" fontId="13" fillId="0" borderId="0" xfId="424" applyFont="1" applyFill="1" applyBorder="1"/>
    <xf numFmtId="176" fontId="69" fillId="0" borderId="0" xfId="1" applyNumberFormat="1" applyFont="1" applyFill="1" applyAlignment="1">
      <alignment horizontal="center"/>
    </xf>
    <xf numFmtId="0" fontId="13" fillId="0" borderId="0" xfId="848" applyFont="1" applyFill="1" applyAlignment="1">
      <alignment horizontal="center"/>
    </xf>
    <xf numFmtId="176" fontId="13" fillId="0" borderId="0" xfId="1" applyNumberFormat="1" applyFont="1" applyFill="1" applyAlignment="1">
      <alignment horizontal="center"/>
    </xf>
    <xf numFmtId="0" fontId="14" fillId="0" borderId="0" xfId="848" applyFont="1" applyFill="1" applyBorder="1" applyAlignment="1">
      <alignment horizontal="center"/>
    </xf>
    <xf numFmtId="176" fontId="14" fillId="0" borderId="0" xfId="1" applyNumberFormat="1" applyFont="1" applyFill="1" applyBorder="1" applyAlignment="1">
      <alignment horizontal="right"/>
    </xf>
    <xf numFmtId="164" fontId="14" fillId="0" borderId="0" xfId="1" applyNumberFormat="1" applyFont="1" applyFill="1" applyBorder="1" applyAlignment="1">
      <alignment horizontal="right"/>
    </xf>
    <xf numFmtId="164" fontId="13" fillId="0" borderId="5" xfId="1" applyNumberFormat="1" applyFont="1" applyFill="1" applyBorder="1" applyAlignment="1">
      <alignment horizontal="center"/>
    </xf>
    <xf numFmtId="176" fontId="13" fillId="0" borderId="5" xfId="1" applyNumberFormat="1" applyFont="1" applyFill="1" applyBorder="1" applyAlignment="1">
      <alignment horizontal="center"/>
    </xf>
    <xf numFmtId="168" fontId="13" fillId="0" borderId="5" xfId="1" quotePrefix="1" applyNumberFormat="1" applyFont="1" applyFill="1" applyBorder="1" applyAlignment="1">
      <alignment horizontal="center"/>
    </xf>
    <xf numFmtId="164" fontId="13" fillId="0" borderId="5" xfId="848" applyNumberFormat="1" applyFont="1" applyFill="1" applyBorder="1"/>
    <xf numFmtId="167" fontId="13" fillId="0" borderId="5" xfId="6" applyNumberFormat="1" applyFont="1" applyFill="1" applyBorder="1"/>
    <xf numFmtId="176" fontId="13" fillId="0" borderId="5" xfId="1" applyNumberFormat="1" applyFont="1" applyFill="1" applyBorder="1"/>
    <xf numFmtId="0" fontId="14" fillId="0" borderId="0" xfId="848" applyFont="1" applyFill="1"/>
    <xf numFmtId="167" fontId="13" fillId="0" borderId="0" xfId="6" applyNumberFormat="1" applyFont="1" applyFill="1" applyBorder="1"/>
    <xf numFmtId="164" fontId="13" fillId="0" borderId="0" xfId="848" applyNumberFormat="1" applyFont="1" applyFill="1"/>
    <xf numFmtId="176" fontId="13" fillId="0" borderId="0" xfId="1" applyNumberFormat="1" applyFont="1" applyFill="1" applyBorder="1"/>
    <xf numFmtId="0" fontId="13" fillId="0" borderId="0" xfId="848" applyFont="1" applyFill="1" applyBorder="1"/>
    <xf numFmtId="176" fontId="13" fillId="0" borderId="0" xfId="848" applyNumberFormat="1" applyFont="1" applyFill="1" applyBorder="1"/>
    <xf numFmtId="164" fontId="13" fillId="0" borderId="0" xfId="848" applyNumberFormat="1" applyFont="1" applyFill="1" applyBorder="1"/>
    <xf numFmtId="0" fontId="13" fillId="0" borderId="5" xfId="848" applyFont="1" applyFill="1" applyBorder="1"/>
    <xf numFmtId="0" fontId="13" fillId="0" borderId="0" xfId="848" quotePrefix="1" applyFont="1" applyFill="1" applyAlignment="1">
      <alignment horizontal="left"/>
    </xf>
    <xf numFmtId="0" fontId="13" fillId="0" borderId="0" xfId="848" applyFont="1" applyFill="1" applyAlignment="1">
      <alignment horizontal="left"/>
    </xf>
    <xf numFmtId="0" fontId="14" fillId="0" borderId="5" xfId="848" applyFont="1" applyFill="1" applyBorder="1"/>
    <xf numFmtId="0" fontId="13" fillId="0" borderId="0" xfId="848" applyFont="1" applyFill="1" applyAlignment="1">
      <alignment horizontal="right"/>
    </xf>
    <xf numFmtId="43" fontId="13" fillId="0" borderId="0" xfId="848" applyNumberFormat="1" applyFont="1" applyFill="1"/>
    <xf numFmtId="176" fontId="72" fillId="86" borderId="0" xfId="1" applyNumberFormat="1" applyFont="1" applyFill="1" applyBorder="1" applyAlignment="1" applyProtection="1">
      <alignment horizontal="right"/>
    </xf>
    <xf numFmtId="164" fontId="72" fillId="86" borderId="0" xfId="1" applyNumberFormat="1" applyFont="1" applyFill="1" applyBorder="1" applyAlignment="1" applyProtection="1">
      <alignment horizontal="right"/>
    </xf>
    <xf numFmtId="176" fontId="72" fillId="86" borderId="5" xfId="1" applyNumberFormat="1" applyFont="1" applyFill="1" applyBorder="1" applyAlignment="1" applyProtection="1">
      <alignment horizontal="right"/>
    </xf>
    <xf numFmtId="164" fontId="72" fillId="86" borderId="5" xfId="1" applyNumberFormat="1" applyFont="1" applyFill="1" applyBorder="1" applyAlignment="1" applyProtection="1">
      <alignment horizontal="right"/>
    </xf>
    <xf numFmtId="191" fontId="0" fillId="0" borderId="0" xfId="0" applyNumberFormat="1"/>
    <xf numFmtId="42" fontId="13" fillId="0" borderId="0" xfId="848" applyNumberFormat="1" applyFont="1" applyFill="1"/>
    <xf numFmtId="164" fontId="13" fillId="0" borderId="0" xfId="3" applyNumberFormat="1" applyFont="1" applyFill="1"/>
    <xf numFmtId="164" fontId="97" fillId="0" borderId="5" xfId="1" applyNumberFormat="1" applyFont="1" applyBorder="1" applyAlignment="1" applyProtection="1">
      <alignment horizontal="left"/>
    </xf>
    <xf numFmtId="44" fontId="72" fillId="8" borderId="0" xfId="849" applyNumberFormat="1" applyFont="1" applyFill="1"/>
    <xf numFmtId="42" fontId="72" fillId="0" borderId="0" xfId="848" applyNumberFormat="1" applyFont="1"/>
    <xf numFmtId="167" fontId="14" fillId="0" borderId="30" xfId="849" applyNumberFormat="1" applyFont="1" applyFill="1" applyBorder="1"/>
    <xf numFmtId="0" fontId="14" fillId="0" borderId="0" xfId="0" applyFont="1" applyFill="1" applyAlignment="1">
      <alignment horizontal="left"/>
    </xf>
    <xf numFmtId="43" fontId="90" fillId="0" borderId="0" xfId="3" applyFont="1"/>
    <xf numFmtId="164" fontId="90" fillId="0" borderId="0" xfId="3" applyNumberFormat="1" applyFont="1"/>
    <xf numFmtId="195" fontId="13" fillId="0" borderId="0" xfId="4" applyNumberFormat="1" applyFont="1" applyFill="1" applyBorder="1"/>
    <xf numFmtId="171" fontId="13" fillId="0" borderId="0" xfId="3" applyNumberFormat="1" applyFont="1" applyFill="1"/>
    <xf numFmtId="167" fontId="14" fillId="0" borderId="0" xfId="4" applyNumberFormat="1" applyFont="1" applyFill="1"/>
    <xf numFmtId="43" fontId="24" fillId="0" borderId="0" xfId="9" applyFont="1" applyBorder="1" applyAlignment="1">
      <alignment horizontal="left"/>
    </xf>
    <xf numFmtId="41" fontId="25" fillId="0" borderId="0" xfId="851" applyFont="1" applyBorder="1"/>
    <xf numFmtId="41" fontId="24" fillId="0" borderId="0" xfId="851" quotePrefix="1" applyFont="1" applyBorder="1" applyAlignment="1">
      <alignment horizontal="right"/>
    </xf>
    <xf numFmtId="0" fontId="106" fillId="0" borderId="0" xfId="0" applyFont="1" applyBorder="1"/>
    <xf numFmtId="41" fontId="25" fillId="0" borderId="0" xfId="851" applyFont="1"/>
    <xf numFmtId="0" fontId="106" fillId="0" borderId="0" xfId="0" applyFont="1"/>
    <xf numFmtId="41" fontId="24" fillId="0" borderId="0" xfId="851" applyFont="1" applyBorder="1" applyAlignment="1">
      <alignment horizontal="left"/>
    </xf>
    <xf numFmtId="41" fontId="24" fillId="0" borderId="0" xfId="851" applyFont="1" applyBorder="1" applyAlignment="1">
      <alignment horizontal="right"/>
    </xf>
    <xf numFmtId="41" fontId="25" fillId="0" borderId="0" xfId="851" applyFont="1" applyBorder="1" applyAlignment="1">
      <alignment horizontal="left"/>
    </xf>
    <xf numFmtId="0" fontId="94" fillId="0" borderId="0" xfId="0" applyFont="1" applyBorder="1" applyAlignment="1">
      <alignment horizontal="right"/>
    </xf>
    <xf numFmtId="0" fontId="94" fillId="0" borderId="0" xfId="0" applyFont="1" applyBorder="1" applyAlignment="1">
      <alignment horizontal="center"/>
    </xf>
    <xf numFmtId="0" fontId="94" fillId="0" borderId="29" xfId="0" applyFont="1" applyBorder="1" applyAlignment="1">
      <alignment horizontal="left"/>
    </xf>
    <xf numFmtId="0" fontId="94" fillId="0" borderId="29" xfId="0" applyFont="1" applyBorder="1" applyAlignment="1">
      <alignment horizontal="center"/>
    </xf>
    <xf numFmtId="167" fontId="106" fillId="0" borderId="0" xfId="4" applyNumberFormat="1" applyFont="1"/>
    <xf numFmtId="167" fontId="106" fillId="0" borderId="0" xfId="4" applyNumberFormat="1" applyFont="1" applyFill="1"/>
    <xf numFmtId="167" fontId="106" fillId="0" borderId="8" xfId="4" applyNumberFormat="1" applyFont="1" applyBorder="1"/>
    <xf numFmtId="167" fontId="106" fillId="0" borderId="8" xfId="4" applyNumberFormat="1" applyFont="1" applyFill="1" applyBorder="1"/>
    <xf numFmtId="0" fontId="106" fillId="0" borderId="0" xfId="0" applyFont="1" applyFill="1"/>
    <xf numFmtId="164" fontId="106" fillId="0" borderId="0" xfId="0" applyNumberFormat="1" applyFont="1"/>
    <xf numFmtId="167" fontId="106" fillId="0" borderId="0" xfId="0" applyNumberFormat="1" applyFont="1"/>
    <xf numFmtId="10" fontId="106" fillId="0" borderId="0" xfId="10" applyNumberFormat="1" applyFont="1"/>
    <xf numFmtId="9" fontId="106" fillId="0" borderId="0" xfId="0" applyNumberFormat="1" applyFont="1"/>
    <xf numFmtId="43" fontId="24" fillId="0" borderId="0" xfId="9" quotePrefix="1" applyFont="1" applyAlignment="1">
      <alignment horizontal="left"/>
    </xf>
    <xf numFmtId="0" fontId="94" fillId="0" borderId="0" xfId="0" quotePrefix="1" applyFont="1" applyAlignment="1">
      <alignment horizontal="right"/>
    </xf>
    <xf numFmtId="41" fontId="24" fillId="0" borderId="0" xfId="851" applyFont="1" applyFill="1" applyAlignment="1">
      <alignment horizontal="left"/>
    </xf>
    <xf numFmtId="41" fontId="94" fillId="0" borderId="0" xfId="0" applyNumberFormat="1" applyFont="1" applyAlignment="1">
      <alignment horizontal="right"/>
    </xf>
    <xf numFmtId="0" fontId="94" fillId="0" borderId="0" xfId="0" applyFont="1" applyAlignment="1">
      <alignment horizontal="right"/>
    </xf>
    <xf numFmtId="41" fontId="25" fillId="0" borderId="0" xfId="851" applyFont="1" applyFill="1" applyAlignment="1">
      <alignment horizontal="left"/>
    </xf>
    <xf numFmtId="0" fontId="106" fillId="0" borderId="29" xfId="0" applyFont="1" applyBorder="1"/>
    <xf numFmtId="0" fontId="106" fillId="0" borderId="29" xfId="0" applyFont="1" applyBorder="1" applyAlignment="1">
      <alignment horizontal="center" wrapText="1"/>
    </xf>
    <xf numFmtId="0" fontId="106" fillId="0" borderId="29" xfId="0" quotePrefix="1" applyFont="1" applyBorder="1" applyAlignment="1">
      <alignment horizontal="center" wrapText="1"/>
    </xf>
    <xf numFmtId="0" fontId="106" fillId="0" borderId="0" xfId="0" applyFont="1" applyBorder="1" applyAlignment="1">
      <alignment horizontal="center" wrapText="1"/>
    </xf>
    <xf numFmtId="0" fontId="106" fillId="0" borderId="0" xfId="0" applyFont="1" applyAlignment="1">
      <alignment horizontal="center" wrapText="1"/>
    </xf>
    <xf numFmtId="186" fontId="106" fillId="0" borderId="0" xfId="0" applyNumberFormat="1" applyFont="1" applyAlignment="1">
      <alignment horizontal="center" wrapText="1"/>
    </xf>
    <xf numFmtId="41" fontId="25" fillId="0" borderId="0" xfId="851" quotePrefix="1" applyFont="1" applyAlignment="1">
      <alignment horizontal="left"/>
    </xf>
    <xf numFmtId="37" fontId="106" fillId="0" borderId="0" xfId="0" applyNumberFormat="1" applyFont="1"/>
    <xf numFmtId="39" fontId="106" fillId="0" borderId="0" xfId="0" applyNumberFormat="1" applyFont="1"/>
    <xf numFmtId="44" fontId="106" fillId="0" borderId="0" xfId="4" applyFont="1"/>
    <xf numFmtId="44" fontId="106" fillId="0" borderId="0" xfId="0" applyNumberFormat="1" applyFont="1"/>
    <xf numFmtId="41" fontId="25" fillId="0" borderId="0" xfId="851" applyFont="1" applyFill="1"/>
    <xf numFmtId="164" fontId="106" fillId="0" borderId="0" xfId="9" applyNumberFormat="1" applyFont="1" applyFill="1"/>
    <xf numFmtId="41" fontId="24" fillId="0" borderId="0" xfId="851" applyFont="1" applyFill="1"/>
    <xf numFmtId="164" fontId="106" fillId="0" borderId="0" xfId="9" applyNumberFormat="1" applyFont="1"/>
    <xf numFmtId="0" fontId="106" fillId="0" borderId="0" xfId="0" applyFont="1" applyAlignment="1">
      <alignment horizontal="left" indent="1"/>
    </xf>
    <xf numFmtId="164" fontId="107" fillId="0" borderId="0" xfId="9" applyNumberFormat="1" applyFont="1"/>
    <xf numFmtId="0" fontId="106" fillId="0" borderId="0" xfId="0" applyFont="1" applyAlignment="1">
      <alignment horizontal="left"/>
    </xf>
    <xf numFmtId="164" fontId="108" fillId="0" borderId="0" xfId="9" applyNumberFormat="1" applyFont="1"/>
    <xf numFmtId="164" fontId="109" fillId="0" borderId="0" xfId="9" applyNumberFormat="1" applyFont="1"/>
    <xf numFmtId="167" fontId="109" fillId="0" borderId="0" xfId="0" applyNumberFormat="1" applyFont="1"/>
    <xf numFmtId="0" fontId="106" fillId="82" borderId="0" xfId="0" applyFont="1" applyFill="1"/>
    <xf numFmtId="37" fontId="106" fillId="82" borderId="0" xfId="0" applyNumberFormat="1" applyFont="1" applyFill="1"/>
    <xf numFmtId="37" fontId="106" fillId="0" borderId="0" xfId="0" applyNumberFormat="1" applyFont="1" applyFill="1"/>
    <xf numFmtId="167" fontId="107" fillId="0" borderId="0" xfId="4" applyNumberFormat="1" applyFont="1"/>
    <xf numFmtId="0" fontId="106" fillId="0" borderId="0" xfId="0" quotePrefix="1" applyFont="1" applyAlignment="1">
      <alignment horizontal="left"/>
    </xf>
    <xf numFmtId="167" fontId="109" fillId="0" borderId="0" xfId="4" applyNumberFormat="1" applyFont="1"/>
    <xf numFmtId="43" fontId="94" fillId="0" borderId="0" xfId="0" applyNumberFormat="1" applyFont="1"/>
    <xf numFmtId="41" fontId="94" fillId="0" borderId="0" xfId="0" applyNumberFormat="1" applyFont="1"/>
    <xf numFmtId="0" fontId="110" fillId="0" borderId="0" xfId="0" applyFont="1"/>
    <xf numFmtId="41" fontId="106" fillId="0" borderId="0" xfId="0" applyNumberFormat="1" applyFont="1"/>
    <xf numFmtId="41" fontId="106" fillId="0" borderId="0" xfId="0" applyNumberFormat="1" applyFont="1" applyAlignment="1">
      <alignment horizontal="right"/>
    </xf>
    <xf numFmtId="41" fontId="25" fillId="0" borderId="29" xfId="851" applyFont="1" applyBorder="1" applyAlignment="1">
      <alignment horizontal="center"/>
    </xf>
    <xf numFmtId="41" fontId="25" fillId="0" borderId="29" xfId="851" quotePrefix="1" applyFont="1" applyBorder="1" applyAlignment="1">
      <alignment horizontal="center" wrapText="1"/>
    </xf>
    <xf numFmtId="41" fontId="25" fillId="0" borderId="0" xfId="851" quotePrefix="1" applyFont="1" applyAlignment="1">
      <alignment horizontal="center"/>
    </xf>
    <xf numFmtId="167" fontId="25" fillId="0" borderId="0" xfId="4" applyNumberFormat="1" applyFont="1" applyFill="1" applyBorder="1"/>
    <xf numFmtId="41" fontId="24" fillId="0" borderId="0" xfId="851" applyFont="1"/>
    <xf numFmtId="41" fontId="25" fillId="0" borderId="0" xfId="851" quotePrefix="1" applyFont="1" applyAlignment="1">
      <alignment horizontal="left" indent="1"/>
    </xf>
    <xf numFmtId="167" fontId="110" fillId="0" borderId="0" xfId="0" applyNumberFormat="1" applyFont="1"/>
    <xf numFmtId="167" fontId="24" fillId="0" borderId="7" xfId="4" applyNumberFormat="1" applyFont="1" applyBorder="1"/>
    <xf numFmtId="164" fontId="110" fillId="0" borderId="0" xfId="3" applyNumberFormat="1" applyFont="1"/>
    <xf numFmtId="37" fontId="106" fillId="0" borderId="0" xfId="0" applyNumberFormat="1" applyFont="1" applyAlignment="1">
      <alignment horizontal="center"/>
    </xf>
    <xf numFmtId="1" fontId="106" fillId="0" borderId="0" xfId="0" applyNumberFormat="1" applyFont="1" applyAlignment="1">
      <alignment horizontal="center"/>
    </xf>
    <xf numFmtId="0" fontId="106" fillId="0" borderId="0" xfId="0" applyFont="1" applyAlignment="1">
      <alignment horizontal="center"/>
    </xf>
    <xf numFmtId="179" fontId="106" fillId="0" borderId="0" xfId="0" applyNumberFormat="1" applyFont="1" applyAlignment="1">
      <alignment horizontal="center"/>
    </xf>
    <xf numFmtId="0" fontId="98" fillId="0" borderId="0" xfId="0" applyFont="1"/>
    <xf numFmtId="197" fontId="13" fillId="0" borderId="0" xfId="0" applyNumberFormat="1" applyFont="1" applyFill="1"/>
    <xf numFmtId="167" fontId="14" fillId="0" borderId="0" xfId="849" applyNumberFormat="1" applyFont="1" applyFill="1" applyBorder="1"/>
    <xf numFmtId="0" fontId="91" fillId="0" borderId="0" xfId="0" applyFont="1" applyFill="1"/>
    <xf numFmtId="171" fontId="13" fillId="0" borderId="0" xfId="0" applyNumberFormat="1" applyFont="1" applyFill="1"/>
    <xf numFmtId="1" fontId="75" fillId="10" borderId="0" xfId="0" applyNumberFormat="1" applyFont="1" applyFill="1"/>
    <xf numFmtId="164" fontId="25" fillId="0" borderId="5" xfId="1" applyNumberFormat="1" applyFont="1" applyFill="1" applyBorder="1" applyAlignment="1">
      <alignment horizontal="center"/>
    </xf>
    <xf numFmtId="0" fontId="25" fillId="0" borderId="0" xfId="15" applyFont="1" applyFill="1" applyAlignment="1">
      <alignment horizontal="center"/>
    </xf>
    <xf numFmtId="0" fontId="25" fillId="0" borderId="5" xfId="15" applyFont="1" applyFill="1" applyBorder="1" applyAlignment="1">
      <alignment horizontal="center"/>
    </xf>
    <xf numFmtId="167" fontId="0" fillId="0" borderId="0" xfId="0" applyNumberFormat="1" applyFill="1"/>
    <xf numFmtId="0" fontId="70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76" fillId="0" borderId="0" xfId="0" applyFont="1" applyFill="1" applyBorder="1"/>
    <xf numFmtId="0" fontId="70" fillId="0" borderId="0" xfId="0" applyFont="1" applyFill="1" applyBorder="1"/>
    <xf numFmtId="0" fontId="0" fillId="0" borderId="5" xfId="0" applyFill="1" applyBorder="1"/>
    <xf numFmtId="0" fontId="0" fillId="0" borderId="5" xfId="0" applyFill="1" applyBorder="1" applyAlignment="1">
      <alignment wrapText="1"/>
    </xf>
    <xf numFmtId="0" fontId="0" fillId="0" borderId="5" xfId="2" applyFont="1" applyFill="1" applyBorder="1" applyAlignment="1">
      <alignment wrapText="1"/>
    </xf>
    <xf numFmtId="49" fontId="0" fillId="0" borderId="0" xfId="0" applyNumberFormat="1" applyFill="1"/>
    <xf numFmtId="175" fontId="4" fillId="0" borderId="0" xfId="0" applyNumberFormat="1" applyFont="1" applyFill="1"/>
    <xf numFmtId="164" fontId="25" fillId="0" borderId="10" xfId="15" applyNumberFormat="1" applyFont="1" applyFill="1" applyBorder="1"/>
    <xf numFmtId="0" fontId="101" fillId="0" borderId="0" xfId="0" applyFont="1" applyFill="1" applyAlignment="1">
      <alignment horizontal="right"/>
    </xf>
    <xf numFmtId="43" fontId="8" fillId="0" borderId="0" xfId="0" applyNumberFormat="1" applyFont="1"/>
    <xf numFmtId="0" fontId="104" fillId="0" borderId="0" xfId="0" applyFont="1" applyAlignment="1">
      <alignment horizontal="center"/>
    </xf>
    <xf numFmtId="0" fontId="105" fillId="0" borderId="0" xfId="0" applyFont="1" applyAlignment="1">
      <alignment horizontal="center"/>
    </xf>
    <xf numFmtId="0" fontId="92" fillId="0" borderId="40" xfId="15" applyFont="1" applyFill="1" applyBorder="1" applyAlignment="1">
      <alignment horizontal="center"/>
    </xf>
    <xf numFmtId="0" fontId="92" fillId="0" borderId="41" xfId="15" applyFont="1" applyFill="1" applyBorder="1" applyAlignment="1">
      <alignment horizontal="center"/>
    </xf>
    <xf numFmtId="0" fontId="92" fillId="0" borderId="42" xfId="15" applyFont="1" applyFill="1" applyBorder="1" applyAlignment="1">
      <alignment horizontal="center"/>
    </xf>
    <xf numFmtId="0" fontId="25" fillId="0" borderId="0" xfId="15" applyFont="1" applyFill="1" applyAlignment="1">
      <alignment horizontal="center"/>
    </xf>
    <xf numFmtId="0" fontId="25" fillId="0" borderId="5" xfId="15" quotePrefix="1" applyFont="1" applyFill="1" applyBorder="1" applyAlignment="1">
      <alignment horizontal="center"/>
    </xf>
    <xf numFmtId="0" fontId="25" fillId="0" borderId="5" xfId="15" applyFont="1" applyFill="1" applyBorder="1" applyAlignment="1">
      <alignment horizontal="center"/>
    </xf>
    <xf numFmtId="0" fontId="14" fillId="0" borderId="29" xfId="848" quotePrefix="1" applyFont="1" applyFill="1" applyBorder="1" applyAlignment="1">
      <alignment horizontal="center"/>
    </xf>
    <xf numFmtId="0" fontId="14" fillId="0" borderId="29" xfId="848" applyFont="1" applyFill="1" applyBorder="1" applyAlignment="1">
      <alignment horizontal="center"/>
    </xf>
    <xf numFmtId="164" fontId="72" fillId="0" borderId="5" xfId="1" quotePrefix="1" applyNumberFormat="1" applyFont="1" applyBorder="1" applyAlignment="1">
      <alignment horizontal="center"/>
    </xf>
    <xf numFmtId="164" fontId="72" fillId="0" borderId="5" xfId="1" applyNumberFormat="1" applyFont="1" applyBorder="1" applyAlignment="1">
      <alignment horizontal="center"/>
    </xf>
    <xf numFmtId="49" fontId="0" fillId="5" borderId="6" xfId="0" applyNumberFormat="1" applyFill="1" applyBorder="1" applyAlignment="1">
      <alignment horizontal="left" vertical="center" wrapText="1"/>
    </xf>
    <xf numFmtId="49" fontId="0" fillId="5" borderId="3" xfId="0" applyNumberFormat="1" applyFill="1" applyBorder="1" applyAlignment="1">
      <alignment horizontal="left" vertical="center" wrapText="1"/>
    </xf>
    <xf numFmtId="49" fontId="78" fillId="5" borderId="2" xfId="0" applyNumberFormat="1" applyFont="1" applyFill="1" applyBorder="1" applyAlignment="1">
      <alignment horizontal="left" vertical="center" wrapText="1"/>
    </xf>
    <xf numFmtId="49" fontId="78" fillId="5" borderId="3" xfId="0" applyNumberFormat="1" applyFont="1" applyFill="1" applyBorder="1" applyAlignment="1">
      <alignment horizontal="left" vertical="center" wrapText="1"/>
    </xf>
    <xf numFmtId="49" fontId="0" fillId="5" borderId="2" xfId="0" applyNumberFormat="1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/>
    </xf>
    <xf numFmtId="49" fontId="78" fillId="77" borderId="2" xfId="0" applyNumberFormat="1" applyFont="1" applyFill="1" applyBorder="1" applyAlignment="1">
      <alignment horizontal="left" vertical="center" wrapText="1"/>
    </xf>
    <xf numFmtId="49" fontId="78" fillId="77" borderId="3" xfId="0" applyNumberFormat="1" applyFont="1" applyFill="1" applyBorder="1" applyAlignment="1">
      <alignment horizontal="left" vertical="center" wrapText="1"/>
    </xf>
    <xf numFmtId="0" fontId="90" fillId="0" borderId="0" xfId="0" applyFont="1" applyFill="1" applyAlignment="1">
      <alignment horizontal="left"/>
    </xf>
    <xf numFmtId="49" fontId="111" fillId="87" borderId="1" xfId="5" applyNumberFormat="1" applyFont="1" applyFill="1" applyBorder="1" applyAlignment="1">
      <alignment horizontal="right" vertical="center"/>
    </xf>
  </cellXfs>
  <cellStyles count="853">
    <cellStyle name="20% - Accent1 10" xfId="16"/>
    <cellStyle name="20% - Accent1 11" xfId="17"/>
    <cellStyle name="20% - Accent1 12" xfId="18"/>
    <cellStyle name="20% - Accent1 13" xfId="19"/>
    <cellStyle name="20% - Accent1 14" xfId="20"/>
    <cellStyle name="20% - Accent1 15" xfId="21"/>
    <cellStyle name="20% - Accent1 16" xfId="22"/>
    <cellStyle name="20% - Accent1 2" xfId="23"/>
    <cellStyle name="20% - Accent1 3" xfId="24"/>
    <cellStyle name="20% - Accent1 4" xfId="25"/>
    <cellStyle name="20% - Accent1 5" xfId="26"/>
    <cellStyle name="20% - Accent1 6" xfId="27"/>
    <cellStyle name="20% - Accent1 7" xfId="28"/>
    <cellStyle name="20% - Accent1 8" xfId="29"/>
    <cellStyle name="20% - Accent1 9" xfId="30"/>
    <cellStyle name="20% - Accent2 10" xfId="31"/>
    <cellStyle name="20% - Accent2 11" xfId="32"/>
    <cellStyle name="20% - Accent2 12" xfId="33"/>
    <cellStyle name="20% - Accent2 13" xfId="34"/>
    <cellStyle name="20% - Accent2 14" xfId="35"/>
    <cellStyle name="20% - Accent2 15" xfId="36"/>
    <cellStyle name="20% - Accent2 16" xfId="37"/>
    <cellStyle name="20% - Accent2 2" xfId="38"/>
    <cellStyle name="20% - Accent2 3" xfId="39"/>
    <cellStyle name="20% - Accent2 4" xfId="40"/>
    <cellStyle name="20% - Accent2 5" xfId="41"/>
    <cellStyle name="20% - Accent2 6" xfId="42"/>
    <cellStyle name="20% - Accent2 7" xfId="43"/>
    <cellStyle name="20% - Accent2 8" xfId="44"/>
    <cellStyle name="20% - Accent2 9" xfId="45"/>
    <cellStyle name="20% - Accent3 10" xfId="46"/>
    <cellStyle name="20% - Accent3 11" xfId="47"/>
    <cellStyle name="20% - Accent3 12" xfId="48"/>
    <cellStyle name="20% - Accent3 13" xfId="49"/>
    <cellStyle name="20% - Accent3 14" xfId="50"/>
    <cellStyle name="20% - Accent3 15" xfId="51"/>
    <cellStyle name="20% - Accent3 16" xfId="52"/>
    <cellStyle name="20% - Accent3 2" xfId="53"/>
    <cellStyle name="20% - Accent3 3" xfId="54"/>
    <cellStyle name="20% - Accent3 4" xfId="55"/>
    <cellStyle name="20% - Accent3 5" xfId="56"/>
    <cellStyle name="20% - Accent3 6" xfId="57"/>
    <cellStyle name="20% - Accent3 7" xfId="58"/>
    <cellStyle name="20% - Accent3 8" xfId="59"/>
    <cellStyle name="20% - Accent3 9" xfId="60"/>
    <cellStyle name="20% - Accent4 10" xfId="61"/>
    <cellStyle name="20% - Accent4 11" xfId="62"/>
    <cellStyle name="20% - Accent4 12" xfId="63"/>
    <cellStyle name="20% - Accent4 13" xfId="64"/>
    <cellStyle name="20% - Accent4 14" xfId="65"/>
    <cellStyle name="20% - Accent4 15" xfId="66"/>
    <cellStyle name="20% - Accent4 16" xfId="67"/>
    <cellStyle name="20% - Accent4 2" xfId="68"/>
    <cellStyle name="20% - Accent4 3" xfId="69"/>
    <cellStyle name="20% - Accent4 4" xfId="70"/>
    <cellStyle name="20% - Accent4 5" xfId="71"/>
    <cellStyle name="20% - Accent4 6" xfId="72"/>
    <cellStyle name="20% - Accent4 7" xfId="73"/>
    <cellStyle name="20% - Accent4 8" xfId="74"/>
    <cellStyle name="20% - Accent4 9" xfId="75"/>
    <cellStyle name="20% - Accent5 10" xfId="76"/>
    <cellStyle name="20% - Accent5 11" xfId="77"/>
    <cellStyle name="20% - Accent5 12" xfId="78"/>
    <cellStyle name="20% - Accent5 13" xfId="79"/>
    <cellStyle name="20% - Accent5 14" xfId="80"/>
    <cellStyle name="20% - Accent5 15" xfId="81"/>
    <cellStyle name="20% - Accent5 16" xfId="82"/>
    <cellStyle name="20% - Accent5 2" xfId="83"/>
    <cellStyle name="20% - Accent5 3" xfId="84"/>
    <cellStyle name="20% - Accent5 4" xfId="85"/>
    <cellStyle name="20% - Accent5 5" xfId="86"/>
    <cellStyle name="20% - Accent5 6" xfId="87"/>
    <cellStyle name="20% - Accent5 7" xfId="88"/>
    <cellStyle name="20% - Accent5 8" xfId="89"/>
    <cellStyle name="20% - Accent5 9" xfId="90"/>
    <cellStyle name="20% - Accent6 10" xfId="91"/>
    <cellStyle name="20% - Accent6 11" xfId="92"/>
    <cellStyle name="20% - Accent6 12" xfId="93"/>
    <cellStyle name="20% - Accent6 13" xfId="94"/>
    <cellStyle name="20% - Accent6 14" xfId="95"/>
    <cellStyle name="20% - Accent6 15" xfId="96"/>
    <cellStyle name="20% - Accent6 16" xfId="97"/>
    <cellStyle name="20% - Accent6 2" xfId="98"/>
    <cellStyle name="20% - Accent6 3" xfId="99"/>
    <cellStyle name="20% - Accent6 4" xfId="100"/>
    <cellStyle name="20% - Accent6 5" xfId="101"/>
    <cellStyle name="20% - Accent6 6" xfId="102"/>
    <cellStyle name="20% - Accent6 7" xfId="103"/>
    <cellStyle name="20% - Accent6 8" xfId="104"/>
    <cellStyle name="20% - Accent6 9" xfId="105"/>
    <cellStyle name="40% - Accent1 10" xfId="106"/>
    <cellStyle name="40% - Accent1 11" xfId="107"/>
    <cellStyle name="40% - Accent1 12" xfId="108"/>
    <cellStyle name="40% - Accent1 13" xfId="109"/>
    <cellStyle name="40% - Accent1 14" xfId="110"/>
    <cellStyle name="40% - Accent1 15" xfId="111"/>
    <cellStyle name="40% - Accent1 16" xfId="112"/>
    <cellStyle name="40% - Accent1 2" xfId="113"/>
    <cellStyle name="40% - Accent1 3" xfId="114"/>
    <cellStyle name="40% - Accent1 4" xfId="115"/>
    <cellStyle name="40% - Accent1 5" xfId="116"/>
    <cellStyle name="40% - Accent1 6" xfId="117"/>
    <cellStyle name="40% - Accent1 7" xfId="118"/>
    <cellStyle name="40% - Accent1 8" xfId="119"/>
    <cellStyle name="40% - Accent1 9" xfId="120"/>
    <cellStyle name="40% - Accent2 10" xfId="121"/>
    <cellStyle name="40% - Accent2 11" xfId="122"/>
    <cellStyle name="40% - Accent2 12" xfId="123"/>
    <cellStyle name="40% - Accent2 13" xfId="124"/>
    <cellStyle name="40% - Accent2 14" xfId="125"/>
    <cellStyle name="40% - Accent2 15" xfId="126"/>
    <cellStyle name="40% - Accent2 16" xfId="127"/>
    <cellStyle name="40% - Accent2 2" xfId="128"/>
    <cellStyle name="40% - Accent2 3" xfId="129"/>
    <cellStyle name="40% - Accent2 4" xfId="130"/>
    <cellStyle name="40% - Accent2 5" xfId="131"/>
    <cellStyle name="40% - Accent2 6" xfId="132"/>
    <cellStyle name="40% - Accent2 7" xfId="133"/>
    <cellStyle name="40% - Accent2 8" xfId="134"/>
    <cellStyle name="40% - Accent2 9" xfId="135"/>
    <cellStyle name="40% - Accent3 10" xfId="136"/>
    <cellStyle name="40% - Accent3 11" xfId="137"/>
    <cellStyle name="40% - Accent3 12" xfId="138"/>
    <cellStyle name="40% - Accent3 13" xfId="139"/>
    <cellStyle name="40% - Accent3 14" xfId="140"/>
    <cellStyle name="40% - Accent3 15" xfId="141"/>
    <cellStyle name="40% - Accent3 16" xfId="142"/>
    <cellStyle name="40% - Accent3 2" xfId="143"/>
    <cellStyle name="40% - Accent3 3" xfId="144"/>
    <cellStyle name="40% - Accent3 4" xfId="145"/>
    <cellStyle name="40% - Accent3 5" xfId="146"/>
    <cellStyle name="40% - Accent3 6" xfId="147"/>
    <cellStyle name="40% - Accent3 7" xfId="148"/>
    <cellStyle name="40% - Accent3 8" xfId="149"/>
    <cellStyle name="40% - Accent3 9" xfId="150"/>
    <cellStyle name="40% - Accent4 10" xfId="151"/>
    <cellStyle name="40% - Accent4 11" xfId="152"/>
    <cellStyle name="40% - Accent4 12" xfId="153"/>
    <cellStyle name="40% - Accent4 13" xfId="154"/>
    <cellStyle name="40% - Accent4 14" xfId="155"/>
    <cellStyle name="40% - Accent4 15" xfId="156"/>
    <cellStyle name="40% - Accent4 16" xfId="157"/>
    <cellStyle name="40% - Accent4 2" xfId="158"/>
    <cellStyle name="40% - Accent4 3" xfId="159"/>
    <cellStyle name="40% - Accent4 4" xfId="160"/>
    <cellStyle name="40% - Accent4 5" xfId="161"/>
    <cellStyle name="40% - Accent4 6" xfId="162"/>
    <cellStyle name="40% - Accent4 7" xfId="163"/>
    <cellStyle name="40% - Accent4 8" xfId="164"/>
    <cellStyle name="40% - Accent4 9" xfId="165"/>
    <cellStyle name="40% - Accent5 10" xfId="166"/>
    <cellStyle name="40% - Accent5 11" xfId="167"/>
    <cellStyle name="40% - Accent5 12" xfId="168"/>
    <cellStyle name="40% - Accent5 13" xfId="169"/>
    <cellStyle name="40% - Accent5 14" xfId="170"/>
    <cellStyle name="40% - Accent5 15" xfId="171"/>
    <cellStyle name="40% - Accent5 16" xfId="172"/>
    <cellStyle name="40% - Accent5 2" xfId="173"/>
    <cellStyle name="40% - Accent5 3" xfId="174"/>
    <cellStyle name="40% - Accent5 4" xfId="175"/>
    <cellStyle name="40% - Accent5 5" xfId="176"/>
    <cellStyle name="40% - Accent5 6" xfId="177"/>
    <cellStyle name="40% - Accent5 7" xfId="178"/>
    <cellStyle name="40% - Accent5 8" xfId="179"/>
    <cellStyle name="40% - Accent5 9" xfId="180"/>
    <cellStyle name="40% - Accent6 10" xfId="181"/>
    <cellStyle name="40% - Accent6 11" xfId="182"/>
    <cellStyle name="40% - Accent6 12" xfId="183"/>
    <cellStyle name="40% - Accent6 13" xfId="184"/>
    <cellStyle name="40% - Accent6 14" xfId="185"/>
    <cellStyle name="40% - Accent6 15" xfId="186"/>
    <cellStyle name="40% - Accent6 16" xfId="187"/>
    <cellStyle name="40% - Accent6 2" xfId="188"/>
    <cellStyle name="40% - Accent6 3" xfId="189"/>
    <cellStyle name="40% - Accent6 4" xfId="190"/>
    <cellStyle name="40% - Accent6 5" xfId="191"/>
    <cellStyle name="40% - Accent6 6" xfId="192"/>
    <cellStyle name="40% - Accent6 7" xfId="193"/>
    <cellStyle name="40% - Accent6 8" xfId="194"/>
    <cellStyle name="40% - Accent6 9" xfId="195"/>
    <cellStyle name="60% - Accent1 10" xfId="196"/>
    <cellStyle name="60% - Accent1 11" xfId="197"/>
    <cellStyle name="60% - Accent1 12" xfId="198"/>
    <cellStyle name="60% - Accent1 13" xfId="199"/>
    <cellStyle name="60% - Accent1 14" xfId="200"/>
    <cellStyle name="60% - Accent1 15" xfId="201"/>
    <cellStyle name="60% - Accent1 16" xfId="202"/>
    <cellStyle name="60% - Accent1 2" xfId="203"/>
    <cellStyle name="60% - Accent1 3" xfId="204"/>
    <cellStyle name="60% - Accent1 4" xfId="205"/>
    <cellStyle name="60% - Accent1 5" xfId="206"/>
    <cellStyle name="60% - Accent1 6" xfId="207"/>
    <cellStyle name="60% - Accent1 7" xfId="208"/>
    <cellStyle name="60% - Accent1 8" xfId="209"/>
    <cellStyle name="60% - Accent1 9" xfId="210"/>
    <cellStyle name="60% - Accent2 10" xfId="211"/>
    <cellStyle name="60% - Accent2 11" xfId="212"/>
    <cellStyle name="60% - Accent2 12" xfId="213"/>
    <cellStyle name="60% - Accent2 13" xfId="214"/>
    <cellStyle name="60% - Accent2 14" xfId="215"/>
    <cellStyle name="60% - Accent2 15" xfId="216"/>
    <cellStyle name="60% - Accent2 16" xfId="217"/>
    <cellStyle name="60% - Accent2 2" xfId="218"/>
    <cellStyle name="60% - Accent2 3" xfId="219"/>
    <cellStyle name="60% - Accent2 4" xfId="220"/>
    <cellStyle name="60% - Accent2 5" xfId="221"/>
    <cellStyle name="60% - Accent2 6" xfId="222"/>
    <cellStyle name="60% - Accent2 7" xfId="223"/>
    <cellStyle name="60% - Accent2 8" xfId="224"/>
    <cellStyle name="60% - Accent2 9" xfId="225"/>
    <cellStyle name="60% - Accent3 10" xfId="226"/>
    <cellStyle name="60% - Accent3 11" xfId="227"/>
    <cellStyle name="60% - Accent3 12" xfId="228"/>
    <cellStyle name="60% - Accent3 13" xfId="229"/>
    <cellStyle name="60% - Accent3 14" xfId="230"/>
    <cellStyle name="60% - Accent3 15" xfId="231"/>
    <cellStyle name="60% - Accent3 16" xfId="232"/>
    <cellStyle name="60% - Accent3 2" xfId="233"/>
    <cellStyle name="60% - Accent3 3" xfId="234"/>
    <cellStyle name="60% - Accent3 4" xfId="235"/>
    <cellStyle name="60% - Accent3 5" xfId="236"/>
    <cellStyle name="60% - Accent3 6" xfId="237"/>
    <cellStyle name="60% - Accent3 7" xfId="238"/>
    <cellStyle name="60% - Accent3 8" xfId="239"/>
    <cellStyle name="60% - Accent3 9" xfId="240"/>
    <cellStyle name="60% - Accent4 10" xfId="241"/>
    <cellStyle name="60% - Accent4 11" xfId="242"/>
    <cellStyle name="60% - Accent4 12" xfId="243"/>
    <cellStyle name="60% - Accent4 13" xfId="244"/>
    <cellStyle name="60% - Accent4 14" xfId="245"/>
    <cellStyle name="60% - Accent4 15" xfId="246"/>
    <cellStyle name="60% - Accent4 16" xfId="247"/>
    <cellStyle name="60% - Accent4 2" xfId="248"/>
    <cellStyle name="60% - Accent4 3" xfId="249"/>
    <cellStyle name="60% - Accent4 4" xfId="250"/>
    <cellStyle name="60% - Accent4 5" xfId="251"/>
    <cellStyle name="60% - Accent4 6" xfId="252"/>
    <cellStyle name="60% - Accent4 7" xfId="253"/>
    <cellStyle name="60% - Accent4 8" xfId="254"/>
    <cellStyle name="60% - Accent4 9" xfId="255"/>
    <cellStyle name="60% - Accent5 10" xfId="256"/>
    <cellStyle name="60% - Accent5 11" xfId="257"/>
    <cellStyle name="60% - Accent5 12" xfId="258"/>
    <cellStyle name="60% - Accent5 13" xfId="259"/>
    <cellStyle name="60% - Accent5 14" xfId="260"/>
    <cellStyle name="60% - Accent5 15" xfId="261"/>
    <cellStyle name="60% - Accent5 16" xfId="262"/>
    <cellStyle name="60% - Accent5 2" xfId="263"/>
    <cellStyle name="60% - Accent5 3" xfId="264"/>
    <cellStyle name="60% - Accent5 4" xfId="265"/>
    <cellStyle name="60% - Accent5 5" xfId="266"/>
    <cellStyle name="60% - Accent5 6" xfId="267"/>
    <cellStyle name="60% - Accent5 7" xfId="268"/>
    <cellStyle name="60% - Accent5 8" xfId="269"/>
    <cellStyle name="60% - Accent5 9" xfId="270"/>
    <cellStyle name="60% - Accent6 10" xfId="271"/>
    <cellStyle name="60% - Accent6 11" xfId="272"/>
    <cellStyle name="60% - Accent6 12" xfId="273"/>
    <cellStyle name="60% - Accent6 13" xfId="274"/>
    <cellStyle name="60% - Accent6 14" xfId="275"/>
    <cellStyle name="60% - Accent6 15" xfId="276"/>
    <cellStyle name="60% - Accent6 16" xfId="277"/>
    <cellStyle name="60% - Accent6 2" xfId="278"/>
    <cellStyle name="60% - Accent6 3" xfId="279"/>
    <cellStyle name="60% - Accent6 4" xfId="280"/>
    <cellStyle name="60% - Accent6 5" xfId="281"/>
    <cellStyle name="60% - Accent6 6" xfId="282"/>
    <cellStyle name="60% - Accent6 7" xfId="283"/>
    <cellStyle name="60% - Accent6 8" xfId="284"/>
    <cellStyle name="60% - Accent6 9" xfId="285"/>
    <cellStyle name="Accent1 10" xfId="286"/>
    <cellStyle name="Accent1 11" xfId="287"/>
    <cellStyle name="Accent1 12" xfId="288"/>
    <cellStyle name="Accent1 13" xfId="289"/>
    <cellStyle name="Accent1 14" xfId="290"/>
    <cellStyle name="Accent1 15" xfId="291"/>
    <cellStyle name="Accent1 16" xfId="292"/>
    <cellStyle name="Accent1 2" xfId="293"/>
    <cellStyle name="Accent1 3" xfId="294"/>
    <cellStyle name="Accent1 4" xfId="295"/>
    <cellStyle name="Accent1 5" xfId="296"/>
    <cellStyle name="Accent1 6" xfId="297"/>
    <cellStyle name="Accent1 7" xfId="298"/>
    <cellStyle name="Accent1 8" xfId="299"/>
    <cellStyle name="Accent1 9" xfId="300"/>
    <cellStyle name="Accent2 10" xfId="301"/>
    <cellStyle name="Accent2 11" xfId="302"/>
    <cellStyle name="Accent2 12" xfId="303"/>
    <cellStyle name="Accent2 13" xfId="304"/>
    <cellStyle name="Accent2 14" xfId="305"/>
    <cellStyle name="Accent2 15" xfId="306"/>
    <cellStyle name="Accent2 16" xfId="307"/>
    <cellStyle name="Accent2 2" xfId="308"/>
    <cellStyle name="Accent2 3" xfId="309"/>
    <cellStyle name="Accent2 4" xfId="310"/>
    <cellStyle name="Accent2 5" xfId="311"/>
    <cellStyle name="Accent2 6" xfId="312"/>
    <cellStyle name="Accent2 7" xfId="313"/>
    <cellStyle name="Accent2 8" xfId="314"/>
    <cellStyle name="Accent2 9" xfId="315"/>
    <cellStyle name="Accent3 10" xfId="316"/>
    <cellStyle name="Accent3 11" xfId="317"/>
    <cellStyle name="Accent3 12" xfId="318"/>
    <cellStyle name="Accent3 13" xfId="319"/>
    <cellStyle name="Accent3 14" xfId="320"/>
    <cellStyle name="Accent3 15" xfId="321"/>
    <cellStyle name="Accent3 16" xfId="322"/>
    <cellStyle name="Accent3 2" xfId="323"/>
    <cellStyle name="Accent3 3" xfId="324"/>
    <cellStyle name="Accent3 4" xfId="325"/>
    <cellStyle name="Accent3 5" xfId="326"/>
    <cellStyle name="Accent3 6" xfId="327"/>
    <cellStyle name="Accent3 7" xfId="328"/>
    <cellStyle name="Accent3 8" xfId="329"/>
    <cellStyle name="Accent3 9" xfId="330"/>
    <cellStyle name="Accent4 10" xfId="331"/>
    <cellStyle name="Accent4 11" xfId="332"/>
    <cellStyle name="Accent4 12" xfId="333"/>
    <cellStyle name="Accent4 13" xfId="334"/>
    <cellStyle name="Accent4 14" xfId="335"/>
    <cellStyle name="Accent4 15" xfId="336"/>
    <cellStyle name="Accent4 16" xfId="337"/>
    <cellStyle name="Accent4 2" xfId="338"/>
    <cellStyle name="Accent4 3" xfId="339"/>
    <cellStyle name="Accent4 4" xfId="340"/>
    <cellStyle name="Accent4 5" xfId="341"/>
    <cellStyle name="Accent4 6" xfId="342"/>
    <cellStyle name="Accent4 7" xfId="343"/>
    <cellStyle name="Accent4 8" xfId="344"/>
    <cellStyle name="Accent4 9" xfId="345"/>
    <cellStyle name="Accent5 10" xfId="346"/>
    <cellStyle name="Accent5 11" xfId="347"/>
    <cellStyle name="Accent5 12" xfId="348"/>
    <cellStyle name="Accent5 13" xfId="349"/>
    <cellStyle name="Accent5 14" xfId="350"/>
    <cellStyle name="Accent5 15" xfId="351"/>
    <cellStyle name="Accent5 16" xfId="352"/>
    <cellStyle name="Accent5 2" xfId="353"/>
    <cellStyle name="Accent5 3" xfId="354"/>
    <cellStyle name="Accent5 4" xfId="355"/>
    <cellStyle name="Accent5 5" xfId="356"/>
    <cellStyle name="Accent5 6" xfId="357"/>
    <cellStyle name="Accent5 7" xfId="358"/>
    <cellStyle name="Accent5 8" xfId="359"/>
    <cellStyle name="Accent5 9" xfId="360"/>
    <cellStyle name="Accent6 10" xfId="361"/>
    <cellStyle name="Accent6 11" xfId="362"/>
    <cellStyle name="Accent6 12" xfId="363"/>
    <cellStyle name="Accent6 13" xfId="364"/>
    <cellStyle name="Accent6 14" xfId="365"/>
    <cellStyle name="Accent6 15" xfId="366"/>
    <cellStyle name="Accent6 16" xfId="367"/>
    <cellStyle name="Accent6 2" xfId="368"/>
    <cellStyle name="Accent6 3" xfId="369"/>
    <cellStyle name="Accent6 4" xfId="370"/>
    <cellStyle name="Accent6 5" xfId="371"/>
    <cellStyle name="Accent6 6" xfId="372"/>
    <cellStyle name="Accent6 7" xfId="373"/>
    <cellStyle name="Accent6 8" xfId="374"/>
    <cellStyle name="Accent6 9" xfId="375"/>
    <cellStyle name="Bad 10" xfId="376"/>
    <cellStyle name="Bad 11" xfId="377"/>
    <cellStyle name="Bad 12" xfId="378"/>
    <cellStyle name="Bad 13" xfId="379"/>
    <cellStyle name="Bad 14" xfId="380"/>
    <cellStyle name="Bad 15" xfId="381"/>
    <cellStyle name="Bad 16" xfId="382"/>
    <cellStyle name="Bad 2" xfId="383"/>
    <cellStyle name="Bad 3" xfId="384"/>
    <cellStyle name="Bad 4" xfId="385"/>
    <cellStyle name="Bad 5" xfId="386"/>
    <cellStyle name="Bad 6" xfId="387"/>
    <cellStyle name="Bad 7" xfId="388"/>
    <cellStyle name="Bad 8" xfId="389"/>
    <cellStyle name="Bad 9" xfId="390"/>
    <cellStyle name="Calculation 10" xfId="391"/>
    <cellStyle name="Calculation 11" xfId="392"/>
    <cellStyle name="Calculation 12" xfId="393"/>
    <cellStyle name="Calculation 13" xfId="394"/>
    <cellStyle name="Calculation 14" xfId="395"/>
    <cellStyle name="Calculation 15" xfId="396"/>
    <cellStyle name="Calculation 16" xfId="397"/>
    <cellStyle name="Calculation 2" xfId="398"/>
    <cellStyle name="Calculation 3" xfId="399"/>
    <cellStyle name="Calculation 4" xfId="400"/>
    <cellStyle name="Calculation 5" xfId="401"/>
    <cellStyle name="Calculation 6" xfId="402"/>
    <cellStyle name="Calculation 7" xfId="403"/>
    <cellStyle name="Calculation 8" xfId="404"/>
    <cellStyle name="Calculation 9" xfId="405"/>
    <cellStyle name="Check Cell 10" xfId="406"/>
    <cellStyle name="Check Cell 11" xfId="407"/>
    <cellStyle name="Check Cell 12" xfId="408"/>
    <cellStyle name="Check Cell 13" xfId="409"/>
    <cellStyle name="Check Cell 14" xfId="410"/>
    <cellStyle name="Check Cell 15" xfId="411"/>
    <cellStyle name="Check Cell 16" xfId="412"/>
    <cellStyle name="Check Cell 2" xfId="413"/>
    <cellStyle name="Check Cell 3" xfId="414"/>
    <cellStyle name="Check Cell 4" xfId="415"/>
    <cellStyle name="Check Cell 5" xfId="416"/>
    <cellStyle name="Check Cell 6" xfId="417"/>
    <cellStyle name="Check Cell 7" xfId="418"/>
    <cellStyle name="Check Cell 8" xfId="419"/>
    <cellStyle name="Check Cell 9" xfId="420"/>
    <cellStyle name="Comma" xfId="3" builtinId="3"/>
    <cellStyle name="Comma 2" xfId="1"/>
    <cellStyle name="Comma 2 10" xfId="421"/>
    <cellStyle name="Comma 2 11" xfId="422"/>
    <cellStyle name="Comma 2 12" xfId="423"/>
    <cellStyle name="Comma 2 13" xfId="424"/>
    <cellStyle name="Comma 2 14" xfId="425"/>
    <cellStyle name="Comma 2 2" xfId="426"/>
    <cellStyle name="Comma 2 3" xfId="427"/>
    <cellStyle name="Comma 2 4" xfId="428"/>
    <cellStyle name="Comma 2 5" xfId="429"/>
    <cellStyle name="Comma 2 6" xfId="430"/>
    <cellStyle name="Comma 2 7" xfId="431"/>
    <cellStyle name="Comma 2 8" xfId="432"/>
    <cellStyle name="Comma 2 9" xfId="433"/>
    <cellStyle name="Comma 3" xfId="434"/>
    <cellStyle name="Comma 4" xfId="435"/>
    <cellStyle name="Comma 5" xfId="436"/>
    <cellStyle name="Comma 6" xfId="9"/>
    <cellStyle name="Comma 7" xfId="846"/>
    <cellStyle name="Comma0" xfId="437"/>
    <cellStyle name="Currency" xfId="4" builtinId="4"/>
    <cellStyle name="Currency 2" xfId="6"/>
    <cellStyle name="Currency 3" xfId="438"/>
    <cellStyle name="Currency 4" xfId="439"/>
    <cellStyle name="Currency 5" xfId="849"/>
    <cellStyle name="Currency0" xfId="440"/>
    <cellStyle name="Date" xfId="441"/>
    <cellStyle name="Euro" xfId="442"/>
    <cellStyle name="Explanatory Text 10" xfId="443"/>
    <cellStyle name="Explanatory Text 11" xfId="444"/>
    <cellStyle name="Explanatory Text 12" xfId="445"/>
    <cellStyle name="Explanatory Text 13" xfId="446"/>
    <cellStyle name="Explanatory Text 14" xfId="447"/>
    <cellStyle name="Explanatory Text 15" xfId="448"/>
    <cellStyle name="Explanatory Text 16" xfId="449"/>
    <cellStyle name="Explanatory Text 2" xfId="450"/>
    <cellStyle name="Explanatory Text 3" xfId="451"/>
    <cellStyle name="Explanatory Text 4" xfId="452"/>
    <cellStyle name="Explanatory Text 5" xfId="453"/>
    <cellStyle name="Explanatory Text 6" xfId="454"/>
    <cellStyle name="Explanatory Text 7" xfId="455"/>
    <cellStyle name="Explanatory Text 8" xfId="456"/>
    <cellStyle name="Explanatory Text 9" xfId="457"/>
    <cellStyle name="F2" xfId="458"/>
    <cellStyle name="F2 2" xfId="459"/>
    <cellStyle name="F2 3" xfId="460"/>
    <cellStyle name="F2 4" xfId="461"/>
    <cellStyle name="F2 5" xfId="462"/>
    <cellStyle name="F2 6" xfId="463"/>
    <cellStyle name="F2 7" xfId="464"/>
    <cellStyle name="F2 8" xfId="465"/>
    <cellStyle name="F2 9" xfId="466"/>
    <cellStyle name="F2_Regenerated Revenues LGE Gas 2008-04 with Elec Gen-Seelye final version " xfId="467"/>
    <cellStyle name="F3" xfId="468"/>
    <cellStyle name="F3 2" xfId="469"/>
    <cellStyle name="F3 3" xfId="470"/>
    <cellStyle name="F3 4" xfId="471"/>
    <cellStyle name="F3 5" xfId="472"/>
    <cellStyle name="F3 6" xfId="473"/>
    <cellStyle name="F3 7" xfId="474"/>
    <cellStyle name="F3 8" xfId="475"/>
    <cellStyle name="F3 9" xfId="476"/>
    <cellStyle name="F3_Regenerated Revenues LGE Gas 2008-04 with Elec Gen-Seelye final version " xfId="477"/>
    <cellStyle name="F4" xfId="478"/>
    <cellStyle name="F4 2" xfId="479"/>
    <cellStyle name="F4 3" xfId="480"/>
    <cellStyle name="F4 4" xfId="481"/>
    <cellStyle name="F4 5" xfId="482"/>
    <cellStyle name="F4 6" xfId="483"/>
    <cellStyle name="F4 7" xfId="484"/>
    <cellStyle name="F4 8" xfId="485"/>
    <cellStyle name="F4 9" xfId="486"/>
    <cellStyle name="F4_Regenerated Revenues LGE Gas 2008-04 with Elec Gen-Seelye final version " xfId="487"/>
    <cellStyle name="F5" xfId="488"/>
    <cellStyle name="F5 2" xfId="489"/>
    <cellStyle name="F5 3" xfId="490"/>
    <cellStyle name="F5 4" xfId="491"/>
    <cellStyle name="F5 5" xfId="492"/>
    <cellStyle name="F5 6" xfId="493"/>
    <cellStyle name="F5 7" xfId="494"/>
    <cellStyle name="F5 8" xfId="495"/>
    <cellStyle name="F5 9" xfId="496"/>
    <cellStyle name="F5_Regenerated Revenues LGE Gas 2008-04 with Elec Gen-Seelye final version " xfId="497"/>
    <cellStyle name="F6" xfId="498"/>
    <cellStyle name="F6 2" xfId="499"/>
    <cellStyle name="F6 3" xfId="500"/>
    <cellStyle name="F6 4" xfId="501"/>
    <cellStyle name="F6 5" xfId="502"/>
    <cellStyle name="F6 6" xfId="503"/>
    <cellStyle name="F6 7" xfId="504"/>
    <cellStyle name="F6 8" xfId="505"/>
    <cellStyle name="F6 9" xfId="506"/>
    <cellStyle name="F6_Regenerated Revenues LGE Gas 2008-04 with Elec Gen-Seelye final version " xfId="507"/>
    <cellStyle name="F7" xfId="508"/>
    <cellStyle name="F7 2" xfId="509"/>
    <cellStyle name="F7 3" xfId="510"/>
    <cellStyle name="F7 4" xfId="511"/>
    <cellStyle name="F7 5" xfId="512"/>
    <cellStyle name="F7 6" xfId="513"/>
    <cellStyle name="F7 7" xfId="514"/>
    <cellStyle name="F7 8" xfId="515"/>
    <cellStyle name="F7 9" xfId="516"/>
    <cellStyle name="F7_Regenerated Revenues LGE Gas 2008-04 with Elec Gen-Seelye final version " xfId="517"/>
    <cellStyle name="F8" xfId="518"/>
    <cellStyle name="F8 2" xfId="519"/>
    <cellStyle name="F8 3" xfId="520"/>
    <cellStyle name="F8 4" xfId="521"/>
    <cellStyle name="F8 5" xfId="522"/>
    <cellStyle name="F8 6" xfId="523"/>
    <cellStyle name="F8 7" xfId="524"/>
    <cellStyle name="F8 8" xfId="525"/>
    <cellStyle name="F8 9" xfId="526"/>
    <cellStyle name="F8_Regenerated Revenues LGE Gas 2008-04 with Elec Gen-Seelye final version " xfId="527"/>
    <cellStyle name="Fixed" xfId="528"/>
    <cellStyle name="Good" xfId="852" builtinId="26"/>
    <cellStyle name="Good 10" xfId="529"/>
    <cellStyle name="Good 11" xfId="530"/>
    <cellStyle name="Good 12" xfId="531"/>
    <cellStyle name="Good 13" xfId="532"/>
    <cellStyle name="Good 14" xfId="533"/>
    <cellStyle name="Good 15" xfId="534"/>
    <cellStyle name="Good 16" xfId="535"/>
    <cellStyle name="Good 2" xfId="536"/>
    <cellStyle name="Good 3" xfId="537"/>
    <cellStyle name="Good 4" xfId="538"/>
    <cellStyle name="Good 5" xfId="539"/>
    <cellStyle name="Good 6" xfId="540"/>
    <cellStyle name="Good 7" xfId="541"/>
    <cellStyle name="Good 8" xfId="542"/>
    <cellStyle name="Good 9" xfId="543"/>
    <cellStyle name="Heading 1 10" xfId="544"/>
    <cellStyle name="Heading 1 11" xfId="545"/>
    <cellStyle name="Heading 1 12" xfId="546"/>
    <cellStyle name="Heading 1 13" xfId="547"/>
    <cellStyle name="Heading 1 14" xfId="548"/>
    <cellStyle name="Heading 1 15" xfId="549"/>
    <cellStyle name="Heading 1 16" xfId="550"/>
    <cellStyle name="Heading 1 2" xfId="551"/>
    <cellStyle name="Heading 1 3" xfId="552"/>
    <cellStyle name="Heading 1 4" xfId="553"/>
    <cellStyle name="Heading 1 5" xfId="554"/>
    <cellStyle name="Heading 1 6" xfId="555"/>
    <cellStyle name="Heading 1 7" xfId="556"/>
    <cellStyle name="Heading 1 8" xfId="557"/>
    <cellStyle name="Heading 1 9" xfId="558"/>
    <cellStyle name="Heading 2 10" xfId="559"/>
    <cellStyle name="Heading 2 11" xfId="560"/>
    <cellStyle name="Heading 2 12" xfId="561"/>
    <cellStyle name="Heading 2 13" xfId="562"/>
    <cellStyle name="Heading 2 14" xfId="563"/>
    <cellStyle name="Heading 2 15" xfId="564"/>
    <cellStyle name="Heading 2 16" xfId="565"/>
    <cellStyle name="Heading 2 2" xfId="566"/>
    <cellStyle name="Heading 2 3" xfId="567"/>
    <cellStyle name="Heading 2 4" xfId="568"/>
    <cellStyle name="Heading 2 5" xfId="569"/>
    <cellStyle name="Heading 2 6" xfId="570"/>
    <cellStyle name="Heading 2 7" xfId="571"/>
    <cellStyle name="Heading 2 8" xfId="572"/>
    <cellStyle name="Heading 2 9" xfId="573"/>
    <cellStyle name="Heading 3 10" xfId="574"/>
    <cellStyle name="Heading 3 11" xfId="575"/>
    <cellStyle name="Heading 3 12" xfId="576"/>
    <cellStyle name="Heading 3 13" xfId="577"/>
    <cellStyle name="Heading 3 14" xfId="578"/>
    <cellStyle name="Heading 3 15" xfId="579"/>
    <cellStyle name="Heading 3 16" xfId="580"/>
    <cellStyle name="Heading 3 2" xfId="581"/>
    <cellStyle name="Heading 3 3" xfId="582"/>
    <cellStyle name="Heading 3 4" xfId="583"/>
    <cellStyle name="Heading 3 5" xfId="584"/>
    <cellStyle name="Heading 3 6" xfId="585"/>
    <cellStyle name="Heading 3 7" xfId="586"/>
    <cellStyle name="Heading 3 8" xfId="587"/>
    <cellStyle name="Heading 3 9" xfId="588"/>
    <cellStyle name="Heading 4 10" xfId="589"/>
    <cellStyle name="Heading 4 11" xfId="590"/>
    <cellStyle name="Heading 4 12" xfId="591"/>
    <cellStyle name="Heading 4 13" xfId="592"/>
    <cellStyle name="Heading 4 14" xfId="593"/>
    <cellStyle name="Heading 4 15" xfId="594"/>
    <cellStyle name="Heading 4 16" xfId="595"/>
    <cellStyle name="Heading 4 2" xfId="596"/>
    <cellStyle name="Heading 4 3" xfId="597"/>
    <cellStyle name="Heading 4 4" xfId="598"/>
    <cellStyle name="Heading 4 5" xfId="599"/>
    <cellStyle name="Heading 4 6" xfId="600"/>
    <cellStyle name="Heading 4 7" xfId="601"/>
    <cellStyle name="Heading 4 8" xfId="602"/>
    <cellStyle name="Heading 4 9" xfId="603"/>
    <cellStyle name="Input 10" xfId="604"/>
    <cellStyle name="Input 11" xfId="605"/>
    <cellStyle name="Input 12" xfId="606"/>
    <cellStyle name="Input 13" xfId="607"/>
    <cellStyle name="Input 14" xfId="608"/>
    <cellStyle name="Input 15" xfId="609"/>
    <cellStyle name="Input 16" xfId="610"/>
    <cellStyle name="Input 2" xfId="611"/>
    <cellStyle name="Input 3" xfId="612"/>
    <cellStyle name="Input 4" xfId="613"/>
    <cellStyle name="Input 5" xfId="614"/>
    <cellStyle name="Input 6" xfId="615"/>
    <cellStyle name="Input 7" xfId="616"/>
    <cellStyle name="Input 8" xfId="617"/>
    <cellStyle name="Input 9" xfId="618"/>
    <cellStyle name="Linked Cell 10" xfId="619"/>
    <cellStyle name="Linked Cell 11" xfId="620"/>
    <cellStyle name="Linked Cell 12" xfId="621"/>
    <cellStyle name="Linked Cell 13" xfId="622"/>
    <cellStyle name="Linked Cell 14" xfId="623"/>
    <cellStyle name="Linked Cell 15" xfId="624"/>
    <cellStyle name="Linked Cell 16" xfId="625"/>
    <cellStyle name="Linked Cell 2" xfId="626"/>
    <cellStyle name="Linked Cell 3" xfId="627"/>
    <cellStyle name="Linked Cell 4" xfId="628"/>
    <cellStyle name="Linked Cell 5" xfId="629"/>
    <cellStyle name="Linked Cell 6" xfId="630"/>
    <cellStyle name="Linked Cell 7" xfId="631"/>
    <cellStyle name="Linked Cell 8" xfId="632"/>
    <cellStyle name="Linked Cell 9" xfId="633"/>
    <cellStyle name="Neutral 10" xfId="634"/>
    <cellStyle name="Neutral 11" xfId="635"/>
    <cellStyle name="Neutral 12" xfId="636"/>
    <cellStyle name="Neutral 13" xfId="637"/>
    <cellStyle name="Neutral 14" xfId="638"/>
    <cellStyle name="Neutral 15" xfId="639"/>
    <cellStyle name="Neutral 16" xfId="640"/>
    <cellStyle name="Neutral 2" xfId="641"/>
    <cellStyle name="Neutral 3" xfId="642"/>
    <cellStyle name="Neutral 4" xfId="643"/>
    <cellStyle name="Neutral 5" xfId="644"/>
    <cellStyle name="Neutral 6" xfId="645"/>
    <cellStyle name="Neutral 7" xfId="646"/>
    <cellStyle name="Neutral 8" xfId="647"/>
    <cellStyle name="Neutral 9" xfId="648"/>
    <cellStyle name="Normal" xfId="0" builtinId="0"/>
    <cellStyle name="Normal 10" xfId="649"/>
    <cellStyle name="Normal 11" xfId="650"/>
    <cellStyle name="Normal 12" xfId="651"/>
    <cellStyle name="Normal 13" xfId="652"/>
    <cellStyle name="Normal 14" xfId="15"/>
    <cellStyle name="Normal 15" xfId="653"/>
    <cellStyle name="Normal 16" xfId="654"/>
    <cellStyle name="Normal 17" xfId="655"/>
    <cellStyle name="Normal 18" xfId="656"/>
    <cellStyle name="Normal 19" xfId="657"/>
    <cellStyle name="Normal 2" xfId="5"/>
    <cellStyle name="Normal 2 10" xfId="658"/>
    <cellStyle name="Normal 2 11" xfId="659"/>
    <cellStyle name="Normal 2 12" xfId="660"/>
    <cellStyle name="Normal 2 13" xfId="661"/>
    <cellStyle name="Normal 2 14" xfId="662"/>
    <cellStyle name="Normal 2 15" xfId="663"/>
    <cellStyle name="Normal 2 16" xfId="664"/>
    <cellStyle name="Normal 2 19" xfId="851"/>
    <cellStyle name="Normal 2 2" xfId="665"/>
    <cellStyle name="Normal 2 3" xfId="666"/>
    <cellStyle name="Normal 2 4" xfId="667"/>
    <cellStyle name="Normal 2 5" xfId="668"/>
    <cellStyle name="Normal 2 6" xfId="669"/>
    <cellStyle name="Normal 2 7" xfId="670"/>
    <cellStyle name="Normal 2 8" xfId="671"/>
    <cellStyle name="Normal 2 9" xfId="672"/>
    <cellStyle name="Normal 2_LGEElecBillingDeterminants2009-10" xfId="673"/>
    <cellStyle name="Normal 20" xfId="674"/>
    <cellStyle name="Normal 21" xfId="675"/>
    <cellStyle name="Normal 22" xfId="676"/>
    <cellStyle name="Normal 23" xfId="677"/>
    <cellStyle name="Normal 3" xfId="2"/>
    <cellStyle name="Normal 3 10" xfId="678"/>
    <cellStyle name="Normal 3 11" xfId="679"/>
    <cellStyle name="Normal 3 12" xfId="680"/>
    <cellStyle name="Normal 3 13" xfId="681"/>
    <cellStyle name="Normal 3 14" xfId="682"/>
    <cellStyle name="Normal 3 15" xfId="683"/>
    <cellStyle name="Normal 3 16" xfId="684"/>
    <cellStyle name="Normal 3 17" xfId="848"/>
    <cellStyle name="Normal 3 2" xfId="685"/>
    <cellStyle name="Normal 3 3" xfId="686"/>
    <cellStyle name="Normal 3 4" xfId="687"/>
    <cellStyle name="Normal 3 5" xfId="688"/>
    <cellStyle name="Normal 3 6" xfId="689"/>
    <cellStyle name="Normal 3 7" xfId="690"/>
    <cellStyle name="Normal 3 8" xfId="691"/>
    <cellStyle name="Normal 3 9" xfId="692"/>
    <cellStyle name="Normal 3_LGEElecBillingDeterminants2009-10" xfId="693"/>
    <cellStyle name="Normal 4" xfId="7"/>
    <cellStyle name="Normal 4 2" xfId="694"/>
    <cellStyle name="Normal 4 3" xfId="695"/>
    <cellStyle name="Normal 4_Regenerated Revenues LGE Gas 10312009" xfId="696"/>
    <cellStyle name="Normal 5" xfId="13"/>
    <cellStyle name="Normal 5 2" xfId="697"/>
    <cellStyle name="Normal 5 3" xfId="698"/>
    <cellStyle name="Normal 6" xfId="699"/>
    <cellStyle name="Normal 6 2" xfId="700"/>
    <cellStyle name="Normal 6 3" xfId="701"/>
    <cellStyle name="Normal 7" xfId="702"/>
    <cellStyle name="Normal 7 2" xfId="703"/>
    <cellStyle name="Normal 7 3" xfId="704"/>
    <cellStyle name="Normal 8" xfId="705"/>
    <cellStyle name="Normal 8 2" xfId="706"/>
    <cellStyle name="Normal 8 3" xfId="707"/>
    <cellStyle name="Normal 9" xfId="708"/>
    <cellStyle name="Normal 9 2" xfId="709"/>
    <cellStyle name="Normal 9 3" xfId="710"/>
    <cellStyle name="Normal_Book1" xfId="14"/>
    <cellStyle name="Normal_Exhibit 09" xfId="11"/>
    <cellStyle name="Normal_LGE Filed Test Period Billing Exhibits - SBR Summary" xfId="850"/>
    <cellStyle name="Normal_Regenerated Revenues LGE Gas 2008-04 with Elec Gen contract(MEH)" xfId="12"/>
    <cellStyle name="Normal_Regenerated Revenues LGE Gas 2008-04 with Elec Gen-Seelye final version " xfId="847"/>
    <cellStyle name="Note 10" xfId="711"/>
    <cellStyle name="Note 11" xfId="712"/>
    <cellStyle name="Note 12" xfId="713"/>
    <cellStyle name="Note 13" xfId="714"/>
    <cellStyle name="Note 14" xfId="715"/>
    <cellStyle name="Note 2" xfId="716"/>
    <cellStyle name="Note 2 2" xfId="717"/>
    <cellStyle name="Note 2 3" xfId="718"/>
    <cellStyle name="Note 3" xfId="719"/>
    <cellStyle name="Note 3 2" xfId="720"/>
    <cellStyle name="Note 3 3" xfId="721"/>
    <cellStyle name="Note 4" xfId="722"/>
    <cellStyle name="Note 4 2" xfId="723"/>
    <cellStyle name="Note 4 3" xfId="724"/>
    <cellStyle name="Note 5" xfId="725"/>
    <cellStyle name="Note 5 2" xfId="726"/>
    <cellStyle name="Note 5 3" xfId="727"/>
    <cellStyle name="Note 6" xfId="728"/>
    <cellStyle name="Note 6 2" xfId="729"/>
    <cellStyle name="Note 6 3" xfId="730"/>
    <cellStyle name="Note 7" xfId="731"/>
    <cellStyle name="Note 7 2" xfId="732"/>
    <cellStyle name="Note 7 3" xfId="733"/>
    <cellStyle name="Note 8" xfId="734"/>
    <cellStyle name="Note 8 2" xfId="735"/>
    <cellStyle name="Note 8 3" xfId="736"/>
    <cellStyle name="Note 9" xfId="737"/>
    <cellStyle name="Output 10" xfId="738"/>
    <cellStyle name="Output 11" xfId="739"/>
    <cellStyle name="Output 12" xfId="740"/>
    <cellStyle name="Output 13" xfId="741"/>
    <cellStyle name="Output 14" xfId="742"/>
    <cellStyle name="Output 15" xfId="743"/>
    <cellStyle name="Output 16" xfId="744"/>
    <cellStyle name="Output 2" xfId="745"/>
    <cellStyle name="Output 3" xfId="746"/>
    <cellStyle name="Output 4" xfId="747"/>
    <cellStyle name="Output 5" xfId="748"/>
    <cellStyle name="Output 6" xfId="749"/>
    <cellStyle name="Output 7" xfId="750"/>
    <cellStyle name="Output 8" xfId="751"/>
    <cellStyle name="Output 9" xfId="752"/>
    <cellStyle name="Output Amounts" xfId="753"/>
    <cellStyle name="Output Column Headings" xfId="754"/>
    <cellStyle name="Output Column Headings 2" xfId="755"/>
    <cellStyle name="Output Column Headings 3" xfId="756"/>
    <cellStyle name="Output Column Headings 4" xfId="757"/>
    <cellStyle name="Output Column Headings 5" xfId="758"/>
    <cellStyle name="Output Column Headings 6" xfId="759"/>
    <cellStyle name="Output Column Headings 7" xfId="760"/>
    <cellStyle name="Output Column Headings 8" xfId="761"/>
    <cellStyle name="Output Column Headings 9" xfId="762"/>
    <cellStyle name="Output Column Headings_Regenerated Revenues LGE Gas 2008-04 with Elec Gen-Seelye final version " xfId="763"/>
    <cellStyle name="Output Line Items" xfId="764"/>
    <cellStyle name="Output Line Items 2" xfId="765"/>
    <cellStyle name="Output Line Items 3" xfId="766"/>
    <cellStyle name="Output Line Items 4" xfId="767"/>
    <cellStyle name="Output Line Items 5" xfId="768"/>
    <cellStyle name="Output Line Items 6" xfId="769"/>
    <cellStyle name="Output Line Items 7" xfId="770"/>
    <cellStyle name="Output Line Items 8" xfId="771"/>
    <cellStyle name="Output Line Items 9" xfId="772"/>
    <cellStyle name="Output Line Items_Regenerated Revenues LGE Gas 2008-04 with Elec Gen-Seelye final version " xfId="773"/>
    <cellStyle name="Output Report Heading" xfId="774"/>
    <cellStyle name="Output Report Heading 2" xfId="775"/>
    <cellStyle name="Output Report Heading 3" xfId="776"/>
    <cellStyle name="Output Report Heading 4" xfId="777"/>
    <cellStyle name="Output Report Heading 5" xfId="778"/>
    <cellStyle name="Output Report Heading 6" xfId="779"/>
    <cellStyle name="Output Report Heading 7" xfId="780"/>
    <cellStyle name="Output Report Heading 8" xfId="781"/>
    <cellStyle name="Output Report Heading 9" xfId="782"/>
    <cellStyle name="Output Report Heading_Regenerated Revenues LGE Gas 2008-04 with Elec Gen-Seelye final version " xfId="783"/>
    <cellStyle name="Output Report Title" xfId="784"/>
    <cellStyle name="Output Report Title 2" xfId="785"/>
    <cellStyle name="Output Report Title 3" xfId="786"/>
    <cellStyle name="Output Report Title 4" xfId="787"/>
    <cellStyle name="Output Report Title 5" xfId="788"/>
    <cellStyle name="Output Report Title 6" xfId="789"/>
    <cellStyle name="Output Report Title 7" xfId="790"/>
    <cellStyle name="Output Report Title 8" xfId="791"/>
    <cellStyle name="Output Report Title 9" xfId="792"/>
    <cellStyle name="Output Report Title_Regenerated Revenues LGE Gas 2008-04 with Elec Gen-Seelye final version " xfId="793"/>
    <cellStyle name="Percent" xfId="10" builtinId="5"/>
    <cellStyle name="Percent 2" xfId="8"/>
    <cellStyle name="Percent 3" xfId="794"/>
    <cellStyle name="STYL5 - Style5" xfId="795"/>
    <cellStyle name="STYL6 - Style6" xfId="796"/>
    <cellStyle name="STYLE1 - Style1" xfId="797"/>
    <cellStyle name="STYLE2 - Style2" xfId="798"/>
    <cellStyle name="STYLE3 - Style3" xfId="799"/>
    <cellStyle name="STYLE4 - Style4" xfId="800"/>
    <cellStyle name="Title 10" xfId="801"/>
    <cellStyle name="Title 11" xfId="802"/>
    <cellStyle name="Title 12" xfId="803"/>
    <cellStyle name="Title 13" xfId="804"/>
    <cellStyle name="Title 14" xfId="805"/>
    <cellStyle name="Title 15" xfId="806"/>
    <cellStyle name="Title 16" xfId="807"/>
    <cellStyle name="Title 2" xfId="808"/>
    <cellStyle name="Title 3" xfId="809"/>
    <cellStyle name="Title 4" xfId="810"/>
    <cellStyle name="Title 5" xfId="811"/>
    <cellStyle name="Title 6" xfId="812"/>
    <cellStyle name="Title 7" xfId="813"/>
    <cellStyle name="Title 8" xfId="814"/>
    <cellStyle name="Title 9" xfId="815"/>
    <cellStyle name="Total 10" xfId="816"/>
    <cellStyle name="Total 11" xfId="817"/>
    <cellStyle name="Total 12" xfId="818"/>
    <cellStyle name="Total 13" xfId="819"/>
    <cellStyle name="Total 14" xfId="820"/>
    <cellStyle name="Total 15" xfId="821"/>
    <cellStyle name="Total 16" xfId="822"/>
    <cellStyle name="Total 2" xfId="823"/>
    <cellStyle name="Total 3" xfId="824"/>
    <cellStyle name="Total 4" xfId="825"/>
    <cellStyle name="Total 5" xfId="826"/>
    <cellStyle name="Total 6" xfId="827"/>
    <cellStyle name="Total 7" xfId="828"/>
    <cellStyle name="Total 8" xfId="829"/>
    <cellStyle name="Total 9" xfId="830"/>
    <cellStyle name="Warning Text 10" xfId="831"/>
    <cellStyle name="Warning Text 11" xfId="832"/>
    <cellStyle name="Warning Text 12" xfId="833"/>
    <cellStyle name="Warning Text 13" xfId="834"/>
    <cellStyle name="Warning Text 14" xfId="835"/>
    <cellStyle name="Warning Text 15" xfId="836"/>
    <cellStyle name="Warning Text 16" xfId="837"/>
    <cellStyle name="Warning Text 2" xfId="838"/>
    <cellStyle name="Warning Text 3" xfId="839"/>
    <cellStyle name="Warning Text 4" xfId="840"/>
    <cellStyle name="Warning Text 5" xfId="841"/>
    <cellStyle name="Warning Text 6" xfId="842"/>
    <cellStyle name="Warning Text 7" xfId="843"/>
    <cellStyle name="Warning Text 8" xfId="844"/>
    <cellStyle name="Warning Text 9" xfId="845"/>
  </cellStyles>
  <dxfs count="40">
    <dxf>
      <fill>
        <patternFill patternType="solid">
          <fgColor rgb="FFC6C4C4"/>
          <bgColor rgb="FF00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CC66"/>
      <color rgb="FF00FFFF"/>
      <color rgb="FFFFFF99"/>
      <color rgb="FFFFFF00"/>
      <color rgb="FFFFFFCC"/>
      <color rgb="FFCC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Revenue%20Volume%20Analysis%20Reports\2016\Revenue%20Volume%20Analysis%202016-06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Rate%20Case%202016\Billing%20Determinants\LGE\LGE%20Base%20Period%20Mar16%20-%20Feb17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Home"/>
      <sheetName val="PVA"/>
      <sheetName val="RBC Summary"/>
      <sheetName val="RBC Detail"/>
      <sheetName val="Information for SEC Table"/>
      <sheetName val="A216810396964DCDB399904ED81BA8E"/>
      <sheetName val="Curr Mo. Error Checks"/>
      <sheetName val="Qtd Error Checks"/>
      <sheetName val="Ytd Error Checks"/>
      <sheetName val="12 Mo. Ending error checks"/>
      <sheetName val="Weather Check"/>
      <sheetName val="DataChecks"/>
      <sheetName val="PVA - Variance Checks"/>
      <sheetName val="Data"/>
      <sheetName val="ListsValues"/>
      <sheetName val="Weather Summary"/>
      <sheetName val="Electronic Evidence"/>
      <sheetName val="VersionH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9">
          <cell r="M29">
            <v>1</v>
          </cell>
        </row>
      </sheetData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==&gt;"/>
      <sheetName val="Index"/>
      <sheetName val="Sch M-1.1"/>
      <sheetName val="Sch M-1.2"/>
      <sheetName val="Sch M-1.3 (1)"/>
      <sheetName val="Sch M-1.3 (2)"/>
      <sheetName val="Sch M-1.3 (3)"/>
      <sheetName val="True-ups==&gt;"/>
      <sheetName val="A-F kwh"/>
      <sheetName val="A-F Demand"/>
      <sheetName val="A-F Revenue"/>
      <sheetName val="Summary &amp; Checks==&gt;"/>
      <sheetName val="Reconciliation"/>
      <sheetName val="Recons&amp;Checks"/>
      <sheetName val="Data==&gt;"/>
      <sheetName val="ECR in Base Rates"/>
      <sheetName val="12MonResults"/>
      <sheetName val="12MonLights"/>
      <sheetName val="12MonPoles"/>
      <sheetName val="Sources ==&gt;"/>
      <sheetName val="FinForecast"/>
      <sheetName val="Customers"/>
      <sheetName val="Cal_Energy"/>
      <sheetName val="Billing Demand"/>
      <sheetName val="1055 Lights Forecast"/>
      <sheetName val="Lights Load Forecast"/>
      <sheetName val="1051 Poles Forecast"/>
      <sheetName val="Rates"/>
      <sheetName val="LightingRates"/>
      <sheetName val="PoleRates"/>
      <sheetName val="1022"/>
      <sheetName val="1051"/>
      <sheetName val="1055"/>
      <sheetName val="SBR"/>
      <sheetName val="MiscData"/>
      <sheetName val="Reconciliation==&gt;"/>
      <sheetName val="Mar"/>
      <sheetName val="Apr"/>
      <sheetName val="May"/>
      <sheetName val="Jun"/>
      <sheetName val="Jul"/>
      <sheetName val="Au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3">
          <cell r="B3" t="str">
            <v>MAR 2016</v>
          </cell>
          <cell r="C3" t="str">
            <v>LEUM_825</v>
          </cell>
          <cell r="E3" t="str">
            <v>EF</v>
          </cell>
          <cell r="F3">
            <v>48365.64</v>
          </cell>
        </row>
        <row r="4">
          <cell r="B4" t="str">
            <v>MAR 2016</v>
          </cell>
          <cell r="C4" t="str">
            <v>LEUM_826</v>
          </cell>
          <cell r="E4" t="str">
            <v>EF</v>
          </cell>
          <cell r="F4">
            <v>2.27</v>
          </cell>
        </row>
        <row r="5">
          <cell r="B5" t="str">
            <v>MAR 2016</v>
          </cell>
          <cell r="C5" t="str">
            <v>LEUM_826</v>
          </cell>
          <cell r="E5" t="str">
            <v>EF</v>
          </cell>
          <cell r="F5">
            <v>752.12</v>
          </cell>
        </row>
        <row r="6">
          <cell r="B6" t="str">
            <v>MAR 2016</v>
          </cell>
          <cell r="C6" t="str">
            <v>LEUM_826</v>
          </cell>
          <cell r="E6" t="str">
            <v>EF</v>
          </cell>
          <cell r="F6">
            <v>11.35</v>
          </cell>
        </row>
        <row r="7">
          <cell r="B7" t="str">
            <v>MAR 2016</v>
          </cell>
          <cell r="C7" t="str">
            <v>LEUM_828</v>
          </cell>
          <cell r="E7" t="str">
            <v>EF</v>
          </cell>
          <cell r="F7">
            <v>60.66</v>
          </cell>
        </row>
        <row r="8">
          <cell r="B8" t="str">
            <v>MAR 2016</v>
          </cell>
          <cell r="C8" t="str">
            <v>LEUM_828</v>
          </cell>
          <cell r="E8" t="str">
            <v>EF</v>
          </cell>
          <cell r="F8">
            <v>1312.28</v>
          </cell>
        </row>
        <row r="9">
          <cell r="B9" t="str">
            <v>MAR 2016</v>
          </cell>
          <cell r="C9" t="str">
            <v>LEUM_828</v>
          </cell>
          <cell r="E9" t="str">
            <v>EF</v>
          </cell>
          <cell r="F9">
            <v>169.03</v>
          </cell>
        </row>
        <row r="10">
          <cell r="B10" t="str">
            <v>MAR 2016</v>
          </cell>
          <cell r="C10" t="str">
            <v>LEUM_828</v>
          </cell>
          <cell r="E10" t="str">
            <v>EF</v>
          </cell>
          <cell r="F10">
            <v>293.22000000000003</v>
          </cell>
        </row>
        <row r="11">
          <cell r="B11" t="str">
            <v>MAR 2016</v>
          </cell>
          <cell r="C11" t="str">
            <v>LEUM_828</v>
          </cell>
          <cell r="E11" t="str">
            <v>EF</v>
          </cell>
          <cell r="F11">
            <v>721.17</v>
          </cell>
        </row>
        <row r="12">
          <cell r="B12" t="str">
            <v>MAR 2016</v>
          </cell>
          <cell r="C12" t="str">
            <v>LEUM_828</v>
          </cell>
          <cell r="E12" t="str">
            <v>EF</v>
          </cell>
          <cell r="F12">
            <v>58.82</v>
          </cell>
        </row>
        <row r="13">
          <cell r="B13" t="str">
            <v>MAR 2016</v>
          </cell>
          <cell r="C13" t="str">
            <v>LEUM_829</v>
          </cell>
          <cell r="E13" t="str">
            <v>EF</v>
          </cell>
          <cell r="F13">
            <v>5</v>
          </cell>
        </row>
        <row r="14">
          <cell r="B14" t="str">
            <v>MAR 2016</v>
          </cell>
          <cell r="C14" t="str">
            <v>LGCME000</v>
          </cell>
          <cell r="E14" t="str">
            <v>TS</v>
          </cell>
        </row>
        <row r="15">
          <cell r="B15" t="str">
            <v>MAR 2016</v>
          </cell>
          <cell r="C15" t="str">
            <v>LGCME000</v>
          </cell>
          <cell r="E15" t="str">
            <v>TS</v>
          </cell>
        </row>
        <row r="16">
          <cell r="B16" t="str">
            <v>MAR 2016</v>
          </cell>
          <cell r="C16" t="str">
            <v>LGCME000</v>
          </cell>
          <cell r="E16" t="str">
            <v>TS</v>
          </cell>
        </row>
        <row r="17">
          <cell r="B17" t="str">
            <v>MAR 2016</v>
          </cell>
          <cell r="C17" t="str">
            <v>LGCME000</v>
          </cell>
          <cell r="E17" t="str">
            <v>TS</v>
          </cell>
        </row>
        <row r="18">
          <cell r="B18" t="str">
            <v>MAR 2016</v>
          </cell>
          <cell r="C18" t="str">
            <v>LGCME451</v>
          </cell>
          <cell r="E18" t="str">
            <v>GSS</v>
          </cell>
          <cell r="F18">
            <v>67.05</v>
          </cell>
        </row>
        <row r="19">
          <cell r="B19" t="str">
            <v>MAR 2016</v>
          </cell>
          <cell r="C19" t="str">
            <v>LGCME451</v>
          </cell>
          <cell r="E19" t="str">
            <v>GSS</v>
          </cell>
          <cell r="F19">
            <v>855.39</v>
          </cell>
        </row>
        <row r="20">
          <cell r="B20" t="str">
            <v>MAR 2016</v>
          </cell>
          <cell r="C20" t="str">
            <v>LGCME551</v>
          </cell>
          <cell r="E20" t="str">
            <v>GSS</v>
          </cell>
          <cell r="F20">
            <v>19863.88</v>
          </cell>
        </row>
        <row r="21">
          <cell r="B21" t="str">
            <v>MAR 2016</v>
          </cell>
          <cell r="C21" t="str">
            <v>LGCME551</v>
          </cell>
          <cell r="E21" t="str">
            <v>GSS</v>
          </cell>
          <cell r="F21">
            <v>22543.81</v>
          </cell>
        </row>
        <row r="22">
          <cell r="B22" t="str">
            <v>MAR 2016</v>
          </cell>
          <cell r="C22" t="str">
            <v>LGCME551</v>
          </cell>
          <cell r="E22" t="str">
            <v>GSS</v>
          </cell>
          <cell r="F22">
            <v>179450.38</v>
          </cell>
        </row>
        <row r="23">
          <cell r="B23" t="str">
            <v>MAR 2016</v>
          </cell>
          <cell r="C23" t="str">
            <v>LGCME551</v>
          </cell>
          <cell r="E23" t="str">
            <v>GSS</v>
          </cell>
          <cell r="F23">
            <v>2511.9699999999998</v>
          </cell>
        </row>
        <row r="24">
          <cell r="B24" t="str">
            <v>MAR 2016</v>
          </cell>
          <cell r="C24" t="str">
            <v>LGCME551</v>
          </cell>
          <cell r="E24" t="str">
            <v>GSS</v>
          </cell>
          <cell r="F24">
            <v>3712415.13</v>
          </cell>
        </row>
        <row r="25">
          <cell r="B25" t="str">
            <v>MAR 2016</v>
          </cell>
          <cell r="C25" t="str">
            <v>LGCME551</v>
          </cell>
          <cell r="E25" t="str">
            <v>GSS</v>
          </cell>
          <cell r="F25">
            <v>1514.9</v>
          </cell>
        </row>
        <row r="26">
          <cell r="B26" t="str">
            <v>MAR 2016</v>
          </cell>
          <cell r="C26" t="str">
            <v>LGCME551UM</v>
          </cell>
          <cell r="E26" t="str">
            <v>GSS</v>
          </cell>
          <cell r="F26">
            <v>4446.07</v>
          </cell>
        </row>
        <row r="27">
          <cell r="B27" t="str">
            <v>MAR 2016</v>
          </cell>
          <cell r="C27" t="str">
            <v>LGCME552</v>
          </cell>
          <cell r="E27" t="str">
            <v>GSS</v>
          </cell>
          <cell r="F27">
            <v>2012.9</v>
          </cell>
        </row>
        <row r="28">
          <cell r="B28" t="str">
            <v>MAR 2016</v>
          </cell>
          <cell r="C28" t="str">
            <v>LGCME552</v>
          </cell>
          <cell r="E28" t="str">
            <v>GSS</v>
          </cell>
          <cell r="F28">
            <v>15211.13</v>
          </cell>
        </row>
        <row r="29">
          <cell r="B29" t="str">
            <v>MAR 2016</v>
          </cell>
          <cell r="C29" t="str">
            <v>LGCME557</v>
          </cell>
          <cell r="E29" t="str">
            <v>GSS</v>
          </cell>
          <cell r="F29">
            <v>1863.28</v>
          </cell>
        </row>
        <row r="30">
          <cell r="B30" t="str">
            <v>MAR 2016</v>
          </cell>
          <cell r="C30" t="str">
            <v>LGCME561</v>
          </cell>
          <cell r="E30" t="str">
            <v>PSS</v>
          </cell>
          <cell r="F30">
            <v>30714.57</v>
          </cell>
        </row>
        <row r="31">
          <cell r="B31" t="str">
            <v>MAR 2016</v>
          </cell>
          <cell r="C31" t="str">
            <v>LGCME561</v>
          </cell>
          <cell r="E31" t="str">
            <v>PSS</v>
          </cell>
          <cell r="F31">
            <v>9473252.1799999997</v>
          </cell>
        </row>
        <row r="32">
          <cell r="B32" t="str">
            <v>MAR 2016</v>
          </cell>
          <cell r="C32" t="str">
            <v>LGCME561</v>
          </cell>
          <cell r="E32" t="str">
            <v>PSS</v>
          </cell>
          <cell r="F32">
            <v>1907086.09</v>
          </cell>
        </row>
        <row r="33">
          <cell r="B33" t="str">
            <v>MAR 2016</v>
          </cell>
          <cell r="C33" t="str">
            <v>LGCME561</v>
          </cell>
          <cell r="E33" t="str">
            <v>PSS</v>
          </cell>
          <cell r="F33">
            <v>990409.86</v>
          </cell>
        </row>
        <row r="34">
          <cell r="B34" t="str">
            <v>MAR 2016</v>
          </cell>
          <cell r="C34" t="str">
            <v>LGCME563</v>
          </cell>
          <cell r="E34" t="str">
            <v>PSP</v>
          </cell>
          <cell r="F34">
            <v>561511.39</v>
          </cell>
        </row>
        <row r="35">
          <cell r="B35" t="str">
            <v>MAR 2016</v>
          </cell>
          <cell r="C35" t="str">
            <v>LGCME563</v>
          </cell>
          <cell r="E35" t="str">
            <v>PSP</v>
          </cell>
          <cell r="F35">
            <v>383859.95</v>
          </cell>
        </row>
        <row r="36">
          <cell r="B36" t="str">
            <v>MAR 2016</v>
          </cell>
          <cell r="C36" t="str">
            <v>LGCME563</v>
          </cell>
          <cell r="E36" t="str">
            <v>PSP</v>
          </cell>
          <cell r="F36">
            <v>33182.01</v>
          </cell>
        </row>
        <row r="37">
          <cell r="B37" t="str">
            <v>MAR 2016</v>
          </cell>
          <cell r="C37" t="str">
            <v>LGCME567</v>
          </cell>
          <cell r="E37" t="str">
            <v>PSS</v>
          </cell>
          <cell r="F37">
            <v>8011.44</v>
          </cell>
        </row>
        <row r="38">
          <cell r="B38" t="str">
            <v>MAR 2016</v>
          </cell>
          <cell r="C38" t="str">
            <v>LGCME591</v>
          </cell>
          <cell r="E38" t="str">
            <v>TODS</v>
          </cell>
          <cell r="F38">
            <v>34186</v>
          </cell>
        </row>
        <row r="39">
          <cell r="B39" t="str">
            <v>MAR 2016</v>
          </cell>
          <cell r="C39" t="str">
            <v>LGCME591</v>
          </cell>
          <cell r="E39" t="str">
            <v>TODS</v>
          </cell>
          <cell r="F39">
            <v>4382914.95</v>
          </cell>
        </row>
        <row r="40">
          <cell r="B40" t="str">
            <v>MAR 2016</v>
          </cell>
          <cell r="C40" t="str">
            <v>LGCME591</v>
          </cell>
          <cell r="E40" t="str">
            <v>TODS</v>
          </cell>
          <cell r="F40">
            <v>445740.58</v>
          </cell>
        </row>
        <row r="41">
          <cell r="B41" t="str">
            <v>MAR 2016</v>
          </cell>
          <cell r="C41" t="str">
            <v>LGCME591</v>
          </cell>
          <cell r="E41" t="str">
            <v>TODS</v>
          </cell>
          <cell r="F41">
            <v>25746.49</v>
          </cell>
        </row>
        <row r="42">
          <cell r="B42" t="str">
            <v>MAR 2016</v>
          </cell>
          <cell r="C42" t="str">
            <v>LGCME593</v>
          </cell>
          <cell r="E42" t="str">
            <v>CTODP</v>
          </cell>
          <cell r="F42">
            <v>1343937.58</v>
          </cell>
        </row>
        <row r="43">
          <cell r="B43" t="str">
            <v>MAR 2016</v>
          </cell>
          <cell r="C43" t="str">
            <v>LGCME593</v>
          </cell>
          <cell r="E43" t="str">
            <v>CTODP</v>
          </cell>
          <cell r="F43">
            <v>1435997.69</v>
          </cell>
        </row>
        <row r="44">
          <cell r="B44" t="str">
            <v>MAR 2016</v>
          </cell>
          <cell r="C44" t="str">
            <v>LGCME593</v>
          </cell>
          <cell r="E44" t="str">
            <v>CTODP</v>
          </cell>
          <cell r="F44">
            <v>976223.08</v>
          </cell>
        </row>
        <row r="45">
          <cell r="B45" t="str">
            <v>MAR 2016</v>
          </cell>
          <cell r="C45" t="str">
            <v>LGCME651</v>
          </cell>
          <cell r="E45" t="str">
            <v>GS3</v>
          </cell>
          <cell r="F45">
            <v>294440.61</v>
          </cell>
        </row>
        <row r="46">
          <cell r="B46" t="str">
            <v>MAR 2016</v>
          </cell>
          <cell r="C46" t="str">
            <v>LGCME651</v>
          </cell>
          <cell r="E46" t="str">
            <v>GS3</v>
          </cell>
          <cell r="F46">
            <v>255859.32</v>
          </cell>
        </row>
        <row r="47">
          <cell r="B47" t="str">
            <v>MAR 2016</v>
          </cell>
          <cell r="C47" t="str">
            <v>LGCME651</v>
          </cell>
          <cell r="E47" t="str">
            <v>GS3</v>
          </cell>
          <cell r="F47">
            <v>804895.11</v>
          </cell>
        </row>
        <row r="48">
          <cell r="B48" t="str">
            <v>MAR 2016</v>
          </cell>
          <cell r="C48" t="str">
            <v>LGCME651</v>
          </cell>
          <cell r="E48" t="str">
            <v>GS3</v>
          </cell>
          <cell r="F48">
            <v>326.45999999999998</v>
          </cell>
        </row>
        <row r="49">
          <cell r="B49" t="str">
            <v>MAR 2016</v>
          </cell>
          <cell r="C49" t="str">
            <v>LGCME651</v>
          </cell>
          <cell r="E49" t="str">
            <v>GS3</v>
          </cell>
          <cell r="F49">
            <v>6639779.4900000002</v>
          </cell>
        </row>
        <row r="50">
          <cell r="B50" t="str">
            <v>MAR 2016</v>
          </cell>
          <cell r="C50" t="str">
            <v>LGCME652</v>
          </cell>
          <cell r="E50" t="str">
            <v>GS3</v>
          </cell>
          <cell r="F50">
            <v>2477.75</v>
          </cell>
        </row>
        <row r="51">
          <cell r="B51" t="str">
            <v>MAR 2016</v>
          </cell>
          <cell r="C51" t="str">
            <v>LGCME652</v>
          </cell>
          <cell r="E51" t="str">
            <v>GS3</v>
          </cell>
          <cell r="F51">
            <v>0.11</v>
          </cell>
        </row>
        <row r="52">
          <cell r="B52" t="str">
            <v>MAR 2016</v>
          </cell>
          <cell r="C52" t="str">
            <v>LGCME652</v>
          </cell>
          <cell r="E52" t="str">
            <v>GS3</v>
          </cell>
          <cell r="F52">
            <v>22166.080000000002</v>
          </cell>
        </row>
        <row r="53">
          <cell r="B53" t="str">
            <v>MAR 2016</v>
          </cell>
          <cell r="C53" t="str">
            <v>LGCME652</v>
          </cell>
          <cell r="E53" t="str">
            <v>GS3</v>
          </cell>
          <cell r="F53">
            <v>173253.04</v>
          </cell>
        </row>
        <row r="54">
          <cell r="B54" t="str">
            <v>MAR 2016</v>
          </cell>
          <cell r="C54" t="str">
            <v>LGCME657</v>
          </cell>
          <cell r="E54" t="str">
            <v>GS3</v>
          </cell>
          <cell r="F54">
            <v>393.99</v>
          </cell>
        </row>
        <row r="55">
          <cell r="B55" t="str">
            <v>MAR 2016</v>
          </cell>
          <cell r="C55" t="str">
            <v>LGCME657</v>
          </cell>
          <cell r="E55" t="str">
            <v>GS3</v>
          </cell>
          <cell r="F55">
            <v>10696.65</v>
          </cell>
        </row>
        <row r="56">
          <cell r="B56" t="str">
            <v>MAR 2016</v>
          </cell>
          <cell r="C56" t="str">
            <v>LGCME657</v>
          </cell>
          <cell r="E56" t="str">
            <v>GS3</v>
          </cell>
          <cell r="F56">
            <v>7000.58</v>
          </cell>
        </row>
        <row r="57">
          <cell r="B57" t="str">
            <v>MAR 2016</v>
          </cell>
          <cell r="C57" t="str">
            <v>LGCME671</v>
          </cell>
          <cell r="E57" t="str">
            <v>LWC</v>
          </cell>
          <cell r="F57">
            <v>281371.45</v>
          </cell>
        </row>
        <row r="58">
          <cell r="B58" t="str">
            <v>MAR 2016</v>
          </cell>
          <cell r="C58" t="str">
            <v>LGCSR790</v>
          </cell>
          <cell r="E58" t="str">
            <v>CSR</v>
          </cell>
          <cell r="F58">
            <v>-205348.41</v>
          </cell>
        </row>
        <row r="59">
          <cell r="B59" t="str">
            <v>MAR 2016</v>
          </cell>
          <cell r="C59" t="str">
            <v>LGINE599</v>
          </cell>
          <cell r="E59" t="str">
            <v>FK</v>
          </cell>
          <cell r="F59">
            <v>682034.16</v>
          </cell>
        </row>
        <row r="60">
          <cell r="B60" t="str">
            <v>MAR 2016</v>
          </cell>
          <cell r="C60" t="str">
            <v>LGINE643</v>
          </cell>
          <cell r="E60" t="str">
            <v>RTS</v>
          </cell>
          <cell r="F60">
            <v>4495955.29</v>
          </cell>
        </row>
        <row r="61">
          <cell r="B61" t="str">
            <v>MAR 2016</v>
          </cell>
          <cell r="C61" t="str">
            <v>LGINE643</v>
          </cell>
          <cell r="E61" t="str">
            <v>RTS</v>
          </cell>
          <cell r="F61">
            <v>803385.44</v>
          </cell>
        </row>
        <row r="62">
          <cell r="B62" t="str">
            <v>MAR 2016</v>
          </cell>
          <cell r="C62" t="str">
            <v>LGINE661</v>
          </cell>
          <cell r="E62" t="str">
            <v>PSS</v>
          </cell>
          <cell r="F62">
            <v>1573535.47</v>
          </cell>
        </row>
        <row r="63">
          <cell r="B63" t="str">
            <v>MAR 2016</v>
          </cell>
          <cell r="C63" t="str">
            <v>LGINE661</v>
          </cell>
          <cell r="E63" t="str">
            <v>PSS</v>
          </cell>
          <cell r="F63">
            <v>3710.9</v>
          </cell>
        </row>
        <row r="64">
          <cell r="B64" t="str">
            <v>MAR 2016</v>
          </cell>
          <cell r="C64" t="str">
            <v>LGINE661</v>
          </cell>
          <cell r="E64" t="str">
            <v>PSS</v>
          </cell>
          <cell r="F64">
            <v>27040.67</v>
          </cell>
        </row>
        <row r="65">
          <cell r="B65" t="str">
            <v>MAR 2016</v>
          </cell>
          <cell r="C65" t="str">
            <v>LGINE661</v>
          </cell>
          <cell r="E65" t="str">
            <v>PSS</v>
          </cell>
          <cell r="F65">
            <v>34955.839999999997</v>
          </cell>
        </row>
        <row r="66">
          <cell r="B66" t="str">
            <v>MAR 2016</v>
          </cell>
          <cell r="C66" t="str">
            <v>LGINE663</v>
          </cell>
          <cell r="E66" t="str">
            <v>PSP</v>
          </cell>
          <cell r="F66">
            <v>66168.45</v>
          </cell>
        </row>
        <row r="67">
          <cell r="B67" t="str">
            <v>MAR 2016</v>
          </cell>
          <cell r="C67" t="str">
            <v>LGINE663</v>
          </cell>
          <cell r="E67" t="str">
            <v>PSP</v>
          </cell>
          <cell r="F67">
            <v>8813.75</v>
          </cell>
        </row>
        <row r="68">
          <cell r="B68" t="str">
            <v>MAR 2016</v>
          </cell>
          <cell r="C68" t="str">
            <v>LGINE691</v>
          </cell>
          <cell r="E68" t="str">
            <v>ITODS</v>
          </cell>
          <cell r="F68">
            <v>2429779.39</v>
          </cell>
        </row>
        <row r="69">
          <cell r="B69" t="str">
            <v>MAR 2016</v>
          </cell>
          <cell r="C69" t="str">
            <v>LGINE691</v>
          </cell>
          <cell r="E69" t="str">
            <v>ITODS</v>
          </cell>
          <cell r="F69">
            <v>49155.03</v>
          </cell>
        </row>
        <row r="70">
          <cell r="B70" t="str">
            <v>MAR 2016</v>
          </cell>
          <cell r="C70" t="str">
            <v>LGINE693</v>
          </cell>
          <cell r="E70" t="str">
            <v>ITODP</v>
          </cell>
          <cell r="F70">
            <v>6864539.4299999997</v>
          </cell>
        </row>
        <row r="71">
          <cell r="B71" t="str">
            <v>MAR 2016</v>
          </cell>
          <cell r="C71" t="str">
            <v>LGINE693</v>
          </cell>
          <cell r="E71" t="str">
            <v>ITODP</v>
          </cell>
          <cell r="F71">
            <v>804025.45</v>
          </cell>
        </row>
        <row r="72">
          <cell r="B72" t="str">
            <v>MAR 2016</v>
          </cell>
          <cell r="C72" t="str">
            <v>LGMLE570</v>
          </cell>
          <cell r="E72" t="str">
            <v>LE</v>
          </cell>
          <cell r="F72">
            <v>14.93</v>
          </cell>
        </row>
        <row r="73">
          <cell r="B73" t="str">
            <v>MAR 2016</v>
          </cell>
          <cell r="C73" t="str">
            <v>LGMLE571</v>
          </cell>
          <cell r="E73" t="str">
            <v>LE</v>
          </cell>
          <cell r="F73">
            <v>1771.86</v>
          </cell>
        </row>
        <row r="74">
          <cell r="B74" t="str">
            <v>MAR 2016</v>
          </cell>
          <cell r="C74" t="str">
            <v>LGMLE571</v>
          </cell>
          <cell r="E74" t="str">
            <v>LE</v>
          </cell>
          <cell r="F74">
            <v>9574.6299999999992</v>
          </cell>
        </row>
        <row r="75">
          <cell r="B75" t="str">
            <v>MAR 2016</v>
          </cell>
          <cell r="C75" t="str">
            <v>LGMLE572</v>
          </cell>
          <cell r="E75" t="str">
            <v>LE</v>
          </cell>
          <cell r="F75">
            <v>6247.26</v>
          </cell>
        </row>
        <row r="76">
          <cell r="B76" t="str">
            <v>MAR 2016</v>
          </cell>
          <cell r="C76" t="str">
            <v>LGMLE572</v>
          </cell>
          <cell r="E76" t="str">
            <v>LE</v>
          </cell>
          <cell r="F76">
            <v>687.94</v>
          </cell>
        </row>
        <row r="77">
          <cell r="B77" t="str">
            <v>MAR 2016</v>
          </cell>
          <cell r="C77" t="str">
            <v>LGMLE573</v>
          </cell>
          <cell r="E77" t="str">
            <v>TE</v>
          </cell>
          <cell r="F77">
            <v>1485.6</v>
          </cell>
        </row>
        <row r="78">
          <cell r="B78" t="str">
            <v>MAR 2016</v>
          </cell>
          <cell r="C78" t="str">
            <v>LGMLE573</v>
          </cell>
          <cell r="E78" t="str">
            <v>TE</v>
          </cell>
          <cell r="F78">
            <v>19511.78</v>
          </cell>
        </row>
        <row r="79">
          <cell r="B79" t="str">
            <v>MAR 2016</v>
          </cell>
          <cell r="C79" t="str">
            <v>LGMLE574</v>
          </cell>
          <cell r="E79" t="str">
            <v>TE</v>
          </cell>
          <cell r="F79">
            <v>6537.78</v>
          </cell>
        </row>
        <row r="80">
          <cell r="B80" t="str">
            <v>MAR 2016</v>
          </cell>
          <cell r="C80" t="str">
            <v>LGRSE000</v>
          </cell>
          <cell r="E80" t="str">
            <v>TS</v>
          </cell>
        </row>
        <row r="81">
          <cell r="B81" t="str">
            <v>MAR 2016</v>
          </cell>
          <cell r="C81" t="str">
            <v>LGRSE411</v>
          </cell>
          <cell r="E81" t="str">
            <v>RS</v>
          </cell>
          <cell r="F81">
            <v>28.12</v>
          </cell>
        </row>
        <row r="82">
          <cell r="B82" t="str">
            <v>MAR 2016</v>
          </cell>
          <cell r="C82" t="str">
            <v>LGRSE411</v>
          </cell>
          <cell r="E82" t="str">
            <v>RS</v>
          </cell>
          <cell r="F82">
            <v>76537.98</v>
          </cell>
        </row>
        <row r="83">
          <cell r="B83" t="str">
            <v>MAR 2016</v>
          </cell>
          <cell r="C83" t="str">
            <v>LGRSE511</v>
          </cell>
          <cell r="E83" t="str">
            <v>RS</v>
          </cell>
          <cell r="F83">
            <v>9765.24</v>
          </cell>
        </row>
        <row r="84">
          <cell r="B84" t="str">
            <v>MAR 2016</v>
          </cell>
          <cell r="C84" t="str">
            <v>LGRSE511</v>
          </cell>
          <cell r="E84" t="str">
            <v>RS</v>
          </cell>
          <cell r="F84">
            <v>31879584.699999999</v>
          </cell>
        </row>
        <row r="85">
          <cell r="B85" t="str">
            <v>MAR 2016</v>
          </cell>
          <cell r="C85" t="str">
            <v>LGRSE511</v>
          </cell>
          <cell r="E85" t="str">
            <v>RS</v>
          </cell>
          <cell r="F85">
            <v>1282.55</v>
          </cell>
        </row>
        <row r="86">
          <cell r="B86" t="str">
            <v>MAR 2016</v>
          </cell>
          <cell r="C86" t="str">
            <v>LGRSE519</v>
          </cell>
          <cell r="E86" t="str">
            <v>RS</v>
          </cell>
          <cell r="F86">
            <v>15226.56</v>
          </cell>
        </row>
        <row r="87">
          <cell r="B87" t="str">
            <v>MAR 2016</v>
          </cell>
          <cell r="C87" t="str">
            <v>LGRSE521</v>
          </cell>
          <cell r="E87" t="str">
            <v>RTODE</v>
          </cell>
          <cell r="F87">
            <v>3000.44</v>
          </cell>
        </row>
        <row r="88">
          <cell r="B88" t="str">
            <v>MAR 2016</v>
          </cell>
          <cell r="C88" t="str">
            <v>LGRSE540</v>
          </cell>
          <cell r="E88" t="str">
            <v>VFD</v>
          </cell>
          <cell r="F88">
            <v>20.5</v>
          </cell>
        </row>
        <row r="89">
          <cell r="B89" t="str">
            <v>MAR 2016</v>
          </cell>
          <cell r="C89" t="str">
            <v>LGRSE540</v>
          </cell>
          <cell r="E89" t="str">
            <v>VFD</v>
          </cell>
          <cell r="F89">
            <v>2537.08</v>
          </cell>
        </row>
        <row r="90">
          <cell r="B90" t="str">
            <v>MAR 2016</v>
          </cell>
          <cell r="C90" t="str">
            <v>LGUM_000</v>
          </cell>
          <cell r="E90" t="str">
            <v>TS</v>
          </cell>
        </row>
        <row r="91">
          <cell r="B91" t="str">
            <v>MAR 2016</v>
          </cell>
          <cell r="C91" t="str">
            <v>LGUM_000</v>
          </cell>
          <cell r="E91" t="str">
            <v>TS</v>
          </cell>
        </row>
        <row r="92">
          <cell r="B92" t="str">
            <v>MAR 2016</v>
          </cell>
          <cell r="C92" t="str">
            <v>LGUM_000</v>
          </cell>
          <cell r="E92" t="str">
            <v>TS</v>
          </cell>
        </row>
        <row r="93">
          <cell r="B93" t="str">
            <v>MAR 2016</v>
          </cell>
          <cell r="C93" t="str">
            <v>LGUM_000</v>
          </cell>
          <cell r="E93" t="str">
            <v>TS</v>
          </cell>
        </row>
        <row r="94">
          <cell r="B94" t="str">
            <v>MAR 2016</v>
          </cell>
          <cell r="C94" t="str">
            <v>LGUM_000</v>
          </cell>
          <cell r="E94" t="str">
            <v>TS</v>
          </cell>
        </row>
        <row r="95">
          <cell r="B95" t="str">
            <v>MAR 2016</v>
          </cell>
          <cell r="C95" t="str">
            <v>LGUM_000</v>
          </cell>
          <cell r="E95" t="str">
            <v>TS</v>
          </cell>
        </row>
        <row r="96">
          <cell r="B96" t="str">
            <v>MAR 2016</v>
          </cell>
          <cell r="C96" t="str">
            <v>LGUM_201</v>
          </cell>
          <cell r="E96" t="str">
            <v>RLS</v>
          </cell>
          <cell r="F96">
            <v>23.85</v>
          </cell>
        </row>
        <row r="97">
          <cell r="B97" t="str">
            <v>MAR 2016</v>
          </cell>
          <cell r="C97" t="str">
            <v>LGUM_201</v>
          </cell>
          <cell r="E97" t="str">
            <v>RLS</v>
          </cell>
          <cell r="F97">
            <v>48.29</v>
          </cell>
        </row>
        <row r="98">
          <cell r="B98" t="str">
            <v>MAR 2016</v>
          </cell>
          <cell r="C98" t="str">
            <v>LGUM_201</v>
          </cell>
          <cell r="E98" t="str">
            <v>RLS</v>
          </cell>
          <cell r="F98">
            <v>276.38</v>
          </cell>
        </row>
        <row r="99">
          <cell r="B99" t="str">
            <v>MAR 2016</v>
          </cell>
          <cell r="C99" t="str">
            <v>LGUM_201</v>
          </cell>
          <cell r="E99" t="str">
            <v>RLS</v>
          </cell>
          <cell r="F99">
            <v>69.88</v>
          </cell>
        </row>
        <row r="100">
          <cell r="B100" t="str">
            <v>MAR 2016</v>
          </cell>
          <cell r="C100" t="str">
            <v>LGUM_201</v>
          </cell>
          <cell r="E100" t="str">
            <v>RLS</v>
          </cell>
          <cell r="F100">
            <v>318.67</v>
          </cell>
        </row>
        <row r="101">
          <cell r="B101" t="str">
            <v>MAR 2016</v>
          </cell>
          <cell r="C101" t="str">
            <v>LGUM_203</v>
          </cell>
          <cell r="E101" t="str">
            <v>RLS</v>
          </cell>
          <cell r="F101">
            <v>567.05999999999995</v>
          </cell>
        </row>
        <row r="102">
          <cell r="B102" t="str">
            <v>MAR 2016</v>
          </cell>
          <cell r="C102" t="str">
            <v>LGUM_203</v>
          </cell>
          <cell r="E102" t="str">
            <v>RLS</v>
          </cell>
          <cell r="F102">
            <v>25561.98</v>
          </cell>
        </row>
        <row r="103">
          <cell r="B103" t="str">
            <v>MAR 2016</v>
          </cell>
          <cell r="C103" t="str">
            <v>LGUM_203</v>
          </cell>
          <cell r="E103" t="str">
            <v>RLS</v>
          </cell>
          <cell r="F103">
            <v>5072.05</v>
          </cell>
        </row>
        <row r="104">
          <cell r="B104" t="str">
            <v>MAR 2016</v>
          </cell>
          <cell r="C104" t="str">
            <v>LGUM_203</v>
          </cell>
          <cell r="E104" t="str">
            <v>RLS</v>
          </cell>
          <cell r="F104">
            <v>3367.1</v>
          </cell>
        </row>
        <row r="105">
          <cell r="B105" t="str">
            <v>MAR 2016</v>
          </cell>
          <cell r="C105" t="str">
            <v>LGUM_203</v>
          </cell>
          <cell r="E105" t="str">
            <v>RLS</v>
          </cell>
          <cell r="F105">
            <v>7832.13</v>
          </cell>
        </row>
        <row r="106">
          <cell r="B106" t="str">
            <v>MAR 2016</v>
          </cell>
          <cell r="C106" t="str">
            <v>LGUM_204</v>
          </cell>
          <cell r="E106" t="str">
            <v>RLS</v>
          </cell>
          <cell r="F106">
            <v>96.02</v>
          </cell>
        </row>
        <row r="107">
          <cell r="B107" t="str">
            <v>MAR 2016</v>
          </cell>
          <cell r="C107" t="str">
            <v>LGUM_204</v>
          </cell>
          <cell r="E107" t="str">
            <v>RLS</v>
          </cell>
          <cell r="F107">
            <v>1475.81</v>
          </cell>
        </row>
        <row r="108">
          <cell r="B108" t="str">
            <v>MAR 2016</v>
          </cell>
          <cell r="C108" t="str">
            <v>LGUM_204</v>
          </cell>
          <cell r="E108" t="str">
            <v>RLS</v>
          </cell>
          <cell r="F108">
            <v>31630.87</v>
          </cell>
        </row>
        <row r="109">
          <cell r="B109" t="str">
            <v>MAR 2016</v>
          </cell>
          <cell r="C109" t="str">
            <v>LGUM_204</v>
          </cell>
          <cell r="E109" t="str">
            <v>RLS</v>
          </cell>
          <cell r="F109">
            <v>924.39</v>
          </cell>
        </row>
        <row r="110">
          <cell r="B110" t="str">
            <v>MAR 2016</v>
          </cell>
          <cell r="C110" t="str">
            <v>LGUM_204</v>
          </cell>
          <cell r="E110" t="str">
            <v>RLS</v>
          </cell>
          <cell r="F110">
            <v>6868.06</v>
          </cell>
        </row>
        <row r="111">
          <cell r="B111" t="str">
            <v>MAR 2016</v>
          </cell>
          <cell r="C111" t="str">
            <v>LGUM_204</v>
          </cell>
          <cell r="E111" t="str">
            <v>RLS</v>
          </cell>
          <cell r="F111">
            <v>12511</v>
          </cell>
        </row>
        <row r="112">
          <cell r="B112" t="str">
            <v>MAR 2016</v>
          </cell>
          <cell r="C112" t="str">
            <v>LGUM_206</v>
          </cell>
          <cell r="E112" t="str">
            <v>RLS</v>
          </cell>
          <cell r="F112">
            <v>461</v>
          </cell>
        </row>
        <row r="113">
          <cell r="B113" t="str">
            <v>MAR 2016</v>
          </cell>
          <cell r="C113" t="str">
            <v>LGUM_206</v>
          </cell>
          <cell r="E113" t="str">
            <v>RLS</v>
          </cell>
          <cell r="F113">
            <v>0</v>
          </cell>
        </row>
        <row r="114">
          <cell r="B114" t="str">
            <v>MAR 2016</v>
          </cell>
          <cell r="C114" t="str">
            <v>LGUM_206</v>
          </cell>
          <cell r="E114" t="str">
            <v>RLS</v>
          </cell>
          <cell r="F114">
            <v>302.54000000000002</v>
          </cell>
        </row>
        <row r="115">
          <cell r="B115" t="str">
            <v>MAR 2016</v>
          </cell>
          <cell r="C115" t="str">
            <v>LGUM_206</v>
          </cell>
          <cell r="E115" t="str">
            <v>RLS</v>
          </cell>
          <cell r="F115">
            <v>273.73</v>
          </cell>
        </row>
        <row r="116">
          <cell r="B116" t="str">
            <v>MAR 2016</v>
          </cell>
          <cell r="C116" t="str">
            <v>LGUM_207</v>
          </cell>
          <cell r="E116" t="str">
            <v>RLS</v>
          </cell>
          <cell r="F116">
            <v>54.25</v>
          </cell>
        </row>
        <row r="117">
          <cell r="B117" t="str">
            <v>MAR 2016</v>
          </cell>
          <cell r="C117" t="str">
            <v>LGUM_207</v>
          </cell>
          <cell r="E117" t="str">
            <v>RLS</v>
          </cell>
          <cell r="F117">
            <v>2995.01</v>
          </cell>
        </row>
        <row r="118">
          <cell r="B118" t="str">
            <v>MAR 2016</v>
          </cell>
          <cell r="C118" t="str">
            <v>LGUM_207</v>
          </cell>
          <cell r="E118" t="str">
            <v>RLS</v>
          </cell>
          <cell r="F118">
            <v>761.38</v>
          </cell>
        </row>
        <row r="119">
          <cell r="B119" t="str">
            <v>MAR 2016</v>
          </cell>
          <cell r="C119" t="str">
            <v>LGUM_207</v>
          </cell>
          <cell r="E119" t="str">
            <v>RLS</v>
          </cell>
          <cell r="F119">
            <v>187.67</v>
          </cell>
        </row>
        <row r="120">
          <cell r="B120" t="str">
            <v>MAR 2016</v>
          </cell>
          <cell r="C120" t="str">
            <v>LGUM_207</v>
          </cell>
          <cell r="E120" t="str">
            <v>RLS</v>
          </cell>
          <cell r="F120">
            <v>7490.77</v>
          </cell>
        </row>
        <row r="121">
          <cell r="B121" t="str">
            <v>MAR 2016</v>
          </cell>
          <cell r="C121" t="str">
            <v>LGUM_207</v>
          </cell>
          <cell r="E121" t="str">
            <v>RLS</v>
          </cell>
          <cell r="F121">
            <v>1152.05</v>
          </cell>
        </row>
        <row r="122">
          <cell r="B122" t="str">
            <v>MAR 2016</v>
          </cell>
          <cell r="C122" t="str">
            <v>LGUM_208</v>
          </cell>
          <cell r="E122" t="str">
            <v>RLS</v>
          </cell>
          <cell r="F122">
            <v>164.17</v>
          </cell>
        </row>
        <row r="123">
          <cell r="B123" t="str">
            <v>MAR 2016</v>
          </cell>
          <cell r="C123" t="str">
            <v>LGUM_208</v>
          </cell>
          <cell r="E123" t="str">
            <v>RLS</v>
          </cell>
          <cell r="F123">
            <v>10330.049999999999</v>
          </cell>
        </row>
        <row r="124">
          <cell r="B124" t="str">
            <v>MAR 2016</v>
          </cell>
          <cell r="C124" t="str">
            <v>LGUM_208</v>
          </cell>
          <cell r="E124" t="str">
            <v>RLS</v>
          </cell>
          <cell r="F124">
            <v>410.32</v>
          </cell>
        </row>
        <row r="125">
          <cell r="B125" t="str">
            <v>MAR 2016</v>
          </cell>
          <cell r="C125" t="str">
            <v>LGUM_208</v>
          </cell>
          <cell r="E125" t="str">
            <v>RLS</v>
          </cell>
          <cell r="F125">
            <v>5831.54</v>
          </cell>
        </row>
        <row r="126">
          <cell r="B126" t="str">
            <v>MAR 2016</v>
          </cell>
          <cell r="C126" t="str">
            <v>LGUM_208</v>
          </cell>
          <cell r="E126" t="str">
            <v>RLS</v>
          </cell>
          <cell r="F126">
            <v>5318.9</v>
          </cell>
        </row>
        <row r="127">
          <cell r="B127" t="str">
            <v>MAR 2016</v>
          </cell>
          <cell r="C127" t="str">
            <v>LGUM_209</v>
          </cell>
          <cell r="E127" t="str">
            <v>RLS</v>
          </cell>
          <cell r="F127">
            <v>136.33000000000001</v>
          </cell>
        </row>
        <row r="128">
          <cell r="B128" t="str">
            <v>MAR 2016</v>
          </cell>
          <cell r="C128" t="str">
            <v>LGUM_209</v>
          </cell>
          <cell r="E128" t="str">
            <v>RLS</v>
          </cell>
          <cell r="F128">
            <v>32.380000000000003</v>
          </cell>
        </row>
        <row r="129">
          <cell r="B129" t="str">
            <v>MAR 2016</v>
          </cell>
          <cell r="C129" t="str">
            <v>LGUM_209</v>
          </cell>
          <cell r="E129" t="str">
            <v>RLS</v>
          </cell>
          <cell r="F129">
            <v>944.29</v>
          </cell>
        </row>
        <row r="130">
          <cell r="B130" t="str">
            <v>MAR 2016</v>
          </cell>
          <cell r="C130" t="str">
            <v>LGUM_210</v>
          </cell>
          <cell r="E130" t="str">
            <v>RLS</v>
          </cell>
          <cell r="F130">
            <v>101.12</v>
          </cell>
        </row>
        <row r="131">
          <cell r="B131" t="str">
            <v>MAR 2016</v>
          </cell>
          <cell r="C131" t="str">
            <v>LGUM_210</v>
          </cell>
          <cell r="E131" t="str">
            <v>RLS</v>
          </cell>
          <cell r="F131">
            <v>2933.18</v>
          </cell>
        </row>
        <row r="132">
          <cell r="B132" t="str">
            <v>MAR 2016</v>
          </cell>
          <cell r="C132" t="str">
            <v>LGUM_210</v>
          </cell>
          <cell r="E132" t="str">
            <v>RLS</v>
          </cell>
          <cell r="F132">
            <v>303.33</v>
          </cell>
        </row>
        <row r="133">
          <cell r="B133" t="str">
            <v>MAR 2016</v>
          </cell>
          <cell r="C133" t="str">
            <v>LGUM_210</v>
          </cell>
          <cell r="E133" t="str">
            <v>RLS</v>
          </cell>
          <cell r="F133">
            <v>33.71</v>
          </cell>
        </row>
        <row r="134">
          <cell r="B134" t="str">
            <v>MAR 2016</v>
          </cell>
          <cell r="C134" t="str">
            <v>LGUM_210</v>
          </cell>
          <cell r="E134" t="str">
            <v>RLS</v>
          </cell>
          <cell r="F134">
            <v>6890.46</v>
          </cell>
        </row>
        <row r="135">
          <cell r="B135" t="str">
            <v>MAR 2016</v>
          </cell>
          <cell r="C135" t="str">
            <v>LGUM_210</v>
          </cell>
          <cell r="E135" t="str">
            <v>RLS</v>
          </cell>
          <cell r="F135">
            <v>689.98</v>
          </cell>
        </row>
        <row r="136">
          <cell r="B136" t="str">
            <v>MAR 2016</v>
          </cell>
          <cell r="C136" t="str">
            <v>LGUM_252</v>
          </cell>
          <cell r="E136" t="str">
            <v>RLS</v>
          </cell>
          <cell r="F136">
            <v>259.8</v>
          </cell>
        </row>
        <row r="137">
          <cell r="B137" t="str">
            <v>MAR 2016</v>
          </cell>
          <cell r="C137" t="str">
            <v>LGUM_252</v>
          </cell>
          <cell r="E137" t="str">
            <v>RLS</v>
          </cell>
          <cell r="F137">
            <v>1689.5</v>
          </cell>
        </row>
        <row r="138">
          <cell r="B138" t="str">
            <v>MAR 2016</v>
          </cell>
          <cell r="C138" t="str">
            <v>LGUM_252</v>
          </cell>
          <cell r="E138" t="str">
            <v>RLS</v>
          </cell>
          <cell r="F138">
            <v>14767.58</v>
          </cell>
        </row>
        <row r="139">
          <cell r="B139" t="str">
            <v>MAR 2016</v>
          </cell>
          <cell r="C139" t="str">
            <v>LGUM_252</v>
          </cell>
          <cell r="E139" t="str">
            <v>RLS</v>
          </cell>
          <cell r="F139">
            <v>16105.77</v>
          </cell>
        </row>
        <row r="140">
          <cell r="B140" t="str">
            <v>MAR 2016</v>
          </cell>
          <cell r="C140" t="str">
            <v>LGUM_252</v>
          </cell>
          <cell r="E140" t="str">
            <v>RLS</v>
          </cell>
          <cell r="F140">
            <v>4774.34</v>
          </cell>
        </row>
        <row r="141">
          <cell r="B141" t="str">
            <v>MAR 2016</v>
          </cell>
          <cell r="C141" t="str">
            <v>LGUM_252</v>
          </cell>
          <cell r="E141" t="str">
            <v>RLS</v>
          </cell>
          <cell r="F141">
            <v>5801.14</v>
          </cell>
        </row>
        <row r="142">
          <cell r="B142" t="str">
            <v>MAR 2016</v>
          </cell>
          <cell r="C142" t="str">
            <v>LGUM_266</v>
          </cell>
          <cell r="E142" t="str">
            <v>RLS</v>
          </cell>
          <cell r="F142">
            <v>31.32</v>
          </cell>
        </row>
        <row r="143">
          <cell r="B143" t="str">
            <v>MAR 2016</v>
          </cell>
          <cell r="C143" t="str">
            <v>LGUM_266</v>
          </cell>
          <cell r="E143" t="str">
            <v>RLS</v>
          </cell>
          <cell r="F143">
            <v>1597.38</v>
          </cell>
        </row>
        <row r="144">
          <cell r="B144" t="str">
            <v>MAR 2016</v>
          </cell>
          <cell r="C144" t="str">
            <v>LGUM_266</v>
          </cell>
          <cell r="E144" t="str">
            <v>RLS</v>
          </cell>
          <cell r="F144">
            <v>40993.17</v>
          </cell>
        </row>
        <row r="145">
          <cell r="B145" t="str">
            <v>MAR 2016</v>
          </cell>
          <cell r="C145" t="str">
            <v>LGUM_266</v>
          </cell>
          <cell r="E145" t="str">
            <v>RLS</v>
          </cell>
          <cell r="F145">
            <v>1566.06</v>
          </cell>
        </row>
        <row r="146">
          <cell r="B146" t="str">
            <v>MAR 2016</v>
          </cell>
          <cell r="C146" t="str">
            <v>LGUM_266</v>
          </cell>
          <cell r="E146" t="str">
            <v>RLS</v>
          </cell>
          <cell r="F146">
            <v>9177.1299999999992</v>
          </cell>
        </row>
        <row r="147">
          <cell r="B147" t="str">
            <v>MAR 2016</v>
          </cell>
          <cell r="C147" t="str">
            <v>LGUM_266</v>
          </cell>
          <cell r="E147" t="str">
            <v>RLS</v>
          </cell>
          <cell r="F147">
            <v>11369.16</v>
          </cell>
        </row>
        <row r="148">
          <cell r="B148" t="str">
            <v>MAR 2016</v>
          </cell>
          <cell r="C148" t="str">
            <v>LGUM_267</v>
          </cell>
          <cell r="E148" t="str">
            <v>RLS</v>
          </cell>
          <cell r="F148">
            <v>71.87</v>
          </cell>
        </row>
        <row r="149">
          <cell r="B149" t="str">
            <v>MAR 2016</v>
          </cell>
          <cell r="C149" t="str">
            <v>LGUM_267</v>
          </cell>
          <cell r="E149" t="str">
            <v>RLS</v>
          </cell>
          <cell r="F149">
            <v>7595.57</v>
          </cell>
        </row>
        <row r="150">
          <cell r="B150" t="str">
            <v>MAR 2016</v>
          </cell>
          <cell r="C150" t="str">
            <v>LGUM_267</v>
          </cell>
          <cell r="E150" t="str">
            <v>RLS</v>
          </cell>
          <cell r="F150">
            <v>22493.27</v>
          </cell>
        </row>
        <row r="151">
          <cell r="B151" t="str">
            <v>MAR 2016</v>
          </cell>
          <cell r="C151" t="str">
            <v>LGUM_267</v>
          </cell>
          <cell r="E151" t="str">
            <v>RLS</v>
          </cell>
          <cell r="F151">
            <v>179.66</v>
          </cell>
        </row>
        <row r="152">
          <cell r="B152" t="str">
            <v>MAR 2016</v>
          </cell>
          <cell r="C152" t="str">
            <v>LGUM_267</v>
          </cell>
          <cell r="E152" t="str">
            <v>RLS</v>
          </cell>
          <cell r="F152">
            <v>42319.01</v>
          </cell>
        </row>
        <row r="153">
          <cell r="B153" t="str">
            <v>MAR 2016</v>
          </cell>
          <cell r="C153" t="str">
            <v>LGUM_267</v>
          </cell>
          <cell r="E153" t="str">
            <v>RLS</v>
          </cell>
          <cell r="F153">
            <v>10276.9</v>
          </cell>
        </row>
        <row r="154">
          <cell r="B154" t="str">
            <v>MAR 2016</v>
          </cell>
          <cell r="C154" t="str">
            <v>LGUM_274</v>
          </cell>
          <cell r="E154" t="str">
            <v>RLS</v>
          </cell>
          <cell r="F154">
            <v>60.35</v>
          </cell>
        </row>
        <row r="155">
          <cell r="B155" t="str">
            <v>MAR 2016</v>
          </cell>
          <cell r="C155" t="str">
            <v>LGUM_274</v>
          </cell>
          <cell r="E155" t="str">
            <v>RLS</v>
          </cell>
          <cell r="F155">
            <v>3009.63</v>
          </cell>
        </row>
        <row r="156">
          <cell r="B156" t="str">
            <v>MAR 2016</v>
          </cell>
          <cell r="C156" t="str">
            <v>LGUM_274</v>
          </cell>
          <cell r="E156" t="str">
            <v>RLS</v>
          </cell>
          <cell r="F156">
            <v>125375.82</v>
          </cell>
        </row>
        <row r="157">
          <cell r="B157" t="str">
            <v>MAR 2016</v>
          </cell>
          <cell r="C157" t="str">
            <v>LGUM_274</v>
          </cell>
          <cell r="E157" t="str">
            <v>RLS</v>
          </cell>
          <cell r="F157">
            <v>11590.81</v>
          </cell>
        </row>
        <row r="158">
          <cell r="B158" t="str">
            <v>MAR 2016</v>
          </cell>
          <cell r="C158" t="str">
            <v>LGUM_274</v>
          </cell>
          <cell r="E158" t="str">
            <v>RLS</v>
          </cell>
          <cell r="F158">
            <v>149533.45000000001</v>
          </cell>
        </row>
        <row r="159">
          <cell r="B159" t="str">
            <v>MAR 2016</v>
          </cell>
          <cell r="C159" t="str">
            <v>LGUM_274</v>
          </cell>
          <cell r="E159" t="str">
            <v>RLS</v>
          </cell>
          <cell r="F159">
            <v>52629.06</v>
          </cell>
        </row>
        <row r="160">
          <cell r="B160" t="str">
            <v>MAR 2016</v>
          </cell>
          <cell r="C160" t="str">
            <v>LGUM_275</v>
          </cell>
          <cell r="E160" t="str">
            <v>RLS</v>
          </cell>
          <cell r="F160">
            <v>227.9</v>
          </cell>
        </row>
        <row r="161">
          <cell r="B161" t="str">
            <v>MAR 2016</v>
          </cell>
          <cell r="C161" t="str">
            <v>LGUM_275</v>
          </cell>
          <cell r="E161" t="str">
            <v>RLS</v>
          </cell>
          <cell r="F161">
            <v>2335.8000000000002</v>
          </cell>
        </row>
        <row r="162">
          <cell r="B162" t="str">
            <v>MAR 2016</v>
          </cell>
          <cell r="C162" t="str">
            <v>LGUM_275</v>
          </cell>
          <cell r="E162" t="str">
            <v>RLS</v>
          </cell>
          <cell r="F162">
            <v>56.97</v>
          </cell>
        </row>
        <row r="163">
          <cell r="B163" t="str">
            <v>MAR 2016</v>
          </cell>
          <cell r="C163" t="str">
            <v>LGUM_275</v>
          </cell>
          <cell r="E163" t="str">
            <v>RLS</v>
          </cell>
          <cell r="F163">
            <v>9513.98</v>
          </cell>
        </row>
        <row r="164">
          <cell r="B164" t="str">
            <v>MAR 2016</v>
          </cell>
          <cell r="C164" t="str">
            <v>LGUM_275</v>
          </cell>
          <cell r="E164" t="str">
            <v>RLS</v>
          </cell>
          <cell r="F164">
            <v>2677.18</v>
          </cell>
        </row>
        <row r="165">
          <cell r="B165" t="str">
            <v>MAR 2016</v>
          </cell>
          <cell r="C165" t="str">
            <v>LGUM_276</v>
          </cell>
          <cell r="E165" t="str">
            <v>RLS</v>
          </cell>
          <cell r="F165">
            <v>1306.01</v>
          </cell>
        </row>
        <row r="166">
          <cell r="B166" t="str">
            <v>MAR 2016</v>
          </cell>
          <cell r="C166" t="str">
            <v>LGUM_276</v>
          </cell>
          <cell r="E166" t="str">
            <v>RLS</v>
          </cell>
          <cell r="F166">
            <v>3516.21</v>
          </cell>
        </row>
        <row r="167">
          <cell r="B167" t="str">
            <v>MAR 2016</v>
          </cell>
          <cell r="C167" t="str">
            <v>LGUM_276</v>
          </cell>
          <cell r="E167" t="str">
            <v>RLS</v>
          </cell>
          <cell r="F167">
            <v>5074.6099999999997</v>
          </cell>
        </row>
        <row r="168">
          <cell r="B168" t="str">
            <v>MAR 2016</v>
          </cell>
          <cell r="C168" t="str">
            <v>LGUM_276</v>
          </cell>
          <cell r="E168" t="str">
            <v>RLS</v>
          </cell>
          <cell r="F168">
            <v>8271.42</v>
          </cell>
        </row>
        <row r="169">
          <cell r="B169" t="str">
            <v>MAR 2016</v>
          </cell>
          <cell r="C169" t="str">
            <v>LGUM_276</v>
          </cell>
          <cell r="E169" t="str">
            <v>RLS</v>
          </cell>
          <cell r="F169">
            <v>4621.38</v>
          </cell>
        </row>
        <row r="170">
          <cell r="B170" t="str">
            <v>MAR 2016</v>
          </cell>
          <cell r="C170" t="str">
            <v>LGUM_277</v>
          </cell>
          <cell r="E170" t="str">
            <v>RLS</v>
          </cell>
          <cell r="F170">
            <v>7458.18</v>
          </cell>
        </row>
        <row r="171">
          <cell r="B171" t="str">
            <v>MAR 2016</v>
          </cell>
          <cell r="C171" t="str">
            <v>LGUM_277</v>
          </cell>
          <cell r="E171" t="str">
            <v>RLS</v>
          </cell>
          <cell r="F171">
            <v>13389.89</v>
          </cell>
        </row>
        <row r="172">
          <cell r="B172" t="str">
            <v>MAR 2016</v>
          </cell>
          <cell r="C172" t="str">
            <v>LGUM_277</v>
          </cell>
          <cell r="E172" t="str">
            <v>RLS</v>
          </cell>
          <cell r="F172">
            <v>2087.36</v>
          </cell>
        </row>
        <row r="173">
          <cell r="B173" t="str">
            <v>MAR 2016</v>
          </cell>
          <cell r="C173" t="str">
            <v>LGUM_277</v>
          </cell>
          <cell r="E173" t="str">
            <v>RLS</v>
          </cell>
          <cell r="F173">
            <v>25164.04</v>
          </cell>
        </row>
        <row r="174">
          <cell r="B174" t="str">
            <v>MAR 2016</v>
          </cell>
          <cell r="C174" t="str">
            <v>LGUM_277</v>
          </cell>
          <cell r="E174" t="str">
            <v>RLS</v>
          </cell>
          <cell r="F174">
            <v>11734.99</v>
          </cell>
        </row>
        <row r="175">
          <cell r="B175" t="str">
            <v>MAR 2016</v>
          </cell>
          <cell r="C175" t="str">
            <v>LGUM_278</v>
          </cell>
          <cell r="E175" t="str">
            <v>RLS</v>
          </cell>
          <cell r="F175">
            <v>335.78</v>
          </cell>
        </row>
        <row r="176">
          <cell r="B176" t="str">
            <v>MAR 2016</v>
          </cell>
          <cell r="C176" t="str">
            <v>LGUM_278</v>
          </cell>
          <cell r="E176" t="str">
            <v>RLS</v>
          </cell>
          <cell r="F176">
            <v>503.63</v>
          </cell>
        </row>
        <row r="177">
          <cell r="B177" t="str">
            <v>MAR 2016</v>
          </cell>
          <cell r="C177" t="str">
            <v>LGUM_278</v>
          </cell>
          <cell r="E177" t="str">
            <v>RLS</v>
          </cell>
          <cell r="F177">
            <v>167.89</v>
          </cell>
        </row>
        <row r="178">
          <cell r="B178" t="str">
            <v>MAR 2016</v>
          </cell>
          <cell r="C178" t="str">
            <v>LGUM_279</v>
          </cell>
          <cell r="E178" t="str">
            <v>RLS</v>
          </cell>
          <cell r="F178">
            <v>198.52</v>
          </cell>
        </row>
        <row r="179">
          <cell r="B179" t="str">
            <v>MAR 2016</v>
          </cell>
          <cell r="C179" t="str">
            <v>LGUM_279</v>
          </cell>
          <cell r="E179" t="str">
            <v>RLS</v>
          </cell>
          <cell r="F179">
            <v>99.26</v>
          </cell>
        </row>
        <row r="180">
          <cell r="B180" t="str">
            <v>MAR 2016</v>
          </cell>
          <cell r="C180" t="str">
            <v>LGUM_279</v>
          </cell>
          <cell r="E180" t="str">
            <v>RLS</v>
          </cell>
          <cell r="F180">
            <v>99.26</v>
          </cell>
        </row>
        <row r="181">
          <cell r="B181" t="str">
            <v>MAR 2016</v>
          </cell>
          <cell r="C181" t="str">
            <v>LGUM_280</v>
          </cell>
          <cell r="E181" t="str">
            <v>RLS</v>
          </cell>
          <cell r="F181">
            <v>421.31</v>
          </cell>
        </row>
        <row r="182">
          <cell r="B182" t="str">
            <v>MAR 2016</v>
          </cell>
          <cell r="C182" t="str">
            <v>LGUM_280</v>
          </cell>
          <cell r="E182" t="str">
            <v>RLS</v>
          </cell>
          <cell r="F182">
            <v>1423.78</v>
          </cell>
        </row>
        <row r="183">
          <cell r="B183" t="str">
            <v>MAR 2016</v>
          </cell>
          <cell r="C183" t="str">
            <v>LGUM_281</v>
          </cell>
          <cell r="E183" t="str">
            <v>RLS</v>
          </cell>
          <cell r="F183">
            <v>47.2</v>
          </cell>
        </row>
        <row r="184">
          <cell r="B184" t="str">
            <v>MAR 2016</v>
          </cell>
          <cell r="C184" t="str">
            <v>LGUM_281</v>
          </cell>
          <cell r="E184" t="str">
            <v>RLS</v>
          </cell>
          <cell r="F184">
            <v>3996.16</v>
          </cell>
        </row>
        <row r="185">
          <cell r="B185" t="str">
            <v>MAR 2016</v>
          </cell>
          <cell r="C185" t="str">
            <v>LGUM_281</v>
          </cell>
          <cell r="E185" t="str">
            <v>RLS</v>
          </cell>
          <cell r="F185">
            <v>4001.97</v>
          </cell>
        </row>
        <row r="186">
          <cell r="B186" t="str">
            <v>MAR 2016</v>
          </cell>
          <cell r="C186" t="str">
            <v>LGUM_281</v>
          </cell>
          <cell r="E186" t="str">
            <v>RLS</v>
          </cell>
          <cell r="F186">
            <v>604.36</v>
          </cell>
        </row>
        <row r="187">
          <cell r="B187" t="str">
            <v>MAR 2016</v>
          </cell>
          <cell r="C187" t="str">
            <v>LGUM_282</v>
          </cell>
          <cell r="E187" t="str">
            <v>RLS</v>
          </cell>
          <cell r="F187">
            <v>847</v>
          </cell>
        </row>
        <row r="188">
          <cell r="B188" t="str">
            <v>MAR 2016</v>
          </cell>
          <cell r="C188" t="str">
            <v>LGUM_282</v>
          </cell>
          <cell r="E188" t="str">
            <v>RLS</v>
          </cell>
          <cell r="F188">
            <v>2645.64</v>
          </cell>
        </row>
        <row r="189">
          <cell r="B189" t="str">
            <v>MAR 2016</v>
          </cell>
          <cell r="C189" t="str">
            <v>LGUM_283</v>
          </cell>
          <cell r="E189" t="str">
            <v>RLS</v>
          </cell>
          <cell r="F189">
            <v>72.08</v>
          </cell>
        </row>
        <row r="190">
          <cell r="B190" t="str">
            <v>MAR 2016</v>
          </cell>
          <cell r="C190" t="str">
            <v>LGUM_283</v>
          </cell>
          <cell r="E190" t="str">
            <v>RLS</v>
          </cell>
          <cell r="F190">
            <v>3070.9</v>
          </cell>
        </row>
        <row r="191">
          <cell r="B191" t="str">
            <v>MAR 2016</v>
          </cell>
          <cell r="C191" t="str">
            <v>LGUM_283</v>
          </cell>
          <cell r="E191" t="str">
            <v>RLS</v>
          </cell>
          <cell r="F191">
            <v>683.03</v>
          </cell>
        </row>
        <row r="192">
          <cell r="B192" t="str">
            <v>MAR 2016</v>
          </cell>
          <cell r="C192" t="str">
            <v>LGUM_314</v>
          </cell>
          <cell r="E192" t="str">
            <v>RLS</v>
          </cell>
          <cell r="F192">
            <v>6054.66</v>
          </cell>
        </row>
        <row r="193">
          <cell r="B193" t="str">
            <v>MAR 2016</v>
          </cell>
          <cell r="C193" t="str">
            <v>LGUM_314</v>
          </cell>
          <cell r="E193" t="str">
            <v>RLS</v>
          </cell>
          <cell r="F193">
            <v>680.21</v>
          </cell>
        </row>
        <row r="194">
          <cell r="B194" t="str">
            <v>MAR 2016</v>
          </cell>
          <cell r="C194" t="str">
            <v>LGUM_314</v>
          </cell>
          <cell r="E194" t="str">
            <v>RLS</v>
          </cell>
          <cell r="F194">
            <v>3257.02</v>
          </cell>
        </row>
        <row r="195">
          <cell r="B195" t="str">
            <v>MAR 2016</v>
          </cell>
          <cell r="C195" t="str">
            <v>LGUM_315</v>
          </cell>
          <cell r="E195" t="str">
            <v>RLS</v>
          </cell>
          <cell r="F195">
            <v>11786.06</v>
          </cell>
        </row>
        <row r="196">
          <cell r="B196" t="str">
            <v>MAR 2016</v>
          </cell>
          <cell r="C196" t="str">
            <v>LGUM_315</v>
          </cell>
          <cell r="E196" t="str">
            <v>RLS</v>
          </cell>
          <cell r="F196">
            <v>157.5</v>
          </cell>
        </row>
        <row r="197">
          <cell r="B197" t="str">
            <v>MAR 2016</v>
          </cell>
          <cell r="C197" t="str">
            <v>LGUM_315</v>
          </cell>
          <cell r="E197" t="str">
            <v>RLS</v>
          </cell>
          <cell r="F197">
            <v>78.75</v>
          </cell>
        </row>
        <row r="198">
          <cell r="B198" t="str">
            <v>MAR 2016</v>
          </cell>
          <cell r="C198" t="str">
            <v>LGUM_318</v>
          </cell>
          <cell r="E198" t="str">
            <v>RLS</v>
          </cell>
          <cell r="F198">
            <v>577.72</v>
          </cell>
        </row>
        <row r="199">
          <cell r="B199" t="str">
            <v>MAR 2016</v>
          </cell>
          <cell r="C199" t="str">
            <v>LGUM_318</v>
          </cell>
          <cell r="E199" t="str">
            <v>RLS</v>
          </cell>
          <cell r="F199">
            <v>378.51</v>
          </cell>
        </row>
        <row r="200">
          <cell r="B200" t="str">
            <v>MAR 2016</v>
          </cell>
          <cell r="C200" t="str">
            <v>LGUM_348</v>
          </cell>
          <cell r="E200" t="str">
            <v>RLS</v>
          </cell>
          <cell r="F200">
            <v>521.19000000000005</v>
          </cell>
        </row>
        <row r="201">
          <cell r="B201" t="str">
            <v>MAR 2016</v>
          </cell>
          <cell r="C201" t="str">
            <v>LGUM_348</v>
          </cell>
          <cell r="E201" t="str">
            <v>RLS</v>
          </cell>
          <cell r="F201">
            <v>76.650000000000006</v>
          </cell>
        </row>
        <row r="202">
          <cell r="B202" t="str">
            <v>MAR 2016</v>
          </cell>
          <cell r="C202" t="str">
            <v>LGUM_349</v>
          </cell>
          <cell r="E202" t="str">
            <v>RLS</v>
          </cell>
          <cell r="F202">
            <v>179.17</v>
          </cell>
        </row>
        <row r="203">
          <cell r="B203" t="str">
            <v>MAR 2016</v>
          </cell>
          <cell r="C203" t="str">
            <v>LGUM_400</v>
          </cell>
          <cell r="E203" t="str">
            <v xml:space="preserve">LS </v>
          </cell>
          <cell r="F203">
            <v>307.06</v>
          </cell>
        </row>
        <row r="204">
          <cell r="B204" t="str">
            <v>MAR 2016</v>
          </cell>
          <cell r="C204" t="str">
            <v>LGUM_400</v>
          </cell>
          <cell r="E204" t="str">
            <v xml:space="preserve">LS </v>
          </cell>
          <cell r="F204">
            <v>1183.27</v>
          </cell>
        </row>
        <row r="205">
          <cell r="B205" t="str">
            <v>MAR 2016</v>
          </cell>
          <cell r="C205" t="str">
            <v>LGUM_401</v>
          </cell>
          <cell r="E205" t="str">
            <v xml:space="preserve">LS </v>
          </cell>
          <cell r="F205">
            <v>475.53</v>
          </cell>
        </row>
        <row r="206">
          <cell r="B206" t="str">
            <v>MAR 2016</v>
          </cell>
          <cell r="C206" t="str">
            <v>LGUM_412</v>
          </cell>
          <cell r="E206" t="str">
            <v xml:space="preserve">LS </v>
          </cell>
          <cell r="F206">
            <v>137.63999999999999</v>
          </cell>
        </row>
        <row r="207">
          <cell r="B207" t="str">
            <v>MAR 2016</v>
          </cell>
          <cell r="C207" t="str">
            <v>LGUM_412</v>
          </cell>
          <cell r="E207" t="str">
            <v xml:space="preserve">LS </v>
          </cell>
          <cell r="F207">
            <v>504.71</v>
          </cell>
        </row>
        <row r="208">
          <cell r="B208" t="str">
            <v>MAR 2016</v>
          </cell>
          <cell r="C208" t="str">
            <v>LGUM_412</v>
          </cell>
          <cell r="E208" t="str">
            <v xml:space="preserve">LS </v>
          </cell>
          <cell r="F208">
            <v>2844.7</v>
          </cell>
        </row>
        <row r="209">
          <cell r="B209" t="str">
            <v>MAR 2016</v>
          </cell>
          <cell r="C209" t="str">
            <v>LGUM_412</v>
          </cell>
          <cell r="E209" t="str">
            <v xml:space="preserve">LS </v>
          </cell>
          <cell r="F209">
            <v>1582.93</v>
          </cell>
        </row>
        <row r="210">
          <cell r="B210" t="str">
            <v>MAR 2016</v>
          </cell>
          <cell r="C210" t="str">
            <v>LGUM_413</v>
          </cell>
          <cell r="E210" t="str">
            <v xml:space="preserve">LS </v>
          </cell>
          <cell r="F210">
            <v>950.14</v>
          </cell>
        </row>
        <row r="211">
          <cell r="B211" t="str">
            <v>MAR 2016</v>
          </cell>
          <cell r="C211" t="str">
            <v>LGUM_413</v>
          </cell>
          <cell r="E211" t="str">
            <v xml:space="preserve">LS </v>
          </cell>
          <cell r="F211">
            <v>13224.95</v>
          </cell>
        </row>
        <row r="212">
          <cell r="B212" t="str">
            <v>MAR 2016</v>
          </cell>
          <cell r="C212" t="str">
            <v>LGUM_413</v>
          </cell>
          <cell r="E212" t="str">
            <v xml:space="preserve">LS </v>
          </cell>
          <cell r="F212">
            <v>2387.65</v>
          </cell>
        </row>
        <row r="213">
          <cell r="B213" t="str">
            <v>MAR 2016</v>
          </cell>
          <cell r="C213" t="str">
            <v>LGUM_413</v>
          </cell>
          <cell r="E213" t="str">
            <v xml:space="preserve">LS </v>
          </cell>
          <cell r="F213">
            <v>44184.39</v>
          </cell>
        </row>
        <row r="214">
          <cell r="B214" t="str">
            <v>MAR 2016</v>
          </cell>
          <cell r="C214" t="str">
            <v>LGUM_413</v>
          </cell>
          <cell r="E214" t="str">
            <v xml:space="preserve">LS </v>
          </cell>
          <cell r="F214">
            <v>1933.34</v>
          </cell>
        </row>
        <row r="215">
          <cell r="B215" t="str">
            <v>MAR 2016</v>
          </cell>
          <cell r="C215" t="str">
            <v>LGUM_415</v>
          </cell>
          <cell r="E215" t="str">
            <v xml:space="preserve">LS </v>
          </cell>
          <cell r="F215">
            <v>93.49</v>
          </cell>
        </row>
        <row r="216">
          <cell r="B216" t="str">
            <v>MAR 2016</v>
          </cell>
          <cell r="C216" t="str">
            <v>LGUM_415</v>
          </cell>
          <cell r="E216" t="str">
            <v xml:space="preserve">LS </v>
          </cell>
          <cell r="F216">
            <v>70.11</v>
          </cell>
        </row>
        <row r="217">
          <cell r="B217" t="str">
            <v>MAR 2016</v>
          </cell>
          <cell r="C217" t="str">
            <v>LGUM_415</v>
          </cell>
          <cell r="E217" t="str">
            <v xml:space="preserve">LS </v>
          </cell>
          <cell r="F217">
            <v>280.45</v>
          </cell>
        </row>
        <row r="218">
          <cell r="B218" t="str">
            <v>MAR 2016</v>
          </cell>
          <cell r="C218" t="str">
            <v>LGUM_415</v>
          </cell>
          <cell r="E218" t="str">
            <v xml:space="preserve">LS </v>
          </cell>
          <cell r="F218">
            <v>631.01</v>
          </cell>
        </row>
        <row r="219">
          <cell r="B219" t="str">
            <v>MAR 2016</v>
          </cell>
          <cell r="C219" t="str">
            <v>LGUM_415</v>
          </cell>
          <cell r="E219" t="str">
            <v xml:space="preserve">LS </v>
          </cell>
          <cell r="F219">
            <v>23.37</v>
          </cell>
        </row>
        <row r="220">
          <cell r="B220" t="str">
            <v>MAR 2016</v>
          </cell>
          <cell r="C220" t="str">
            <v>LGUM_416</v>
          </cell>
          <cell r="E220" t="str">
            <v xml:space="preserve">LS </v>
          </cell>
          <cell r="F220">
            <v>1041.6300000000001</v>
          </cell>
        </row>
        <row r="221">
          <cell r="B221" t="str">
            <v>MAR 2016</v>
          </cell>
          <cell r="C221" t="str">
            <v>LGUM_416</v>
          </cell>
          <cell r="E221" t="str">
            <v xml:space="preserve">LS </v>
          </cell>
          <cell r="F221">
            <v>4660.25</v>
          </cell>
        </row>
        <row r="222">
          <cell r="B222" t="str">
            <v>MAR 2016</v>
          </cell>
          <cell r="C222" t="str">
            <v>LGUM_416</v>
          </cell>
          <cell r="E222" t="str">
            <v xml:space="preserve">LS </v>
          </cell>
          <cell r="F222">
            <v>2108.6799999999998</v>
          </cell>
        </row>
        <row r="223">
          <cell r="B223" t="str">
            <v>MAR 2016</v>
          </cell>
          <cell r="C223" t="str">
            <v>LGUM_416</v>
          </cell>
          <cell r="E223" t="str">
            <v xml:space="preserve">LS </v>
          </cell>
          <cell r="F223">
            <v>44407.34</v>
          </cell>
        </row>
        <row r="224">
          <cell r="B224" t="str">
            <v>MAR 2016</v>
          </cell>
          <cell r="C224" t="str">
            <v>LGUM_416</v>
          </cell>
          <cell r="E224" t="str">
            <v xml:space="preserve">LS </v>
          </cell>
          <cell r="F224">
            <v>286.38</v>
          </cell>
        </row>
        <row r="225">
          <cell r="B225" t="str">
            <v>MAR 2016</v>
          </cell>
          <cell r="C225" t="str">
            <v>LGUM_417</v>
          </cell>
          <cell r="E225" t="str">
            <v>RLS</v>
          </cell>
          <cell r="F225">
            <v>272.7</v>
          </cell>
        </row>
        <row r="226">
          <cell r="B226" t="str">
            <v>MAR 2016</v>
          </cell>
          <cell r="C226" t="str">
            <v>LGUM_417</v>
          </cell>
          <cell r="E226" t="str">
            <v>RLS</v>
          </cell>
          <cell r="F226">
            <v>1009.01</v>
          </cell>
        </row>
        <row r="227">
          <cell r="B227" t="str">
            <v>MAR 2016</v>
          </cell>
          <cell r="C227" t="str">
            <v>LGUM_419</v>
          </cell>
          <cell r="E227" t="str">
            <v>RLS</v>
          </cell>
          <cell r="F227">
            <v>289.74</v>
          </cell>
        </row>
        <row r="228">
          <cell r="B228" t="str">
            <v>MAR 2016</v>
          </cell>
          <cell r="C228" t="str">
            <v>LGUM_419</v>
          </cell>
          <cell r="E228" t="str">
            <v>RLS</v>
          </cell>
          <cell r="F228">
            <v>3042.2</v>
          </cell>
        </row>
        <row r="229">
          <cell r="B229" t="str">
            <v>MAR 2016</v>
          </cell>
          <cell r="C229" t="str">
            <v>LGUM_419</v>
          </cell>
          <cell r="E229" t="str">
            <v>RLS</v>
          </cell>
          <cell r="F229">
            <v>115.9</v>
          </cell>
        </row>
        <row r="230">
          <cell r="B230" t="str">
            <v>MAR 2016</v>
          </cell>
          <cell r="C230" t="str">
            <v>LGUM_420</v>
          </cell>
          <cell r="E230" t="str">
            <v xml:space="preserve">LS </v>
          </cell>
          <cell r="F230">
            <v>136</v>
          </cell>
        </row>
        <row r="231">
          <cell r="B231" t="str">
            <v>MAR 2016</v>
          </cell>
          <cell r="C231" t="str">
            <v>LGUM_420</v>
          </cell>
          <cell r="E231" t="str">
            <v xml:space="preserve">LS </v>
          </cell>
          <cell r="F231">
            <v>951.98</v>
          </cell>
        </row>
        <row r="232">
          <cell r="B232" t="str">
            <v>MAR 2016</v>
          </cell>
          <cell r="C232" t="str">
            <v>LGUM_420</v>
          </cell>
          <cell r="E232" t="str">
            <v xml:space="preserve">LS </v>
          </cell>
          <cell r="F232">
            <v>1020.01</v>
          </cell>
        </row>
        <row r="233">
          <cell r="B233" t="str">
            <v>MAR 2016</v>
          </cell>
          <cell r="C233" t="str">
            <v>LGUM_421</v>
          </cell>
          <cell r="E233" t="str">
            <v xml:space="preserve">LS </v>
          </cell>
          <cell r="F233">
            <v>635.91</v>
          </cell>
        </row>
        <row r="234">
          <cell r="B234" t="str">
            <v>MAR 2016</v>
          </cell>
          <cell r="C234" t="str">
            <v>LGUM_421</v>
          </cell>
          <cell r="E234" t="str">
            <v xml:space="preserve">LS </v>
          </cell>
          <cell r="F234">
            <v>935.13</v>
          </cell>
        </row>
        <row r="235">
          <cell r="B235" t="str">
            <v>MAR 2016</v>
          </cell>
          <cell r="C235" t="str">
            <v>LGUM_421</v>
          </cell>
          <cell r="E235" t="str">
            <v xml:space="preserve">LS </v>
          </cell>
          <cell r="F235">
            <v>74.819999999999993</v>
          </cell>
        </row>
        <row r="236">
          <cell r="B236" t="str">
            <v>MAR 2016</v>
          </cell>
          <cell r="C236" t="str">
            <v>LGUM_421</v>
          </cell>
          <cell r="E236" t="str">
            <v xml:space="preserve">LS </v>
          </cell>
          <cell r="F236">
            <v>6134.84</v>
          </cell>
        </row>
        <row r="237">
          <cell r="B237" t="str">
            <v>MAR 2016</v>
          </cell>
          <cell r="C237" t="str">
            <v>LGUM_421</v>
          </cell>
          <cell r="E237" t="str">
            <v xml:space="preserve">LS </v>
          </cell>
          <cell r="F237">
            <v>261.87</v>
          </cell>
        </row>
        <row r="238">
          <cell r="B238" t="str">
            <v>MAR 2016</v>
          </cell>
          <cell r="C238" t="str">
            <v>LGUM_422</v>
          </cell>
          <cell r="E238" t="str">
            <v xml:space="preserve">LS </v>
          </cell>
          <cell r="F238">
            <v>4407.8500000000004</v>
          </cell>
        </row>
        <row r="239">
          <cell r="B239" t="str">
            <v>MAR 2016</v>
          </cell>
          <cell r="C239" t="str">
            <v>LGUM_422</v>
          </cell>
          <cell r="E239" t="str">
            <v xml:space="preserve">LS </v>
          </cell>
          <cell r="F239">
            <v>1701.78</v>
          </cell>
        </row>
        <row r="240">
          <cell r="B240" t="str">
            <v>MAR 2016</v>
          </cell>
          <cell r="C240" t="str">
            <v>LGUM_422</v>
          </cell>
          <cell r="E240" t="str">
            <v xml:space="preserve">LS </v>
          </cell>
          <cell r="F240">
            <v>87.28</v>
          </cell>
        </row>
        <row r="241">
          <cell r="B241" t="str">
            <v>MAR 2016</v>
          </cell>
          <cell r="C241" t="str">
            <v>LGUM_422</v>
          </cell>
          <cell r="E241" t="str">
            <v xml:space="preserve">LS </v>
          </cell>
          <cell r="F241">
            <v>12419.11</v>
          </cell>
        </row>
        <row r="242">
          <cell r="B242" t="str">
            <v>MAR 2016</v>
          </cell>
          <cell r="C242" t="str">
            <v>LGUM_422</v>
          </cell>
          <cell r="E242" t="str">
            <v xml:space="preserve">LS </v>
          </cell>
          <cell r="F242">
            <v>654.65</v>
          </cell>
        </row>
        <row r="243">
          <cell r="B243" t="str">
            <v>MAR 2016</v>
          </cell>
          <cell r="C243" t="str">
            <v>LGUM_423</v>
          </cell>
          <cell r="E243" t="str">
            <v xml:space="preserve">LS </v>
          </cell>
          <cell r="F243">
            <v>361.18</v>
          </cell>
        </row>
        <row r="244">
          <cell r="B244" t="str">
            <v>MAR 2016</v>
          </cell>
          <cell r="C244" t="str">
            <v>LGUM_423</v>
          </cell>
          <cell r="E244" t="str">
            <v xml:space="preserve">LS </v>
          </cell>
          <cell r="F244">
            <v>60.2</v>
          </cell>
        </row>
        <row r="245">
          <cell r="B245" t="str">
            <v>MAR 2016</v>
          </cell>
          <cell r="C245" t="str">
            <v>LGUM_423</v>
          </cell>
          <cell r="E245" t="str">
            <v xml:space="preserve">LS </v>
          </cell>
          <cell r="F245">
            <v>210.68</v>
          </cell>
        </row>
        <row r="246">
          <cell r="B246" t="str">
            <v>MAR 2016</v>
          </cell>
          <cell r="C246" t="str">
            <v>LGUM_424</v>
          </cell>
          <cell r="E246" t="str">
            <v xml:space="preserve">LS </v>
          </cell>
          <cell r="F246">
            <v>14775.75</v>
          </cell>
        </row>
        <row r="247">
          <cell r="B247" t="str">
            <v>MAR 2016</v>
          </cell>
          <cell r="C247" t="str">
            <v>LGUM_424</v>
          </cell>
          <cell r="E247" t="str">
            <v xml:space="preserve">LS </v>
          </cell>
          <cell r="F247">
            <v>325.47000000000003</v>
          </cell>
        </row>
        <row r="248">
          <cell r="B248" t="str">
            <v>MAR 2016</v>
          </cell>
          <cell r="C248" t="str">
            <v>LGUM_424</v>
          </cell>
          <cell r="E248" t="str">
            <v xml:space="preserve">LS </v>
          </cell>
          <cell r="F248">
            <v>4444.7</v>
          </cell>
        </row>
        <row r="249">
          <cell r="B249" t="str">
            <v>MAR 2016</v>
          </cell>
          <cell r="C249" t="str">
            <v>LGUM_425</v>
          </cell>
          <cell r="E249" t="str">
            <v xml:space="preserve">LS </v>
          </cell>
          <cell r="F249">
            <v>116.52</v>
          </cell>
        </row>
        <row r="250">
          <cell r="B250" t="str">
            <v>MAR 2016</v>
          </cell>
          <cell r="C250" t="str">
            <v>LGUM_425</v>
          </cell>
          <cell r="E250" t="str">
            <v xml:space="preserve">LS </v>
          </cell>
          <cell r="F250">
            <v>388.35</v>
          </cell>
        </row>
        <row r="251">
          <cell r="B251" t="str">
            <v>MAR 2016</v>
          </cell>
          <cell r="C251" t="str">
            <v>LGUM_425</v>
          </cell>
          <cell r="E251" t="str">
            <v xml:space="preserve">LS </v>
          </cell>
          <cell r="F251">
            <v>737.53</v>
          </cell>
        </row>
        <row r="252">
          <cell r="B252" t="str">
            <v>MAR 2016</v>
          </cell>
          <cell r="C252" t="str">
            <v>LGUM_426</v>
          </cell>
          <cell r="E252" t="str">
            <v>RLS</v>
          </cell>
          <cell r="F252">
            <v>1283.6600000000001</v>
          </cell>
        </row>
        <row r="253">
          <cell r="B253" t="str">
            <v>MAR 2016</v>
          </cell>
          <cell r="C253" t="str">
            <v>LGUM_427</v>
          </cell>
          <cell r="E253" t="str">
            <v xml:space="preserve">LS </v>
          </cell>
          <cell r="F253">
            <v>88.1</v>
          </cell>
        </row>
        <row r="254">
          <cell r="B254" t="str">
            <v>MAR 2016</v>
          </cell>
          <cell r="C254" t="str">
            <v>LGUM_427</v>
          </cell>
          <cell r="E254" t="str">
            <v xml:space="preserve">LS </v>
          </cell>
          <cell r="F254">
            <v>2112.42</v>
          </cell>
        </row>
        <row r="255">
          <cell r="B255" t="str">
            <v>MAR 2016</v>
          </cell>
          <cell r="C255" t="str">
            <v>LGUM_428</v>
          </cell>
          <cell r="E255" t="str">
            <v>RLS</v>
          </cell>
          <cell r="F255">
            <v>38.75</v>
          </cell>
        </row>
        <row r="256">
          <cell r="B256" t="str">
            <v>MAR 2016</v>
          </cell>
          <cell r="C256" t="str">
            <v>LGUM_428</v>
          </cell>
          <cell r="E256" t="str">
            <v>RLS</v>
          </cell>
          <cell r="F256">
            <v>38.75</v>
          </cell>
        </row>
        <row r="257">
          <cell r="B257" t="str">
            <v>MAR 2016</v>
          </cell>
          <cell r="C257" t="str">
            <v>LGUM_428</v>
          </cell>
          <cell r="E257" t="str">
            <v>RLS</v>
          </cell>
          <cell r="F257">
            <v>11439.67</v>
          </cell>
        </row>
        <row r="258">
          <cell r="B258" t="str">
            <v>MAR 2016</v>
          </cell>
          <cell r="C258" t="str">
            <v>LGUM_429</v>
          </cell>
          <cell r="E258" t="str">
            <v xml:space="preserve">LS </v>
          </cell>
          <cell r="F258">
            <v>-14968.73</v>
          </cell>
        </row>
        <row r="259">
          <cell r="B259" t="str">
            <v>MAR 2016</v>
          </cell>
          <cell r="C259" t="str">
            <v>LGUM_429</v>
          </cell>
          <cell r="E259" t="str">
            <v xml:space="preserve">LS </v>
          </cell>
          <cell r="F259">
            <v>25706.89</v>
          </cell>
        </row>
        <row r="260">
          <cell r="B260" t="str">
            <v>MAR 2016</v>
          </cell>
          <cell r="C260" t="str">
            <v>LGUM_429</v>
          </cell>
          <cell r="E260" t="str">
            <v xml:space="preserve">LS </v>
          </cell>
          <cell r="F260">
            <v>163.74</v>
          </cell>
        </row>
        <row r="261">
          <cell r="B261" t="str">
            <v>MAR 2016</v>
          </cell>
          <cell r="C261" t="str">
            <v>LGUM_430</v>
          </cell>
          <cell r="E261" t="str">
            <v>RLS</v>
          </cell>
          <cell r="F261">
            <v>36.69</v>
          </cell>
        </row>
        <row r="262">
          <cell r="B262" t="str">
            <v>MAR 2016</v>
          </cell>
          <cell r="C262" t="str">
            <v>LGUM_430</v>
          </cell>
          <cell r="E262" t="str">
            <v>RLS</v>
          </cell>
          <cell r="F262">
            <v>440.35</v>
          </cell>
        </row>
        <row r="263">
          <cell r="B263" t="str">
            <v>MAR 2016</v>
          </cell>
          <cell r="C263" t="str">
            <v>LGUM_431</v>
          </cell>
          <cell r="E263" t="str">
            <v xml:space="preserve">LS </v>
          </cell>
          <cell r="F263">
            <v>41.54</v>
          </cell>
        </row>
        <row r="264">
          <cell r="B264" t="str">
            <v>MAR 2016</v>
          </cell>
          <cell r="C264" t="str">
            <v>LGUM_431</v>
          </cell>
          <cell r="E264" t="str">
            <v xml:space="preserve">LS </v>
          </cell>
          <cell r="F264">
            <v>746.15</v>
          </cell>
        </row>
        <row r="265">
          <cell r="B265" t="str">
            <v>MAR 2016</v>
          </cell>
          <cell r="C265" t="str">
            <v>LGUM_431</v>
          </cell>
          <cell r="E265" t="str">
            <v xml:space="preserve">LS </v>
          </cell>
          <cell r="F265">
            <v>1329.09</v>
          </cell>
        </row>
        <row r="266">
          <cell r="B266" t="str">
            <v>MAR 2016</v>
          </cell>
          <cell r="C266" t="str">
            <v>LGUM_432</v>
          </cell>
          <cell r="E266" t="str">
            <v>RLS</v>
          </cell>
          <cell r="F266">
            <v>351.17</v>
          </cell>
        </row>
        <row r="267">
          <cell r="B267" t="str">
            <v>MAR 2016</v>
          </cell>
          <cell r="C267" t="str">
            <v>LGUM_432</v>
          </cell>
          <cell r="E267" t="str">
            <v>RLS</v>
          </cell>
          <cell r="F267">
            <v>42.84</v>
          </cell>
        </row>
        <row r="268">
          <cell r="B268" t="str">
            <v>MAR 2016</v>
          </cell>
          <cell r="C268" t="str">
            <v>LGUM_433</v>
          </cell>
          <cell r="E268" t="str">
            <v xml:space="preserve">LS </v>
          </cell>
          <cell r="F268">
            <v>5181.08</v>
          </cell>
        </row>
        <row r="269">
          <cell r="B269" t="str">
            <v>MAR 2016</v>
          </cell>
          <cell r="C269" t="str">
            <v>LGUM_433</v>
          </cell>
          <cell r="E269" t="str">
            <v xml:space="preserve">LS </v>
          </cell>
          <cell r="F269">
            <v>5183.5200000000004</v>
          </cell>
        </row>
        <row r="270">
          <cell r="B270" t="str">
            <v>MAR 2016</v>
          </cell>
          <cell r="C270" t="str">
            <v>LGUM_433</v>
          </cell>
          <cell r="E270" t="str">
            <v xml:space="preserve">LS </v>
          </cell>
          <cell r="F270">
            <v>131.19999999999999</v>
          </cell>
        </row>
        <row r="271">
          <cell r="B271" t="str">
            <v>MAR 2016</v>
          </cell>
          <cell r="C271" t="str">
            <v>LGUM_440</v>
          </cell>
          <cell r="E271" t="str">
            <v xml:space="preserve">LS </v>
          </cell>
          <cell r="F271">
            <v>469.19</v>
          </cell>
        </row>
        <row r="272">
          <cell r="B272" t="str">
            <v>MAR 2016</v>
          </cell>
          <cell r="C272" t="str">
            <v>LGUM_440</v>
          </cell>
          <cell r="E272" t="str">
            <v xml:space="preserve">LS </v>
          </cell>
          <cell r="F272">
            <v>21.33</v>
          </cell>
        </row>
        <row r="273">
          <cell r="B273" t="str">
            <v>MAR 2016</v>
          </cell>
          <cell r="C273" t="str">
            <v>LGUM_441</v>
          </cell>
          <cell r="E273" t="str">
            <v xml:space="preserve">LS </v>
          </cell>
          <cell r="F273">
            <v>608.55999999999995</v>
          </cell>
        </row>
        <row r="274">
          <cell r="B274" t="str">
            <v>MAR 2016</v>
          </cell>
          <cell r="C274" t="str">
            <v>LGUM_441</v>
          </cell>
          <cell r="E274" t="str">
            <v xml:space="preserve">LS </v>
          </cell>
          <cell r="F274">
            <v>570.03</v>
          </cell>
        </row>
        <row r="275">
          <cell r="B275" t="str">
            <v>MAR 2016</v>
          </cell>
          <cell r="C275" t="str">
            <v>LGUM_441</v>
          </cell>
          <cell r="E275" t="str">
            <v xml:space="preserve">LS </v>
          </cell>
          <cell r="F275">
            <v>155.52000000000001</v>
          </cell>
        </row>
        <row r="276">
          <cell r="B276" t="str">
            <v>MAR 2016</v>
          </cell>
          <cell r="C276" t="str">
            <v>LGUM_441</v>
          </cell>
          <cell r="E276" t="str">
            <v xml:space="preserve">LS </v>
          </cell>
          <cell r="F276">
            <v>388.77</v>
          </cell>
        </row>
        <row r="277">
          <cell r="B277" t="str">
            <v>MAR 2016</v>
          </cell>
          <cell r="C277" t="str">
            <v>LGUM_441</v>
          </cell>
          <cell r="E277" t="str">
            <v xml:space="preserve">LS </v>
          </cell>
          <cell r="F277">
            <v>51.84</v>
          </cell>
        </row>
        <row r="278">
          <cell r="B278" t="str">
            <v>MAR 2016</v>
          </cell>
          <cell r="C278" t="str">
            <v>LGUM_444</v>
          </cell>
          <cell r="E278" t="str">
            <v xml:space="preserve">LS </v>
          </cell>
          <cell r="F278">
            <v>126.06</v>
          </cell>
        </row>
        <row r="279">
          <cell r="B279" t="str">
            <v>MAR 2016</v>
          </cell>
          <cell r="C279" t="str">
            <v>LGUM_444</v>
          </cell>
          <cell r="E279" t="str">
            <v xml:space="preserve">LS </v>
          </cell>
          <cell r="F279">
            <v>47.8</v>
          </cell>
        </row>
        <row r="280">
          <cell r="B280" t="str">
            <v>MAR 2016</v>
          </cell>
          <cell r="C280" t="str">
            <v>LGUM_444</v>
          </cell>
          <cell r="E280" t="str">
            <v xml:space="preserve">LS </v>
          </cell>
          <cell r="F280">
            <v>47.8</v>
          </cell>
        </row>
        <row r="281">
          <cell r="B281" t="str">
            <v>MAR 2016</v>
          </cell>
          <cell r="C281" t="str">
            <v>LGUM_445</v>
          </cell>
          <cell r="E281" t="str">
            <v xml:space="preserve">LS </v>
          </cell>
          <cell r="F281">
            <v>364.43</v>
          </cell>
        </row>
        <row r="282">
          <cell r="B282" t="str">
            <v>MAR 2016</v>
          </cell>
          <cell r="C282" t="str">
            <v>LGUM_445</v>
          </cell>
          <cell r="E282" t="str">
            <v xml:space="preserve">LS </v>
          </cell>
          <cell r="F282">
            <v>52.06</v>
          </cell>
        </row>
        <row r="283">
          <cell r="B283" t="str">
            <v>MAR 2016</v>
          </cell>
          <cell r="C283" t="str">
            <v>LGUM_445</v>
          </cell>
          <cell r="E283" t="str">
            <v xml:space="preserve">LS </v>
          </cell>
          <cell r="F283">
            <v>78.09</v>
          </cell>
        </row>
        <row r="284">
          <cell r="B284" t="str">
            <v>MAR 2016</v>
          </cell>
          <cell r="C284" t="str">
            <v>LGUM_452</v>
          </cell>
          <cell r="E284" t="str">
            <v xml:space="preserve">LS </v>
          </cell>
          <cell r="F284">
            <v>1773.82</v>
          </cell>
        </row>
        <row r="285">
          <cell r="B285" t="str">
            <v>MAR 2016</v>
          </cell>
          <cell r="C285" t="str">
            <v>LGUM_452</v>
          </cell>
          <cell r="E285" t="str">
            <v xml:space="preserve">LS </v>
          </cell>
          <cell r="F285">
            <v>56711.53</v>
          </cell>
        </row>
        <row r="286">
          <cell r="B286" t="str">
            <v>MAR 2016</v>
          </cell>
          <cell r="C286" t="str">
            <v>LGUM_452</v>
          </cell>
          <cell r="E286" t="str">
            <v xml:space="preserve">LS </v>
          </cell>
          <cell r="F286">
            <v>17894.45</v>
          </cell>
        </row>
        <row r="287">
          <cell r="B287" t="str">
            <v>MAR 2016</v>
          </cell>
          <cell r="C287" t="str">
            <v>LGUM_452</v>
          </cell>
          <cell r="E287" t="str">
            <v xml:space="preserve">LS </v>
          </cell>
          <cell r="F287">
            <v>14775.17</v>
          </cell>
        </row>
        <row r="288">
          <cell r="B288" t="str">
            <v>MAR 2016</v>
          </cell>
          <cell r="C288" t="str">
            <v>LGUM_452</v>
          </cell>
          <cell r="E288" t="str">
            <v xml:space="preserve">LS </v>
          </cell>
          <cell r="F288">
            <v>14692.09</v>
          </cell>
        </row>
        <row r="289">
          <cell r="B289" t="str">
            <v>MAR 2016</v>
          </cell>
          <cell r="C289" t="str">
            <v>LGUM_453</v>
          </cell>
          <cell r="E289" t="str">
            <v xml:space="preserve">LS </v>
          </cell>
          <cell r="F289">
            <v>142.4</v>
          </cell>
        </row>
        <row r="290">
          <cell r="B290" t="str">
            <v>MAR 2016</v>
          </cell>
          <cell r="C290" t="str">
            <v>LGUM_453</v>
          </cell>
          <cell r="E290" t="str">
            <v xml:space="preserve">LS </v>
          </cell>
          <cell r="F290">
            <v>4493.9799999999996</v>
          </cell>
        </row>
        <row r="291">
          <cell r="B291" t="str">
            <v>MAR 2016</v>
          </cell>
          <cell r="C291" t="str">
            <v>LGUM_453</v>
          </cell>
          <cell r="E291" t="str">
            <v xml:space="preserve">LS </v>
          </cell>
          <cell r="F291">
            <v>125908.66</v>
          </cell>
        </row>
        <row r="292">
          <cell r="B292" t="str">
            <v>MAR 2016</v>
          </cell>
          <cell r="C292" t="str">
            <v>LGUM_453</v>
          </cell>
          <cell r="E292" t="str">
            <v xml:space="preserve">LS </v>
          </cell>
          <cell r="F292">
            <v>6117.34</v>
          </cell>
        </row>
        <row r="293">
          <cell r="B293" t="str">
            <v>MAR 2016</v>
          </cell>
          <cell r="C293" t="str">
            <v>LGUM_453</v>
          </cell>
          <cell r="E293" t="str">
            <v xml:space="preserve">LS </v>
          </cell>
          <cell r="F293">
            <v>14350.67</v>
          </cell>
        </row>
        <row r="294">
          <cell r="B294" t="str">
            <v>MAR 2016</v>
          </cell>
          <cell r="C294" t="str">
            <v>LGUM_453</v>
          </cell>
          <cell r="E294" t="str">
            <v xml:space="preserve">LS </v>
          </cell>
          <cell r="F294">
            <v>35197.730000000003</v>
          </cell>
        </row>
        <row r="295">
          <cell r="B295" t="str">
            <v>MAR 2016</v>
          </cell>
          <cell r="C295" t="str">
            <v>LGUM_454</v>
          </cell>
          <cell r="E295" t="str">
            <v xml:space="preserve">LS </v>
          </cell>
          <cell r="F295">
            <v>884.71</v>
          </cell>
        </row>
        <row r="296">
          <cell r="B296" t="str">
            <v>MAR 2016</v>
          </cell>
          <cell r="C296" t="str">
            <v>LGUM_454</v>
          </cell>
          <cell r="E296" t="str">
            <v xml:space="preserve">LS </v>
          </cell>
          <cell r="F296">
            <v>11350.23</v>
          </cell>
        </row>
        <row r="297">
          <cell r="B297" t="str">
            <v>MAR 2016</v>
          </cell>
          <cell r="C297" t="str">
            <v>LGUM_454</v>
          </cell>
          <cell r="E297" t="str">
            <v xml:space="preserve">LS </v>
          </cell>
          <cell r="F297">
            <v>45991.360000000001</v>
          </cell>
        </row>
        <row r="298">
          <cell r="B298" t="str">
            <v>MAR 2016</v>
          </cell>
          <cell r="C298" t="str">
            <v>LGUM_454</v>
          </cell>
          <cell r="E298" t="str">
            <v xml:space="preserve">LS </v>
          </cell>
          <cell r="F298">
            <v>2327.77</v>
          </cell>
        </row>
        <row r="299">
          <cell r="B299" t="str">
            <v>MAR 2016</v>
          </cell>
          <cell r="C299" t="str">
            <v>LGUM_454</v>
          </cell>
          <cell r="E299" t="str">
            <v xml:space="preserve">LS </v>
          </cell>
          <cell r="F299">
            <v>39864.36</v>
          </cell>
        </row>
        <row r="300">
          <cell r="B300" t="str">
            <v>MAR 2016</v>
          </cell>
          <cell r="C300" t="str">
            <v>LGUM_454</v>
          </cell>
          <cell r="E300" t="str">
            <v xml:space="preserve">LS </v>
          </cell>
          <cell r="F300">
            <v>16538.560000000001</v>
          </cell>
        </row>
        <row r="301">
          <cell r="B301" t="str">
            <v>MAR 2016</v>
          </cell>
          <cell r="C301" t="str">
            <v>LGUM_455</v>
          </cell>
          <cell r="E301" t="str">
            <v xml:space="preserve">LS </v>
          </cell>
          <cell r="F301">
            <v>997.37</v>
          </cell>
        </row>
        <row r="302">
          <cell r="B302" t="str">
            <v>MAR 2016</v>
          </cell>
          <cell r="C302" t="str">
            <v>LGUM_455</v>
          </cell>
          <cell r="E302" t="str">
            <v xml:space="preserve">LS </v>
          </cell>
          <cell r="F302">
            <v>194.56</v>
          </cell>
        </row>
        <row r="303">
          <cell r="B303" t="str">
            <v>MAR 2016</v>
          </cell>
          <cell r="C303" t="str">
            <v>LGUM_455</v>
          </cell>
          <cell r="E303" t="str">
            <v xml:space="preserve">LS </v>
          </cell>
          <cell r="F303">
            <v>1300.6099999999999</v>
          </cell>
        </row>
        <row r="304">
          <cell r="B304" t="str">
            <v>MAR 2016</v>
          </cell>
          <cell r="C304" t="str">
            <v>LGUM_455</v>
          </cell>
          <cell r="E304" t="str">
            <v xml:space="preserve">LS </v>
          </cell>
          <cell r="F304">
            <v>3932.01</v>
          </cell>
        </row>
        <row r="305">
          <cell r="B305" t="str">
            <v>MAR 2016</v>
          </cell>
          <cell r="C305" t="str">
            <v>LGUM_455</v>
          </cell>
          <cell r="E305" t="str">
            <v xml:space="preserve">LS </v>
          </cell>
          <cell r="F305">
            <v>426.19</v>
          </cell>
        </row>
        <row r="306">
          <cell r="B306" t="str">
            <v>MAR 2016</v>
          </cell>
          <cell r="C306" t="str">
            <v>LGUM_456</v>
          </cell>
          <cell r="E306" t="str">
            <v xml:space="preserve">LS </v>
          </cell>
          <cell r="F306">
            <v>5502.56</v>
          </cell>
        </row>
        <row r="307">
          <cell r="B307" t="str">
            <v>MAR 2016</v>
          </cell>
          <cell r="C307" t="str">
            <v>LGUM_456</v>
          </cell>
          <cell r="E307" t="str">
            <v xml:space="preserve">LS </v>
          </cell>
          <cell r="F307">
            <v>54881.760000000002</v>
          </cell>
        </row>
        <row r="308">
          <cell r="B308" t="str">
            <v>MAR 2016</v>
          </cell>
          <cell r="C308" t="str">
            <v>LGUM_456</v>
          </cell>
          <cell r="E308" t="str">
            <v xml:space="preserve">LS </v>
          </cell>
          <cell r="F308">
            <v>14484.24</v>
          </cell>
        </row>
        <row r="309">
          <cell r="B309" t="str">
            <v>MAR 2016</v>
          </cell>
          <cell r="C309" t="str">
            <v>LGUM_456</v>
          </cell>
          <cell r="E309" t="str">
            <v xml:space="preserve">LS </v>
          </cell>
          <cell r="F309">
            <v>3674.4</v>
          </cell>
        </row>
        <row r="310">
          <cell r="B310" t="str">
            <v>MAR 2016</v>
          </cell>
          <cell r="C310" t="str">
            <v>LGUM_456</v>
          </cell>
          <cell r="E310" t="str">
            <v xml:space="preserve">LS </v>
          </cell>
          <cell r="F310">
            <v>172761.52</v>
          </cell>
        </row>
        <row r="311">
          <cell r="B311" t="str">
            <v>MAR 2016</v>
          </cell>
          <cell r="C311" t="str">
            <v>LGUM_456</v>
          </cell>
          <cell r="E311" t="str">
            <v xml:space="preserve">LS </v>
          </cell>
          <cell r="F311">
            <v>39186.03</v>
          </cell>
        </row>
        <row r="312">
          <cell r="B312" t="str">
            <v>MAR 2016</v>
          </cell>
          <cell r="C312" t="str">
            <v>LGUM_457</v>
          </cell>
          <cell r="E312" t="str">
            <v xml:space="preserve">LS </v>
          </cell>
          <cell r="F312">
            <v>104.46</v>
          </cell>
        </row>
        <row r="313">
          <cell r="B313" t="str">
            <v>MAR 2016</v>
          </cell>
          <cell r="C313" t="str">
            <v>LGUM_457</v>
          </cell>
          <cell r="E313" t="str">
            <v xml:space="preserve">LS </v>
          </cell>
          <cell r="F313">
            <v>1593.73</v>
          </cell>
        </row>
        <row r="314">
          <cell r="B314" t="str">
            <v>MAR 2016</v>
          </cell>
          <cell r="C314" t="str">
            <v>LGUM_457</v>
          </cell>
          <cell r="E314" t="str">
            <v xml:space="preserve">LS </v>
          </cell>
          <cell r="F314">
            <v>6769.06</v>
          </cell>
        </row>
        <row r="315">
          <cell r="B315" t="str">
            <v>MAR 2016</v>
          </cell>
          <cell r="C315" t="str">
            <v>LGUM_457</v>
          </cell>
          <cell r="E315" t="str">
            <v xml:space="preserve">LS </v>
          </cell>
          <cell r="F315">
            <v>31642.58</v>
          </cell>
        </row>
        <row r="316">
          <cell r="B316" t="str">
            <v>MAR 2016</v>
          </cell>
          <cell r="C316" t="str">
            <v>LGUM_457</v>
          </cell>
          <cell r="E316" t="str">
            <v xml:space="preserve">LS </v>
          </cell>
          <cell r="F316">
            <v>7164.97</v>
          </cell>
        </row>
        <row r="317">
          <cell r="B317" t="str">
            <v>MAR 2016</v>
          </cell>
          <cell r="C317" t="str">
            <v>LGUM_457</v>
          </cell>
          <cell r="E317" t="str">
            <v xml:space="preserve">LS </v>
          </cell>
          <cell r="F317">
            <v>2549.02</v>
          </cell>
        </row>
        <row r="318">
          <cell r="B318" t="str">
            <v>MAR 2016</v>
          </cell>
          <cell r="C318" t="str">
            <v>LGUM_470</v>
          </cell>
          <cell r="E318" t="str">
            <v xml:space="preserve">LS </v>
          </cell>
          <cell r="F318">
            <v>45.63</v>
          </cell>
        </row>
        <row r="319">
          <cell r="B319" t="str">
            <v>MAR 2016</v>
          </cell>
          <cell r="C319" t="str">
            <v>LGUM_470</v>
          </cell>
          <cell r="E319" t="str">
            <v xml:space="preserve">LS </v>
          </cell>
          <cell r="F319">
            <v>139.16</v>
          </cell>
        </row>
        <row r="320">
          <cell r="B320" t="str">
            <v>MAR 2016</v>
          </cell>
          <cell r="C320" t="str">
            <v>LGUM_470</v>
          </cell>
          <cell r="E320" t="str">
            <v xml:space="preserve">LS </v>
          </cell>
          <cell r="F320">
            <v>15.21</v>
          </cell>
        </row>
        <row r="321">
          <cell r="B321" t="str">
            <v>MAR 2016</v>
          </cell>
          <cell r="C321" t="str">
            <v>LGUM_470</v>
          </cell>
          <cell r="E321" t="str">
            <v xml:space="preserve">LS </v>
          </cell>
          <cell r="F321">
            <v>273.77999999999997</v>
          </cell>
        </row>
        <row r="322">
          <cell r="B322" t="str">
            <v>MAR 2016</v>
          </cell>
          <cell r="C322" t="str">
            <v>LGUM_470</v>
          </cell>
          <cell r="E322" t="str">
            <v xml:space="preserve">LS </v>
          </cell>
          <cell r="F322">
            <v>139.16</v>
          </cell>
        </row>
        <row r="323">
          <cell r="B323" t="str">
            <v>MAR 2016</v>
          </cell>
          <cell r="C323" t="str">
            <v>LGUM_471</v>
          </cell>
          <cell r="E323" t="str">
            <v>RLS</v>
          </cell>
          <cell r="F323">
            <v>17.72</v>
          </cell>
        </row>
        <row r="324">
          <cell r="B324" t="str">
            <v>MAR 2016</v>
          </cell>
          <cell r="C324" t="str">
            <v>LGUM_471</v>
          </cell>
          <cell r="E324" t="str">
            <v>RLS</v>
          </cell>
          <cell r="F324">
            <v>124.06</v>
          </cell>
        </row>
        <row r="325">
          <cell r="B325" t="str">
            <v>MAR 2016</v>
          </cell>
          <cell r="C325" t="str">
            <v>LGUM_473</v>
          </cell>
          <cell r="E325" t="str">
            <v xml:space="preserve">LS </v>
          </cell>
          <cell r="F325">
            <v>358.53</v>
          </cell>
        </row>
        <row r="326">
          <cell r="B326" t="str">
            <v>MAR 2016</v>
          </cell>
          <cell r="C326" t="str">
            <v>LGUM_473</v>
          </cell>
          <cell r="E326" t="str">
            <v xml:space="preserve">LS </v>
          </cell>
          <cell r="F326">
            <v>10079.27</v>
          </cell>
        </row>
        <row r="327">
          <cell r="B327" t="str">
            <v>MAR 2016</v>
          </cell>
          <cell r="C327" t="str">
            <v>LGUM_473</v>
          </cell>
          <cell r="E327" t="str">
            <v xml:space="preserve">LS </v>
          </cell>
          <cell r="F327">
            <v>481.7</v>
          </cell>
        </row>
        <row r="328">
          <cell r="B328" t="str">
            <v>MAR 2016</v>
          </cell>
          <cell r="C328" t="str">
            <v>LGUM_473</v>
          </cell>
          <cell r="E328" t="str">
            <v xml:space="preserve">LS </v>
          </cell>
          <cell r="F328">
            <v>451.75</v>
          </cell>
        </row>
        <row r="329">
          <cell r="B329" t="str">
            <v>MAR 2016</v>
          </cell>
          <cell r="C329" t="str">
            <v>LGUM_473</v>
          </cell>
          <cell r="E329" t="str">
            <v xml:space="preserve">LS </v>
          </cell>
          <cell r="F329">
            <v>4802.3599999999997</v>
          </cell>
        </row>
        <row r="330">
          <cell r="B330" t="str">
            <v>MAR 2016</v>
          </cell>
          <cell r="C330" t="str">
            <v>LGUM_473</v>
          </cell>
          <cell r="E330" t="str">
            <v xml:space="preserve">LS </v>
          </cell>
          <cell r="F330">
            <v>352.26</v>
          </cell>
        </row>
        <row r="331">
          <cell r="B331" t="str">
            <v>MAR 2016</v>
          </cell>
          <cell r="C331" t="str">
            <v>LGUM_474</v>
          </cell>
          <cell r="E331" t="str">
            <v>RLS</v>
          </cell>
          <cell r="F331">
            <v>700.71</v>
          </cell>
        </row>
        <row r="332">
          <cell r="B332" t="str">
            <v>MAR 2016</v>
          </cell>
          <cell r="C332" t="str">
            <v>LGUM_474</v>
          </cell>
          <cell r="E332" t="str">
            <v>RLS</v>
          </cell>
          <cell r="F332">
            <v>24.42</v>
          </cell>
        </row>
        <row r="333">
          <cell r="B333" t="str">
            <v>MAR 2016</v>
          </cell>
          <cell r="C333" t="str">
            <v>LGUM_474</v>
          </cell>
          <cell r="E333" t="str">
            <v>RLS</v>
          </cell>
          <cell r="F333">
            <v>427.55</v>
          </cell>
        </row>
        <row r="334">
          <cell r="B334" t="str">
            <v>MAR 2016</v>
          </cell>
          <cell r="C334" t="str">
            <v>LGUM_474</v>
          </cell>
          <cell r="E334" t="str">
            <v>RLS</v>
          </cell>
          <cell r="F334">
            <v>24.42</v>
          </cell>
        </row>
        <row r="335">
          <cell r="B335" t="str">
            <v>MAR 2016</v>
          </cell>
          <cell r="C335" t="str">
            <v>LGUM_475</v>
          </cell>
          <cell r="E335" t="str">
            <v>RLS</v>
          </cell>
          <cell r="F335">
            <v>65.3</v>
          </cell>
        </row>
        <row r="336">
          <cell r="B336" t="str">
            <v>MAR 2016</v>
          </cell>
          <cell r="C336" t="str">
            <v>LGUM_476</v>
          </cell>
          <cell r="E336" t="str">
            <v xml:space="preserve">LS </v>
          </cell>
          <cell r="F336">
            <v>1479.54</v>
          </cell>
        </row>
        <row r="337">
          <cell r="B337" t="str">
            <v>MAR 2016</v>
          </cell>
          <cell r="C337" t="str">
            <v>LGUM_476</v>
          </cell>
          <cell r="E337" t="str">
            <v xml:space="preserve">LS </v>
          </cell>
          <cell r="F337">
            <v>17235.099999999999</v>
          </cell>
        </row>
        <row r="338">
          <cell r="B338" t="str">
            <v>MAR 2016</v>
          </cell>
          <cell r="C338" t="str">
            <v>LGUM_476</v>
          </cell>
          <cell r="E338" t="str">
            <v xml:space="preserve">LS </v>
          </cell>
          <cell r="F338">
            <v>924.97</v>
          </cell>
        </row>
        <row r="339">
          <cell r="B339" t="str">
            <v>MAR 2016</v>
          </cell>
          <cell r="C339" t="str">
            <v>LGUM_476</v>
          </cell>
          <cell r="E339" t="str">
            <v xml:space="preserve">LS </v>
          </cell>
          <cell r="F339">
            <v>370.02</v>
          </cell>
        </row>
        <row r="340">
          <cell r="B340" t="str">
            <v>MAR 2016</v>
          </cell>
          <cell r="C340" t="str">
            <v>LGUM_476</v>
          </cell>
          <cell r="E340" t="str">
            <v xml:space="preserve">LS </v>
          </cell>
          <cell r="F340">
            <v>8170.41</v>
          </cell>
        </row>
        <row r="341">
          <cell r="B341" t="str">
            <v>MAR 2016</v>
          </cell>
          <cell r="C341" t="str">
            <v>LGUM_476</v>
          </cell>
          <cell r="E341" t="str">
            <v xml:space="preserve">LS </v>
          </cell>
          <cell r="F341">
            <v>369.97</v>
          </cell>
        </row>
        <row r="342">
          <cell r="B342" t="str">
            <v>MAR 2016</v>
          </cell>
          <cell r="C342" t="str">
            <v>LGUM_477</v>
          </cell>
          <cell r="E342" t="str">
            <v>RLS</v>
          </cell>
          <cell r="F342">
            <v>98.67</v>
          </cell>
        </row>
        <row r="343">
          <cell r="B343" t="str">
            <v>MAR 2016</v>
          </cell>
          <cell r="C343" t="str">
            <v>LGUM_477</v>
          </cell>
          <cell r="E343" t="str">
            <v>RLS</v>
          </cell>
          <cell r="F343">
            <v>2214.59</v>
          </cell>
        </row>
        <row r="344">
          <cell r="B344" t="str">
            <v>MAR 2016</v>
          </cell>
          <cell r="C344" t="str">
            <v>LGUM_477</v>
          </cell>
          <cell r="E344" t="str">
            <v>RLS</v>
          </cell>
          <cell r="F344">
            <v>199.06</v>
          </cell>
        </row>
        <row r="345">
          <cell r="B345" t="str">
            <v>MAR 2016</v>
          </cell>
          <cell r="C345" t="str">
            <v>LGUM_477</v>
          </cell>
          <cell r="E345" t="str">
            <v>RLS</v>
          </cell>
          <cell r="F345">
            <v>559.9</v>
          </cell>
        </row>
        <row r="346">
          <cell r="B346" t="str">
            <v>MAR 2016</v>
          </cell>
          <cell r="C346" t="str">
            <v>LGUM_480</v>
          </cell>
          <cell r="E346" t="str">
            <v xml:space="preserve">LS </v>
          </cell>
          <cell r="F346">
            <v>547.55999999999995</v>
          </cell>
        </row>
        <row r="347">
          <cell r="B347" t="str">
            <v>MAR 2016</v>
          </cell>
          <cell r="C347" t="str">
            <v>LGUM_481</v>
          </cell>
          <cell r="E347" t="str">
            <v xml:space="preserve">LS </v>
          </cell>
          <cell r="F347">
            <v>95.42</v>
          </cell>
        </row>
        <row r="348">
          <cell r="B348" t="str">
            <v>MAR 2016</v>
          </cell>
          <cell r="C348" t="str">
            <v>LGUM_481</v>
          </cell>
          <cell r="E348" t="str">
            <v xml:space="preserve">LS </v>
          </cell>
          <cell r="F348">
            <v>47.7</v>
          </cell>
        </row>
        <row r="349">
          <cell r="B349" t="str">
            <v>MAR 2016</v>
          </cell>
          <cell r="C349" t="str">
            <v>LGUM_482</v>
          </cell>
          <cell r="E349" t="str">
            <v xml:space="preserve">LS </v>
          </cell>
          <cell r="F349">
            <v>1522.86</v>
          </cell>
        </row>
        <row r="350">
          <cell r="B350" t="str">
            <v>MAR 2016</v>
          </cell>
          <cell r="C350" t="str">
            <v>LGUM_482</v>
          </cell>
          <cell r="E350" t="str">
            <v xml:space="preserve">LS </v>
          </cell>
          <cell r="F350">
            <v>1661.49</v>
          </cell>
        </row>
        <row r="351">
          <cell r="B351" t="str">
            <v>MAR 2016</v>
          </cell>
          <cell r="C351" t="str">
            <v>LGUM_482</v>
          </cell>
          <cell r="E351" t="str">
            <v xml:space="preserve">LS </v>
          </cell>
          <cell r="F351">
            <v>69.22</v>
          </cell>
        </row>
        <row r="352">
          <cell r="B352" t="str">
            <v>MAR 2016</v>
          </cell>
          <cell r="C352" t="str">
            <v>LGUM_483</v>
          </cell>
          <cell r="E352" t="str">
            <v xml:space="preserve">LS </v>
          </cell>
          <cell r="F352">
            <v>247.6</v>
          </cell>
        </row>
        <row r="353">
          <cell r="B353" t="str">
            <v>MAR 2016</v>
          </cell>
          <cell r="C353" t="str">
            <v>LGUM_484</v>
          </cell>
          <cell r="E353" t="str">
            <v xml:space="preserve">LS </v>
          </cell>
          <cell r="F353">
            <v>120.54</v>
          </cell>
        </row>
        <row r="354">
          <cell r="B354" t="str">
            <v>MAR 2016</v>
          </cell>
          <cell r="C354" t="str">
            <v>LGUM_484</v>
          </cell>
          <cell r="E354" t="str">
            <v xml:space="preserve">LS </v>
          </cell>
          <cell r="F354">
            <v>3676.42</v>
          </cell>
        </row>
        <row r="355">
          <cell r="B355" t="str">
            <v>APR 2016</v>
          </cell>
          <cell r="C355" t="str">
            <v>LEUM_825</v>
          </cell>
          <cell r="E355" t="str">
            <v>EF</v>
          </cell>
          <cell r="F355">
            <v>48365.64</v>
          </cell>
        </row>
        <row r="356">
          <cell r="B356" t="str">
            <v>APR 2016</v>
          </cell>
          <cell r="C356" t="str">
            <v>LEUM_826</v>
          </cell>
          <cell r="E356" t="str">
            <v>EF</v>
          </cell>
          <cell r="F356">
            <v>765.74</v>
          </cell>
        </row>
        <row r="357">
          <cell r="B357" t="str">
            <v>APR 2016</v>
          </cell>
          <cell r="C357" t="str">
            <v>LEUM_828</v>
          </cell>
          <cell r="E357" t="str">
            <v>EF</v>
          </cell>
          <cell r="F357">
            <v>2730.51</v>
          </cell>
        </row>
        <row r="358">
          <cell r="B358" t="str">
            <v>APR 2016</v>
          </cell>
          <cell r="C358" t="str">
            <v>LEUM_829</v>
          </cell>
          <cell r="E358" t="str">
            <v>EF</v>
          </cell>
          <cell r="F358">
            <v>5</v>
          </cell>
        </row>
        <row r="359">
          <cell r="B359" t="str">
            <v>APR 2016</v>
          </cell>
          <cell r="C359" t="str">
            <v>LGCME000</v>
          </cell>
          <cell r="E359" t="str">
            <v>TS</v>
          </cell>
        </row>
        <row r="360">
          <cell r="B360" t="str">
            <v>APR 2016</v>
          </cell>
          <cell r="C360" t="str">
            <v>LGCME451</v>
          </cell>
          <cell r="E360" t="str">
            <v>GSS</v>
          </cell>
          <cell r="F360">
            <v>802.38</v>
          </cell>
        </row>
        <row r="361">
          <cell r="B361" t="str">
            <v>APR 2016</v>
          </cell>
          <cell r="C361" t="str">
            <v>LGCME551</v>
          </cell>
          <cell r="E361" t="str">
            <v>GSS</v>
          </cell>
          <cell r="F361">
            <v>3544752.66</v>
          </cell>
        </row>
        <row r="362">
          <cell r="B362" t="str">
            <v>APR 2016</v>
          </cell>
          <cell r="C362" t="str">
            <v>LGCME551UM</v>
          </cell>
          <cell r="E362" t="str">
            <v>GSS</v>
          </cell>
          <cell r="F362">
            <v>4443.6000000000004</v>
          </cell>
        </row>
        <row r="363">
          <cell r="B363" t="str">
            <v>APR 2016</v>
          </cell>
          <cell r="C363" t="str">
            <v>LGCME552</v>
          </cell>
          <cell r="E363" t="str">
            <v>GSS</v>
          </cell>
          <cell r="F363">
            <v>9149.09</v>
          </cell>
        </row>
        <row r="364">
          <cell r="B364" t="str">
            <v>APR 2016</v>
          </cell>
          <cell r="C364" t="str">
            <v>LGCME557</v>
          </cell>
          <cell r="E364" t="str">
            <v>GSS</v>
          </cell>
          <cell r="F364">
            <v>869.67</v>
          </cell>
        </row>
        <row r="365">
          <cell r="B365" t="str">
            <v>APR 2016</v>
          </cell>
          <cell r="C365" t="str">
            <v>LGCME561</v>
          </cell>
          <cell r="E365" t="str">
            <v>PSS</v>
          </cell>
          <cell r="F365">
            <v>11536310.17</v>
          </cell>
        </row>
        <row r="366">
          <cell r="B366" t="str">
            <v>APR 2016</v>
          </cell>
          <cell r="C366" t="str">
            <v>LGCME563</v>
          </cell>
          <cell r="E366" t="str">
            <v>PSP</v>
          </cell>
          <cell r="F366">
            <v>1054011.1499999999</v>
          </cell>
        </row>
        <row r="367">
          <cell r="B367" t="str">
            <v>APR 2016</v>
          </cell>
          <cell r="C367" t="str">
            <v>LGCME567</v>
          </cell>
          <cell r="E367" t="str">
            <v>PSS</v>
          </cell>
          <cell r="F367">
            <v>16749.900000000001</v>
          </cell>
        </row>
        <row r="368">
          <cell r="B368" t="str">
            <v>APR 2016</v>
          </cell>
          <cell r="C368" t="str">
            <v>LGCME591</v>
          </cell>
          <cell r="E368" t="str">
            <v>TODS</v>
          </cell>
          <cell r="F368">
            <v>5044121.8099999996</v>
          </cell>
        </row>
        <row r="369">
          <cell r="B369" t="str">
            <v>APR 2016</v>
          </cell>
          <cell r="C369" t="str">
            <v>LGCME593</v>
          </cell>
          <cell r="E369" t="str">
            <v>CTODP</v>
          </cell>
          <cell r="F369">
            <v>3375526.71</v>
          </cell>
        </row>
        <row r="370">
          <cell r="B370" t="str">
            <v>APR 2016</v>
          </cell>
          <cell r="C370" t="str">
            <v>LGCME651</v>
          </cell>
          <cell r="E370" t="str">
            <v>GS3</v>
          </cell>
          <cell r="F370">
            <v>7355859.8899999997</v>
          </cell>
        </row>
        <row r="371">
          <cell r="B371" t="str">
            <v>APR 2016</v>
          </cell>
          <cell r="C371" t="str">
            <v>LGCME652</v>
          </cell>
          <cell r="E371" t="str">
            <v>GS3</v>
          </cell>
          <cell r="F371">
            <v>136486.66</v>
          </cell>
        </row>
        <row r="372">
          <cell r="B372" t="str">
            <v>APR 2016</v>
          </cell>
          <cell r="C372" t="str">
            <v>LGCME657</v>
          </cell>
          <cell r="E372" t="str">
            <v>GS3</v>
          </cell>
          <cell r="F372">
            <v>17285.52</v>
          </cell>
        </row>
        <row r="373">
          <cell r="B373" t="str">
            <v>APR 2016</v>
          </cell>
          <cell r="C373" t="str">
            <v>LGCME671</v>
          </cell>
          <cell r="E373" t="str">
            <v>LWC</v>
          </cell>
          <cell r="F373">
            <v>264865.78999999998</v>
          </cell>
        </row>
        <row r="374">
          <cell r="B374" t="str">
            <v>APR 2016</v>
          </cell>
          <cell r="C374" t="str">
            <v>LGCSR790</v>
          </cell>
          <cell r="E374" t="str">
            <v>CSR</v>
          </cell>
          <cell r="F374">
            <v>-378895.42</v>
          </cell>
        </row>
        <row r="375">
          <cell r="B375" t="str">
            <v>APR 2016</v>
          </cell>
          <cell r="C375" t="str">
            <v>LGINE599</v>
          </cell>
          <cell r="E375" t="str">
            <v>FK</v>
          </cell>
          <cell r="F375">
            <v>603712.39</v>
          </cell>
        </row>
        <row r="376">
          <cell r="B376" t="str">
            <v>APR 2016</v>
          </cell>
          <cell r="C376" t="str">
            <v>LGINE643</v>
          </cell>
          <cell r="E376" t="str">
            <v>RTS</v>
          </cell>
          <cell r="F376">
            <v>6094261.71</v>
          </cell>
        </row>
        <row r="377">
          <cell r="B377" t="str">
            <v>APR 2016</v>
          </cell>
          <cell r="C377" t="str">
            <v>LGINE661</v>
          </cell>
          <cell r="E377" t="str">
            <v>PSS</v>
          </cell>
          <cell r="F377">
            <v>1590408.43</v>
          </cell>
        </row>
        <row r="378">
          <cell r="B378" t="str">
            <v>APR 2016</v>
          </cell>
          <cell r="C378" t="str">
            <v>LGINE663</v>
          </cell>
          <cell r="E378" t="str">
            <v>PSP</v>
          </cell>
          <cell r="F378">
            <v>66650.16</v>
          </cell>
        </row>
        <row r="379">
          <cell r="B379" t="str">
            <v>APR 2016</v>
          </cell>
          <cell r="C379" t="str">
            <v>LGINE691</v>
          </cell>
          <cell r="E379" t="str">
            <v>ITODS</v>
          </cell>
          <cell r="F379">
            <v>1926542.9</v>
          </cell>
        </row>
        <row r="380">
          <cell r="B380" t="str">
            <v>APR 2016</v>
          </cell>
          <cell r="C380" t="str">
            <v>LGINE693</v>
          </cell>
          <cell r="E380" t="str">
            <v>ITODP</v>
          </cell>
          <cell r="F380">
            <v>7957841.9100000001</v>
          </cell>
        </row>
        <row r="381">
          <cell r="B381" t="str">
            <v>APR 2016</v>
          </cell>
          <cell r="C381" t="str">
            <v>LGMLE570</v>
          </cell>
          <cell r="E381" t="str">
            <v>LE</v>
          </cell>
          <cell r="F381">
            <v>14.25</v>
          </cell>
        </row>
        <row r="382">
          <cell r="B382" t="str">
            <v>APR 2016</v>
          </cell>
          <cell r="C382" t="str">
            <v>LGMLE571</v>
          </cell>
          <cell r="E382" t="str">
            <v>LE</v>
          </cell>
          <cell r="F382">
            <v>16067.3</v>
          </cell>
        </row>
        <row r="383">
          <cell r="B383" t="str">
            <v>APR 2016</v>
          </cell>
          <cell r="C383" t="str">
            <v>LGMLE572</v>
          </cell>
          <cell r="E383" t="str">
            <v>LE</v>
          </cell>
          <cell r="F383">
            <v>5709.89</v>
          </cell>
        </row>
        <row r="384">
          <cell r="B384" t="str">
            <v>APR 2016</v>
          </cell>
          <cell r="C384" t="str">
            <v>LGMLE573</v>
          </cell>
          <cell r="E384" t="str">
            <v>TE</v>
          </cell>
          <cell r="F384">
            <v>18265.84</v>
          </cell>
        </row>
        <row r="385">
          <cell r="B385" t="str">
            <v>APR 2016</v>
          </cell>
          <cell r="C385" t="str">
            <v>LGMLE574</v>
          </cell>
          <cell r="E385" t="str">
            <v>TE</v>
          </cell>
          <cell r="F385">
            <v>6248.61</v>
          </cell>
        </row>
        <row r="386">
          <cell r="B386" t="str">
            <v>APR 2016</v>
          </cell>
          <cell r="C386" t="str">
            <v>LGRSE000</v>
          </cell>
          <cell r="E386" t="str">
            <v>TS</v>
          </cell>
        </row>
        <row r="387">
          <cell r="B387" t="str">
            <v>APR 2016</v>
          </cell>
          <cell r="C387" t="str">
            <v>LGRSE411</v>
          </cell>
          <cell r="E387" t="str">
            <v>RS</v>
          </cell>
          <cell r="F387">
            <v>69385.62</v>
          </cell>
        </row>
        <row r="388">
          <cell r="B388" t="str">
            <v>APR 2016</v>
          </cell>
          <cell r="C388" t="str">
            <v>LGRSE511</v>
          </cell>
          <cell r="E388" t="str">
            <v>RS</v>
          </cell>
          <cell r="F388">
            <v>26813972.670000002</v>
          </cell>
        </row>
        <row r="389">
          <cell r="B389" t="str">
            <v>APR 2016</v>
          </cell>
          <cell r="C389" t="str">
            <v>LGRSE519</v>
          </cell>
          <cell r="E389" t="str">
            <v>RS</v>
          </cell>
          <cell r="F389">
            <v>10762.73</v>
          </cell>
        </row>
        <row r="390">
          <cell r="B390" t="str">
            <v>APR 2016</v>
          </cell>
          <cell r="C390" t="str">
            <v>LGRSE521</v>
          </cell>
          <cell r="E390" t="str">
            <v>RTODE</v>
          </cell>
          <cell r="F390">
            <v>2696.69</v>
          </cell>
        </row>
        <row r="391">
          <cell r="B391" t="str">
            <v>APR 2016</v>
          </cell>
          <cell r="C391" t="str">
            <v>LGRSE540</v>
          </cell>
          <cell r="E391" t="str">
            <v>VFD</v>
          </cell>
          <cell r="F391">
            <v>2432.0700000000002</v>
          </cell>
        </row>
        <row r="392">
          <cell r="B392" t="str">
            <v>APR 2016</v>
          </cell>
          <cell r="C392" t="str">
            <v>LGUM_000</v>
          </cell>
          <cell r="E392" t="str">
            <v>TS</v>
          </cell>
        </row>
        <row r="393">
          <cell r="B393" t="str">
            <v>APR 2016</v>
          </cell>
          <cell r="C393" t="str">
            <v>LGUM_201</v>
          </cell>
          <cell r="E393" t="str">
            <v>RLS</v>
          </cell>
          <cell r="F393">
            <v>703.39</v>
          </cell>
        </row>
        <row r="394">
          <cell r="B394" t="str">
            <v>APR 2016</v>
          </cell>
          <cell r="C394" t="str">
            <v>LGUM_203</v>
          </cell>
          <cell r="E394" t="str">
            <v>RLS</v>
          </cell>
          <cell r="F394">
            <v>40161.06</v>
          </cell>
        </row>
        <row r="395">
          <cell r="B395" t="str">
            <v>APR 2016</v>
          </cell>
          <cell r="C395" t="str">
            <v>LGUM_204</v>
          </cell>
          <cell r="E395" t="str">
            <v>RLS</v>
          </cell>
          <cell r="F395">
            <v>50874.73</v>
          </cell>
        </row>
        <row r="396">
          <cell r="B396" t="str">
            <v>APR 2016</v>
          </cell>
          <cell r="C396" t="str">
            <v>LGUM_206</v>
          </cell>
          <cell r="E396" t="str">
            <v>RLS</v>
          </cell>
          <cell r="F396">
            <v>994.97</v>
          </cell>
        </row>
        <row r="397">
          <cell r="B397" t="str">
            <v>APR 2016</v>
          </cell>
          <cell r="C397" t="str">
            <v>LGUM_207</v>
          </cell>
          <cell r="E397" t="str">
            <v>RLS</v>
          </cell>
          <cell r="F397">
            <v>12069.74</v>
          </cell>
        </row>
        <row r="398">
          <cell r="B398" t="str">
            <v>APR 2016</v>
          </cell>
          <cell r="C398" t="str">
            <v>LGUM_208</v>
          </cell>
          <cell r="E398" t="str">
            <v>RLS</v>
          </cell>
          <cell r="F398">
            <v>21098.46</v>
          </cell>
        </row>
        <row r="399">
          <cell r="B399" t="str">
            <v>APR 2016</v>
          </cell>
          <cell r="C399" t="str">
            <v>LGUM_209</v>
          </cell>
          <cell r="E399" t="str">
            <v>RLS</v>
          </cell>
          <cell r="F399">
            <v>938.78</v>
          </cell>
        </row>
        <row r="400">
          <cell r="B400" t="str">
            <v>APR 2016</v>
          </cell>
          <cell r="C400" t="str">
            <v>LGUM_210</v>
          </cell>
          <cell r="E400" t="str">
            <v>RLS</v>
          </cell>
          <cell r="F400">
            <v>9845.56</v>
          </cell>
        </row>
        <row r="401">
          <cell r="B401" t="str">
            <v>APR 2016</v>
          </cell>
          <cell r="C401" t="str">
            <v>LGUM_252</v>
          </cell>
          <cell r="E401" t="str">
            <v>RLS</v>
          </cell>
          <cell r="F401">
            <v>40982.74</v>
          </cell>
        </row>
        <row r="402">
          <cell r="B402" t="str">
            <v>APR 2016</v>
          </cell>
          <cell r="C402" t="str">
            <v>LGUM_266</v>
          </cell>
          <cell r="E402" t="str">
            <v>RLS</v>
          </cell>
          <cell r="F402">
            <v>62242.8</v>
          </cell>
        </row>
        <row r="403">
          <cell r="B403" t="str">
            <v>APR 2016</v>
          </cell>
          <cell r="C403" t="str">
            <v>LGUM_267</v>
          </cell>
          <cell r="E403" t="str">
            <v>RLS</v>
          </cell>
          <cell r="F403">
            <v>78803.77</v>
          </cell>
        </row>
        <row r="404">
          <cell r="B404" t="str">
            <v>APR 2016</v>
          </cell>
          <cell r="C404" t="str">
            <v>LGUM_274</v>
          </cell>
          <cell r="E404" t="str">
            <v>RLS</v>
          </cell>
          <cell r="F404">
            <v>328084.68</v>
          </cell>
        </row>
        <row r="405">
          <cell r="B405" t="str">
            <v>APR 2016</v>
          </cell>
          <cell r="C405" t="str">
            <v>LGUM_275</v>
          </cell>
          <cell r="E405" t="str">
            <v>RLS</v>
          </cell>
          <cell r="F405">
            <v>13493.83</v>
          </cell>
        </row>
        <row r="406">
          <cell r="B406" t="str">
            <v>APR 2016</v>
          </cell>
          <cell r="C406" t="str">
            <v>LGUM_276</v>
          </cell>
          <cell r="E406" t="str">
            <v>RLS</v>
          </cell>
          <cell r="F406">
            <v>21982.78</v>
          </cell>
        </row>
        <row r="407">
          <cell r="B407" t="str">
            <v>APR 2016</v>
          </cell>
          <cell r="C407" t="str">
            <v>LGUM_277</v>
          </cell>
          <cell r="E407" t="str">
            <v>RLS</v>
          </cell>
          <cell r="F407">
            <v>57073.760000000002</v>
          </cell>
        </row>
        <row r="408">
          <cell r="B408" t="str">
            <v>APR 2016</v>
          </cell>
          <cell r="C408" t="str">
            <v>LGUM_278</v>
          </cell>
          <cell r="E408" t="str">
            <v>RLS</v>
          </cell>
          <cell r="F408">
            <v>965.55</v>
          </cell>
        </row>
        <row r="409">
          <cell r="B409" t="str">
            <v>APR 2016</v>
          </cell>
          <cell r="C409" t="str">
            <v>LGUM_279</v>
          </cell>
          <cell r="E409" t="str">
            <v>RLS</v>
          </cell>
          <cell r="F409">
            <v>380.06</v>
          </cell>
        </row>
        <row r="410">
          <cell r="B410" t="str">
            <v>APR 2016</v>
          </cell>
          <cell r="C410" t="str">
            <v>LGUM_280</v>
          </cell>
          <cell r="E410" t="str">
            <v>RLS</v>
          </cell>
          <cell r="F410">
            <v>1771.34</v>
          </cell>
        </row>
        <row r="411">
          <cell r="B411" t="str">
            <v>APR 2016</v>
          </cell>
          <cell r="C411" t="str">
            <v>LGUM_281</v>
          </cell>
          <cell r="E411" t="str">
            <v>RLS</v>
          </cell>
          <cell r="F411">
            <v>9548.1299999999992</v>
          </cell>
        </row>
        <row r="412">
          <cell r="B412" t="str">
            <v>APR 2016</v>
          </cell>
          <cell r="C412" t="str">
            <v>LGUM_282</v>
          </cell>
          <cell r="E412" t="str">
            <v>RLS</v>
          </cell>
          <cell r="F412">
            <v>3352.81</v>
          </cell>
        </row>
        <row r="413">
          <cell r="B413" t="str">
            <v>APR 2016</v>
          </cell>
          <cell r="C413" t="str">
            <v>LGUM_283</v>
          </cell>
          <cell r="E413" t="str">
            <v>RLS</v>
          </cell>
          <cell r="F413">
            <v>3672.74</v>
          </cell>
        </row>
        <row r="414">
          <cell r="B414" t="str">
            <v>APR 2016</v>
          </cell>
          <cell r="C414" t="str">
            <v>LGUM_314</v>
          </cell>
          <cell r="E414" t="str">
            <v>RLS</v>
          </cell>
          <cell r="F414">
            <v>9546.67</v>
          </cell>
        </row>
        <row r="415">
          <cell r="B415" t="str">
            <v>APR 2016</v>
          </cell>
          <cell r="C415" t="str">
            <v>LGUM_315</v>
          </cell>
          <cell r="E415" t="str">
            <v>RLS</v>
          </cell>
          <cell r="F415">
            <v>11468.58</v>
          </cell>
        </row>
        <row r="416">
          <cell r="B416" t="str">
            <v>APR 2016</v>
          </cell>
          <cell r="C416" t="str">
            <v>LGUM_318</v>
          </cell>
          <cell r="E416" t="str">
            <v>RLS</v>
          </cell>
          <cell r="F416">
            <v>917.22</v>
          </cell>
        </row>
        <row r="417">
          <cell r="B417" t="str">
            <v>APR 2016</v>
          </cell>
          <cell r="C417" t="str">
            <v>LGUM_348</v>
          </cell>
          <cell r="E417" t="str">
            <v>RLS</v>
          </cell>
          <cell r="F417">
            <v>572.79</v>
          </cell>
        </row>
        <row r="418">
          <cell r="B418" t="str">
            <v>APR 2016</v>
          </cell>
          <cell r="C418" t="str">
            <v>LGUM_349</v>
          </cell>
          <cell r="E418" t="str">
            <v>RLS</v>
          </cell>
          <cell r="F418">
            <v>171.88</v>
          </cell>
        </row>
        <row r="419">
          <cell r="B419" t="str">
            <v>APR 2016</v>
          </cell>
          <cell r="C419" t="str">
            <v>LGUM_400</v>
          </cell>
          <cell r="E419" t="str">
            <v xml:space="preserve">LS </v>
          </cell>
          <cell r="F419">
            <v>1431.03</v>
          </cell>
        </row>
        <row r="420">
          <cell r="B420" t="str">
            <v>APR 2016</v>
          </cell>
          <cell r="C420" t="str">
            <v>LGUM_401</v>
          </cell>
          <cell r="E420" t="str">
            <v xml:space="preserve">LS </v>
          </cell>
          <cell r="F420">
            <v>423.53</v>
          </cell>
        </row>
        <row r="421">
          <cell r="B421" t="str">
            <v>APR 2016</v>
          </cell>
          <cell r="C421" t="str">
            <v>LGUM_412</v>
          </cell>
          <cell r="E421" t="str">
            <v xml:space="preserve">LS </v>
          </cell>
          <cell r="F421">
            <v>4801.63</v>
          </cell>
        </row>
        <row r="422">
          <cell r="B422" t="str">
            <v>APR 2016</v>
          </cell>
          <cell r="C422" t="str">
            <v>LGUM_413</v>
          </cell>
          <cell r="E422" t="str">
            <v xml:space="preserve">LS </v>
          </cell>
          <cell r="F422">
            <v>64932.32</v>
          </cell>
        </row>
        <row r="423">
          <cell r="B423" t="str">
            <v>APR 2016</v>
          </cell>
          <cell r="C423" t="str">
            <v>LGUM_415</v>
          </cell>
          <cell r="E423" t="str">
            <v xml:space="preserve">LS </v>
          </cell>
          <cell r="F423">
            <v>1054.3599999999999</v>
          </cell>
        </row>
        <row r="424">
          <cell r="B424" t="str">
            <v>APR 2016</v>
          </cell>
          <cell r="C424" t="str">
            <v>LGUM_416</v>
          </cell>
          <cell r="E424" t="str">
            <v xml:space="preserve">LS </v>
          </cell>
          <cell r="F424">
            <v>49418.400000000001</v>
          </cell>
        </row>
        <row r="425">
          <cell r="B425" t="str">
            <v>APR 2016</v>
          </cell>
          <cell r="C425" t="str">
            <v>LGUM_417</v>
          </cell>
          <cell r="E425" t="str">
            <v>RLS</v>
          </cell>
          <cell r="F425">
            <v>1315.72</v>
          </cell>
        </row>
        <row r="426">
          <cell r="B426" t="str">
            <v>APR 2016</v>
          </cell>
          <cell r="C426" t="str">
            <v>LGUM_419</v>
          </cell>
          <cell r="E426" t="str">
            <v>RLS</v>
          </cell>
          <cell r="F426">
            <v>3308.23</v>
          </cell>
        </row>
        <row r="427">
          <cell r="B427" t="str">
            <v>APR 2016</v>
          </cell>
          <cell r="C427" t="str">
            <v>LGUM_420</v>
          </cell>
          <cell r="E427" t="str">
            <v xml:space="preserve">LS </v>
          </cell>
          <cell r="F427">
            <v>2027.1</v>
          </cell>
        </row>
        <row r="428">
          <cell r="B428" t="str">
            <v>APR 2016</v>
          </cell>
          <cell r="C428" t="str">
            <v>LGUM_421</v>
          </cell>
          <cell r="E428" t="str">
            <v xml:space="preserve">LS </v>
          </cell>
          <cell r="F428">
            <v>7718.36</v>
          </cell>
        </row>
        <row r="429">
          <cell r="B429" t="str">
            <v>APR 2016</v>
          </cell>
          <cell r="C429" t="str">
            <v>LGUM_422</v>
          </cell>
          <cell r="E429" t="str">
            <v xml:space="preserve">LS </v>
          </cell>
          <cell r="F429">
            <v>19032.96</v>
          </cell>
        </row>
        <row r="430">
          <cell r="B430" t="str">
            <v>APR 2016</v>
          </cell>
          <cell r="C430" t="str">
            <v>LGUM_423</v>
          </cell>
          <cell r="E430" t="str">
            <v xml:space="preserve">LS </v>
          </cell>
          <cell r="F430">
            <v>606.55999999999995</v>
          </cell>
        </row>
        <row r="431">
          <cell r="B431" t="str">
            <v>APR 2016</v>
          </cell>
          <cell r="C431" t="str">
            <v>LGUM_424</v>
          </cell>
          <cell r="E431" t="str">
            <v xml:space="preserve">LS </v>
          </cell>
          <cell r="F431">
            <v>19040.61</v>
          </cell>
        </row>
        <row r="432">
          <cell r="B432" t="str">
            <v>APR 2016</v>
          </cell>
          <cell r="C432" t="str">
            <v>LGUM_425</v>
          </cell>
          <cell r="E432" t="str">
            <v xml:space="preserve">LS </v>
          </cell>
          <cell r="F432">
            <v>1196.31</v>
          </cell>
        </row>
        <row r="433">
          <cell r="B433" t="str">
            <v>APR 2016</v>
          </cell>
          <cell r="C433" t="str">
            <v>LGUM_426</v>
          </cell>
          <cell r="E433" t="str">
            <v>RLS</v>
          </cell>
          <cell r="F433">
            <v>1232.44</v>
          </cell>
        </row>
        <row r="434">
          <cell r="B434" t="str">
            <v>APR 2016</v>
          </cell>
          <cell r="C434" t="str">
            <v>LGUM_427</v>
          </cell>
          <cell r="E434" t="str">
            <v xml:space="preserve">LS </v>
          </cell>
          <cell r="F434">
            <v>2128.21</v>
          </cell>
        </row>
        <row r="435">
          <cell r="B435" t="str">
            <v>APR 2016</v>
          </cell>
          <cell r="C435" t="str">
            <v>LGUM_428</v>
          </cell>
          <cell r="E435" t="str">
            <v>RLS</v>
          </cell>
          <cell r="F435">
            <v>11056.42</v>
          </cell>
        </row>
        <row r="436">
          <cell r="B436" t="str">
            <v>APR 2016</v>
          </cell>
          <cell r="C436" t="str">
            <v>LGUM_429</v>
          </cell>
          <cell r="E436" t="str">
            <v xml:space="preserve">LS </v>
          </cell>
          <cell r="F436">
            <v>23263.85</v>
          </cell>
        </row>
        <row r="437">
          <cell r="B437" t="str">
            <v>APR 2016</v>
          </cell>
          <cell r="C437" t="str">
            <v>LGUM_430</v>
          </cell>
          <cell r="E437" t="str">
            <v>RLS</v>
          </cell>
          <cell r="F437">
            <v>458.04</v>
          </cell>
        </row>
        <row r="438">
          <cell r="B438" t="str">
            <v>APR 2016</v>
          </cell>
          <cell r="C438" t="str">
            <v>LGUM_431</v>
          </cell>
          <cell r="E438" t="str">
            <v xml:space="preserve">LS </v>
          </cell>
          <cell r="F438">
            <v>2032.42</v>
          </cell>
        </row>
        <row r="439">
          <cell r="B439" t="str">
            <v>APR 2016</v>
          </cell>
          <cell r="C439" t="str">
            <v>LGUM_432</v>
          </cell>
          <cell r="E439" t="str">
            <v>RLS</v>
          </cell>
          <cell r="F439">
            <v>378.26</v>
          </cell>
        </row>
        <row r="440">
          <cell r="B440" t="str">
            <v>APR 2016</v>
          </cell>
          <cell r="C440" t="str">
            <v>LGUM_433</v>
          </cell>
          <cell r="E440" t="str">
            <v xml:space="preserve">LS </v>
          </cell>
          <cell r="F440">
            <v>10083.469999999999</v>
          </cell>
        </row>
        <row r="441">
          <cell r="B441" t="str">
            <v>APR 2016</v>
          </cell>
          <cell r="C441" t="str">
            <v>LGUM_440</v>
          </cell>
          <cell r="E441" t="str">
            <v xml:space="preserve">LS </v>
          </cell>
          <cell r="F441">
            <v>470.06</v>
          </cell>
        </row>
        <row r="442">
          <cell r="B442" t="str">
            <v>APR 2016</v>
          </cell>
          <cell r="C442" t="str">
            <v>LGUM_441</v>
          </cell>
          <cell r="E442" t="str">
            <v xml:space="preserve">LS </v>
          </cell>
          <cell r="F442">
            <v>1092.1300000000001</v>
          </cell>
        </row>
        <row r="443">
          <cell r="B443" t="str">
            <v>APR 2016</v>
          </cell>
          <cell r="C443" t="str">
            <v>LGUM_444</v>
          </cell>
          <cell r="E443" t="str">
            <v xml:space="preserve">LS </v>
          </cell>
          <cell r="F443">
            <v>206.29</v>
          </cell>
        </row>
        <row r="444">
          <cell r="B444" t="str">
            <v>APR 2016</v>
          </cell>
          <cell r="C444" t="str">
            <v>LGUM_445</v>
          </cell>
          <cell r="E444" t="str">
            <v xml:space="preserve">LS </v>
          </cell>
          <cell r="F444">
            <v>474.55</v>
          </cell>
        </row>
        <row r="445">
          <cell r="B445" t="str">
            <v>APR 2016</v>
          </cell>
          <cell r="C445" t="str">
            <v>LGUM_452</v>
          </cell>
          <cell r="E445" t="str">
            <v xml:space="preserve">LS </v>
          </cell>
          <cell r="F445">
            <v>100830.56</v>
          </cell>
        </row>
        <row r="446">
          <cell r="B446" t="str">
            <v>APR 2016</v>
          </cell>
          <cell r="C446" t="str">
            <v>LGUM_453</v>
          </cell>
          <cell r="E446" t="str">
            <v xml:space="preserve">LS </v>
          </cell>
          <cell r="F446">
            <v>178368.84</v>
          </cell>
        </row>
        <row r="447">
          <cell r="B447" t="str">
            <v>APR 2016</v>
          </cell>
          <cell r="C447" t="str">
            <v>LGUM_454</v>
          </cell>
          <cell r="E447" t="str">
            <v xml:space="preserve">LS </v>
          </cell>
          <cell r="F447">
            <v>111140.08</v>
          </cell>
        </row>
        <row r="448">
          <cell r="B448" t="str">
            <v>APR 2016</v>
          </cell>
          <cell r="C448" t="str">
            <v>LGUM_455</v>
          </cell>
          <cell r="E448" t="str">
            <v xml:space="preserve">LS </v>
          </cell>
          <cell r="F448">
            <v>6500.51</v>
          </cell>
        </row>
        <row r="449">
          <cell r="B449" t="str">
            <v>APR 2016</v>
          </cell>
          <cell r="C449" t="str">
            <v>LGUM_456</v>
          </cell>
          <cell r="E449" t="str">
            <v xml:space="preserve">LS </v>
          </cell>
          <cell r="F449">
            <v>272560.42</v>
          </cell>
        </row>
        <row r="450">
          <cell r="B450" t="str">
            <v>APR 2016</v>
          </cell>
          <cell r="C450" t="str">
            <v>LGUM_457</v>
          </cell>
          <cell r="E450" t="str">
            <v xml:space="preserve">LS </v>
          </cell>
          <cell r="F450">
            <v>47023.85</v>
          </cell>
        </row>
        <row r="451">
          <cell r="B451" t="str">
            <v>APR 2016</v>
          </cell>
          <cell r="C451" t="str">
            <v>LGUM_470</v>
          </cell>
          <cell r="E451" t="str">
            <v xml:space="preserve">LS </v>
          </cell>
          <cell r="F451">
            <v>622.21</v>
          </cell>
        </row>
        <row r="452">
          <cell r="B452" t="str">
            <v>APR 2016</v>
          </cell>
          <cell r="C452" t="str">
            <v>LGUM_471</v>
          </cell>
          <cell r="E452" t="str">
            <v>RLS</v>
          </cell>
          <cell r="F452">
            <v>136.01</v>
          </cell>
        </row>
        <row r="453">
          <cell r="B453" t="str">
            <v>APR 2016</v>
          </cell>
          <cell r="C453" t="str">
            <v>LGUM_473</v>
          </cell>
          <cell r="E453" t="str">
            <v xml:space="preserve">LS </v>
          </cell>
          <cell r="F453">
            <v>15514.94</v>
          </cell>
        </row>
        <row r="454">
          <cell r="B454" t="str">
            <v>APR 2016</v>
          </cell>
          <cell r="C454" t="str">
            <v>LGUM_474</v>
          </cell>
          <cell r="E454" t="str">
            <v>RLS</v>
          </cell>
          <cell r="F454">
            <v>1128.32</v>
          </cell>
        </row>
        <row r="455">
          <cell r="B455" t="str">
            <v>APR 2016</v>
          </cell>
          <cell r="C455" t="str">
            <v>LGUM_475</v>
          </cell>
          <cell r="E455" t="str">
            <v>RLS</v>
          </cell>
          <cell r="F455">
            <v>62.6</v>
          </cell>
        </row>
        <row r="456">
          <cell r="B456" t="str">
            <v>APR 2016</v>
          </cell>
          <cell r="C456" t="str">
            <v>LGUM_476</v>
          </cell>
          <cell r="E456" t="str">
            <v xml:space="preserve">LS </v>
          </cell>
          <cell r="F456">
            <v>26159.49</v>
          </cell>
        </row>
        <row r="457">
          <cell r="B457" t="str">
            <v>APR 2016</v>
          </cell>
          <cell r="C457" t="str">
            <v>LGUM_477</v>
          </cell>
          <cell r="E457" t="str">
            <v>RLS</v>
          </cell>
          <cell r="F457">
            <v>3007.35</v>
          </cell>
        </row>
        <row r="458">
          <cell r="B458" t="str">
            <v>APR 2016</v>
          </cell>
          <cell r="C458" t="str">
            <v>LGUM_480</v>
          </cell>
          <cell r="E458" t="str">
            <v xml:space="preserve">LS </v>
          </cell>
          <cell r="F458">
            <v>525.49</v>
          </cell>
        </row>
        <row r="459">
          <cell r="B459" t="str">
            <v>APR 2016</v>
          </cell>
          <cell r="C459" t="str">
            <v>LGUM_481</v>
          </cell>
          <cell r="E459" t="str">
            <v xml:space="preserve">LS </v>
          </cell>
          <cell r="F459">
            <v>137.15</v>
          </cell>
        </row>
        <row r="460">
          <cell r="B460" t="str">
            <v>APR 2016</v>
          </cell>
          <cell r="C460" t="str">
            <v>LGUM_482</v>
          </cell>
          <cell r="E460" t="str">
            <v xml:space="preserve">LS </v>
          </cell>
          <cell r="F460">
            <v>3252.78</v>
          </cell>
        </row>
        <row r="461">
          <cell r="B461" t="str">
            <v>APR 2016</v>
          </cell>
          <cell r="C461" t="str">
            <v>LGUM_483</v>
          </cell>
          <cell r="E461" t="str">
            <v xml:space="preserve">LS </v>
          </cell>
          <cell r="F461">
            <v>237.04</v>
          </cell>
        </row>
        <row r="462">
          <cell r="B462" t="str">
            <v>APR 2016</v>
          </cell>
          <cell r="C462" t="str">
            <v>LGUM_484</v>
          </cell>
          <cell r="E462" t="str">
            <v xml:space="preserve">LS </v>
          </cell>
          <cell r="F462">
            <v>3637.76</v>
          </cell>
        </row>
        <row r="463">
          <cell r="B463" t="str">
            <v>MAY 2016</v>
          </cell>
          <cell r="C463" t="str">
            <v>LEUM_825</v>
          </cell>
          <cell r="E463" t="str">
            <v>EF</v>
          </cell>
          <cell r="F463">
            <v>48365.64</v>
          </cell>
        </row>
        <row r="464">
          <cell r="B464" t="str">
            <v>MAY 2016</v>
          </cell>
          <cell r="C464" t="str">
            <v>LEUM_826</v>
          </cell>
          <cell r="E464" t="str">
            <v>EF</v>
          </cell>
          <cell r="F464">
            <v>872.16</v>
          </cell>
        </row>
        <row r="465">
          <cell r="B465" t="str">
            <v>MAY 2016</v>
          </cell>
          <cell r="C465" t="str">
            <v>LEUM_828</v>
          </cell>
          <cell r="E465" t="str">
            <v>EF</v>
          </cell>
          <cell r="F465">
            <v>2776.91</v>
          </cell>
        </row>
        <row r="466">
          <cell r="B466" t="str">
            <v>MAY 2016</v>
          </cell>
          <cell r="C466" t="str">
            <v>LEUM_829</v>
          </cell>
          <cell r="E466" t="str">
            <v>EF</v>
          </cell>
          <cell r="F466">
            <v>5</v>
          </cell>
        </row>
        <row r="467">
          <cell r="B467" t="str">
            <v>MAY 2016</v>
          </cell>
          <cell r="C467" t="str">
            <v>LGCME000</v>
          </cell>
          <cell r="E467" t="str">
            <v>TS</v>
          </cell>
        </row>
        <row r="468">
          <cell r="B468" t="str">
            <v>MAY 2016</v>
          </cell>
          <cell r="C468" t="str">
            <v>LGCME451</v>
          </cell>
          <cell r="E468" t="str">
            <v>GSS</v>
          </cell>
          <cell r="F468">
            <v>677.07</v>
          </cell>
        </row>
        <row r="469">
          <cell r="B469" t="str">
            <v>MAY 2016</v>
          </cell>
          <cell r="C469" t="str">
            <v>LGCME551</v>
          </cell>
          <cell r="E469" t="str">
            <v>GSS</v>
          </cell>
          <cell r="F469">
            <v>3199912.6</v>
          </cell>
        </row>
        <row r="470">
          <cell r="B470" t="str">
            <v>MAY 2016</v>
          </cell>
          <cell r="C470" t="str">
            <v>LGCME551DS</v>
          </cell>
          <cell r="E470" t="str">
            <v>GSS</v>
          </cell>
          <cell r="F470">
            <v>221885.45</v>
          </cell>
        </row>
        <row r="471">
          <cell r="B471" t="str">
            <v>MAY 2016</v>
          </cell>
          <cell r="C471" t="str">
            <v>LGCME551UM</v>
          </cell>
          <cell r="E471" t="str">
            <v>GSS</v>
          </cell>
          <cell r="F471">
            <v>4195.16</v>
          </cell>
        </row>
        <row r="472">
          <cell r="B472" t="str">
            <v>MAY 2016</v>
          </cell>
          <cell r="C472" t="str">
            <v>LGCME552</v>
          </cell>
          <cell r="E472" t="str">
            <v>GSS</v>
          </cell>
          <cell r="F472">
            <v>6317.91</v>
          </cell>
        </row>
        <row r="473">
          <cell r="B473" t="str">
            <v>MAY 2016</v>
          </cell>
          <cell r="C473" t="str">
            <v>LGCME557</v>
          </cell>
          <cell r="E473" t="str">
            <v>GSS</v>
          </cell>
          <cell r="F473">
            <v>898.2</v>
          </cell>
        </row>
        <row r="474">
          <cell r="B474" t="str">
            <v>MAY 2016</v>
          </cell>
          <cell r="C474" t="str">
            <v>LGCME561</v>
          </cell>
          <cell r="E474" t="str">
            <v>PSS</v>
          </cell>
          <cell r="F474">
            <v>10299031.35</v>
          </cell>
        </row>
        <row r="475">
          <cell r="B475" t="str">
            <v>MAY 2016</v>
          </cell>
          <cell r="C475" t="str">
            <v>LGCME561DS</v>
          </cell>
          <cell r="E475" t="str">
            <v>PSS</v>
          </cell>
          <cell r="F475">
            <v>1953393.19</v>
          </cell>
        </row>
        <row r="476">
          <cell r="B476" t="str">
            <v>MAY 2016</v>
          </cell>
          <cell r="C476" t="str">
            <v>LGCME561PF</v>
          </cell>
          <cell r="E476" t="str">
            <v>PSS</v>
          </cell>
          <cell r="F476">
            <v>294649.36</v>
          </cell>
        </row>
        <row r="477">
          <cell r="B477" t="str">
            <v>MAY 2016</v>
          </cell>
          <cell r="C477" t="str">
            <v>LGCME563</v>
          </cell>
          <cell r="E477" t="str">
            <v>PSP</v>
          </cell>
          <cell r="F477">
            <v>629542.48</v>
          </cell>
        </row>
        <row r="478">
          <cell r="B478" t="str">
            <v>MAY 2016</v>
          </cell>
          <cell r="C478" t="str">
            <v>LGCME563DS</v>
          </cell>
          <cell r="E478" t="str">
            <v>PSP</v>
          </cell>
          <cell r="F478">
            <v>42682.58</v>
          </cell>
        </row>
        <row r="479">
          <cell r="B479" t="str">
            <v>MAY 2016</v>
          </cell>
          <cell r="C479" t="str">
            <v>LGCME563PF</v>
          </cell>
          <cell r="E479" t="str">
            <v>PSP</v>
          </cell>
          <cell r="F479">
            <v>57703.86</v>
          </cell>
        </row>
        <row r="480">
          <cell r="B480" t="str">
            <v>MAY 2016</v>
          </cell>
          <cell r="C480" t="str">
            <v>LGCME567</v>
          </cell>
          <cell r="E480" t="str">
            <v>PSS</v>
          </cell>
          <cell r="F480">
            <v>10619.34</v>
          </cell>
        </row>
        <row r="481">
          <cell r="B481" t="str">
            <v>MAY 2016</v>
          </cell>
          <cell r="C481" t="str">
            <v>LGCME567PF</v>
          </cell>
          <cell r="E481" t="str">
            <v>PSS</v>
          </cell>
          <cell r="F481">
            <v>9315.8799999999992</v>
          </cell>
        </row>
        <row r="482">
          <cell r="B482" t="str">
            <v>MAY 2016</v>
          </cell>
          <cell r="C482" t="str">
            <v>LGCME591</v>
          </cell>
          <cell r="E482" t="str">
            <v>TODS</v>
          </cell>
          <cell r="F482">
            <v>5100322.0999999996</v>
          </cell>
        </row>
        <row r="483">
          <cell r="B483" t="str">
            <v>MAY 2016</v>
          </cell>
          <cell r="C483" t="str">
            <v>LGCME593</v>
          </cell>
          <cell r="E483" t="str">
            <v>CTODP</v>
          </cell>
          <cell r="F483">
            <v>3416796.2</v>
          </cell>
        </row>
        <row r="484">
          <cell r="B484" t="str">
            <v>MAY 2016</v>
          </cell>
          <cell r="C484" t="str">
            <v>LGCME651</v>
          </cell>
          <cell r="E484" t="str">
            <v>GS3</v>
          </cell>
          <cell r="F484">
            <v>7019977.4900000002</v>
          </cell>
        </row>
        <row r="485">
          <cell r="B485" t="str">
            <v>MAY 2016</v>
          </cell>
          <cell r="C485" t="str">
            <v>LGCME651DS</v>
          </cell>
          <cell r="E485" t="str">
            <v>GS3</v>
          </cell>
          <cell r="F485">
            <v>359175.13</v>
          </cell>
        </row>
        <row r="486">
          <cell r="B486" t="str">
            <v>MAY 2016</v>
          </cell>
          <cell r="C486" t="str">
            <v>LGCME652</v>
          </cell>
          <cell r="E486" t="str">
            <v>GS3</v>
          </cell>
          <cell r="F486">
            <v>93239.71</v>
          </cell>
        </row>
        <row r="487">
          <cell r="B487" t="str">
            <v>MAY 2016</v>
          </cell>
          <cell r="C487" t="str">
            <v>LGCME657</v>
          </cell>
          <cell r="E487" t="str">
            <v>GS3</v>
          </cell>
          <cell r="F487">
            <v>17296.759999999998</v>
          </cell>
        </row>
        <row r="488">
          <cell r="B488" t="str">
            <v>MAY 2016</v>
          </cell>
          <cell r="C488" t="str">
            <v>LGCME671</v>
          </cell>
          <cell r="E488" t="str">
            <v>LWC</v>
          </cell>
          <cell r="F488">
            <v>273232.48</v>
          </cell>
        </row>
        <row r="489">
          <cell r="B489" t="str">
            <v>MAY 2016</v>
          </cell>
          <cell r="C489" t="str">
            <v>LGCSR790</v>
          </cell>
          <cell r="E489" t="str">
            <v>CSR</v>
          </cell>
          <cell r="F489">
            <v>-352906.3</v>
          </cell>
        </row>
        <row r="490">
          <cell r="B490" t="str">
            <v>MAY 2016</v>
          </cell>
          <cell r="C490" t="str">
            <v>LGINE599</v>
          </cell>
          <cell r="E490" t="str">
            <v>FK</v>
          </cell>
          <cell r="F490">
            <v>529474.37</v>
          </cell>
        </row>
        <row r="491">
          <cell r="B491" t="str">
            <v>MAY 2016</v>
          </cell>
          <cell r="C491" t="str">
            <v>LGINE643</v>
          </cell>
          <cell r="E491" t="str">
            <v>RTS</v>
          </cell>
          <cell r="F491">
            <v>5650425.8799999999</v>
          </cell>
        </row>
        <row r="492">
          <cell r="B492" t="str">
            <v>MAY 2016</v>
          </cell>
          <cell r="C492" t="str">
            <v>LGINE651DS</v>
          </cell>
          <cell r="E492" t="str">
            <v>GS3</v>
          </cell>
          <cell r="F492">
            <v>21451.23</v>
          </cell>
        </row>
        <row r="493">
          <cell r="B493" t="str">
            <v>MAY 2016</v>
          </cell>
          <cell r="C493" t="str">
            <v>LGINE661</v>
          </cell>
          <cell r="E493" t="str">
            <v>PSS</v>
          </cell>
          <cell r="F493">
            <v>1408039.62</v>
          </cell>
        </row>
        <row r="494">
          <cell r="B494" t="str">
            <v>MAY 2016</v>
          </cell>
          <cell r="C494" t="str">
            <v>LGINE661DS</v>
          </cell>
          <cell r="E494" t="str">
            <v>PSS</v>
          </cell>
          <cell r="F494">
            <v>37917.5</v>
          </cell>
        </row>
        <row r="495">
          <cell r="B495" t="str">
            <v>MAY 2016</v>
          </cell>
          <cell r="C495" t="str">
            <v>LGINE661PD</v>
          </cell>
          <cell r="E495" t="str">
            <v>PSS</v>
          </cell>
          <cell r="F495">
            <v>240794.53</v>
          </cell>
        </row>
        <row r="496">
          <cell r="B496" t="str">
            <v>MAY 2016</v>
          </cell>
          <cell r="C496" t="str">
            <v>LGINE663</v>
          </cell>
          <cell r="E496" t="str">
            <v>PSP</v>
          </cell>
          <cell r="F496">
            <v>62131.46</v>
          </cell>
        </row>
        <row r="497">
          <cell r="B497" t="str">
            <v>MAY 2016</v>
          </cell>
          <cell r="C497" t="str">
            <v>LGINE663PD</v>
          </cell>
          <cell r="E497" t="str">
            <v>PSP</v>
          </cell>
          <cell r="F497">
            <v>3655.87</v>
          </cell>
        </row>
        <row r="498">
          <cell r="B498" t="str">
            <v>MAY 2016</v>
          </cell>
          <cell r="C498" t="str">
            <v>LGINE691</v>
          </cell>
          <cell r="E498" t="str">
            <v>ITODS</v>
          </cell>
          <cell r="F498">
            <v>1895166.11</v>
          </cell>
        </row>
        <row r="499">
          <cell r="B499" t="str">
            <v>MAY 2016</v>
          </cell>
          <cell r="C499" t="str">
            <v>LGINE693</v>
          </cell>
          <cell r="E499" t="str">
            <v>ITODP</v>
          </cell>
          <cell r="F499">
            <v>6635375.29</v>
          </cell>
        </row>
        <row r="500">
          <cell r="B500" t="str">
            <v>MAY 2016</v>
          </cell>
          <cell r="C500" t="str">
            <v>LGMLE570</v>
          </cell>
          <cell r="E500" t="str">
            <v>LE</v>
          </cell>
          <cell r="F500">
            <v>13.66</v>
          </cell>
        </row>
        <row r="501">
          <cell r="B501" t="str">
            <v>MAY 2016</v>
          </cell>
          <cell r="C501" t="str">
            <v>LGMLE571</v>
          </cell>
          <cell r="E501" t="str">
            <v>LE</v>
          </cell>
          <cell r="F501">
            <v>11132.59</v>
          </cell>
        </row>
        <row r="502">
          <cell r="B502" t="str">
            <v>MAY 2016</v>
          </cell>
          <cell r="C502" t="str">
            <v>LGMLE572</v>
          </cell>
          <cell r="E502" t="str">
            <v>LE</v>
          </cell>
          <cell r="F502">
            <v>4992.97</v>
          </cell>
        </row>
        <row r="503">
          <cell r="B503" t="str">
            <v>MAY 2016</v>
          </cell>
          <cell r="C503" t="str">
            <v>LGMLE573</v>
          </cell>
          <cell r="E503" t="str">
            <v>TE</v>
          </cell>
          <cell r="F503">
            <v>18030.37</v>
          </cell>
        </row>
        <row r="504">
          <cell r="B504" t="str">
            <v>MAY 2016</v>
          </cell>
          <cell r="C504" t="str">
            <v>LGMLE574</v>
          </cell>
          <cell r="E504" t="str">
            <v>TE</v>
          </cell>
          <cell r="F504">
            <v>6023.33</v>
          </cell>
        </row>
        <row r="505">
          <cell r="B505" t="str">
            <v>MAY 2016</v>
          </cell>
          <cell r="C505" t="str">
            <v>LGRSE000</v>
          </cell>
          <cell r="E505" t="str">
            <v>TS</v>
          </cell>
        </row>
        <row r="506">
          <cell r="B506" t="str">
            <v>MAY 2016</v>
          </cell>
          <cell r="C506" t="str">
            <v>LGRSE411</v>
          </cell>
          <cell r="E506" t="str">
            <v>RS</v>
          </cell>
          <cell r="F506">
            <v>60525.45</v>
          </cell>
        </row>
        <row r="507">
          <cell r="B507" t="str">
            <v>MAY 2016</v>
          </cell>
          <cell r="C507" t="str">
            <v>LGRSE511</v>
          </cell>
          <cell r="E507" t="str">
            <v>RS</v>
          </cell>
          <cell r="F507">
            <v>26451108.920000002</v>
          </cell>
        </row>
        <row r="508">
          <cell r="B508" t="str">
            <v>MAY 2016</v>
          </cell>
          <cell r="C508" t="str">
            <v>LGRSE519</v>
          </cell>
          <cell r="E508" t="str">
            <v>RS</v>
          </cell>
          <cell r="F508">
            <v>10643.7</v>
          </cell>
        </row>
        <row r="509">
          <cell r="B509" t="str">
            <v>MAY 2016</v>
          </cell>
          <cell r="C509" t="str">
            <v>LGRSE521</v>
          </cell>
          <cell r="E509" t="str">
            <v>RTODE</v>
          </cell>
          <cell r="F509">
            <v>2712.91</v>
          </cell>
        </row>
        <row r="510">
          <cell r="B510" t="str">
            <v>MAY 2016</v>
          </cell>
          <cell r="C510" t="str">
            <v>LGRSE540</v>
          </cell>
          <cell r="E510" t="str">
            <v>VFD</v>
          </cell>
          <cell r="F510">
            <v>2469.5700000000002</v>
          </cell>
        </row>
        <row r="511">
          <cell r="B511" t="str">
            <v>MAY 2016</v>
          </cell>
          <cell r="C511" t="str">
            <v>LGUM_000</v>
          </cell>
          <cell r="E511" t="str">
            <v>TS</v>
          </cell>
        </row>
        <row r="512">
          <cell r="B512" t="str">
            <v>MAY 2016</v>
          </cell>
          <cell r="C512" t="str">
            <v>LGUM_201</v>
          </cell>
          <cell r="E512" t="str">
            <v>RLS</v>
          </cell>
          <cell r="F512">
            <v>689</v>
          </cell>
        </row>
        <row r="513">
          <cell r="B513" t="str">
            <v>MAY 2016</v>
          </cell>
          <cell r="C513" t="str">
            <v>LGUM_203</v>
          </cell>
          <cell r="E513" t="str">
            <v>RLS</v>
          </cell>
          <cell r="F513">
            <v>38892.71</v>
          </cell>
        </row>
        <row r="514">
          <cell r="B514" t="str">
            <v>MAY 2016</v>
          </cell>
          <cell r="C514" t="str">
            <v>LGUM_204</v>
          </cell>
          <cell r="E514" t="str">
            <v>RLS</v>
          </cell>
          <cell r="F514">
            <v>48911.28</v>
          </cell>
        </row>
        <row r="515">
          <cell r="B515" t="str">
            <v>MAY 2016</v>
          </cell>
          <cell r="C515" t="str">
            <v>LGUM_206</v>
          </cell>
          <cell r="E515" t="str">
            <v>RLS</v>
          </cell>
          <cell r="F515">
            <v>976.39</v>
          </cell>
        </row>
        <row r="516">
          <cell r="B516" t="str">
            <v>MAY 2016</v>
          </cell>
          <cell r="C516" t="str">
            <v>LGUM_207</v>
          </cell>
          <cell r="E516" t="str">
            <v>RLS</v>
          </cell>
          <cell r="F516">
            <v>11543.01</v>
          </cell>
        </row>
        <row r="517">
          <cell r="B517" t="str">
            <v>MAY 2016</v>
          </cell>
          <cell r="C517" t="str">
            <v>LGUM_208</v>
          </cell>
          <cell r="E517" t="str">
            <v>RLS</v>
          </cell>
          <cell r="F517">
            <v>20560.68</v>
          </cell>
        </row>
        <row r="518">
          <cell r="B518" t="str">
            <v>MAY 2016</v>
          </cell>
          <cell r="C518" t="str">
            <v>LGUM_209</v>
          </cell>
          <cell r="E518" t="str">
            <v>RLS</v>
          </cell>
          <cell r="F518">
            <v>906.57</v>
          </cell>
        </row>
        <row r="519">
          <cell r="B519" t="str">
            <v>MAY 2016</v>
          </cell>
          <cell r="C519" t="str">
            <v>LGUM_210</v>
          </cell>
          <cell r="E519" t="str">
            <v>RLS</v>
          </cell>
          <cell r="F519">
            <v>10641.05</v>
          </cell>
        </row>
        <row r="520">
          <cell r="B520" t="str">
            <v>MAY 2016</v>
          </cell>
          <cell r="C520" t="str">
            <v>LGUM_252</v>
          </cell>
          <cell r="E520" t="str">
            <v>RLS</v>
          </cell>
          <cell r="F520">
            <v>39696.65</v>
          </cell>
        </row>
        <row r="521">
          <cell r="B521" t="str">
            <v>MAY 2016</v>
          </cell>
          <cell r="C521" t="str">
            <v>LGUM_266</v>
          </cell>
          <cell r="E521" t="str">
            <v>RLS</v>
          </cell>
          <cell r="F521">
            <v>60930.12</v>
          </cell>
        </row>
        <row r="522">
          <cell r="B522" t="str">
            <v>MAY 2016</v>
          </cell>
          <cell r="C522" t="str">
            <v>LGUM_267</v>
          </cell>
          <cell r="E522" t="str">
            <v>RLS</v>
          </cell>
          <cell r="F522">
            <v>76619.19</v>
          </cell>
        </row>
        <row r="523">
          <cell r="B523" t="str">
            <v>MAY 2016</v>
          </cell>
          <cell r="C523" t="str">
            <v>LGUM_274</v>
          </cell>
          <cell r="E523" t="str">
            <v>RLS</v>
          </cell>
          <cell r="F523">
            <v>322018.7</v>
          </cell>
        </row>
        <row r="524">
          <cell r="B524" t="str">
            <v>MAY 2016</v>
          </cell>
          <cell r="C524" t="str">
            <v>LGUM_275</v>
          </cell>
          <cell r="E524" t="str">
            <v>RLS</v>
          </cell>
          <cell r="F524">
            <v>13131.42</v>
          </cell>
        </row>
        <row r="525">
          <cell r="B525" t="str">
            <v>MAY 2016</v>
          </cell>
          <cell r="C525" t="str">
            <v>LGUM_276</v>
          </cell>
          <cell r="E525" t="str">
            <v>RLS</v>
          </cell>
          <cell r="F525">
            <v>21669.279999999999</v>
          </cell>
        </row>
        <row r="526">
          <cell r="B526" t="str">
            <v>MAY 2016</v>
          </cell>
          <cell r="C526" t="str">
            <v>LGUM_277</v>
          </cell>
          <cell r="E526" t="str">
            <v>RLS</v>
          </cell>
          <cell r="F526">
            <v>56027.35</v>
          </cell>
        </row>
        <row r="527">
          <cell r="B527" t="str">
            <v>MAY 2016</v>
          </cell>
          <cell r="C527" t="str">
            <v>LGUM_278</v>
          </cell>
          <cell r="E527" t="str">
            <v>RLS</v>
          </cell>
          <cell r="F527">
            <v>944.78</v>
          </cell>
        </row>
        <row r="528">
          <cell r="B528" t="str">
            <v>MAY 2016</v>
          </cell>
          <cell r="C528" t="str">
            <v>LGUM_279</v>
          </cell>
          <cell r="E528" t="str">
            <v>RLS</v>
          </cell>
          <cell r="F528">
            <v>369.84</v>
          </cell>
        </row>
        <row r="529">
          <cell r="B529" t="str">
            <v>MAY 2016</v>
          </cell>
          <cell r="C529" t="str">
            <v>LGUM_280</v>
          </cell>
          <cell r="E529" t="str">
            <v>RLS</v>
          </cell>
          <cell r="F529">
            <v>1744.01</v>
          </cell>
        </row>
        <row r="530">
          <cell r="B530" t="str">
            <v>MAY 2016</v>
          </cell>
          <cell r="C530" t="str">
            <v>LGUM_281</v>
          </cell>
          <cell r="E530" t="str">
            <v>RLS</v>
          </cell>
          <cell r="F530">
            <v>9396.6200000000008</v>
          </cell>
        </row>
        <row r="531">
          <cell r="B531" t="str">
            <v>MAY 2016</v>
          </cell>
          <cell r="C531" t="str">
            <v>LGUM_282</v>
          </cell>
          <cell r="E531" t="str">
            <v>RLS</v>
          </cell>
          <cell r="F531">
            <v>3299.91</v>
          </cell>
        </row>
        <row r="532">
          <cell r="B532" t="str">
            <v>MAY 2016</v>
          </cell>
          <cell r="C532" t="str">
            <v>LGUM_283</v>
          </cell>
          <cell r="E532" t="str">
            <v>RLS</v>
          </cell>
          <cell r="F532">
            <v>3614.32</v>
          </cell>
        </row>
        <row r="533">
          <cell r="B533" t="str">
            <v>MAY 2016</v>
          </cell>
          <cell r="C533" t="str">
            <v>LGUM_314</v>
          </cell>
          <cell r="E533" t="str">
            <v>RLS</v>
          </cell>
          <cell r="F533">
            <v>9306.56</v>
          </cell>
        </row>
        <row r="534">
          <cell r="B534" t="str">
            <v>MAY 2016</v>
          </cell>
          <cell r="C534" t="str">
            <v>LGUM_315</v>
          </cell>
          <cell r="E534" t="str">
            <v>RLS</v>
          </cell>
          <cell r="F534">
            <v>11154.51</v>
          </cell>
        </row>
        <row r="535">
          <cell r="B535" t="str">
            <v>MAY 2016</v>
          </cell>
          <cell r="C535" t="str">
            <v>LGUM_318</v>
          </cell>
          <cell r="E535" t="str">
            <v>RLS</v>
          </cell>
          <cell r="F535">
            <v>899.3</v>
          </cell>
        </row>
        <row r="536">
          <cell r="B536" t="str">
            <v>MAY 2016</v>
          </cell>
          <cell r="C536" t="str">
            <v>LGUM_348</v>
          </cell>
          <cell r="E536" t="str">
            <v>RLS</v>
          </cell>
          <cell r="F536">
            <v>558.79999999999995</v>
          </cell>
        </row>
        <row r="537">
          <cell r="B537" t="str">
            <v>MAY 2016</v>
          </cell>
          <cell r="C537" t="str">
            <v>LGUM_349</v>
          </cell>
          <cell r="E537" t="str">
            <v>RLS</v>
          </cell>
          <cell r="F537">
            <v>168.62</v>
          </cell>
        </row>
        <row r="538">
          <cell r="B538" t="str">
            <v>MAY 2016</v>
          </cell>
          <cell r="C538" t="str">
            <v>LGUM_400</v>
          </cell>
          <cell r="E538" t="str">
            <v xml:space="preserve">LS </v>
          </cell>
          <cell r="F538">
            <v>1635.67</v>
          </cell>
        </row>
        <row r="539">
          <cell r="B539" t="str">
            <v>MAY 2016</v>
          </cell>
          <cell r="C539" t="str">
            <v>LGUM_401</v>
          </cell>
          <cell r="E539" t="str">
            <v xml:space="preserve">LS </v>
          </cell>
          <cell r="F539">
            <v>647.48</v>
          </cell>
        </row>
        <row r="540">
          <cell r="B540" t="str">
            <v>MAY 2016</v>
          </cell>
          <cell r="C540" t="str">
            <v>LGUM_412</v>
          </cell>
          <cell r="E540" t="str">
            <v xml:space="preserve">LS </v>
          </cell>
          <cell r="F540">
            <v>4819.3</v>
          </cell>
        </row>
        <row r="541">
          <cell r="B541" t="str">
            <v>MAY 2016</v>
          </cell>
          <cell r="C541" t="str">
            <v>LGUM_413</v>
          </cell>
          <cell r="E541" t="str">
            <v xml:space="preserve">LS </v>
          </cell>
          <cell r="F541">
            <v>59451.33</v>
          </cell>
        </row>
        <row r="542">
          <cell r="B542" t="str">
            <v>MAY 2016</v>
          </cell>
          <cell r="C542" t="str">
            <v>LGUM_415</v>
          </cell>
          <cell r="E542" t="str">
            <v xml:space="preserve">LS </v>
          </cell>
          <cell r="F542">
            <v>1037.74</v>
          </cell>
        </row>
        <row r="543">
          <cell r="B543" t="str">
            <v>MAY 2016</v>
          </cell>
          <cell r="C543" t="str">
            <v>LGUM_416</v>
          </cell>
          <cell r="E543" t="str">
            <v xml:space="preserve">LS </v>
          </cell>
          <cell r="F543">
            <v>49360.34</v>
          </cell>
        </row>
        <row r="544">
          <cell r="B544" t="str">
            <v>MAY 2016</v>
          </cell>
          <cell r="C544" t="str">
            <v>LGUM_417</v>
          </cell>
          <cell r="E544" t="str">
            <v>RLS</v>
          </cell>
          <cell r="F544">
            <v>1261.83</v>
          </cell>
        </row>
        <row r="545">
          <cell r="B545" t="str">
            <v>MAY 2016</v>
          </cell>
          <cell r="C545" t="str">
            <v>LGUM_419</v>
          </cell>
          <cell r="E545" t="str">
            <v>RLS</v>
          </cell>
          <cell r="F545">
            <v>3250.31</v>
          </cell>
        </row>
        <row r="546">
          <cell r="B546" t="str">
            <v>MAY 2016</v>
          </cell>
          <cell r="C546" t="str">
            <v>LGUM_420</v>
          </cell>
          <cell r="E546" t="str">
            <v xml:space="preserve">LS </v>
          </cell>
          <cell r="F546">
            <v>1990.49</v>
          </cell>
        </row>
        <row r="547">
          <cell r="B547" t="str">
            <v>MAY 2016</v>
          </cell>
          <cell r="C547" t="str">
            <v>LGUM_421</v>
          </cell>
          <cell r="E547" t="str">
            <v xml:space="preserve">LS </v>
          </cell>
          <cell r="F547">
            <v>7576.53</v>
          </cell>
        </row>
        <row r="548">
          <cell r="B548" t="str">
            <v>MAY 2016</v>
          </cell>
          <cell r="C548" t="str">
            <v>LGUM_422</v>
          </cell>
          <cell r="E548" t="str">
            <v xml:space="preserve">LS </v>
          </cell>
          <cell r="F548">
            <v>18170.91</v>
          </cell>
        </row>
        <row r="549">
          <cell r="B549" t="str">
            <v>MAY 2016</v>
          </cell>
          <cell r="C549" t="str">
            <v>LGUM_423</v>
          </cell>
          <cell r="E549" t="str">
            <v xml:space="preserve">LS </v>
          </cell>
          <cell r="F549">
            <v>596.04999999999995</v>
          </cell>
        </row>
        <row r="550">
          <cell r="B550" t="str">
            <v>MAY 2016</v>
          </cell>
          <cell r="C550" t="str">
            <v>LGUM_424</v>
          </cell>
          <cell r="E550" t="str">
            <v xml:space="preserve">LS </v>
          </cell>
          <cell r="F550">
            <v>18833.91</v>
          </cell>
        </row>
        <row r="551">
          <cell r="B551" t="str">
            <v>MAY 2016</v>
          </cell>
          <cell r="C551" t="str">
            <v>LGUM_425</v>
          </cell>
          <cell r="E551" t="str">
            <v xml:space="preserve">LS </v>
          </cell>
          <cell r="F551">
            <v>1169.21</v>
          </cell>
        </row>
        <row r="552">
          <cell r="B552" t="str">
            <v>MAY 2016</v>
          </cell>
          <cell r="C552" t="str">
            <v>LGUM_426</v>
          </cell>
          <cell r="E552" t="str">
            <v>RLS</v>
          </cell>
          <cell r="F552">
            <v>1213.8499999999999</v>
          </cell>
        </row>
        <row r="553">
          <cell r="B553" t="str">
            <v>MAY 2016</v>
          </cell>
          <cell r="C553" t="str">
            <v>LGUM_427</v>
          </cell>
          <cell r="E553" t="str">
            <v xml:space="preserve">LS </v>
          </cell>
          <cell r="F553">
            <v>2096.3200000000002</v>
          </cell>
        </row>
        <row r="554">
          <cell r="B554" t="str">
            <v>MAY 2016</v>
          </cell>
          <cell r="C554" t="str">
            <v>LGUM_428</v>
          </cell>
          <cell r="E554" t="str">
            <v>RLS</v>
          </cell>
          <cell r="F554">
            <v>11175.69</v>
          </cell>
        </row>
        <row r="555">
          <cell r="B555" t="str">
            <v>MAY 2016</v>
          </cell>
          <cell r="C555" t="str">
            <v>LGUM_429</v>
          </cell>
          <cell r="E555" t="str">
            <v xml:space="preserve">LS </v>
          </cell>
          <cell r="F555">
            <v>10842.97</v>
          </cell>
        </row>
        <row r="556">
          <cell r="B556" t="str">
            <v>MAY 2016</v>
          </cell>
          <cell r="C556" t="str">
            <v>LGUM_430</v>
          </cell>
          <cell r="E556" t="str">
            <v>RLS</v>
          </cell>
          <cell r="F556">
            <v>451.13</v>
          </cell>
        </row>
        <row r="557">
          <cell r="B557" t="str">
            <v>MAY 2016</v>
          </cell>
          <cell r="C557" t="str">
            <v>LGUM_431</v>
          </cell>
          <cell r="E557" t="str">
            <v xml:space="preserve">LS </v>
          </cell>
          <cell r="F557">
            <v>2001.94</v>
          </cell>
        </row>
        <row r="558">
          <cell r="B558" t="str">
            <v>MAY 2016</v>
          </cell>
          <cell r="C558" t="str">
            <v>LGUM_432</v>
          </cell>
          <cell r="E558" t="str">
            <v>RLS</v>
          </cell>
          <cell r="F558">
            <v>372.38</v>
          </cell>
        </row>
        <row r="559">
          <cell r="B559" t="str">
            <v>MAY 2016</v>
          </cell>
          <cell r="C559" t="str">
            <v>LGUM_433</v>
          </cell>
          <cell r="E559" t="str">
            <v xml:space="preserve">LS </v>
          </cell>
          <cell r="F559">
            <v>9924.82</v>
          </cell>
        </row>
        <row r="560">
          <cell r="B560" t="str">
            <v>MAY 2016</v>
          </cell>
          <cell r="C560" t="str">
            <v>LGUM_440</v>
          </cell>
          <cell r="E560" t="str">
            <v xml:space="preserve">LS </v>
          </cell>
          <cell r="F560">
            <v>460.12</v>
          </cell>
        </row>
        <row r="561">
          <cell r="B561" t="str">
            <v>MAY 2016</v>
          </cell>
          <cell r="C561" t="str">
            <v>LGUM_441</v>
          </cell>
          <cell r="E561" t="str">
            <v xml:space="preserve">LS </v>
          </cell>
          <cell r="F561">
            <v>1260.49</v>
          </cell>
        </row>
        <row r="562">
          <cell r="B562" t="str">
            <v>MAY 2016</v>
          </cell>
          <cell r="C562" t="str">
            <v>LGUM_444</v>
          </cell>
          <cell r="E562" t="str">
            <v xml:space="preserve">LS </v>
          </cell>
          <cell r="F562">
            <v>215.75</v>
          </cell>
        </row>
        <row r="563">
          <cell r="B563" t="str">
            <v>MAY 2016</v>
          </cell>
          <cell r="C563" t="str">
            <v>LGUM_445</v>
          </cell>
          <cell r="E563" t="str">
            <v xml:space="preserve">LS </v>
          </cell>
          <cell r="F563">
            <v>465.99</v>
          </cell>
        </row>
        <row r="564">
          <cell r="B564" t="str">
            <v>MAY 2016</v>
          </cell>
          <cell r="C564" t="str">
            <v>LGUM_452</v>
          </cell>
          <cell r="E564" t="str">
            <v xml:space="preserve">LS </v>
          </cell>
          <cell r="F564">
            <v>98733.02</v>
          </cell>
        </row>
        <row r="565">
          <cell r="B565" t="str">
            <v>MAY 2016</v>
          </cell>
          <cell r="C565" t="str">
            <v>LGUM_453</v>
          </cell>
          <cell r="E565" t="str">
            <v xml:space="preserve">LS </v>
          </cell>
          <cell r="F565">
            <v>174670.77</v>
          </cell>
        </row>
        <row r="566">
          <cell r="B566" t="str">
            <v>MAY 2016</v>
          </cell>
          <cell r="C566" t="str">
            <v>LGUM_454</v>
          </cell>
          <cell r="E566" t="str">
            <v xml:space="preserve">LS </v>
          </cell>
          <cell r="F566">
            <v>108370.64</v>
          </cell>
        </row>
        <row r="567">
          <cell r="B567" t="str">
            <v>MAY 2016</v>
          </cell>
          <cell r="C567" t="str">
            <v>LGUM_455</v>
          </cell>
          <cell r="E567" t="str">
            <v xml:space="preserve">LS </v>
          </cell>
          <cell r="F567">
            <v>6449.86</v>
          </cell>
        </row>
        <row r="568">
          <cell r="B568" t="str">
            <v>MAY 2016</v>
          </cell>
          <cell r="C568" t="str">
            <v>LGUM_456</v>
          </cell>
          <cell r="E568" t="str">
            <v xml:space="preserve">LS </v>
          </cell>
          <cell r="F568">
            <v>264686</v>
          </cell>
        </row>
        <row r="569">
          <cell r="B569" t="str">
            <v>MAY 2016</v>
          </cell>
          <cell r="C569" t="str">
            <v>LGUM_457</v>
          </cell>
          <cell r="E569" t="str">
            <v xml:space="preserve">LS </v>
          </cell>
          <cell r="F569">
            <v>46028.59</v>
          </cell>
        </row>
        <row r="570">
          <cell r="B570" t="str">
            <v>MAY 2016</v>
          </cell>
          <cell r="C570" t="str">
            <v>LGUM_470</v>
          </cell>
          <cell r="E570" t="str">
            <v xml:space="preserve">LS </v>
          </cell>
          <cell r="F570">
            <v>662.99</v>
          </cell>
        </row>
        <row r="571">
          <cell r="B571" t="str">
            <v>MAY 2016</v>
          </cell>
          <cell r="C571" t="str">
            <v>LGUM_471</v>
          </cell>
          <cell r="E571" t="str">
            <v>RLS</v>
          </cell>
          <cell r="F571">
            <v>133.47999999999999</v>
          </cell>
        </row>
        <row r="572">
          <cell r="B572" t="str">
            <v>MAY 2016</v>
          </cell>
          <cell r="C572" t="str">
            <v>LGUM_473</v>
          </cell>
          <cell r="E572" t="str">
            <v xml:space="preserve">LS </v>
          </cell>
          <cell r="F572">
            <v>15372.11</v>
          </cell>
        </row>
        <row r="573">
          <cell r="B573" t="str">
            <v>MAY 2016</v>
          </cell>
          <cell r="C573" t="str">
            <v>LGUM_474</v>
          </cell>
          <cell r="E573" t="str">
            <v>RLS</v>
          </cell>
          <cell r="F573">
            <v>1120.0899999999999</v>
          </cell>
        </row>
        <row r="574">
          <cell r="B574" t="str">
            <v>MAY 2016</v>
          </cell>
          <cell r="C574" t="str">
            <v>LGUM_475</v>
          </cell>
          <cell r="E574" t="str">
            <v>RLS</v>
          </cell>
          <cell r="F574">
            <v>61.32</v>
          </cell>
        </row>
        <row r="575">
          <cell r="B575" t="str">
            <v>MAY 2016</v>
          </cell>
          <cell r="C575" t="str">
            <v>LGUM_476</v>
          </cell>
          <cell r="E575" t="str">
            <v xml:space="preserve">LS </v>
          </cell>
          <cell r="F575">
            <v>24415.61</v>
          </cell>
        </row>
        <row r="576">
          <cell r="B576" t="str">
            <v>MAY 2016</v>
          </cell>
          <cell r="C576" t="str">
            <v>LGUM_477</v>
          </cell>
          <cell r="E576" t="str">
            <v>RLS</v>
          </cell>
          <cell r="F576">
            <v>2818.78</v>
          </cell>
        </row>
        <row r="577">
          <cell r="B577" t="str">
            <v>MAY 2016</v>
          </cell>
          <cell r="C577" t="str">
            <v>LGUM_480</v>
          </cell>
          <cell r="E577" t="str">
            <v xml:space="preserve">LS </v>
          </cell>
          <cell r="F577">
            <v>516.44000000000005</v>
          </cell>
        </row>
        <row r="578">
          <cell r="B578" t="str">
            <v>MAY 2016</v>
          </cell>
          <cell r="C578" t="str">
            <v>LGUM_481</v>
          </cell>
          <cell r="E578" t="str">
            <v xml:space="preserve">LS </v>
          </cell>
          <cell r="F578">
            <v>134.13999999999999</v>
          </cell>
        </row>
        <row r="579">
          <cell r="B579" t="str">
            <v>MAY 2016</v>
          </cell>
          <cell r="C579" t="str">
            <v>LGUM_482</v>
          </cell>
          <cell r="E579" t="str">
            <v xml:space="preserve">LS </v>
          </cell>
          <cell r="F579">
            <v>3189.41</v>
          </cell>
        </row>
        <row r="580">
          <cell r="B580" t="str">
            <v>MAY 2016</v>
          </cell>
          <cell r="C580" t="str">
            <v>LGUM_483</v>
          </cell>
          <cell r="E580" t="str">
            <v xml:space="preserve">LS </v>
          </cell>
          <cell r="F580">
            <v>230.83</v>
          </cell>
        </row>
        <row r="581">
          <cell r="B581" t="str">
            <v>MAY 2016</v>
          </cell>
          <cell r="C581" t="str">
            <v>LGUM_484</v>
          </cell>
          <cell r="E581" t="str">
            <v xml:space="preserve">LS </v>
          </cell>
          <cell r="F581">
            <v>3720.16</v>
          </cell>
        </row>
        <row r="582">
          <cell r="B582" t="str">
            <v>JUN 2016</v>
          </cell>
          <cell r="C582" t="str">
            <v>LEUM_825</v>
          </cell>
          <cell r="E582" t="str">
            <v>EF</v>
          </cell>
          <cell r="F582">
            <v>48365.64</v>
          </cell>
        </row>
        <row r="583">
          <cell r="B583" t="str">
            <v>JUN 2016</v>
          </cell>
          <cell r="C583" t="str">
            <v>LEUM_826</v>
          </cell>
          <cell r="E583" t="str">
            <v>EF</v>
          </cell>
          <cell r="F583">
            <v>872.16</v>
          </cell>
        </row>
        <row r="584">
          <cell r="B584" t="str">
            <v>JUN 2016</v>
          </cell>
          <cell r="C584" t="str">
            <v>LEUM_828</v>
          </cell>
          <cell r="E584" t="str">
            <v>EF</v>
          </cell>
          <cell r="F584">
            <v>2810.46</v>
          </cell>
        </row>
        <row r="585">
          <cell r="B585" t="str">
            <v>JUN 2016</v>
          </cell>
          <cell r="C585" t="str">
            <v>LEUM_829</v>
          </cell>
          <cell r="E585" t="str">
            <v>EF</v>
          </cell>
          <cell r="F585">
            <v>5</v>
          </cell>
        </row>
        <row r="586">
          <cell r="B586" t="str">
            <v>JUN 2016</v>
          </cell>
          <cell r="C586" t="str">
            <v>LGCME000</v>
          </cell>
          <cell r="E586" t="str">
            <v>TS</v>
          </cell>
        </row>
        <row r="587">
          <cell r="B587" t="str">
            <v>JUN 2016</v>
          </cell>
          <cell r="C587" t="str">
            <v>LGCME451</v>
          </cell>
          <cell r="E587" t="str">
            <v>GSS</v>
          </cell>
          <cell r="F587">
            <v>862.02</v>
          </cell>
        </row>
        <row r="588">
          <cell r="B588" t="str">
            <v>JUN 2016</v>
          </cell>
          <cell r="C588" t="str">
            <v>LGCME551</v>
          </cell>
          <cell r="E588" t="str">
            <v>GSS</v>
          </cell>
          <cell r="F588">
            <v>-8361.86</v>
          </cell>
        </row>
        <row r="589">
          <cell r="B589" t="str">
            <v>JUN 2016</v>
          </cell>
          <cell r="C589" t="str">
            <v>LGCME551DS</v>
          </cell>
          <cell r="E589" t="str">
            <v>GSS</v>
          </cell>
          <cell r="F589">
            <v>4044078.17</v>
          </cell>
        </row>
        <row r="590">
          <cell r="B590" t="str">
            <v>JUN 2016</v>
          </cell>
          <cell r="C590" t="str">
            <v>LGCME551UM</v>
          </cell>
          <cell r="E590" t="str">
            <v>GSS</v>
          </cell>
          <cell r="F590">
            <v>4087.33</v>
          </cell>
        </row>
        <row r="591">
          <cell r="B591" t="str">
            <v>JUN 2016</v>
          </cell>
          <cell r="C591" t="str">
            <v>LGCME552</v>
          </cell>
          <cell r="E591" t="str">
            <v>GSS</v>
          </cell>
          <cell r="F591">
            <v>9759.75</v>
          </cell>
        </row>
        <row r="592">
          <cell r="B592" t="str">
            <v>JUN 2016</v>
          </cell>
          <cell r="C592" t="str">
            <v>LGCME557</v>
          </cell>
          <cell r="E592" t="str">
            <v>GSS</v>
          </cell>
          <cell r="F592">
            <v>1080.82</v>
          </cell>
        </row>
        <row r="593">
          <cell r="B593" t="str">
            <v>JUN 2016</v>
          </cell>
          <cell r="C593" t="str">
            <v>LGCME561</v>
          </cell>
          <cell r="E593" t="str">
            <v>PSS</v>
          </cell>
          <cell r="F593">
            <v>22287.75</v>
          </cell>
        </row>
        <row r="594">
          <cell r="B594" t="str">
            <v>JUN 2016</v>
          </cell>
          <cell r="C594" t="str">
            <v>LGCME561DS</v>
          </cell>
          <cell r="E594" t="str">
            <v>PSS</v>
          </cell>
          <cell r="F594">
            <v>11921640.289999999</v>
          </cell>
        </row>
        <row r="595">
          <cell r="B595" t="str">
            <v>JUN 2016</v>
          </cell>
          <cell r="C595" t="str">
            <v>LGCME561PF</v>
          </cell>
          <cell r="E595" t="str">
            <v>PSS</v>
          </cell>
          <cell r="F595">
            <v>1784680.55</v>
          </cell>
        </row>
        <row r="596">
          <cell r="B596" t="str">
            <v>JUN 2016</v>
          </cell>
          <cell r="C596" t="str">
            <v>LGCME563DS</v>
          </cell>
          <cell r="E596" t="str">
            <v>PSP</v>
          </cell>
          <cell r="F596">
            <v>657752.71</v>
          </cell>
        </row>
        <row r="597">
          <cell r="B597" t="str">
            <v>JUN 2016</v>
          </cell>
          <cell r="C597" t="str">
            <v>LGCME563PF</v>
          </cell>
          <cell r="E597" t="str">
            <v>PSP</v>
          </cell>
          <cell r="F597">
            <v>332661.40000000002</v>
          </cell>
        </row>
        <row r="598">
          <cell r="B598" t="str">
            <v>JUN 2016</v>
          </cell>
          <cell r="C598" t="str">
            <v>LGCME567</v>
          </cell>
          <cell r="E598" t="str">
            <v>PSS</v>
          </cell>
          <cell r="F598">
            <v>10998.26</v>
          </cell>
        </row>
        <row r="599">
          <cell r="B599" t="str">
            <v>JUN 2016</v>
          </cell>
          <cell r="C599" t="str">
            <v>LGCME567PF</v>
          </cell>
          <cell r="E599" t="str">
            <v>PSS</v>
          </cell>
          <cell r="F599">
            <v>9920.11</v>
          </cell>
        </row>
        <row r="600">
          <cell r="B600" t="str">
            <v>JUN 2016</v>
          </cell>
          <cell r="C600" t="str">
            <v>LGCME591</v>
          </cell>
          <cell r="E600" t="str">
            <v>TODS</v>
          </cell>
          <cell r="F600">
            <v>5614878.9500000002</v>
          </cell>
        </row>
        <row r="601">
          <cell r="B601" t="str">
            <v>JUN 2016</v>
          </cell>
          <cell r="C601" t="str">
            <v>LGCME593</v>
          </cell>
          <cell r="E601" t="str">
            <v>CTODP</v>
          </cell>
          <cell r="F601">
            <v>4025913.88</v>
          </cell>
        </row>
        <row r="602">
          <cell r="B602" t="str">
            <v>JUN 2016</v>
          </cell>
          <cell r="C602" t="str">
            <v>LGCME651</v>
          </cell>
          <cell r="E602" t="str">
            <v>GS3</v>
          </cell>
          <cell r="F602">
            <v>-62986.38</v>
          </cell>
        </row>
        <row r="603">
          <cell r="B603" t="str">
            <v>JUN 2016</v>
          </cell>
          <cell r="C603" t="str">
            <v>LGCME651DS</v>
          </cell>
          <cell r="E603" t="str">
            <v>GS3</v>
          </cell>
          <cell r="F603">
            <v>8818133.9100000001</v>
          </cell>
        </row>
        <row r="604">
          <cell r="B604" t="str">
            <v>JUN 2016</v>
          </cell>
          <cell r="C604" t="str">
            <v>LGCME652</v>
          </cell>
          <cell r="E604" t="str">
            <v>GS3</v>
          </cell>
          <cell r="F604">
            <v>158133.81</v>
          </cell>
        </row>
        <row r="605">
          <cell r="B605" t="str">
            <v>JUN 2016</v>
          </cell>
          <cell r="C605" t="str">
            <v>LGCME657</v>
          </cell>
          <cell r="E605" t="str">
            <v>GS3</v>
          </cell>
          <cell r="F605">
            <v>20480.3</v>
          </cell>
        </row>
        <row r="606">
          <cell r="B606" t="str">
            <v>JUN 2016</v>
          </cell>
          <cell r="C606" t="str">
            <v>LGCME671</v>
          </cell>
          <cell r="E606" t="str">
            <v>LWC</v>
          </cell>
          <cell r="F606">
            <v>288108.28000000003</v>
          </cell>
        </row>
        <row r="607">
          <cell r="B607" t="str">
            <v>JUN 2016</v>
          </cell>
          <cell r="C607" t="str">
            <v>LGCSR790</v>
          </cell>
          <cell r="E607" t="str">
            <v>CSR</v>
          </cell>
          <cell r="F607">
            <v>-330704.7</v>
          </cell>
        </row>
        <row r="608">
          <cell r="B608" t="str">
            <v>JUN 2016</v>
          </cell>
          <cell r="C608" t="str">
            <v>LGINE551DS</v>
          </cell>
          <cell r="E608" t="str">
            <v>GSS</v>
          </cell>
          <cell r="F608">
            <v>17808.41</v>
          </cell>
        </row>
        <row r="609">
          <cell r="B609" t="str">
            <v>JUN 2016</v>
          </cell>
          <cell r="C609" t="str">
            <v>LGINE599</v>
          </cell>
          <cell r="E609" t="str">
            <v>FK</v>
          </cell>
          <cell r="F609">
            <v>506316.48</v>
          </cell>
        </row>
        <row r="610">
          <cell r="B610" t="str">
            <v>JUN 2016</v>
          </cell>
          <cell r="C610" t="str">
            <v>LGINE643</v>
          </cell>
          <cell r="E610" t="str">
            <v>RTS</v>
          </cell>
          <cell r="F610">
            <v>5444993.8499999996</v>
          </cell>
        </row>
        <row r="611">
          <cell r="B611" t="str">
            <v>JUN 2016</v>
          </cell>
          <cell r="C611" t="str">
            <v>LGINE651DS</v>
          </cell>
          <cell r="E611" t="str">
            <v>GS3</v>
          </cell>
          <cell r="F611">
            <v>318116.71000000002</v>
          </cell>
        </row>
        <row r="612">
          <cell r="B612" t="str">
            <v>JUN 2016</v>
          </cell>
          <cell r="C612" t="str">
            <v>LGINE661</v>
          </cell>
          <cell r="E612" t="str">
            <v>PSS</v>
          </cell>
          <cell r="F612">
            <v>1678.18</v>
          </cell>
        </row>
        <row r="613">
          <cell r="B613" t="str">
            <v>JUN 2016</v>
          </cell>
          <cell r="C613" t="str">
            <v>LGINE661DS</v>
          </cell>
          <cell r="E613" t="str">
            <v>PSS</v>
          </cell>
          <cell r="F613">
            <v>168740.39</v>
          </cell>
        </row>
        <row r="614">
          <cell r="B614" t="str">
            <v>JUN 2016</v>
          </cell>
          <cell r="C614" t="str">
            <v>LGINE661PD</v>
          </cell>
          <cell r="E614" t="str">
            <v>PSS</v>
          </cell>
          <cell r="F614">
            <v>1602567.58</v>
          </cell>
        </row>
        <row r="615">
          <cell r="B615" t="str">
            <v>JUN 2016</v>
          </cell>
          <cell r="C615" t="str">
            <v>LGINE663PD</v>
          </cell>
          <cell r="E615" t="str">
            <v>PSP</v>
          </cell>
          <cell r="F615">
            <v>50045.26</v>
          </cell>
        </row>
        <row r="616">
          <cell r="B616" t="str">
            <v>JUN 2016</v>
          </cell>
          <cell r="C616" t="str">
            <v>LGINE691</v>
          </cell>
          <cell r="E616" t="str">
            <v>ITODS</v>
          </cell>
          <cell r="F616">
            <v>1973212.39</v>
          </cell>
        </row>
        <row r="617">
          <cell r="B617" t="str">
            <v>JUN 2016</v>
          </cell>
          <cell r="C617" t="str">
            <v>LGINE693</v>
          </cell>
          <cell r="E617" t="str">
            <v>ITODP</v>
          </cell>
          <cell r="F617">
            <v>6028518.2599999998</v>
          </cell>
        </row>
        <row r="618">
          <cell r="B618" t="str">
            <v>JUN 2016</v>
          </cell>
          <cell r="C618" t="str">
            <v>LGMLE570</v>
          </cell>
          <cell r="E618" t="str">
            <v>LE</v>
          </cell>
          <cell r="F618">
            <v>13.56</v>
          </cell>
        </row>
        <row r="619">
          <cell r="B619" t="str">
            <v>JUN 2016</v>
          </cell>
          <cell r="C619" t="str">
            <v>LGMLE571</v>
          </cell>
          <cell r="E619" t="str">
            <v>LE</v>
          </cell>
          <cell r="F619">
            <v>11204.04</v>
          </cell>
        </row>
        <row r="620">
          <cell r="B620" t="str">
            <v>JUN 2016</v>
          </cell>
          <cell r="C620" t="str">
            <v>LGMLE572</v>
          </cell>
          <cell r="E620" t="str">
            <v>LE</v>
          </cell>
          <cell r="F620">
            <v>5247.27</v>
          </cell>
        </row>
        <row r="621">
          <cell r="B621" t="str">
            <v>JUN 2016</v>
          </cell>
          <cell r="C621" t="str">
            <v>LGMLE573</v>
          </cell>
          <cell r="E621" t="str">
            <v>TE</v>
          </cell>
          <cell r="F621">
            <v>19212.37</v>
          </cell>
        </row>
        <row r="622">
          <cell r="B622" t="str">
            <v>JUN 2016</v>
          </cell>
          <cell r="C622" t="str">
            <v>LGMLE574</v>
          </cell>
          <cell r="E622" t="str">
            <v>TE</v>
          </cell>
          <cell r="F622">
            <v>5988.3</v>
          </cell>
        </row>
        <row r="623">
          <cell r="B623" t="str">
            <v>JUN 2016</v>
          </cell>
          <cell r="C623" t="str">
            <v>LGRSE000</v>
          </cell>
          <cell r="E623" t="str">
            <v>TS</v>
          </cell>
        </row>
        <row r="624">
          <cell r="B624" t="str">
            <v>JUN 2016</v>
          </cell>
          <cell r="C624" t="str">
            <v>LGRSE411</v>
          </cell>
          <cell r="E624" t="str">
            <v>RS</v>
          </cell>
          <cell r="F624">
            <v>60202.29</v>
          </cell>
        </row>
        <row r="625">
          <cell r="B625" t="str">
            <v>JUN 2016</v>
          </cell>
          <cell r="C625" t="str">
            <v>LGRSE511</v>
          </cell>
          <cell r="E625" t="str">
            <v>RS</v>
          </cell>
          <cell r="F625">
            <v>38717503.469999999</v>
          </cell>
        </row>
        <row r="626">
          <cell r="B626" t="str">
            <v>JUN 2016</v>
          </cell>
          <cell r="C626" t="str">
            <v>LGRSE519</v>
          </cell>
          <cell r="E626" t="str">
            <v>RS</v>
          </cell>
          <cell r="F626">
            <v>15438.91</v>
          </cell>
        </row>
        <row r="627">
          <cell r="B627" t="str">
            <v>JUN 2016</v>
          </cell>
          <cell r="C627" t="str">
            <v>LGRSE521</v>
          </cell>
          <cell r="E627" t="str">
            <v>RTODE</v>
          </cell>
          <cell r="F627">
            <v>3885.78</v>
          </cell>
        </row>
        <row r="628">
          <cell r="B628" t="str">
            <v>JUN 2016</v>
          </cell>
          <cell r="C628" t="str">
            <v>LGRSE540</v>
          </cell>
          <cell r="E628" t="str">
            <v>VFD</v>
          </cell>
          <cell r="F628">
            <v>3136.58</v>
          </cell>
        </row>
        <row r="629">
          <cell r="B629" t="str">
            <v>JUN 2016</v>
          </cell>
          <cell r="C629" t="str">
            <v>LGUM_000</v>
          </cell>
          <cell r="E629" t="str">
            <v>TS</v>
          </cell>
        </row>
        <row r="630">
          <cell r="B630" t="str">
            <v>JUN 2016</v>
          </cell>
          <cell r="C630" t="str">
            <v>LGUM_201</v>
          </cell>
          <cell r="E630" t="str">
            <v>RLS</v>
          </cell>
          <cell r="F630">
            <v>674.12</v>
          </cell>
        </row>
        <row r="631">
          <cell r="B631" t="str">
            <v>JUN 2016</v>
          </cell>
          <cell r="C631" t="str">
            <v>LGUM_203</v>
          </cell>
          <cell r="E631" t="str">
            <v>RLS</v>
          </cell>
          <cell r="F631">
            <v>38537.08</v>
          </cell>
        </row>
        <row r="632">
          <cell r="B632" t="str">
            <v>JUN 2016</v>
          </cell>
          <cell r="C632" t="str">
            <v>LGUM_204</v>
          </cell>
          <cell r="E632" t="str">
            <v>RLS</v>
          </cell>
          <cell r="F632">
            <v>48399.82</v>
          </cell>
        </row>
        <row r="633">
          <cell r="B633" t="str">
            <v>JUN 2016</v>
          </cell>
          <cell r="C633" t="str">
            <v>LGUM_206</v>
          </cell>
          <cell r="E633" t="str">
            <v>RLS</v>
          </cell>
          <cell r="F633">
            <v>975.49</v>
          </cell>
        </row>
        <row r="634">
          <cell r="B634" t="str">
            <v>JUN 2016</v>
          </cell>
          <cell r="C634" t="str">
            <v>LGUM_207</v>
          </cell>
          <cell r="E634" t="str">
            <v>RLS</v>
          </cell>
          <cell r="F634">
            <v>11663.27</v>
          </cell>
        </row>
        <row r="635">
          <cell r="B635" t="str">
            <v>JUN 2016</v>
          </cell>
          <cell r="C635" t="str">
            <v>LGUM_208</v>
          </cell>
          <cell r="E635" t="str">
            <v>RLS</v>
          </cell>
          <cell r="F635">
            <v>20546.060000000001</v>
          </cell>
        </row>
        <row r="636">
          <cell r="B636" t="str">
            <v>JUN 2016</v>
          </cell>
          <cell r="C636" t="str">
            <v>LGUM_209</v>
          </cell>
          <cell r="E636" t="str">
            <v>RLS</v>
          </cell>
          <cell r="F636">
            <v>966.8</v>
          </cell>
        </row>
        <row r="637">
          <cell r="B637" t="str">
            <v>JUN 2016</v>
          </cell>
          <cell r="C637" t="str">
            <v>LGUM_210</v>
          </cell>
          <cell r="E637" t="str">
            <v>RLS</v>
          </cell>
          <cell r="F637">
            <v>9618.8700000000008</v>
          </cell>
        </row>
        <row r="638">
          <cell r="B638" t="str">
            <v>JUN 2016</v>
          </cell>
          <cell r="C638" t="str">
            <v>LGUM_252</v>
          </cell>
          <cell r="E638" t="str">
            <v>RLS</v>
          </cell>
          <cell r="F638">
            <v>39349.629999999997</v>
          </cell>
        </row>
        <row r="639">
          <cell r="B639" t="str">
            <v>JUN 2016</v>
          </cell>
          <cell r="C639" t="str">
            <v>LGUM_266</v>
          </cell>
          <cell r="E639" t="str">
            <v>RLS</v>
          </cell>
          <cell r="F639">
            <v>60748.65</v>
          </cell>
        </row>
        <row r="640">
          <cell r="B640" t="str">
            <v>JUN 2016</v>
          </cell>
          <cell r="C640" t="str">
            <v>LGUM_267</v>
          </cell>
          <cell r="E640" t="str">
            <v>RLS</v>
          </cell>
          <cell r="F640">
            <v>76601.55</v>
          </cell>
        </row>
        <row r="641">
          <cell r="B641" t="str">
            <v>JUN 2016</v>
          </cell>
          <cell r="C641" t="str">
            <v>LGUM_274</v>
          </cell>
          <cell r="E641" t="str">
            <v>RLS</v>
          </cell>
          <cell r="F641">
            <v>321877.53000000003</v>
          </cell>
        </row>
        <row r="642">
          <cell r="B642" t="str">
            <v>JUN 2016</v>
          </cell>
          <cell r="C642" t="str">
            <v>LGUM_275</v>
          </cell>
          <cell r="E642" t="str">
            <v>RLS</v>
          </cell>
          <cell r="F642">
            <v>12795.61</v>
          </cell>
        </row>
        <row r="643">
          <cell r="B643" t="str">
            <v>JUN 2016</v>
          </cell>
          <cell r="C643" t="str">
            <v>LGUM_276</v>
          </cell>
          <cell r="E643" t="str">
            <v>RLS</v>
          </cell>
          <cell r="F643">
            <v>21452.1</v>
          </cell>
        </row>
        <row r="644">
          <cell r="B644" t="str">
            <v>JUN 2016</v>
          </cell>
          <cell r="C644" t="str">
            <v>LGUM_277</v>
          </cell>
          <cell r="E644" t="str">
            <v>RLS</v>
          </cell>
          <cell r="F644">
            <v>55972.88</v>
          </cell>
        </row>
        <row r="645">
          <cell r="B645" t="str">
            <v>JUN 2016</v>
          </cell>
          <cell r="C645" t="str">
            <v>LGUM_278</v>
          </cell>
          <cell r="E645" t="str">
            <v>RLS</v>
          </cell>
          <cell r="F645">
            <v>796.38</v>
          </cell>
        </row>
        <row r="646">
          <cell r="B646" t="str">
            <v>JUN 2016</v>
          </cell>
          <cell r="C646" t="str">
            <v>LGUM_279</v>
          </cell>
          <cell r="E646" t="str">
            <v>RLS</v>
          </cell>
          <cell r="F646">
            <v>282.75</v>
          </cell>
        </row>
        <row r="647">
          <cell r="B647" t="str">
            <v>JUN 2016</v>
          </cell>
          <cell r="C647" t="str">
            <v>LGUM_280</v>
          </cell>
          <cell r="E647" t="str">
            <v>RLS</v>
          </cell>
          <cell r="F647">
            <v>1744.15</v>
          </cell>
        </row>
        <row r="648">
          <cell r="B648" t="str">
            <v>JUN 2016</v>
          </cell>
          <cell r="C648" t="str">
            <v>LGUM_281</v>
          </cell>
          <cell r="E648" t="str">
            <v>RLS</v>
          </cell>
          <cell r="F648">
            <v>9369.06</v>
          </cell>
        </row>
        <row r="649">
          <cell r="B649" t="str">
            <v>JUN 2016</v>
          </cell>
          <cell r="C649" t="str">
            <v>LGUM_282</v>
          </cell>
          <cell r="E649" t="str">
            <v>RLS</v>
          </cell>
          <cell r="F649">
            <v>3299.73</v>
          </cell>
        </row>
        <row r="650">
          <cell r="B650" t="str">
            <v>JUN 2016</v>
          </cell>
          <cell r="C650" t="str">
            <v>LGUM_283</v>
          </cell>
          <cell r="E650" t="str">
            <v>RLS</v>
          </cell>
          <cell r="F650">
            <v>3613.04</v>
          </cell>
        </row>
        <row r="651">
          <cell r="B651" t="str">
            <v>JUN 2016</v>
          </cell>
          <cell r="C651" t="str">
            <v>LGUM_314</v>
          </cell>
          <cell r="E651" t="str">
            <v>RLS</v>
          </cell>
          <cell r="F651">
            <v>9264.6299999999992</v>
          </cell>
        </row>
        <row r="652">
          <cell r="B652" t="str">
            <v>JUN 2016</v>
          </cell>
          <cell r="C652" t="str">
            <v>LGUM_315</v>
          </cell>
          <cell r="E652" t="str">
            <v>RLS</v>
          </cell>
          <cell r="F652">
            <v>11091.14</v>
          </cell>
        </row>
        <row r="653">
          <cell r="B653" t="str">
            <v>JUN 2016</v>
          </cell>
          <cell r="C653" t="str">
            <v>LGUM_318</v>
          </cell>
          <cell r="E653" t="str">
            <v>RLS</v>
          </cell>
          <cell r="F653">
            <v>897.5</v>
          </cell>
        </row>
        <row r="654">
          <cell r="B654" t="str">
            <v>JUN 2016</v>
          </cell>
          <cell r="C654" t="str">
            <v>LGUM_348</v>
          </cell>
          <cell r="E654" t="str">
            <v>RLS</v>
          </cell>
          <cell r="F654">
            <v>556.59</v>
          </cell>
        </row>
        <row r="655">
          <cell r="B655" t="str">
            <v>JUN 2016</v>
          </cell>
          <cell r="C655" t="str">
            <v>LGUM_349</v>
          </cell>
          <cell r="E655" t="str">
            <v>RLS</v>
          </cell>
          <cell r="F655">
            <v>168.33</v>
          </cell>
        </row>
        <row r="656">
          <cell r="B656" t="str">
            <v>JUN 2016</v>
          </cell>
          <cell r="C656" t="str">
            <v>LGUM_400</v>
          </cell>
          <cell r="E656" t="str">
            <v xml:space="preserve">LS </v>
          </cell>
          <cell r="F656">
            <v>1560.53</v>
          </cell>
        </row>
        <row r="657">
          <cell r="B657" t="str">
            <v>JUN 2016</v>
          </cell>
          <cell r="C657" t="str">
            <v>LGUM_401</v>
          </cell>
          <cell r="E657" t="str">
            <v xml:space="preserve">LS </v>
          </cell>
          <cell r="F657">
            <v>570.48</v>
          </cell>
        </row>
        <row r="658">
          <cell r="B658" t="str">
            <v>JUN 2016</v>
          </cell>
          <cell r="C658" t="str">
            <v>LGUM_412</v>
          </cell>
          <cell r="E658" t="str">
            <v xml:space="preserve">LS </v>
          </cell>
          <cell r="F658">
            <v>4766.41</v>
          </cell>
        </row>
        <row r="659">
          <cell r="B659" t="str">
            <v>JUN 2016</v>
          </cell>
          <cell r="C659" t="str">
            <v>LGUM_413</v>
          </cell>
          <cell r="E659" t="str">
            <v xml:space="preserve">LS </v>
          </cell>
          <cell r="F659">
            <v>59572.68</v>
          </cell>
        </row>
        <row r="660">
          <cell r="B660" t="str">
            <v>JUN 2016</v>
          </cell>
          <cell r="C660" t="str">
            <v>LGUM_415</v>
          </cell>
          <cell r="E660" t="str">
            <v xml:space="preserve">LS </v>
          </cell>
          <cell r="F660">
            <v>1037.5999999999999</v>
          </cell>
        </row>
        <row r="661">
          <cell r="B661" t="str">
            <v>JUN 2016</v>
          </cell>
          <cell r="C661" t="str">
            <v>LGUM_416</v>
          </cell>
          <cell r="E661" t="str">
            <v xml:space="preserve">LS </v>
          </cell>
          <cell r="F661">
            <v>49443.28</v>
          </cell>
        </row>
        <row r="662">
          <cell r="B662" t="str">
            <v>JUN 2016</v>
          </cell>
          <cell r="C662" t="str">
            <v>LGUM_417</v>
          </cell>
          <cell r="E662" t="str">
            <v>RLS</v>
          </cell>
          <cell r="F662">
            <v>1261.24</v>
          </cell>
        </row>
        <row r="663">
          <cell r="B663" t="str">
            <v>JUN 2016</v>
          </cell>
          <cell r="C663" t="str">
            <v>LGUM_419</v>
          </cell>
          <cell r="E663" t="str">
            <v>RLS</v>
          </cell>
          <cell r="F663">
            <v>3249.32</v>
          </cell>
        </row>
        <row r="664">
          <cell r="B664" t="str">
            <v>JUN 2016</v>
          </cell>
          <cell r="C664" t="str">
            <v>LGUM_420</v>
          </cell>
          <cell r="E664" t="str">
            <v xml:space="preserve">LS </v>
          </cell>
          <cell r="F664">
            <v>1987.84</v>
          </cell>
        </row>
        <row r="665">
          <cell r="B665" t="str">
            <v>JUN 2016</v>
          </cell>
          <cell r="C665" t="str">
            <v>LGUM_421</v>
          </cell>
          <cell r="E665" t="str">
            <v xml:space="preserve">LS </v>
          </cell>
          <cell r="F665">
            <v>7585.56</v>
          </cell>
        </row>
        <row r="666">
          <cell r="B666" t="str">
            <v>JUN 2016</v>
          </cell>
          <cell r="C666" t="str">
            <v>LGUM_422</v>
          </cell>
          <cell r="E666" t="str">
            <v xml:space="preserve">LS </v>
          </cell>
          <cell r="F666">
            <v>18148.98</v>
          </cell>
        </row>
        <row r="667">
          <cell r="B667" t="str">
            <v>JUN 2016</v>
          </cell>
          <cell r="C667" t="str">
            <v>LGUM_423</v>
          </cell>
          <cell r="E667" t="str">
            <v xml:space="preserve">LS </v>
          </cell>
          <cell r="F667">
            <v>595.63</v>
          </cell>
        </row>
        <row r="668">
          <cell r="B668" t="str">
            <v>JUN 2016</v>
          </cell>
          <cell r="C668" t="str">
            <v>LGUM_424</v>
          </cell>
          <cell r="E668" t="str">
            <v xml:space="preserve">LS </v>
          </cell>
          <cell r="F668">
            <v>18843.38</v>
          </cell>
        </row>
        <row r="669">
          <cell r="B669" t="str">
            <v>JUN 2016</v>
          </cell>
          <cell r="C669" t="str">
            <v>LGUM_425</v>
          </cell>
          <cell r="E669" t="str">
            <v xml:space="preserve">LS </v>
          </cell>
          <cell r="F669">
            <v>1165.48</v>
          </cell>
        </row>
        <row r="670">
          <cell r="B670" t="str">
            <v>JUN 2016</v>
          </cell>
          <cell r="C670" t="str">
            <v>LGUM_426</v>
          </cell>
          <cell r="E670" t="str">
            <v>RLS</v>
          </cell>
          <cell r="F670">
            <v>1214.01</v>
          </cell>
        </row>
        <row r="671">
          <cell r="B671" t="str">
            <v>JUN 2016</v>
          </cell>
          <cell r="C671" t="str">
            <v>LGUM_427</v>
          </cell>
          <cell r="E671" t="str">
            <v xml:space="preserve">LS </v>
          </cell>
          <cell r="F671">
            <v>2096.5300000000002</v>
          </cell>
        </row>
        <row r="672">
          <cell r="B672" t="str">
            <v>JUN 2016</v>
          </cell>
          <cell r="C672" t="str">
            <v>LGUM_428</v>
          </cell>
          <cell r="E672" t="str">
            <v>RLS</v>
          </cell>
          <cell r="F672">
            <v>11251.58</v>
          </cell>
        </row>
        <row r="673">
          <cell r="B673" t="str">
            <v>JUN 2016</v>
          </cell>
          <cell r="C673" t="str">
            <v>LGUM_429</v>
          </cell>
          <cell r="E673" t="str">
            <v xml:space="preserve">LS </v>
          </cell>
          <cell r="F673">
            <v>10825.67</v>
          </cell>
        </row>
        <row r="674">
          <cell r="B674" t="str">
            <v>JUN 2016</v>
          </cell>
          <cell r="C674" t="str">
            <v>LGUM_430</v>
          </cell>
          <cell r="E674" t="str">
            <v>RLS</v>
          </cell>
          <cell r="F674">
            <v>451.09</v>
          </cell>
        </row>
        <row r="675">
          <cell r="B675" t="str">
            <v>JUN 2016</v>
          </cell>
          <cell r="C675" t="str">
            <v>LGUM_431</v>
          </cell>
          <cell r="E675" t="str">
            <v xml:space="preserve">LS </v>
          </cell>
          <cell r="F675">
            <v>2002.11</v>
          </cell>
        </row>
        <row r="676">
          <cell r="B676" t="str">
            <v>JUN 2016</v>
          </cell>
          <cell r="C676" t="str">
            <v>LGUM_432</v>
          </cell>
          <cell r="E676" t="str">
            <v>RLS</v>
          </cell>
          <cell r="F676">
            <v>372.34</v>
          </cell>
        </row>
        <row r="677">
          <cell r="B677" t="str">
            <v>JUN 2016</v>
          </cell>
          <cell r="C677" t="str">
            <v>LGUM_433</v>
          </cell>
          <cell r="E677" t="str">
            <v xml:space="preserve">LS </v>
          </cell>
          <cell r="F677">
            <v>9921.34</v>
          </cell>
        </row>
        <row r="678">
          <cell r="B678" t="str">
            <v>JUN 2016</v>
          </cell>
          <cell r="C678" t="str">
            <v>LGUM_440</v>
          </cell>
          <cell r="E678" t="str">
            <v xml:space="preserve">LS </v>
          </cell>
          <cell r="F678">
            <v>459.45</v>
          </cell>
        </row>
        <row r="679">
          <cell r="B679" t="str">
            <v>JUN 2016</v>
          </cell>
          <cell r="C679" t="str">
            <v>LGUM_441</v>
          </cell>
          <cell r="E679" t="str">
            <v xml:space="preserve">LS </v>
          </cell>
          <cell r="F679">
            <v>1233.23</v>
          </cell>
        </row>
        <row r="680">
          <cell r="B680" t="str">
            <v>JUN 2016</v>
          </cell>
          <cell r="C680" t="str">
            <v>LGUM_444</v>
          </cell>
          <cell r="E680" t="str">
            <v xml:space="preserve">LS </v>
          </cell>
          <cell r="F680">
            <v>224.85</v>
          </cell>
        </row>
        <row r="681">
          <cell r="B681" t="str">
            <v>JUN 2016</v>
          </cell>
          <cell r="C681" t="str">
            <v>LGUM_445</v>
          </cell>
          <cell r="E681" t="str">
            <v xml:space="preserve">LS </v>
          </cell>
          <cell r="F681">
            <v>465.89</v>
          </cell>
        </row>
        <row r="682">
          <cell r="B682" t="str">
            <v>JUN 2016</v>
          </cell>
          <cell r="C682" t="str">
            <v>LGUM_452</v>
          </cell>
          <cell r="E682" t="str">
            <v xml:space="preserve">LS </v>
          </cell>
          <cell r="F682">
            <v>98572.86</v>
          </cell>
        </row>
        <row r="683">
          <cell r="B683" t="str">
            <v>JUN 2016</v>
          </cell>
          <cell r="C683" t="str">
            <v>LGUM_453</v>
          </cell>
          <cell r="E683" t="str">
            <v xml:space="preserve">LS </v>
          </cell>
          <cell r="F683">
            <v>174472.13</v>
          </cell>
        </row>
        <row r="684">
          <cell r="B684" t="str">
            <v>JUN 2016</v>
          </cell>
          <cell r="C684" t="str">
            <v>LGUM_454</v>
          </cell>
          <cell r="E684" t="str">
            <v xml:space="preserve">LS </v>
          </cell>
          <cell r="F684">
            <v>107726.17</v>
          </cell>
        </row>
        <row r="685">
          <cell r="B685" t="str">
            <v>JUN 2016</v>
          </cell>
          <cell r="C685" t="str">
            <v>LGUM_455</v>
          </cell>
          <cell r="E685" t="str">
            <v xml:space="preserve">LS </v>
          </cell>
          <cell r="F685">
            <v>6334.87</v>
          </cell>
        </row>
        <row r="686">
          <cell r="B686" t="str">
            <v>JUN 2016</v>
          </cell>
          <cell r="C686" t="str">
            <v>LGUM_456</v>
          </cell>
          <cell r="E686" t="str">
            <v xml:space="preserve">LS </v>
          </cell>
          <cell r="F686">
            <v>263743.53000000003</v>
          </cell>
        </row>
        <row r="687">
          <cell r="B687" t="str">
            <v>JUN 2016</v>
          </cell>
          <cell r="C687" t="str">
            <v>LGUM_457</v>
          </cell>
          <cell r="E687" t="str">
            <v xml:space="preserve">LS </v>
          </cell>
          <cell r="F687">
            <v>46159.56</v>
          </cell>
        </row>
        <row r="688">
          <cell r="B688" t="str">
            <v>JUN 2016</v>
          </cell>
          <cell r="C688" t="str">
            <v>LGUM_470</v>
          </cell>
          <cell r="E688" t="str">
            <v xml:space="preserve">LS </v>
          </cell>
          <cell r="F688">
            <v>604.48</v>
          </cell>
        </row>
        <row r="689">
          <cell r="B689" t="str">
            <v>JUN 2016</v>
          </cell>
          <cell r="C689" t="str">
            <v>LGUM_471</v>
          </cell>
          <cell r="E689" t="str">
            <v>RLS</v>
          </cell>
          <cell r="F689">
            <v>133.31</v>
          </cell>
        </row>
        <row r="690">
          <cell r="B690" t="str">
            <v>JUN 2016</v>
          </cell>
          <cell r="C690" t="str">
            <v>LGUM_473</v>
          </cell>
          <cell r="E690" t="str">
            <v xml:space="preserve">LS </v>
          </cell>
          <cell r="F690">
            <v>15210.16</v>
          </cell>
        </row>
        <row r="691">
          <cell r="B691" t="str">
            <v>JUN 2016</v>
          </cell>
          <cell r="C691" t="str">
            <v>LGUM_474</v>
          </cell>
          <cell r="E691" t="str">
            <v>RLS</v>
          </cell>
          <cell r="F691">
            <v>1102.25</v>
          </cell>
        </row>
        <row r="692">
          <cell r="B692" t="str">
            <v>JUN 2016</v>
          </cell>
          <cell r="C692" t="str">
            <v>LGUM_475</v>
          </cell>
          <cell r="E692" t="str">
            <v>RLS</v>
          </cell>
          <cell r="F692">
            <v>61.3</v>
          </cell>
        </row>
        <row r="693">
          <cell r="B693" t="str">
            <v>JUN 2016</v>
          </cell>
          <cell r="C693" t="str">
            <v>LGUM_476</v>
          </cell>
          <cell r="E693" t="str">
            <v xml:space="preserve">LS </v>
          </cell>
          <cell r="F693">
            <v>26261.599999999999</v>
          </cell>
        </row>
        <row r="694">
          <cell r="B694" t="str">
            <v>JUN 2016</v>
          </cell>
          <cell r="C694" t="str">
            <v>LGUM_477</v>
          </cell>
          <cell r="E694" t="str">
            <v>RLS</v>
          </cell>
          <cell r="F694">
            <v>2719.22</v>
          </cell>
        </row>
        <row r="695">
          <cell r="B695" t="str">
            <v>JUN 2016</v>
          </cell>
          <cell r="C695" t="str">
            <v>LGUM_480</v>
          </cell>
          <cell r="E695" t="str">
            <v xml:space="preserve">LS </v>
          </cell>
          <cell r="F695">
            <v>516.47</v>
          </cell>
        </row>
        <row r="696">
          <cell r="B696" t="str">
            <v>JUN 2016</v>
          </cell>
          <cell r="C696" t="str">
            <v>LGUM_481</v>
          </cell>
          <cell r="E696" t="str">
            <v xml:space="preserve">LS </v>
          </cell>
          <cell r="F696">
            <v>175.62</v>
          </cell>
        </row>
        <row r="697">
          <cell r="B697" t="str">
            <v>JUN 2016</v>
          </cell>
          <cell r="C697" t="str">
            <v>LGUM_482</v>
          </cell>
          <cell r="E697" t="str">
            <v xml:space="preserve">LS </v>
          </cell>
          <cell r="F697">
            <v>3520.39</v>
          </cell>
        </row>
        <row r="698">
          <cell r="B698" t="str">
            <v>JUN 2016</v>
          </cell>
          <cell r="C698" t="str">
            <v>LGUM_483</v>
          </cell>
          <cell r="E698" t="str">
            <v xml:space="preserve">LS </v>
          </cell>
          <cell r="F698">
            <v>316.31</v>
          </cell>
        </row>
        <row r="699">
          <cell r="B699" t="str">
            <v>JUN 2016</v>
          </cell>
          <cell r="C699" t="str">
            <v>LGUM_484</v>
          </cell>
          <cell r="E699" t="str">
            <v xml:space="preserve">LS </v>
          </cell>
          <cell r="F699">
            <v>3758.97</v>
          </cell>
        </row>
        <row r="700">
          <cell r="B700" t="str">
            <v>JUL 2016</v>
          </cell>
          <cell r="C700" t="str">
            <v>LEUM_825</v>
          </cell>
          <cell r="E700" t="str">
            <v>EF</v>
          </cell>
          <cell r="F700">
            <v>48365.64</v>
          </cell>
        </row>
        <row r="701">
          <cell r="B701" t="str">
            <v>JUL 2016</v>
          </cell>
          <cell r="C701" t="str">
            <v>LEUM_826</v>
          </cell>
          <cell r="E701" t="str">
            <v>EF</v>
          </cell>
          <cell r="F701">
            <v>872.16</v>
          </cell>
        </row>
        <row r="702">
          <cell r="B702" t="str">
            <v>JUL 2016</v>
          </cell>
          <cell r="C702" t="str">
            <v>LEUM_828</v>
          </cell>
          <cell r="E702" t="str">
            <v>EF</v>
          </cell>
          <cell r="F702">
            <v>2808.4</v>
          </cell>
        </row>
        <row r="703">
          <cell r="B703" t="str">
            <v>JUL 2016</v>
          </cell>
          <cell r="C703" t="str">
            <v>LEUM_829</v>
          </cell>
          <cell r="E703" t="str">
            <v>EF</v>
          </cell>
          <cell r="F703">
            <v>5</v>
          </cell>
        </row>
        <row r="704">
          <cell r="B704" t="str">
            <v>JUL 2016</v>
          </cell>
          <cell r="C704" t="str">
            <v>LGCME000</v>
          </cell>
          <cell r="E704" t="str">
            <v>TS</v>
          </cell>
        </row>
        <row r="705">
          <cell r="B705" t="str">
            <v>JUL 2016</v>
          </cell>
          <cell r="C705" t="str">
            <v>LGCME451</v>
          </cell>
          <cell r="E705" t="str">
            <v>GSS</v>
          </cell>
          <cell r="F705">
            <v>723.02</v>
          </cell>
        </row>
        <row r="706">
          <cell r="B706" t="str">
            <v>JUL 2016</v>
          </cell>
          <cell r="C706" t="str">
            <v>LGCME551</v>
          </cell>
          <cell r="E706" t="str">
            <v>GSS</v>
          </cell>
          <cell r="F706">
            <v>-2298.09</v>
          </cell>
        </row>
        <row r="707">
          <cell r="B707" t="str">
            <v>JUL 2016</v>
          </cell>
          <cell r="C707" t="str">
            <v>LGCME551DS</v>
          </cell>
          <cell r="E707" t="str">
            <v>GSS</v>
          </cell>
          <cell r="F707">
            <v>4512396.25</v>
          </cell>
        </row>
        <row r="708">
          <cell r="B708" t="str">
            <v>JUL 2016</v>
          </cell>
          <cell r="C708" t="str">
            <v>LGCME551UM</v>
          </cell>
          <cell r="E708" t="str">
            <v>GSS</v>
          </cell>
          <cell r="F708">
            <v>4080.93</v>
          </cell>
        </row>
        <row r="709">
          <cell r="B709" t="str">
            <v>JUL 2016</v>
          </cell>
          <cell r="C709" t="str">
            <v>LGCME552</v>
          </cell>
          <cell r="E709" t="str">
            <v>GSS</v>
          </cell>
          <cell r="F709">
            <v>13235.9</v>
          </cell>
        </row>
        <row r="710">
          <cell r="B710" t="str">
            <v>JUL 2016</v>
          </cell>
          <cell r="C710" t="str">
            <v>LGCME557</v>
          </cell>
          <cell r="E710" t="str">
            <v>GSS</v>
          </cell>
          <cell r="F710">
            <v>1446.19</v>
          </cell>
        </row>
        <row r="711">
          <cell r="B711" t="str">
            <v>JUL 2016</v>
          </cell>
          <cell r="C711" t="str">
            <v>LGCME561</v>
          </cell>
          <cell r="E711" t="str">
            <v>PSS</v>
          </cell>
          <cell r="F711">
            <v>-16075.83</v>
          </cell>
        </row>
        <row r="712">
          <cell r="B712" t="str">
            <v>JUL 2016</v>
          </cell>
          <cell r="C712" t="str">
            <v>LGCME561DS</v>
          </cell>
          <cell r="E712" t="str">
            <v>PSS</v>
          </cell>
          <cell r="F712">
            <v>12595276.17</v>
          </cell>
        </row>
        <row r="713">
          <cell r="B713" t="str">
            <v>JUL 2016</v>
          </cell>
          <cell r="C713" t="str">
            <v>LGCME561PF</v>
          </cell>
          <cell r="E713" t="str">
            <v>PSS</v>
          </cell>
          <cell r="F713">
            <v>1920225.63</v>
          </cell>
        </row>
        <row r="714">
          <cell r="B714" t="str">
            <v>JUL 2016</v>
          </cell>
          <cell r="C714" t="str">
            <v>LGCME563DS</v>
          </cell>
          <cell r="E714" t="str">
            <v>PSP</v>
          </cell>
          <cell r="F714">
            <v>750458.4</v>
          </cell>
        </row>
        <row r="715">
          <cell r="B715" t="str">
            <v>JUL 2016</v>
          </cell>
          <cell r="C715" t="str">
            <v>LGCME563PF</v>
          </cell>
          <cell r="E715" t="str">
            <v>PSP</v>
          </cell>
          <cell r="F715">
            <v>420723.84</v>
          </cell>
        </row>
        <row r="716">
          <cell r="B716" t="str">
            <v>JUL 2016</v>
          </cell>
          <cell r="C716" t="str">
            <v>LGCME567</v>
          </cell>
          <cell r="E716" t="str">
            <v>PSS</v>
          </cell>
          <cell r="F716">
            <v>12099.46</v>
          </cell>
        </row>
        <row r="717">
          <cell r="B717" t="str">
            <v>JUL 2016</v>
          </cell>
          <cell r="C717" t="str">
            <v>LGCME567PF</v>
          </cell>
          <cell r="E717" t="str">
            <v>PSS</v>
          </cell>
          <cell r="F717">
            <v>11770.11</v>
          </cell>
        </row>
        <row r="718">
          <cell r="B718" t="str">
            <v>JUL 2016</v>
          </cell>
          <cell r="C718" t="str">
            <v>LGCME591</v>
          </cell>
          <cell r="E718" t="str">
            <v>TODS</v>
          </cell>
          <cell r="F718">
            <v>6001750.1500000004</v>
          </cell>
        </row>
        <row r="719">
          <cell r="B719" t="str">
            <v>JUL 2016</v>
          </cell>
          <cell r="C719" t="str">
            <v>LGCME593</v>
          </cell>
          <cell r="E719" t="str">
            <v>CTODP</v>
          </cell>
          <cell r="F719">
            <v>4208517.08</v>
          </cell>
        </row>
        <row r="720">
          <cell r="B720" t="str">
            <v>JUL 2016</v>
          </cell>
          <cell r="C720" t="str">
            <v>LGCME651</v>
          </cell>
          <cell r="E720" t="str">
            <v>GS3</v>
          </cell>
          <cell r="F720">
            <v>-10125.65</v>
          </cell>
        </row>
        <row r="721">
          <cell r="B721" t="str">
            <v>JUL 2016</v>
          </cell>
          <cell r="C721" t="str">
            <v>LGCME651DS</v>
          </cell>
          <cell r="E721" t="str">
            <v>GS3</v>
          </cell>
          <cell r="F721">
            <v>9917150.6999999993</v>
          </cell>
        </row>
        <row r="722">
          <cell r="B722" t="str">
            <v>JUL 2016</v>
          </cell>
          <cell r="C722" t="str">
            <v>LGCME652</v>
          </cell>
          <cell r="E722" t="str">
            <v>GS3</v>
          </cell>
          <cell r="F722">
            <v>183899.35</v>
          </cell>
        </row>
        <row r="723">
          <cell r="B723" t="str">
            <v>JUL 2016</v>
          </cell>
          <cell r="C723" t="str">
            <v>LGCME657</v>
          </cell>
          <cell r="E723" t="str">
            <v>GS3</v>
          </cell>
          <cell r="F723">
            <v>21798.75</v>
          </cell>
        </row>
        <row r="724">
          <cell r="B724" t="str">
            <v>JUL 2016</v>
          </cell>
          <cell r="C724" t="str">
            <v>LGCME671</v>
          </cell>
          <cell r="E724" t="str">
            <v>LWC</v>
          </cell>
          <cell r="F724">
            <v>305511.36</v>
          </cell>
        </row>
        <row r="725">
          <cell r="B725" t="str">
            <v>JUL 2016</v>
          </cell>
          <cell r="C725" t="str">
            <v>LGCSR790</v>
          </cell>
          <cell r="E725" t="str">
            <v>CSR</v>
          </cell>
          <cell r="F725">
            <v>-329029.44</v>
          </cell>
        </row>
        <row r="726">
          <cell r="B726" t="str">
            <v>JUL 2016</v>
          </cell>
          <cell r="C726" t="str">
            <v>LGINE551DS</v>
          </cell>
          <cell r="E726" t="str">
            <v>GSS</v>
          </cell>
          <cell r="F726">
            <v>20857.330000000002</v>
          </cell>
        </row>
        <row r="727">
          <cell r="B727" t="str">
            <v>JUL 2016</v>
          </cell>
          <cell r="C727" t="str">
            <v>LGINE599</v>
          </cell>
          <cell r="E727" t="str">
            <v>FK</v>
          </cell>
          <cell r="F727">
            <v>712223.77</v>
          </cell>
        </row>
        <row r="728">
          <cell r="B728" t="str">
            <v>JUL 2016</v>
          </cell>
          <cell r="C728" t="str">
            <v>LGINE643</v>
          </cell>
          <cell r="E728" t="str">
            <v>RTS</v>
          </cell>
          <cell r="F728">
            <v>5670070.3899999997</v>
          </cell>
        </row>
        <row r="729">
          <cell r="B729" t="str">
            <v>JUL 2016</v>
          </cell>
          <cell r="C729" t="str">
            <v>LGINE651DS</v>
          </cell>
          <cell r="E729" t="str">
            <v>GS3</v>
          </cell>
          <cell r="F729">
            <v>327409.75</v>
          </cell>
        </row>
        <row r="730">
          <cell r="B730" t="str">
            <v>JUL 2016</v>
          </cell>
          <cell r="C730" t="str">
            <v>LGINE661DS</v>
          </cell>
          <cell r="E730" t="str">
            <v>PSS</v>
          </cell>
          <cell r="F730">
            <v>163228.96</v>
          </cell>
        </row>
        <row r="731">
          <cell r="B731" t="str">
            <v>JUL 2016</v>
          </cell>
          <cell r="C731" t="str">
            <v>LGINE661PD</v>
          </cell>
          <cell r="E731" t="str">
            <v>PSS</v>
          </cell>
          <cell r="F731">
            <v>1647429.09</v>
          </cell>
        </row>
        <row r="732">
          <cell r="B732" t="str">
            <v>JUL 2016</v>
          </cell>
          <cell r="C732" t="str">
            <v>LGINE663PD</v>
          </cell>
          <cell r="E732" t="str">
            <v>PSP</v>
          </cell>
          <cell r="F732">
            <v>53022.35</v>
          </cell>
        </row>
        <row r="733">
          <cell r="B733" t="str">
            <v>JUL 2016</v>
          </cell>
          <cell r="C733" t="str">
            <v>LGINE691</v>
          </cell>
          <cell r="E733" t="str">
            <v>ITODS</v>
          </cell>
          <cell r="F733">
            <v>2093599.62</v>
          </cell>
        </row>
        <row r="734">
          <cell r="B734" t="str">
            <v>JUL 2016</v>
          </cell>
          <cell r="C734" t="str">
            <v>LGINE693</v>
          </cell>
          <cell r="E734" t="str">
            <v>ITODP</v>
          </cell>
          <cell r="F734">
            <v>7892272.21</v>
          </cell>
        </row>
        <row r="735">
          <cell r="B735" t="str">
            <v>JUL 2016</v>
          </cell>
          <cell r="C735" t="str">
            <v>LGMLE570</v>
          </cell>
          <cell r="E735" t="str">
            <v>LE</v>
          </cell>
          <cell r="F735">
            <v>13.72</v>
          </cell>
        </row>
        <row r="736">
          <cell r="B736" t="str">
            <v>JUL 2016</v>
          </cell>
          <cell r="C736" t="str">
            <v>LGMLE571</v>
          </cell>
          <cell r="E736" t="str">
            <v>LE</v>
          </cell>
          <cell r="F736">
            <v>9940.74</v>
          </cell>
        </row>
        <row r="737">
          <cell r="B737" t="str">
            <v>JUL 2016</v>
          </cell>
          <cell r="C737" t="str">
            <v>LGMLE572</v>
          </cell>
          <cell r="E737" t="str">
            <v>LE</v>
          </cell>
          <cell r="F737">
            <v>4787.08</v>
          </cell>
        </row>
        <row r="738">
          <cell r="B738" t="str">
            <v>JUL 2016</v>
          </cell>
          <cell r="C738" t="str">
            <v>LGMLE573</v>
          </cell>
          <cell r="E738" t="str">
            <v>TE</v>
          </cell>
          <cell r="F738">
            <v>18255.34</v>
          </cell>
        </row>
        <row r="739">
          <cell r="B739" t="str">
            <v>JUL 2016</v>
          </cell>
          <cell r="C739" t="str">
            <v>LGMLE574</v>
          </cell>
          <cell r="E739" t="str">
            <v>TE</v>
          </cell>
          <cell r="F739">
            <v>6054.49</v>
          </cell>
        </row>
        <row r="740">
          <cell r="B740" t="str">
            <v>JUL 2016</v>
          </cell>
          <cell r="C740" t="str">
            <v>LGRSE000</v>
          </cell>
          <cell r="E740" t="str">
            <v>TS</v>
          </cell>
        </row>
        <row r="741">
          <cell r="B741" t="str">
            <v>JUL 2016</v>
          </cell>
          <cell r="C741" t="str">
            <v>LGRSE411</v>
          </cell>
          <cell r="E741" t="str">
            <v>RS</v>
          </cell>
          <cell r="F741">
            <v>55938.77</v>
          </cell>
        </row>
        <row r="742">
          <cell r="B742" t="str">
            <v>JUL 2016</v>
          </cell>
          <cell r="C742" t="str">
            <v>LGRSE511</v>
          </cell>
          <cell r="E742" t="str">
            <v>RS</v>
          </cell>
          <cell r="F742">
            <v>48710118.590000004</v>
          </cell>
        </row>
        <row r="743">
          <cell r="B743" t="str">
            <v>JUL 2016</v>
          </cell>
          <cell r="C743" t="str">
            <v>LGRSE519</v>
          </cell>
          <cell r="E743" t="str">
            <v>RS</v>
          </cell>
          <cell r="F743">
            <v>20823.400000000001</v>
          </cell>
        </row>
        <row r="744">
          <cell r="B744" t="str">
            <v>JUL 2016</v>
          </cell>
          <cell r="C744" t="str">
            <v>LGRSE521</v>
          </cell>
          <cell r="E744" t="str">
            <v>RTODE</v>
          </cell>
          <cell r="F744">
            <v>5186.6899999999996</v>
          </cell>
        </row>
        <row r="745">
          <cell r="B745" t="str">
            <v>JUL 2016</v>
          </cell>
          <cell r="C745" t="str">
            <v>LGRSE540</v>
          </cell>
          <cell r="E745" t="str">
            <v>VFD</v>
          </cell>
          <cell r="F745">
            <v>3419.91</v>
          </cell>
        </row>
        <row r="746">
          <cell r="B746" t="str">
            <v>JUL 2016</v>
          </cell>
          <cell r="C746" t="str">
            <v>LGUM_000</v>
          </cell>
          <cell r="E746" t="str">
            <v>TS</v>
          </cell>
        </row>
        <row r="747">
          <cell r="B747" t="str">
            <v>JUL 2016</v>
          </cell>
          <cell r="C747" t="str">
            <v>LGUM_201</v>
          </cell>
          <cell r="E747" t="str">
            <v>RLS</v>
          </cell>
          <cell r="F747">
            <v>664.1</v>
          </cell>
        </row>
        <row r="748">
          <cell r="B748" t="str">
            <v>JUL 2016</v>
          </cell>
          <cell r="C748" t="str">
            <v>LGUM_203</v>
          </cell>
          <cell r="E748" t="str">
            <v>RLS</v>
          </cell>
          <cell r="F748">
            <v>38245.82</v>
          </cell>
        </row>
        <row r="749">
          <cell r="B749" t="str">
            <v>JUL 2016</v>
          </cell>
          <cell r="C749" t="str">
            <v>LGUM_204</v>
          </cell>
          <cell r="E749" t="str">
            <v>RLS</v>
          </cell>
          <cell r="F749">
            <v>48275.23</v>
          </cell>
        </row>
        <row r="750">
          <cell r="B750" t="str">
            <v>JUL 2016</v>
          </cell>
          <cell r="C750" t="str">
            <v>LGUM_206</v>
          </cell>
          <cell r="E750" t="str">
            <v>RLS</v>
          </cell>
          <cell r="F750">
            <v>982.76</v>
          </cell>
        </row>
        <row r="751">
          <cell r="B751" t="str">
            <v>JUL 2016</v>
          </cell>
          <cell r="C751" t="str">
            <v>LGUM_207</v>
          </cell>
          <cell r="E751" t="str">
            <v>RLS</v>
          </cell>
          <cell r="F751">
            <v>11695.18</v>
          </cell>
        </row>
        <row r="752">
          <cell r="B752" t="str">
            <v>JUL 2016</v>
          </cell>
          <cell r="C752" t="str">
            <v>LGUM_208</v>
          </cell>
          <cell r="E752" t="str">
            <v>RLS</v>
          </cell>
          <cell r="F752">
            <v>20587.54</v>
          </cell>
        </row>
        <row r="753">
          <cell r="B753" t="str">
            <v>JUL 2016</v>
          </cell>
          <cell r="C753" t="str">
            <v>LGUM_209</v>
          </cell>
          <cell r="E753" t="str">
            <v>RLS</v>
          </cell>
          <cell r="F753">
            <v>943.5</v>
          </cell>
        </row>
        <row r="754">
          <cell r="B754" t="str">
            <v>JUL 2016</v>
          </cell>
          <cell r="C754" t="str">
            <v>LGUM_210</v>
          </cell>
          <cell r="E754" t="str">
            <v>RLS</v>
          </cell>
          <cell r="F754">
            <v>9250.9599999999991</v>
          </cell>
        </row>
        <row r="755">
          <cell r="B755" t="str">
            <v>JUL 2016</v>
          </cell>
          <cell r="C755" t="str">
            <v>LGUM_252</v>
          </cell>
          <cell r="E755" t="str">
            <v>RLS</v>
          </cell>
          <cell r="F755">
            <v>39349.81</v>
          </cell>
        </row>
        <row r="756">
          <cell r="B756" t="str">
            <v>JUL 2016</v>
          </cell>
          <cell r="C756" t="str">
            <v>LGUM_266</v>
          </cell>
          <cell r="E756" t="str">
            <v>RLS</v>
          </cell>
          <cell r="F756">
            <v>61180.49</v>
          </cell>
        </row>
        <row r="757">
          <cell r="B757" t="str">
            <v>JUL 2016</v>
          </cell>
          <cell r="C757" t="str">
            <v>LGUM_267</v>
          </cell>
          <cell r="E757" t="str">
            <v>RLS</v>
          </cell>
          <cell r="F757">
            <v>75379.61</v>
          </cell>
        </row>
        <row r="758">
          <cell r="B758" t="str">
            <v>JUL 2016</v>
          </cell>
          <cell r="C758" t="str">
            <v>LGUM_274</v>
          </cell>
          <cell r="E758" t="str">
            <v>RLS</v>
          </cell>
          <cell r="F758">
            <v>323949.81</v>
          </cell>
        </row>
        <row r="759">
          <cell r="B759" t="str">
            <v>JUL 2016</v>
          </cell>
          <cell r="C759" t="str">
            <v>LGUM_275</v>
          </cell>
          <cell r="E759" t="str">
            <v>RLS</v>
          </cell>
          <cell r="F759">
            <v>13173.23</v>
          </cell>
        </row>
        <row r="760">
          <cell r="B760" t="str">
            <v>JUL 2016</v>
          </cell>
          <cell r="C760" t="str">
            <v>LGUM_276</v>
          </cell>
          <cell r="E760" t="str">
            <v>RLS</v>
          </cell>
          <cell r="F760">
            <v>21783.95</v>
          </cell>
        </row>
        <row r="761">
          <cell r="B761" t="str">
            <v>JUL 2016</v>
          </cell>
          <cell r="C761" t="str">
            <v>LGUM_277</v>
          </cell>
          <cell r="E761" t="str">
            <v>RLS</v>
          </cell>
          <cell r="F761">
            <v>56397.81</v>
          </cell>
        </row>
        <row r="762">
          <cell r="B762" t="str">
            <v>JUL 2016</v>
          </cell>
          <cell r="C762" t="str">
            <v>LGUM_278</v>
          </cell>
          <cell r="E762" t="str">
            <v>RLS</v>
          </cell>
          <cell r="F762">
            <v>792.58</v>
          </cell>
        </row>
        <row r="763">
          <cell r="B763" t="str">
            <v>JUL 2016</v>
          </cell>
          <cell r="C763" t="str">
            <v>LGUM_279</v>
          </cell>
          <cell r="E763" t="str">
            <v>RLS</v>
          </cell>
          <cell r="F763">
            <v>279.19</v>
          </cell>
        </row>
        <row r="764">
          <cell r="B764" t="str">
            <v>JUL 2016</v>
          </cell>
          <cell r="C764" t="str">
            <v>LGUM_280</v>
          </cell>
          <cell r="E764" t="str">
            <v>RLS</v>
          </cell>
          <cell r="F764">
            <v>1755.38</v>
          </cell>
        </row>
        <row r="765">
          <cell r="B765" t="str">
            <v>JUL 2016</v>
          </cell>
          <cell r="C765" t="str">
            <v>LGUM_281</v>
          </cell>
          <cell r="E765" t="str">
            <v>RLS</v>
          </cell>
          <cell r="F765">
            <v>9413.18</v>
          </cell>
        </row>
        <row r="766">
          <cell r="B766" t="str">
            <v>JUL 2016</v>
          </cell>
          <cell r="C766" t="str">
            <v>LGUM_282</v>
          </cell>
          <cell r="E766" t="str">
            <v>RLS</v>
          </cell>
          <cell r="F766">
            <v>3321.52</v>
          </cell>
        </row>
        <row r="767">
          <cell r="B767" t="str">
            <v>JUL 2016</v>
          </cell>
          <cell r="C767" t="str">
            <v>LGUM_283</v>
          </cell>
          <cell r="E767" t="str">
            <v>RLS</v>
          </cell>
          <cell r="F767">
            <v>3638.09</v>
          </cell>
        </row>
        <row r="768">
          <cell r="B768" t="str">
            <v>JUL 2016</v>
          </cell>
          <cell r="C768" t="str">
            <v>LGUM_314</v>
          </cell>
          <cell r="E768" t="str">
            <v>RLS</v>
          </cell>
          <cell r="F768">
            <v>9300.7999999999993</v>
          </cell>
        </row>
        <row r="769">
          <cell r="B769" t="str">
            <v>JUL 2016</v>
          </cell>
          <cell r="C769" t="str">
            <v>LGUM_315</v>
          </cell>
          <cell r="E769" t="str">
            <v>RLS</v>
          </cell>
          <cell r="F769">
            <v>11092.77</v>
          </cell>
        </row>
        <row r="770">
          <cell r="B770" t="str">
            <v>JUL 2016</v>
          </cell>
          <cell r="C770" t="str">
            <v>LGUM_318</v>
          </cell>
          <cell r="E770" t="str">
            <v>RLS</v>
          </cell>
          <cell r="F770">
            <v>890.68</v>
          </cell>
        </row>
        <row r="771">
          <cell r="B771" t="str">
            <v>JUL 2016</v>
          </cell>
          <cell r="C771" t="str">
            <v>LGUM_348</v>
          </cell>
          <cell r="E771" t="str">
            <v>RLS</v>
          </cell>
          <cell r="F771">
            <v>562.42999999999995</v>
          </cell>
        </row>
        <row r="772">
          <cell r="B772" t="str">
            <v>JUL 2016</v>
          </cell>
          <cell r="C772" t="str">
            <v>LGUM_349</v>
          </cell>
          <cell r="E772" t="str">
            <v>RLS</v>
          </cell>
          <cell r="F772">
            <v>169.73</v>
          </cell>
        </row>
        <row r="773">
          <cell r="B773" t="str">
            <v>JUL 2016</v>
          </cell>
          <cell r="C773" t="str">
            <v>LGUM_400</v>
          </cell>
          <cell r="E773" t="str">
            <v xml:space="preserve">LS </v>
          </cell>
          <cell r="F773">
            <v>1570.75</v>
          </cell>
        </row>
        <row r="774">
          <cell r="B774" t="str">
            <v>JUL 2016</v>
          </cell>
          <cell r="C774" t="str">
            <v>LGUM_401</v>
          </cell>
          <cell r="E774" t="str">
            <v xml:space="preserve">LS </v>
          </cell>
          <cell r="F774">
            <v>981.9</v>
          </cell>
        </row>
        <row r="775">
          <cell r="B775" t="str">
            <v>JUL 2016</v>
          </cell>
          <cell r="C775" t="str">
            <v>LGUM_412</v>
          </cell>
          <cell r="E775" t="str">
            <v xml:space="preserve">LS </v>
          </cell>
          <cell r="F775">
            <v>4799.21</v>
          </cell>
        </row>
        <row r="776">
          <cell r="B776" t="str">
            <v>JUL 2016</v>
          </cell>
          <cell r="C776" t="str">
            <v>LGUM_413</v>
          </cell>
          <cell r="E776" t="str">
            <v xml:space="preserve">LS </v>
          </cell>
          <cell r="F776">
            <v>59983.68</v>
          </cell>
        </row>
        <row r="777">
          <cell r="B777" t="str">
            <v>JUL 2016</v>
          </cell>
          <cell r="C777" t="str">
            <v>LGUM_415</v>
          </cell>
          <cell r="E777" t="str">
            <v xml:space="preserve">LS </v>
          </cell>
          <cell r="F777">
            <v>1044.46</v>
          </cell>
        </row>
        <row r="778">
          <cell r="B778" t="str">
            <v>JUL 2016</v>
          </cell>
          <cell r="C778" t="str">
            <v>LGUM_416</v>
          </cell>
          <cell r="E778" t="str">
            <v xml:space="preserve">LS </v>
          </cell>
          <cell r="F778">
            <v>49848.2</v>
          </cell>
        </row>
        <row r="779">
          <cell r="B779" t="str">
            <v>JUL 2016</v>
          </cell>
          <cell r="C779" t="str">
            <v>LGUM_417</v>
          </cell>
          <cell r="E779" t="str">
            <v>RLS</v>
          </cell>
          <cell r="F779">
            <v>1270.08</v>
          </cell>
        </row>
        <row r="780">
          <cell r="B780" t="str">
            <v>JUL 2016</v>
          </cell>
          <cell r="C780" t="str">
            <v>LGUM_419</v>
          </cell>
          <cell r="E780" t="str">
            <v>RLS</v>
          </cell>
          <cell r="F780">
            <v>3271.68</v>
          </cell>
        </row>
        <row r="781">
          <cell r="B781" t="str">
            <v>JUL 2016</v>
          </cell>
          <cell r="C781" t="str">
            <v>LGUM_420</v>
          </cell>
          <cell r="E781" t="str">
            <v xml:space="preserve">LS </v>
          </cell>
          <cell r="F781">
            <v>2001.34</v>
          </cell>
        </row>
        <row r="782">
          <cell r="B782" t="str">
            <v>JUL 2016</v>
          </cell>
          <cell r="C782" t="str">
            <v>LGUM_421</v>
          </cell>
          <cell r="E782" t="str">
            <v xml:space="preserve">LS </v>
          </cell>
          <cell r="F782">
            <v>7797.24</v>
          </cell>
        </row>
        <row r="783">
          <cell r="B783" t="str">
            <v>JUL 2016</v>
          </cell>
          <cell r="C783" t="str">
            <v>LGUM_422</v>
          </cell>
          <cell r="E783" t="str">
            <v xml:space="preserve">LS </v>
          </cell>
          <cell r="F783">
            <v>18312.38</v>
          </cell>
        </row>
        <row r="784">
          <cell r="B784" t="str">
            <v>JUL 2016</v>
          </cell>
          <cell r="C784" t="str">
            <v>LGUM_423</v>
          </cell>
          <cell r="E784" t="str">
            <v xml:space="preserve">LS </v>
          </cell>
          <cell r="F784">
            <v>600.02</v>
          </cell>
        </row>
        <row r="785">
          <cell r="B785" t="str">
            <v>JUL 2016</v>
          </cell>
          <cell r="C785" t="str">
            <v>LGUM_424</v>
          </cell>
          <cell r="E785" t="str">
            <v xml:space="preserve">LS </v>
          </cell>
          <cell r="F785">
            <v>19248.64</v>
          </cell>
        </row>
        <row r="786">
          <cell r="B786" t="str">
            <v>JUL 2016</v>
          </cell>
          <cell r="C786" t="str">
            <v>LGUM_425</v>
          </cell>
          <cell r="E786" t="str">
            <v xml:space="preserve">LS </v>
          </cell>
          <cell r="F786">
            <v>1136.78</v>
          </cell>
        </row>
        <row r="787">
          <cell r="B787" t="str">
            <v>JUL 2016</v>
          </cell>
          <cell r="C787" t="str">
            <v>LGUM_426</v>
          </cell>
          <cell r="E787" t="str">
            <v>RLS</v>
          </cell>
          <cell r="F787">
            <v>1221.73</v>
          </cell>
        </row>
        <row r="788">
          <cell r="B788" t="str">
            <v>JUL 2016</v>
          </cell>
          <cell r="C788" t="str">
            <v>LGUM_427</v>
          </cell>
          <cell r="E788" t="str">
            <v xml:space="preserve">LS </v>
          </cell>
          <cell r="F788">
            <v>2110.0300000000002</v>
          </cell>
        </row>
        <row r="789">
          <cell r="B789" t="str">
            <v>JUL 2016</v>
          </cell>
          <cell r="C789" t="str">
            <v>LGUM_428</v>
          </cell>
          <cell r="E789" t="str">
            <v>RLS</v>
          </cell>
          <cell r="F789">
            <v>11324.32</v>
          </cell>
        </row>
        <row r="790">
          <cell r="B790" t="str">
            <v>JUL 2016</v>
          </cell>
          <cell r="C790" t="str">
            <v>LGUM_429</v>
          </cell>
          <cell r="E790" t="str">
            <v xml:space="preserve">LS </v>
          </cell>
          <cell r="F790">
            <v>10893.95</v>
          </cell>
        </row>
        <row r="791">
          <cell r="B791" t="str">
            <v>JUL 2016</v>
          </cell>
          <cell r="C791" t="str">
            <v>LGUM_430</v>
          </cell>
          <cell r="E791" t="str">
            <v>RLS</v>
          </cell>
          <cell r="F791">
            <v>454.12</v>
          </cell>
        </row>
        <row r="792">
          <cell r="B792" t="str">
            <v>JUL 2016</v>
          </cell>
          <cell r="C792" t="str">
            <v>LGUM_431</v>
          </cell>
          <cell r="E792" t="str">
            <v xml:space="preserve">LS </v>
          </cell>
          <cell r="F792">
            <v>2015.1</v>
          </cell>
        </row>
        <row r="793">
          <cell r="B793" t="str">
            <v>JUL 2016</v>
          </cell>
          <cell r="C793" t="str">
            <v>LGUM_432</v>
          </cell>
          <cell r="E793" t="str">
            <v>RLS</v>
          </cell>
          <cell r="F793">
            <v>374.84</v>
          </cell>
        </row>
        <row r="794">
          <cell r="B794" t="str">
            <v>JUL 2016</v>
          </cell>
          <cell r="C794" t="str">
            <v>LGUM_433</v>
          </cell>
          <cell r="E794" t="str">
            <v xml:space="preserve">LS </v>
          </cell>
          <cell r="F794">
            <v>8614.77</v>
          </cell>
        </row>
        <row r="795">
          <cell r="B795" t="str">
            <v>JUL 2016</v>
          </cell>
          <cell r="C795" t="str">
            <v>LGUM_440</v>
          </cell>
          <cell r="E795" t="str">
            <v xml:space="preserve">LS </v>
          </cell>
          <cell r="F795">
            <v>535.16999999999996</v>
          </cell>
        </row>
        <row r="796">
          <cell r="B796" t="str">
            <v>JUL 2016</v>
          </cell>
          <cell r="C796" t="str">
            <v>LGUM_441</v>
          </cell>
          <cell r="E796" t="str">
            <v xml:space="preserve">LS </v>
          </cell>
          <cell r="F796">
            <v>1243.1099999999999</v>
          </cell>
        </row>
        <row r="797">
          <cell r="B797" t="str">
            <v>JUL 2016</v>
          </cell>
          <cell r="C797" t="str">
            <v>LGUM_444</v>
          </cell>
          <cell r="E797" t="str">
            <v xml:space="preserve">LS </v>
          </cell>
          <cell r="F797">
            <v>249.2</v>
          </cell>
        </row>
        <row r="798">
          <cell r="B798" t="str">
            <v>JUL 2016</v>
          </cell>
          <cell r="C798" t="str">
            <v>LGUM_445</v>
          </cell>
          <cell r="E798" t="str">
            <v xml:space="preserve">LS </v>
          </cell>
          <cell r="F798">
            <v>469.08</v>
          </cell>
        </row>
        <row r="799">
          <cell r="B799" t="str">
            <v>JUL 2016</v>
          </cell>
          <cell r="C799" t="str">
            <v>LGUM_452</v>
          </cell>
          <cell r="E799" t="str">
            <v xml:space="preserve">LS </v>
          </cell>
          <cell r="F799">
            <v>99900.3</v>
          </cell>
        </row>
        <row r="800">
          <cell r="B800" t="str">
            <v>JUL 2016</v>
          </cell>
          <cell r="C800" t="str">
            <v>LGUM_453</v>
          </cell>
          <cell r="E800" t="str">
            <v xml:space="preserve">LS </v>
          </cell>
          <cell r="F800">
            <v>176608.98</v>
          </cell>
        </row>
        <row r="801">
          <cell r="B801" t="str">
            <v>JUL 2016</v>
          </cell>
          <cell r="C801" t="str">
            <v>LGUM_454</v>
          </cell>
          <cell r="E801" t="str">
            <v xml:space="preserve">LS </v>
          </cell>
          <cell r="F801">
            <v>108713.38</v>
          </cell>
        </row>
        <row r="802">
          <cell r="B802" t="str">
            <v>JUL 2016</v>
          </cell>
          <cell r="C802" t="str">
            <v>LGUM_455</v>
          </cell>
          <cell r="E802" t="str">
            <v xml:space="preserve">LS </v>
          </cell>
          <cell r="F802">
            <v>6301.75</v>
          </cell>
        </row>
        <row r="803">
          <cell r="B803" t="str">
            <v>JUL 2016</v>
          </cell>
          <cell r="C803" t="str">
            <v>LGUM_456</v>
          </cell>
          <cell r="E803" t="str">
            <v xml:space="preserve">LS </v>
          </cell>
          <cell r="F803">
            <v>263688.82</v>
          </cell>
        </row>
        <row r="804">
          <cell r="B804" t="str">
            <v>JUL 2016</v>
          </cell>
          <cell r="C804" t="str">
            <v>LGUM_457</v>
          </cell>
          <cell r="E804" t="str">
            <v xml:space="preserve">LS </v>
          </cell>
          <cell r="F804">
            <v>46313.1</v>
          </cell>
        </row>
        <row r="805">
          <cell r="B805" t="str">
            <v>JUL 2016</v>
          </cell>
          <cell r="C805" t="str">
            <v>LGUM_470</v>
          </cell>
          <cell r="E805" t="str">
            <v xml:space="preserve">LS </v>
          </cell>
          <cell r="F805">
            <v>661.69</v>
          </cell>
        </row>
        <row r="806">
          <cell r="B806" t="str">
            <v>JUL 2016</v>
          </cell>
          <cell r="C806" t="str">
            <v>LGUM_471</v>
          </cell>
          <cell r="E806" t="str">
            <v>RLS</v>
          </cell>
          <cell r="F806">
            <v>134.36000000000001</v>
          </cell>
        </row>
        <row r="807">
          <cell r="B807" t="str">
            <v>JUL 2016</v>
          </cell>
          <cell r="C807" t="str">
            <v>LGUM_473</v>
          </cell>
          <cell r="E807" t="str">
            <v xml:space="preserve">LS </v>
          </cell>
          <cell r="F807">
            <v>15361.17</v>
          </cell>
        </row>
        <row r="808">
          <cell r="B808" t="str">
            <v>JUL 2016</v>
          </cell>
          <cell r="C808" t="str">
            <v>LGUM_474</v>
          </cell>
          <cell r="E808" t="str">
            <v>RLS</v>
          </cell>
          <cell r="F808">
            <v>1110.76</v>
          </cell>
        </row>
        <row r="809">
          <cell r="B809" t="str">
            <v>JUL 2016</v>
          </cell>
          <cell r="C809" t="str">
            <v>LGUM_475</v>
          </cell>
          <cell r="E809" t="str">
            <v>RLS</v>
          </cell>
          <cell r="F809">
            <v>61.74</v>
          </cell>
        </row>
        <row r="810">
          <cell r="B810" t="str">
            <v>JUL 2016</v>
          </cell>
          <cell r="C810" t="str">
            <v>LGUM_476</v>
          </cell>
          <cell r="E810" t="str">
            <v xml:space="preserve">LS </v>
          </cell>
          <cell r="F810">
            <v>25191.3</v>
          </cell>
        </row>
        <row r="811">
          <cell r="B811" t="str">
            <v>JUL 2016</v>
          </cell>
          <cell r="C811" t="str">
            <v>LGUM_477</v>
          </cell>
          <cell r="E811" t="str">
            <v>RLS</v>
          </cell>
          <cell r="F811">
            <v>2929.66</v>
          </cell>
        </row>
        <row r="812">
          <cell r="B812" t="str">
            <v>JUL 2016</v>
          </cell>
          <cell r="C812" t="str">
            <v>LGUM_480</v>
          </cell>
          <cell r="E812" t="str">
            <v xml:space="preserve">LS </v>
          </cell>
          <cell r="F812">
            <v>597.89</v>
          </cell>
        </row>
        <row r="813">
          <cell r="B813" t="str">
            <v>JUL 2016</v>
          </cell>
          <cell r="C813" t="str">
            <v>LGUM_481</v>
          </cell>
          <cell r="E813" t="str">
            <v xml:space="preserve">LS </v>
          </cell>
          <cell r="F813">
            <v>270.06</v>
          </cell>
        </row>
        <row r="814">
          <cell r="B814" t="str">
            <v>JUL 2016</v>
          </cell>
          <cell r="C814" t="str">
            <v>LGUM_482</v>
          </cell>
          <cell r="E814" t="str">
            <v xml:space="preserve">LS </v>
          </cell>
          <cell r="F814">
            <v>3865.37</v>
          </cell>
        </row>
        <row r="815">
          <cell r="B815" t="str">
            <v>JUL 2016</v>
          </cell>
          <cell r="C815" t="str">
            <v>LGUM_483</v>
          </cell>
          <cell r="E815" t="str">
            <v xml:space="preserve">LS </v>
          </cell>
          <cell r="F815">
            <v>325.29000000000002</v>
          </cell>
        </row>
        <row r="816">
          <cell r="B816" t="str">
            <v>JUL 2016</v>
          </cell>
          <cell r="C816" t="str">
            <v>LGUM_484</v>
          </cell>
          <cell r="E816" t="str">
            <v xml:space="preserve">LS </v>
          </cell>
          <cell r="F816">
            <v>3857.7</v>
          </cell>
        </row>
        <row r="817">
          <cell r="B817" t="str">
            <v>AUG 2016</v>
          </cell>
          <cell r="C817" t="str">
            <v>LEUM_825</v>
          </cell>
          <cell r="E817" t="str">
            <v>EF</v>
          </cell>
          <cell r="F817">
            <v>48365.64</v>
          </cell>
        </row>
        <row r="818">
          <cell r="B818" t="str">
            <v>AUG 2016</v>
          </cell>
          <cell r="C818" t="str">
            <v>LEUM_826</v>
          </cell>
          <cell r="E818" t="str">
            <v>EF</v>
          </cell>
          <cell r="F818">
            <v>872.16</v>
          </cell>
        </row>
        <row r="819">
          <cell r="B819" t="str">
            <v>AUG 2016</v>
          </cell>
          <cell r="C819" t="str">
            <v>LEUM_828</v>
          </cell>
          <cell r="E819" t="str">
            <v>EF</v>
          </cell>
          <cell r="F819">
            <v>2811.7</v>
          </cell>
        </row>
        <row r="820">
          <cell r="B820" t="str">
            <v>AUG 2016</v>
          </cell>
          <cell r="C820" t="str">
            <v>LEUM_829</v>
          </cell>
          <cell r="E820" t="str">
            <v>EF</v>
          </cell>
          <cell r="F820">
            <v>5</v>
          </cell>
        </row>
        <row r="821">
          <cell r="B821" t="str">
            <v>AUG 2016</v>
          </cell>
          <cell r="C821" t="str">
            <v>LGCME000</v>
          </cell>
          <cell r="E821" t="str">
            <v>TS</v>
          </cell>
        </row>
        <row r="822">
          <cell r="B822" t="str">
            <v>AUG 2016</v>
          </cell>
          <cell r="C822" t="str">
            <v>LGCME451</v>
          </cell>
          <cell r="E822" t="str">
            <v>GSS</v>
          </cell>
          <cell r="F822">
            <v>704.69</v>
          </cell>
        </row>
        <row r="823">
          <cell r="B823" t="str">
            <v>AUG 2016</v>
          </cell>
          <cell r="C823" t="str">
            <v>LGCME551</v>
          </cell>
          <cell r="E823" t="str">
            <v>GSS</v>
          </cell>
          <cell r="F823">
            <v>-3863.1</v>
          </cell>
        </row>
        <row r="824">
          <cell r="B824" t="str">
            <v>AUG 2016</v>
          </cell>
          <cell r="C824" t="str">
            <v>LGCME551DS</v>
          </cell>
          <cell r="E824" t="str">
            <v>GSS</v>
          </cell>
          <cell r="F824">
            <v>4653317.6399999997</v>
          </cell>
        </row>
        <row r="825">
          <cell r="B825" t="str">
            <v>AUG 2016</v>
          </cell>
          <cell r="C825" t="str">
            <v>LGCME551UM</v>
          </cell>
          <cell r="E825" t="str">
            <v>GSS</v>
          </cell>
          <cell r="F825">
            <v>4123.9799999999996</v>
          </cell>
        </row>
        <row r="826">
          <cell r="B826" t="str">
            <v>AUG 2016</v>
          </cell>
          <cell r="C826" t="str">
            <v>LGCME552</v>
          </cell>
          <cell r="E826" t="str">
            <v>GSS</v>
          </cell>
          <cell r="F826">
            <v>14605.57</v>
          </cell>
        </row>
        <row r="827">
          <cell r="B827" t="str">
            <v>AUG 2016</v>
          </cell>
          <cell r="C827" t="str">
            <v>LGCME557</v>
          </cell>
          <cell r="E827" t="str">
            <v>GSS</v>
          </cell>
          <cell r="F827">
            <v>1724.9</v>
          </cell>
        </row>
        <row r="828">
          <cell r="B828" t="str">
            <v>AUG 2016</v>
          </cell>
          <cell r="C828" t="str">
            <v>LGCME561</v>
          </cell>
          <cell r="E828" t="str">
            <v>PSS</v>
          </cell>
          <cell r="F828">
            <v>-2825.43</v>
          </cell>
        </row>
        <row r="829">
          <cell r="B829" t="str">
            <v>AUG 2016</v>
          </cell>
          <cell r="C829" t="str">
            <v>LGCME561DS</v>
          </cell>
          <cell r="E829" t="str">
            <v>PSS</v>
          </cell>
          <cell r="F829">
            <v>13612589.359999999</v>
          </cell>
        </row>
        <row r="830">
          <cell r="B830" t="str">
            <v>AUG 2016</v>
          </cell>
          <cell r="C830" t="str">
            <v>LGCME561PF</v>
          </cell>
          <cell r="E830" t="str">
            <v>PSS</v>
          </cell>
          <cell r="F830">
            <v>2016216.57</v>
          </cell>
        </row>
        <row r="831">
          <cell r="B831" t="str">
            <v>AUG 2016</v>
          </cell>
          <cell r="C831" t="str">
            <v>LGCME563DS</v>
          </cell>
          <cell r="E831" t="str">
            <v>PSP</v>
          </cell>
          <cell r="F831">
            <v>731488.26</v>
          </cell>
        </row>
        <row r="832">
          <cell r="B832" t="str">
            <v>AUG 2016</v>
          </cell>
          <cell r="C832" t="str">
            <v>LGCME563PF</v>
          </cell>
          <cell r="E832" t="str">
            <v>PSP</v>
          </cell>
          <cell r="F832">
            <v>448816.56</v>
          </cell>
        </row>
        <row r="833">
          <cell r="B833" t="str">
            <v>AUG 2016</v>
          </cell>
          <cell r="C833" t="str">
            <v>LGCME567</v>
          </cell>
          <cell r="E833" t="str">
            <v>PSS</v>
          </cell>
          <cell r="F833">
            <v>12159.34</v>
          </cell>
        </row>
        <row r="834">
          <cell r="B834" t="str">
            <v>AUG 2016</v>
          </cell>
          <cell r="C834" t="str">
            <v>LGCME567PF</v>
          </cell>
          <cell r="E834" t="str">
            <v>PSS</v>
          </cell>
          <cell r="F834">
            <v>11763.37</v>
          </cell>
        </row>
        <row r="835">
          <cell r="B835" t="str">
            <v>AUG 2016</v>
          </cell>
          <cell r="C835" t="str">
            <v>LGCME591</v>
          </cell>
          <cell r="E835" t="str">
            <v>TODS</v>
          </cell>
          <cell r="F835">
            <v>6394227.5099999998</v>
          </cell>
        </row>
        <row r="836">
          <cell r="B836" t="str">
            <v>AUG 2016</v>
          </cell>
          <cell r="C836" t="str">
            <v>LGCME593</v>
          </cell>
          <cell r="E836" t="str">
            <v>CTODP</v>
          </cell>
          <cell r="F836">
            <v>4496512.3899999997</v>
          </cell>
        </row>
        <row r="837">
          <cell r="B837" t="str">
            <v>AUG 2016</v>
          </cell>
          <cell r="C837" t="str">
            <v>LGCME651</v>
          </cell>
          <cell r="E837" t="str">
            <v>GS3</v>
          </cell>
          <cell r="F837">
            <v>-492.21</v>
          </cell>
        </row>
        <row r="838">
          <cell r="B838" t="str">
            <v>AUG 2016</v>
          </cell>
          <cell r="C838" t="str">
            <v>LGCME651DS</v>
          </cell>
          <cell r="E838" t="str">
            <v>GS3</v>
          </cell>
          <cell r="F838">
            <v>10489330.23</v>
          </cell>
        </row>
        <row r="839">
          <cell r="B839" t="str">
            <v>AUG 2016</v>
          </cell>
          <cell r="C839" t="str">
            <v>LGCME652</v>
          </cell>
          <cell r="E839" t="str">
            <v>GS3</v>
          </cell>
          <cell r="F839">
            <v>197123.87</v>
          </cell>
        </row>
        <row r="840">
          <cell r="B840" t="str">
            <v>AUG 2016</v>
          </cell>
          <cell r="C840" t="str">
            <v>LGCME657</v>
          </cell>
          <cell r="E840" t="str">
            <v>GS3</v>
          </cell>
          <cell r="F840">
            <v>25442.1</v>
          </cell>
        </row>
        <row r="841">
          <cell r="B841" t="str">
            <v>AUG 2016</v>
          </cell>
          <cell r="C841" t="str">
            <v>LGCME671</v>
          </cell>
          <cell r="E841" t="str">
            <v>LWC</v>
          </cell>
          <cell r="F841">
            <v>294227.63</v>
          </cell>
        </row>
        <row r="842">
          <cell r="B842" t="str">
            <v>AUG 2016</v>
          </cell>
          <cell r="C842" t="str">
            <v>LGCSR790</v>
          </cell>
          <cell r="E842" t="str">
            <v>CSR</v>
          </cell>
          <cell r="F842">
            <v>-327783.87</v>
          </cell>
        </row>
        <row r="843">
          <cell r="B843" t="str">
            <v>AUG 2016</v>
          </cell>
          <cell r="C843" t="str">
            <v>LGINE000</v>
          </cell>
          <cell r="E843" t="str">
            <v>TS</v>
          </cell>
        </row>
        <row r="844">
          <cell r="B844" t="str">
            <v>AUG 2016</v>
          </cell>
          <cell r="C844" t="str">
            <v>LGINE551DS</v>
          </cell>
          <cell r="E844" t="str">
            <v>GSS</v>
          </cell>
          <cell r="F844">
            <v>20521.419999999998</v>
          </cell>
        </row>
        <row r="845">
          <cell r="B845" t="str">
            <v>AUG 2016</v>
          </cell>
          <cell r="C845" t="str">
            <v>LGINE599</v>
          </cell>
          <cell r="E845" t="str">
            <v>FK</v>
          </cell>
          <cell r="F845">
            <v>790309.01</v>
          </cell>
        </row>
        <row r="846">
          <cell r="B846" t="str">
            <v>AUG 2016</v>
          </cell>
          <cell r="C846" t="str">
            <v>LGINE643</v>
          </cell>
          <cell r="E846" t="str">
            <v>RTS</v>
          </cell>
          <cell r="F846">
            <v>5390911.8600000003</v>
          </cell>
        </row>
        <row r="847">
          <cell r="B847" t="str">
            <v>AUG 2016</v>
          </cell>
          <cell r="C847" t="str">
            <v>LGINE651DS</v>
          </cell>
          <cell r="E847" t="str">
            <v>GS3</v>
          </cell>
          <cell r="F847">
            <v>338874.45</v>
          </cell>
        </row>
        <row r="848">
          <cell r="B848" t="str">
            <v>AUG 2016</v>
          </cell>
          <cell r="C848" t="str">
            <v>LGINE661DS</v>
          </cell>
          <cell r="E848" t="str">
            <v>PSS</v>
          </cell>
          <cell r="F848">
            <v>175356.16</v>
          </cell>
        </row>
        <row r="849">
          <cell r="B849" t="str">
            <v>AUG 2016</v>
          </cell>
          <cell r="C849" t="str">
            <v>LGINE661PD</v>
          </cell>
          <cell r="E849" t="str">
            <v>PSS</v>
          </cell>
          <cell r="F849">
            <v>1705405.33</v>
          </cell>
        </row>
        <row r="850">
          <cell r="B850" t="str">
            <v>AUG 2016</v>
          </cell>
          <cell r="C850" t="str">
            <v>LGINE663PD</v>
          </cell>
          <cell r="E850" t="str">
            <v>PSP</v>
          </cell>
          <cell r="F850">
            <v>50574.38</v>
          </cell>
        </row>
        <row r="851">
          <cell r="B851" t="str">
            <v>AUG 2016</v>
          </cell>
          <cell r="C851" t="str">
            <v>LGINE691</v>
          </cell>
          <cell r="E851" t="str">
            <v>ITODS</v>
          </cell>
          <cell r="F851">
            <v>2116825.89</v>
          </cell>
        </row>
        <row r="852">
          <cell r="B852" t="str">
            <v>AUG 2016</v>
          </cell>
          <cell r="C852" t="str">
            <v>LGINE693</v>
          </cell>
          <cell r="E852" t="str">
            <v>ITODP</v>
          </cell>
          <cell r="F852">
            <v>6797171.7699999996</v>
          </cell>
        </row>
        <row r="853">
          <cell r="B853" t="str">
            <v>AUG 2016</v>
          </cell>
          <cell r="C853" t="str">
            <v>LGMLE570</v>
          </cell>
          <cell r="E853" t="str">
            <v>LE</v>
          </cell>
          <cell r="F853">
            <v>13.9</v>
          </cell>
        </row>
        <row r="854">
          <cell r="B854" t="str">
            <v>AUG 2016</v>
          </cell>
          <cell r="C854" t="str">
            <v>LGMLE571</v>
          </cell>
          <cell r="E854" t="str">
            <v>LE</v>
          </cell>
          <cell r="F854">
            <v>11272.47</v>
          </cell>
        </row>
        <row r="855">
          <cell r="B855" t="str">
            <v>AUG 2016</v>
          </cell>
          <cell r="C855" t="str">
            <v>LGMLE572</v>
          </cell>
          <cell r="E855" t="str">
            <v>LE</v>
          </cell>
          <cell r="F855">
            <v>5858.23</v>
          </cell>
        </row>
        <row r="856">
          <cell r="B856" t="str">
            <v>AUG 2016</v>
          </cell>
          <cell r="C856" t="str">
            <v>LGMLE573</v>
          </cell>
          <cell r="E856" t="str">
            <v>TE</v>
          </cell>
          <cell r="F856">
            <v>18546.169999999998</v>
          </cell>
        </row>
        <row r="857">
          <cell r="B857" t="str">
            <v>AUG 2016</v>
          </cell>
          <cell r="C857" t="str">
            <v>LGMLE574</v>
          </cell>
          <cell r="E857" t="str">
            <v>TE</v>
          </cell>
          <cell r="F857">
            <v>6116.38</v>
          </cell>
        </row>
        <row r="858">
          <cell r="B858" t="str">
            <v>AUG 2016</v>
          </cell>
          <cell r="C858" t="str">
            <v>LGRSE000</v>
          </cell>
          <cell r="E858" t="str">
            <v>TS</v>
          </cell>
        </row>
        <row r="859">
          <cell r="B859" t="str">
            <v>AUG 2016</v>
          </cell>
          <cell r="C859" t="str">
            <v>LGRSE411</v>
          </cell>
          <cell r="E859" t="str">
            <v>RS</v>
          </cell>
          <cell r="F859">
            <v>52886.76</v>
          </cell>
        </row>
        <row r="860">
          <cell r="B860" t="str">
            <v>AUG 2016</v>
          </cell>
          <cell r="C860" t="str">
            <v>LGRSE511</v>
          </cell>
          <cell r="E860" t="str">
            <v>RS</v>
          </cell>
          <cell r="F860">
            <v>51340627.369999997</v>
          </cell>
        </row>
        <row r="861">
          <cell r="B861" t="str">
            <v>AUG 2016</v>
          </cell>
          <cell r="C861" t="str">
            <v>LGRSE519</v>
          </cell>
          <cell r="E861" t="str">
            <v>RS</v>
          </cell>
          <cell r="F861">
            <v>25449.64</v>
          </cell>
        </row>
        <row r="862">
          <cell r="B862" t="str">
            <v>AUG 2016</v>
          </cell>
          <cell r="C862" t="str">
            <v>LGRSE521</v>
          </cell>
          <cell r="E862" t="str">
            <v>RTODE</v>
          </cell>
          <cell r="F862">
            <v>5386.69</v>
          </cell>
        </row>
        <row r="863">
          <cell r="B863" t="str">
            <v>AUG 2016</v>
          </cell>
          <cell r="C863" t="str">
            <v>LGRSE540</v>
          </cell>
          <cell r="E863" t="str">
            <v>VFD</v>
          </cell>
          <cell r="F863">
            <v>3378.61</v>
          </cell>
        </row>
        <row r="864">
          <cell r="B864" t="str">
            <v>AUG 2016</v>
          </cell>
          <cell r="C864" t="str">
            <v>LGUM_000</v>
          </cell>
          <cell r="E864" t="str">
            <v>TS</v>
          </cell>
        </row>
        <row r="865">
          <cell r="B865" t="str">
            <v>AUG 2016</v>
          </cell>
          <cell r="C865" t="str">
            <v>LGUM_201</v>
          </cell>
          <cell r="E865" t="str">
            <v>RLS</v>
          </cell>
          <cell r="F865">
            <v>706.31</v>
          </cell>
        </row>
        <row r="866">
          <cell r="B866" t="str">
            <v>AUG 2016</v>
          </cell>
          <cell r="C866" t="str">
            <v>LGUM_203</v>
          </cell>
          <cell r="E866" t="str">
            <v>RLS</v>
          </cell>
          <cell r="F866">
            <v>38226.47</v>
          </cell>
        </row>
        <row r="867">
          <cell r="B867" t="str">
            <v>AUG 2016</v>
          </cell>
          <cell r="C867" t="str">
            <v>LGUM_204</v>
          </cell>
          <cell r="E867" t="str">
            <v>RLS</v>
          </cell>
          <cell r="F867">
            <v>48378.74</v>
          </cell>
        </row>
        <row r="868">
          <cell r="B868" t="str">
            <v>AUG 2016</v>
          </cell>
          <cell r="C868" t="str">
            <v>LGUM_206</v>
          </cell>
          <cell r="E868" t="str">
            <v>RLS</v>
          </cell>
          <cell r="F868">
            <v>983.87</v>
          </cell>
        </row>
        <row r="869">
          <cell r="B869" t="str">
            <v>AUG 2016</v>
          </cell>
          <cell r="C869" t="str">
            <v>LGUM_207</v>
          </cell>
          <cell r="E869" t="str">
            <v>RLS</v>
          </cell>
          <cell r="F869">
            <v>11724.06</v>
          </cell>
        </row>
        <row r="870">
          <cell r="B870" t="str">
            <v>AUG 2016</v>
          </cell>
          <cell r="C870" t="str">
            <v>LGUM_208</v>
          </cell>
          <cell r="E870" t="str">
            <v>RLS</v>
          </cell>
          <cell r="F870">
            <v>20597.71</v>
          </cell>
        </row>
        <row r="871">
          <cell r="B871" t="str">
            <v>AUG 2016</v>
          </cell>
          <cell r="C871" t="str">
            <v>LGUM_209</v>
          </cell>
          <cell r="E871" t="str">
            <v>RLS</v>
          </cell>
          <cell r="F871">
            <v>952.08</v>
          </cell>
        </row>
        <row r="872">
          <cell r="B872" t="str">
            <v>AUG 2016</v>
          </cell>
          <cell r="C872" t="str">
            <v>LGUM_210</v>
          </cell>
          <cell r="E872" t="str">
            <v>RLS</v>
          </cell>
          <cell r="F872">
            <v>9621.51</v>
          </cell>
        </row>
        <row r="873">
          <cell r="B873" t="str">
            <v>AUG 2016</v>
          </cell>
          <cell r="C873" t="str">
            <v>LGUM_252</v>
          </cell>
          <cell r="E873" t="str">
            <v>RLS</v>
          </cell>
          <cell r="F873">
            <v>39040.629999999997</v>
          </cell>
        </row>
        <row r="874">
          <cell r="B874" t="str">
            <v>AUG 2016</v>
          </cell>
          <cell r="C874" t="str">
            <v>LGUM_266</v>
          </cell>
          <cell r="E874" t="str">
            <v>RLS</v>
          </cell>
          <cell r="F874">
            <v>61326.97</v>
          </cell>
        </row>
        <row r="875">
          <cell r="B875" t="str">
            <v>AUG 2016</v>
          </cell>
          <cell r="C875" t="str">
            <v>LGUM_267</v>
          </cell>
          <cell r="E875" t="str">
            <v>RLS</v>
          </cell>
          <cell r="F875">
            <v>78579.570000000007</v>
          </cell>
        </row>
        <row r="876">
          <cell r="B876" t="str">
            <v>AUG 2016</v>
          </cell>
          <cell r="C876" t="str">
            <v>LGUM_274</v>
          </cell>
          <cell r="E876" t="str">
            <v>RLS</v>
          </cell>
          <cell r="F876">
            <v>324651.73</v>
          </cell>
        </row>
        <row r="877">
          <cell r="B877" t="str">
            <v>AUG 2016</v>
          </cell>
          <cell r="C877" t="str">
            <v>LGUM_275</v>
          </cell>
          <cell r="E877" t="str">
            <v>RLS</v>
          </cell>
          <cell r="F877">
            <v>13191.09</v>
          </cell>
        </row>
        <row r="878">
          <cell r="B878" t="str">
            <v>AUG 2016</v>
          </cell>
          <cell r="C878" t="str">
            <v>LGUM_276</v>
          </cell>
          <cell r="E878" t="str">
            <v>RLS</v>
          </cell>
          <cell r="F878">
            <v>21676.54</v>
          </cell>
        </row>
        <row r="879">
          <cell r="B879" t="str">
            <v>AUG 2016</v>
          </cell>
          <cell r="C879" t="str">
            <v>LGUM_277</v>
          </cell>
          <cell r="E879" t="str">
            <v>RLS</v>
          </cell>
          <cell r="F879">
            <v>56426.45</v>
          </cell>
        </row>
        <row r="880">
          <cell r="B880" t="str">
            <v>AUG 2016</v>
          </cell>
          <cell r="C880" t="str">
            <v>LGUM_278</v>
          </cell>
          <cell r="E880" t="str">
            <v>RLS</v>
          </cell>
          <cell r="F880">
            <v>794.78</v>
          </cell>
        </row>
        <row r="881">
          <cell r="B881" t="str">
            <v>AUG 2016</v>
          </cell>
          <cell r="C881" t="str">
            <v>LGUM_279</v>
          </cell>
          <cell r="E881" t="str">
            <v>RLS</v>
          </cell>
          <cell r="F881">
            <v>280.82</v>
          </cell>
        </row>
        <row r="882">
          <cell r="B882" t="str">
            <v>AUG 2016</v>
          </cell>
          <cell r="C882" t="str">
            <v>LGUM_280</v>
          </cell>
          <cell r="E882" t="str">
            <v>RLS</v>
          </cell>
          <cell r="F882">
            <v>1754.68</v>
          </cell>
        </row>
        <row r="883">
          <cell r="B883" t="str">
            <v>AUG 2016</v>
          </cell>
          <cell r="C883" t="str">
            <v>LGUM_281</v>
          </cell>
          <cell r="E883" t="str">
            <v>RLS</v>
          </cell>
          <cell r="F883">
            <v>9410.3799999999992</v>
          </cell>
        </row>
        <row r="884">
          <cell r="B884" t="str">
            <v>AUG 2016</v>
          </cell>
          <cell r="C884" t="str">
            <v>LGUM_282</v>
          </cell>
          <cell r="E884" t="str">
            <v>RLS</v>
          </cell>
          <cell r="F884">
            <v>3320.37</v>
          </cell>
        </row>
        <row r="885">
          <cell r="B885" t="str">
            <v>AUG 2016</v>
          </cell>
          <cell r="C885" t="str">
            <v>LGUM_283</v>
          </cell>
          <cell r="E885" t="str">
            <v>RLS</v>
          </cell>
          <cell r="F885">
            <v>3636.64</v>
          </cell>
        </row>
        <row r="886">
          <cell r="B886" t="str">
            <v>AUG 2016</v>
          </cell>
          <cell r="C886" t="str">
            <v>LGUM_314</v>
          </cell>
          <cell r="E886" t="str">
            <v>RLS</v>
          </cell>
          <cell r="F886">
            <v>9288.16</v>
          </cell>
        </row>
        <row r="887">
          <cell r="B887" t="str">
            <v>AUG 2016</v>
          </cell>
          <cell r="C887" t="str">
            <v>LGUM_315</v>
          </cell>
          <cell r="E887" t="str">
            <v>RLS</v>
          </cell>
          <cell r="F887">
            <v>11034.37</v>
          </cell>
        </row>
        <row r="888">
          <cell r="B888" t="str">
            <v>AUG 2016</v>
          </cell>
          <cell r="C888" t="str">
            <v>LGUM_318</v>
          </cell>
          <cell r="E888" t="str">
            <v>RLS</v>
          </cell>
          <cell r="F888">
            <v>886.63</v>
          </cell>
        </row>
        <row r="889">
          <cell r="B889" t="str">
            <v>AUG 2016</v>
          </cell>
          <cell r="C889" t="str">
            <v>LGUM_348</v>
          </cell>
          <cell r="E889" t="str">
            <v>RLS</v>
          </cell>
          <cell r="F889">
            <v>563.42999999999995</v>
          </cell>
        </row>
        <row r="890">
          <cell r="B890" t="str">
            <v>AUG 2016</v>
          </cell>
          <cell r="C890" t="str">
            <v>LGUM_349</v>
          </cell>
          <cell r="E890" t="str">
            <v>RLS</v>
          </cell>
          <cell r="F890">
            <v>169.76</v>
          </cell>
        </row>
        <row r="891">
          <cell r="B891" t="str">
            <v>AUG 2016</v>
          </cell>
          <cell r="C891" t="str">
            <v>LGUM_400</v>
          </cell>
          <cell r="E891" t="str">
            <v xml:space="preserve">LS </v>
          </cell>
          <cell r="F891">
            <v>1569.37</v>
          </cell>
        </row>
        <row r="892">
          <cell r="B892" t="str">
            <v>AUG 2016</v>
          </cell>
          <cell r="C892" t="str">
            <v>LGUM_401</v>
          </cell>
          <cell r="E892" t="str">
            <v xml:space="preserve">LS </v>
          </cell>
          <cell r="F892">
            <v>900.75</v>
          </cell>
        </row>
        <row r="893">
          <cell r="B893" t="str">
            <v>AUG 2016</v>
          </cell>
          <cell r="C893" t="str">
            <v>LGUM_412</v>
          </cell>
          <cell r="E893" t="str">
            <v xml:space="preserve">LS </v>
          </cell>
          <cell r="F893">
            <v>4797.66</v>
          </cell>
        </row>
        <row r="894">
          <cell r="B894" t="str">
            <v>AUG 2016</v>
          </cell>
          <cell r="C894" t="str">
            <v>LGUM_413</v>
          </cell>
          <cell r="E894" t="str">
            <v xml:space="preserve">LS </v>
          </cell>
          <cell r="F894">
            <v>60142.59</v>
          </cell>
        </row>
        <row r="895">
          <cell r="B895" t="str">
            <v>AUG 2016</v>
          </cell>
          <cell r="C895" t="str">
            <v>LGUM_415</v>
          </cell>
          <cell r="E895" t="str">
            <v xml:space="preserve">LS </v>
          </cell>
          <cell r="F895">
            <v>1044.19</v>
          </cell>
        </row>
        <row r="896">
          <cell r="B896" t="str">
            <v>AUG 2016</v>
          </cell>
          <cell r="C896" t="str">
            <v>LGUM_416</v>
          </cell>
          <cell r="E896" t="str">
            <v xml:space="preserve">LS </v>
          </cell>
          <cell r="F896">
            <v>50247.29</v>
          </cell>
        </row>
        <row r="897">
          <cell r="B897" t="str">
            <v>AUG 2016</v>
          </cell>
          <cell r="C897" t="str">
            <v>LGUM_417</v>
          </cell>
          <cell r="E897" t="str">
            <v>RLS</v>
          </cell>
          <cell r="F897">
            <v>1269.7</v>
          </cell>
        </row>
        <row r="898">
          <cell r="B898" t="str">
            <v>AUG 2016</v>
          </cell>
          <cell r="C898" t="str">
            <v>LGUM_419</v>
          </cell>
          <cell r="E898" t="str">
            <v>RLS</v>
          </cell>
          <cell r="F898">
            <v>3273.78</v>
          </cell>
        </row>
        <row r="899">
          <cell r="B899" t="str">
            <v>AUG 2016</v>
          </cell>
          <cell r="C899" t="str">
            <v>LGUM_420</v>
          </cell>
          <cell r="E899" t="str">
            <v xml:space="preserve">LS </v>
          </cell>
          <cell r="F899">
            <v>2002.06</v>
          </cell>
        </row>
        <row r="900">
          <cell r="B900" t="str">
            <v>AUG 2016</v>
          </cell>
          <cell r="C900" t="str">
            <v>LGUM_421</v>
          </cell>
          <cell r="E900" t="str">
            <v xml:space="preserve">LS </v>
          </cell>
          <cell r="F900">
            <v>7799.83</v>
          </cell>
        </row>
        <row r="901">
          <cell r="B901" t="str">
            <v>AUG 2016</v>
          </cell>
          <cell r="C901" t="str">
            <v>LGUM_422</v>
          </cell>
          <cell r="E901" t="str">
            <v xml:space="preserve">LS </v>
          </cell>
          <cell r="F901">
            <v>18394.32</v>
          </cell>
        </row>
        <row r="902">
          <cell r="B902" t="str">
            <v>AUG 2016</v>
          </cell>
          <cell r="C902" t="str">
            <v>LGUM_423</v>
          </cell>
          <cell r="E902" t="str">
            <v xml:space="preserve">LS </v>
          </cell>
          <cell r="F902">
            <v>600.05999999999995</v>
          </cell>
        </row>
        <row r="903">
          <cell r="B903" t="str">
            <v>AUG 2016</v>
          </cell>
          <cell r="C903" t="str">
            <v>LGUM_424</v>
          </cell>
          <cell r="E903" t="str">
            <v xml:space="preserve">LS </v>
          </cell>
          <cell r="F903">
            <v>19412.36</v>
          </cell>
        </row>
        <row r="904">
          <cell r="B904" t="str">
            <v>AUG 2016</v>
          </cell>
          <cell r="C904" t="str">
            <v>LGUM_425</v>
          </cell>
          <cell r="E904" t="str">
            <v xml:space="preserve">LS </v>
          </cell>
          <cell r="F904">
            <v>1654.44</v>
          </cell>
        </row>
        <row r="905">
          <cell r="B905" t="str">
            <v>AUG 2016</v>
          </cell>
          <cell r="C905" t="str">
            <v>LGUM_426</v>
          </cell>
          <cell r="E905" t="str">
            <v>RLS</v>
          </cell>
          <cell r="F905">
            <v>1221.04</v>
          </cell>
        </row>
        <row r="906">
          <cell r="B906" t="str">
            <v>AUG 2016</v>
          </cell>
          <cell r="C906" t="str">
            <v>LGUM_427</v>
          </cell>
          <cell r="E906" t="str">
            <v xml:space="preserve">LS </v>
          </cell>
          <cell r="F906">
            <v>2108.5500000000002</v>
          </cell>
        </row>
        <row r="907">
          <cell r="B907" t="str">
            <v>AUG 2016</v>
          </cell>
          <cell r="C907" t="str">
            <v>LGUM_428</v>
          </cell>
          <cell r="E907" t="str">
            <v>RLS</v>
          </cell>
          <cell r="F907">
            <v>11441.67</v>
          </cell>
        </row>
        <row r="908">
          <cell r="B908" t="str">
            <v>AUG 2016</v>
          </cell>
          <cell r="C908" t="str">
            <v>LGUM_429</v>
          </cell>
          <cell r="E908" t="str">
            <v xml:space="preserve">LS </v>
          </cell>
          <cell r="F908">
            <v>11160.79</v>
          </cell>
        </row>
        <row r="909">
          <cell r="B909" t="str">
            <v>AUG 2016</v>
          </cell>
          <cell r="C909" t="str">
            <v>LGUM_430</v>
          </cell>
          <cell r="E909" t="str">
            <v>RLS</v>
          </cell>
          <cell r="F909">
            <v>453.66</v>
          </cell>
        </row>
        <row r="910">
          <cell r="B910" t="str">
            <v>AUG 2016</v>
          </cell>
          <cell r="C910" t="str">
            <v>LGUM_431</v>
          </cell>
          <cell r="E910" t="str">
            <v xml:space="preserve">LS </v>
          </cell>
          <cell r="F910">
            <v>2013.61</v>
          </cell>
        </row>
        <row r="911">
          <cell r="B911" t="str">
            <v>AUG 2016</v>
          </cell>
          <cell r="C911" t="str">
            <v>LGUM_432</v>
          </cell>
          <cell r="E911" t="str">
            <v>RLS</v>
          </cell>
          <cell r="F911">
            <v>374.65</v>
          </cell>
        </row>
        <row r="912">
          <cell r="B912" t="str">
            <v>AUG 2016</v>
          </cell>
          <cell r="C912" t="str">
            <v>LGUM_433</v>
          </cell>
          <cell r="E912" t="str">
            <v xml:space="preserve">LS </v>
          </cell>
          <cell r="F912">
            <v>11312.52</v>
          </cell>
        </row>
        <row r="913">
          <cell r="B913" t="str">
            <v>AUG 2016</v>
          </cell>
          <cell r="C913" t="str">
            <v>LGUM_440</v>
          </cell>
          <cell r="E913" t="str">
            <v xml:space="preserve">LS </v>
          </cell>
          <cell r="F913">
            <v>524.63</v>
          </cell>
        </row>
        <row r="914">
          <cell r="B914" t="str">
            <v>AUG 2016</v>
          </cell>
          <cell r="C914" t="str">
            <v>LGUM_441</v>
          </cell>
          <cell r="E914" t="str">
            <v xml:space="preserve">LS </v>
          </cell>
          <cell r="F914">
            <v>1248.69</v>
          </cell>
        </row>
        <row r="915">
          <cell r="B915" t="str">
            <v>AUG 2016</v>
          </cell>
          <cell r="C915" t="str">
            <v>LGUM_444</v>
          </cell>
          <cell r="E915" t="str">
            <v xml:space="preserve">LS </v>
          </cell>
          <cell r="F915">
            <v>249.37</v>
          </cell>
        </row>
        <row r="916">
          <cell r="B916" t="str">
            <v>AUG 2016</v>
          </cell>
          <cell r="C916" t="str">
            <v>LGUM_445</v>
          </cell>
          <cell r="E916" t="str">
            <v xml:space="preserve">LS </v>
          </cell>
          <cell r="F916">
            <v>469.37</v>
          </cell>
        </row>
        <row r="917">
          <cell r="B917" t="str">
            <v>AUG 2016</v>
          </cell>
          <cell r="C917" t="str">
            <v>LGUM_452</v>
          </cell>
          <cell r="E917" t="str">
            <v xml:space="preserve">LS </v>
          </cell>
          <cell r="F917">
            <v>100510.51</v>
          </cell>
        </row>
        <row r="918">
          <cell r="B918" t="str">
            <v>AUG 2016</v>
          </cell>
          <cell r="C918" t="str">
            <v>LGUM_453</v>
          </cell>
          <cell r="E918" t="str">
            <v xml:space="preserve">LS </v>
          </cell>
          <cell r="F918">
            <v>177966.37</v>
          </cell>
        </row>
        <row r="919">
          <cell r="B919" t="str">
            <v>AUG 2016</v>
          </cell>
          <cell r="C919" t="str">
            <v>LGUM_454</v>
          </cell>
          <cell r="E919" t="str">
            <v xml:space="preserve">LS </v>
          </cell>
          <cell r="F919">
            <v>109257.43</v>
          </cell>
        </row>
        <row r="920">
          <cell r="B920" t="str">
            <v>AUG 2016</v>
          </cell>
          <cell r="C920" t="str">
            <v>LGUM_455</v>
          </cell>
          <cell r="E920" t="str">
            <v xml:space="preserve">LS </v>
          </cell>
          <cell r="F920">
            <v>6516.53</v>
          </cell>
        </row>
        <row r="921">
          <cell r="B921" t="str">
            <v>AUG 2016</v>
          </cell>
          <cell r="C921" t="str">
            <v>LGUM_456</v>
          </cell>
          <cell r="E921" t="str">
            <v xml:space="preserve">LS </v>
          </cell>
          <cell r="F921">
            <v>269565.09999999998</v>
          </cell>
        </row>
        <row r="922">
          <cell r="B922" t="str">
            <v>AUG 2016</v>
          </cell>
          <cell r="C922" t="str">
            <v>LGUM_457</v>
          </cell>
          <cell r="E922" t="str">
            <v xml:space="preserve">LS </v>
          </cell>
          <cell r="F922">
            <v>46612.18</v>
          </cell>
        </row>
        <row r="923">
          <cell r="B923" t="str">
            <v>AUG 2016</v>
          </cell>
          <cell r="C923" t="str">
            <v>LGUM_470</v>
          </cell>
          <cell r="E923" t="str">
            <v xml:space="preserve">LS </v>
          </cell>
          <cell r="F923">
            <v>609.91</v>
          </cell>
        </row>
        <row r="924">
          <cell r="B924" t="str">
            <v>AUG 2016</v>
          </cell>
          <cell r="C924" t="str">
            <v>LGUM_471</v>
          </cell>
          <cell r="E924" t="str">
            <v>RLS</v>
          </cell>
          <cell r="F924">
            <v>134.44999999999999</v>
          </cell>
        </row>
        <row r="925">
          <cell r="B925" t="str">
            <v>AUG 2016</v>
          </cell>
          <cell r="C925" t="str">
            <v>LGUM_473</v>
          </cell>
          <cell r="E925" t="str">
            <v xml:space="preserve">LS </v>
          </cell>
          <cell r="F925">
            <v>16015.69</v>
          </cell>
        </row>
        <row r="926">
          <cell r="B926" t="str">
            <v>AUG 2016</v>
          </cell>
          <cell r="C926" t="str">
            <v>LGUM_474</v>
          </cell>
          <cell r="E926" t="str">
            <v>RLS</v>
          </cell>
          <cell r="F926">
            <v>1113.92</v>
          </cell>
        </row>
        <row r="927">
          <cell r="B927" t="str">
            <v>AUG 2016</v>
          </cell>
          <cell r="C927" t="str">
            <v>LGUM_475</v>
          </cell>
          <cell r="E927" t="str">
            <v>RLS</v>
          </cell>
          <cell r="F927">
            <v>61.86</v>
          </cell>
        </row>
        <row r="928">
          <cell r="B928" t="str">
            <v>AUG 2016</v>
          </cell>
          <cell r="C928" t="str">
            <v>LGUM_476</v>
          </cell>
          <cell r="E928" t="str">
            <v xml:space="preserve">LS </v>
          </cell>
          <cell r="F928">
            <v>26206.15</v>
          </cell>
        </row>
        <row r="929">
          <cell r="B929" t="str">
            <v>AUG 2016</v>
          </cell>
          <cell r="C929" t="str">
            <v>LGUM_477</v>
          </cell>
          <cell r="E929" t="str">
            <v>RLS</v>
          </cell>
          <cell r="F929">
            <v>2851</v>
          </cell>
        </row>
        <row r="930">
          <cell r="B930" t="str">
            <v>AUG 2016</v>
          </cell>
          <cell r="C930" t="str">
            <v>LGUM_480</v>
          </cell>
          <cell r="E930" t="str">
            <v xml:space="preserve">LS </v>
          </cell>
          <cell r="F930">
            <v>598.02</v>
          </cell>
        </row>
        <row r="931">
          <cell r="B931" t="str">
            <v>AUG 2016</v>
          </cell>
          <cell r="C931" t="str">
            <v>LGUM_481</v>
          </cell>
          <cell r="E931" t="str">
            <v xml:space="preserve">LS </v>
          </cell>
          <cell r="F931">
            <v>270.8</v>
          </cell>
        </row>
        <row r="932">
          <cell r="B932" t="str">
            <v>AUG 2016</v>
          </cell>
          <cell r="C932" t="str">
            <v>LGUM_482</v>
          </cell>
          <cell r="E932" t="str">
            <v xml:space="preserve">LS </v>
          </cell>
          <cell r="F932">
            <v>3871.42</v>
          </cell>
        </row>
        <row r="933">
          <cell r="B933" t="str">
            <v>AUG 2016</v>
          </cell>
          <cell r="C933" t="str">
            <v>LGUM_483</v>
          </cell>
          <cell r="E933" t="str">
            <v xml:space="preserve">LS </v>
          </cell>
          <cell r="F933">
            <v>326.8</v>
          </cell>
        </row>
        <row r="934">
          <cell r="B934" t="str">
            <v>AUG 2016</v>
          </cell>
          <cell r="C934" t="str">
            <v>LGUM_484</v>
          </cell>
          <cell r="E934" t="str">
            <v xml:space="preserve">LS </v>
          </cell>
          <cell r="F934">
            <v>3868.34</v>
          </cell>
        </row>
      </sheetData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6" tint="-0.499984740745262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90" verticalDpi="9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39997558519241921"/>
  </sheetPr>
  <dimension ref="A1:BO351"/>
  <sheetViews>
    <sheetView zoomScale="90" zoomScaleNormal="90" workbookViewId="0">
      <selection activeCell="E12" sqref="E12"/>
    </sheetView>
  </sheetViews>
  <sheetFormatPr defaultRowHeight="15" x14ac:dyDescent="0.25"/>
  <cols>
    <col min="1" max="2" width="9.140625" style="21"/>
    <col min="3" max="3" width="14" style="21" bestFit="1" customWidth="1"/>
    <col min="4" max="4" width="9.140625" style="21"/>
    <col min="5" max="5" width="17.28515625" style="21" customWidth="1"/>
    <col min="6" max="8" width="11.85546875" style="21" customWidth="1"/>
    <col min="9" max="9" width="13.85546875" style="21" customWidth="1"/>
    <col min="10" max="10" width="11.42578125" style="21" customWidth="1"/>
    <col min="11" max="11" width="11.140625" style="21" customWidth="1"/>
    <col min="12" max="20" width="10.5703125" style="21" customWidth="1"/>
    <col min="21" max="21" width="17" style="21" customWidth="1"/>
    <col min="22" max="22" width="14.42578125" style="21" customWidth="1"/>
    <col min="23" max="23" width="15.28515625" style="21" customWidth="1"/>
    <col min="24" max="24" width="16.42578125" style="21" customWidth="1"/>
    <col min="25" max="25" width="15.5703125" style="21" customWidth="1"/>
    <col min="26" max="26" width="17.28515625" style="21" customWidth="1"/>
    <col min="27" max="27" width="10.28515625" style="21" customWidth="1"/>
    <col min="28" max="28" width="9.42578125" style="21" customWidth="1"/>
    <col min="29" max="29" width="13.5703125" style="21" bestFit="1" customWidth="1"/>
    <col min="30" max="30" width="13.85546875" style="21" customWidth="1"/>
    <col min="31" max="32" width="10.42578125" style="21" customWidth="1"/>
    <col min="33" max="33" width="13.7109375" style="21" customWidth="1"/>
    <col min="34" max="34" width="11.140625" style="21" customWidth="1"/>
    <col min="35" max="35" width="11.7109375" style="21" customWidth="1"/>
    <col min="36" max="36" width="11.5703125" style="21" customWidth="1"/>
    <col min="37" max="37" width="13.7109375" style="21" customWidth="1"/>
    <col min="38" max="38" width="9.28515625" style="21" customWidth="1"/>
    <col min="39" max="39" width="13.140625" style="21" customWidth="1"/>
    <col min="40" max="40" width="16" style="21" customWidth="1"/>
    <col min="41" max="41" width="15" style="21" customWidth="1"/>
    <col min="42" max="42" width="16" style="21" customWidth="1"/>
    <col min="43" max="43" width="15.42578125" style="21" customWidth="1"/>
    <col min="44" max="44" width="17.140625" style="21" customWidth="1"/>
    <col min="45" max="45" width="15" style="21" customWidth="1"/>
    <col min="46" max="46" width="14" style="21" customWidth="1"/>
    <col min="47" max="47" width="14.5703125" style="21" bestFit="1" customWidth="1"/>
    <col min="48" max="48" width="15" style="21" customWidth="1"/>
    <col min="49" max="49" width="14.42578125" style="21" customWidth="1"/>
    <col min="50" max="50" width="17.28515625" style="21" customWidth="1"/>
    <col min="51" max="51" width="17.140625" style="21" bestFit="1" customWidth="1"/>
    <col min="52" max="52" width="15.85546875" style="21" customWidth="1"/>
    <col min="53" max="53" width="15" style="21" bestFit="1" customWidth="1"/>
    <col min="54" max="54" width="17.140625" style="21" bestFit="1" customWidth="1"/>
    <col min="55" max="55" width="14.42578125" style="21" bestFit="1" customWidth="1"/>
    <col min="56" max="56" width="13.140625" style="21" bestFit="1" customWidth="1"/>
    <col min="57" max="57" width="16.42578125" style="21" bestFit="1" customWidth="1"/>
    <col min="58" max="58" width="16" style="21" bestFit="1" customWidth="1"/>
    <col min="59" max="59" width="15" style="21" bestFit="1" customWidth="1"/>
    <col min="60" max="60" width="16.5703125" style="21" bestFit="1" customWidth="1"/>
    <col min="61" max="61" width="14.28515625" bestFit="1" customWidth="1"/>
    <col min="62" max="62" width="16" customWidth="1"/>
    <col min="63" max="63" width="14.42578125" bestFit="1" customWidth="1"/>
    <col min="64" max="64" width="15.42578125" bestFit="1" customWidth="1"/>
    <col min="65" max="65" width="14" customWidth="1"/>
  </cols>
  <sheetData>
    <row r="1" spans="1:67" s="21" customFormat="1" x14ac:dyDescent="0.25">
      <c r="A1" s="13"/>
      <c r="B1" s="13"/>
      <c r="C1" s="13"/>
      <c r="D1" s="14"/>
      <c r="E1" s="14"/>
      <c r="F1" s="25"/>
      <c r="G1" s="25"/>
      <c r="H1" s="25"/>
      <c r="I1" s="25"/>
      <c r="J1" s="25"/>
      <c r="K1" s="25"/>
      <c r="L1" s="28"/>
      <c r="M1" s="28"/>
      <c r="N1" s="28"/>
      <c r="O1" s="28"/>
      <c r="P1" s="28"/>
      <c r="Q1" s="28"/>
      <c r="R1" s="28"/>
      <c r="S1" s="28"/>
      <c r="T1" s="28"/>
      <c r="U1" s="25"/>
      <c r="V1" s="25"/>
      <c r="W1" s="36"/>
      <c r="X1" s="36"/>
      <c r="Y1" s="25"/>
      <c r="Z1" s="25"/>
      <c r="AA1" s="25"/>
      <c r="AB1" s="25"/>
      <c r="AC1" s="25"/>
      <c r="AD1" s="25"/>
      <c r="AE1" s="45"/>
      <c r="AF1" s="45"/>
      <c r="AG1" s="45"/>
      <c r="AH1" s="45"/>
      <c r="AI1" s="45"/>
      <c r="AJ1" s="45"/>
      <c r="AK1" s="45"/>
      <c r="AL1" s="45"/>
      <c r="AM1" s="45"/>
      <c r="AN1" s="25"/>
      <c r="AO1" s="36"/>
      <c r="AP1" s="36"/>
      <c r="AQ1" s="25"/>
      <c r="AR1" s="25"/>
      <c r="AS1" s="25"/>
      <c r="AT1" s="25"/>
      <c r="AU1" s="25"/>
      <c r="AV1" s="25"/>
      <c r="AW1" s="25"/>
      <c r="AX1" s="28"/>
      <c r="AY1" s="28"/>
      <c r="AZ1" s="28"/>
      <c r="BA1" s="28"/>
      <c r="BB1" s="28"/>
      <c r="BC1" s="28"/>
      <c r="BD1" s="28"/>
      <c r="BE1" s="28"/>
      <c r="BF1" s="28"/>
      <c r="BG1" s="28"/>
      <c r="BI1"/>
      <c r="BJ1"/>
      <c r="BK1"/>
      <c r="BL1"/>
      <c r="BM1"/>
      <c r="BN1"/>
      <c r="BO1"/>
    </row>
    <row r="2" spans="1:67" s="21" customFormat="1" x14ac:dyDescent="0.25">
      <c r="A2" s="13"/>
      <c r="B2" s="13"/>
      <c r="C2" s="13"/>
      <c r="D2" s="14"/>
      <c r="E2" s="14"/>
      <c r="F2" s="25"/>
      <c r="G2" s="25"/>
      <c r="H2" s="25"/>
      <c r="I2" s="25"/>
      <c r="J2" s="25"/>
      <c r="K2" s="25"/>
      <c r="L2" s="28"/>
      <c r="M2" s="28"/>
      <c r="N2" s="28"/>
      <c r="O2" s="28"/>
      <c r="P2" s="28"/>
      <c r="Q2" s="28"/>
      <c r="R2" s="28"/>
      <c r="S2" s="28"/>
      <c r="T2" s="28"/>
      <c r="U2" s="25"/>
      <c r="V2" s="25"/>
      <c r="W2" s="25"/>
      <c r="X2" s="25"/>
      <c r="Y2" s="25"/>
      <c r="Z2" s="25"/>
      <c r="AA2" s="25"/>
      <c r="AB2" s="25"/>
      <c r="AC2" s="25"/>
      <c r="AD2" s="25"/>
      <c r="AE2" s="45"/>
      <c r="AF2" s="45"/>
      <c r="AG2" s="45"/>
      <c r="AH2" s="45"/>
      <c r="AI2" s="45"/>
      <c r="AJ2" s="45"/>
      <c r="AK2" s="45"/>
      <c r="AL2" s="45"/>
      <c r="AM2" s="4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8"/>
      <c r="AY2" s="28"/>
      <c r="AZ2" s="28"/>
      <c r="BA2" s="28"/>
      <c r="BB2" s="28"/>
      <c r="BC2" s="28"/>
      <c r="BD2" s="28"/>
      <c r="BE2" s="28"/>
      <c r="BF2" s="28"/>
      <c r="BG2" s="28"/>
      <c r="BI2"/>
      <c r="BJ2"/>
      <c r="BK2"/>
      <c r="BL2"/>
      <c r="BM2"/>
      <c r="BN2"/>
      <c r="BO2"/>
    </row>
    <row r="3" spans="1:67" s="59" customFormat="1" x14ac:dyDescent="0.25">
      <c r="A3" s="14">
        <v>1</v>
      </c>
      <c r="B3" s="14">
        <f>1+A3</f>
        <v>2</v>
      </c>
      <c r="C3" s="14">
        <f>1+B3</f>
        <v>3</v>
      </c>
      <c r="D3" s="14">
        <f>1+C3</f>
        <v>4</v>
      </c>
      <c r="E3" s="14">
        <f>1+D3</f>
        <v>5</v>
      </c>
      <c r="F3" s="56">
        <f t="shared" ref="F3:L3" si="0">+E3+1</f>
        <v>6</v>
      </c>
      <c r="G3" s="56">
        <f t="shared" si="0"/>
        <v>7</v>
      </c>
      <c r="H3" s="56">
        <f t="shared" si="0"/>
        <v>8</v>
      </c>
      <c r="I3" s="56">
        <f t="shared" si="0"/>
        <v>9</v>
      </c>
      <c r="J3" s="56">
        <f t="shared" si="0"/>
        <v>10</v>
      </c>
      <c r="K3" s="56">
        <f t="shared" si="0"/>
        <v>11</v>
      </c>
      <c r="L3" s="460">
        <f t="shared" si="0"/>
        <v>12</v>
      </c>
      <c r="M3" s="460">
        <f t="shared" ref="M3:T3" si="1">+L3+1</f>
        <v>13</v>
      </c>
      <c r="N3" s="460">
        <f t="shared" si="1"/>
        <v>14</v>
      </c>
      <c r="O3" s="460">
        <f t="shared" si="1"/>
        <v>15</v>
      </c>
      <c r="P3" s="460">
        <f t="shared" si="1"/>
        <v>16</v>
      </c>
      <c r="Q3" s="460">
        <f t="shared" si="1"/>
        <v>17</v>
      </c>
      <c r="R3" s="460">
        <f t="shared" si="1"/>
        <v>18</v>
      </c>
      <c r="S3" s="460">
        <f t="shared" si="1"/>
        <v>19</v>
      </c>
      <c r="T3" s="460">
        <f t="shared" si="1"/>
        <v>20</v>
      </c>
      <c r="U3" s="56">
        <f>+T3+1</f>
        <v>21</v>
      </c>
      <c r="V3" s="56">
        <f t="shared" ref="V3:AD3" si="2">+U3+1</f>
        <v>22</v>
      </c>
      <c r="W3" s="56">
        <f t="shared" si="2"/>
        <v>23</v>
      </c>
      <c r="X3" s="56">
        <f t="shared" si="2"/>
        <v>24</v>
      </c>
      <c r="Y3" s="56">
        <f t="shared" si="2"/>
        <v>25</v>
      </c>
      <c r="Z3" s="56">
        <f t="shared" si="2"/>
        <v>26</v>
      </c>
      <c r="AA3" s="56">
        <f t="shared" si="2"/>
        <v>27</v>
      </c>
      <c r="AB3" s="56">
        <f t="shared" si="2"/>
        <v>28</v>
      </c>
      <c r="AC3" s="56">
        <f t="shared" si="2"/>
        <v>29</v>
      </c>
      <c r="AD3" s="56">
        <f t="shared" si="2"/>
        <v>30</v>
      </c>
      <c r="AE3" s="53">
        <f>+AD3+1</f>
        <v>31</v>
      </c>
      <c r="AF3" s="53">
        <f>+AE3+1</f>
        <v>32</v>
      </c>
      <c r="AG3" s="53">
        <f t="shared" ref="AG3:AM3" si="3">+AF3+1</f>
        <v>33</v>
      </c>
      <c r="AH3" s="53">
        <f t="shared" si="3"/>
        <v>34</v>
      </c>
      <c r="AI3" s="53">
        <f t="shared" si="3"/>
        <v>35</v>
      </c>
      <c r="AJ3" s="53">
        <f t="shared" si="3"/>
        <v>36</v>
      </c>
      <c r="AK3" s="53">
        <f t="shared" si="3"/>
        <v>37</v>
      </c>
      <c r="AL3" s="53">
        <f t="shared" si="3"/>
        <v>38</v>
      </c>
      <c r="AM3" s="53">
        <f t="shared" si="3"/>
        <v>39</v>
      </c>
      <c r="AN3" s="56">
        <f>+AM3+1</f>
        <v>40</v>
      </c>
      <c r="AO3" s="56">
        <f t="shared" ref="AO3:AT3" si="4">+AN3+1</f>
        <v>41</v>
      </c>
      <c r="AP3" s="56">
        <f t="shared" si="4"/>
        <v>42</v>
      </c>
      <c r="AQ3" s="56">
        <f t="shared" si="4"/>
        <v>43</v>
      </c>
      <c r="AR3" s="56">
        <f t="shared" si="4"/>
        <v>44</v>
      </c>
      <c r="AS3" s="56">
        <f t="shared" si="4"/>
        <v>45</v>
      </c>
      <c r="AT3" s="56">
        <f t="shared" si="4"/>
        <v>46</v>
      </c>
      <c r="AU3" s="56">
        <f>+AT3+1</f>
        <v>47</v>
      </c>
      <c r="AV3" s="56">
        <f>+AU3+1</f>
        <v>48</v>
      </c>
      <c r="AW3" s="56">
        <f>+AV3+1</f>
        <v>49</v>
      </c>
      <c r="AX3" s="460">
        <f>1+AW3</f>
        <v>50</v>
      </c>
      <c r="AY3" s="460">
        <f t="shared" ref="AY3:BG3" si="5">1+AX3</f>
        <v>51</v>
      </c>
      <c r="AZ3" s="460">
        <f t="shared" si="5"/>
        <v>52</v>
      </c>
      <c r="BA3" s="460">
        <f t="shared" si="5"/>
        <v>53</v>
      </c>
      <c r="BB3" s="460">
        <f t="shared" si="5"/>
        <v>54</v>
      </c>
      <c r="BC3" s="460">
        <f t="shared" si="5"/>
        <v>55</v>
      </c>
      <c r="BD3" s="460">
        <f t="shared" si="5"/>
        <v>56</v>
      </c>
      <c r="BE3" s="460">
        <f t="shared" si="5"/>
        <v>57</v>
      </c>
      <c r="BF3" s="460">
        <f t="shared" si="5"/>
        <v>58</v>
      </c>
      <c r="BG3" s="460">
        <f t="shared" si="5"/>
        <v>59</v>
      </c>
      <c r="BH3" s="460">
        <f>1+BG3</f>
        <v>60</v>
      </c>
      <c r="BI3"/>
      <c r="BJ3"/>
      <c r="BK3"/>
      <c r="BL3"/>
      <c r="BM3"/>
      <c r="BN3"/>
      <c r="BO3"/>
    </row>
    <row r="4" spans="1:67" s="21" customFormat="1" x14ac:dyDescent="0.25">
      <c r="A4" s="15"/>
      <c r="B4" s="16"/>
      <c r="C4" s="16"/>
      <c r="D4" s="16"/>
      <c r="E4" s="16"/>
      <c r="F4" s="26" t="s">
        <v>176</v>
      </c>
      <c r="G4" s="26"/>
      <c r="H4" s="26"/>
      <c r="I4" s="27"/>
      <c r="J4" s="27"/>
      <c r="K4" s="27"/>
      <c r="L4" s="29" t="s">
        <v>174</v>
      </c>
      <c r="M4" s="30"/>
      <c r="N4" s="30"/>
      <c r="O4" s="30"/>
      <c r="P4" s="30"/>
      <c r="Q4" s="30"/>
      <c r="R4" s="30"/>
      <c r="S4" s="30"/>
      <c r="T4" s="30"/>
      <c r="U4" s="26" t="s">
        <v>181</v>
      </c>
      <c r="V4" s="26"/>
      <c r="W4" s="27"/>
      <c r="X4" s="27"/>
      <c r="Y4" s="27"/>
      <c r="Z4" s="27"/>
      <c r="AA4" s="37"/>
      <c r="AB4" s="37"/>
      <c r="AC4" s="27"/>
      <c r="AD4" s="27"/>
      <c r="AE4" s="49" t="s">
        <v>191</v>
      </c>
      <c r="AF4" s="49"/>
      <c r="AG4" s="49"/>
      <c r="AH4" s="46"/>
      <c r="AI4" s="46"/>
      <c r="AJ4" s="46"/>
      <c r="AK4" s="46"/>
      <c r="AL4" s="46"/>
      <c r="AM4" s="46"/>
      <c r="AN4" s="26" t="s">
        <v>181</v>
      </c>
      <c r="AO4" s="27"/>
      <c r="AP4" s="27"/>
      <c r="AQ4" s="27"/>
      <c r="AR4" s="27"/>
      <c r="AS4" s="37"/>
      <c r="AT4" s="37"/>
      <c r="AU4" s="37"/>
      <c r="AV4" s="27"/>
      <c r="AW4" s="26"/>
      <c r="AX4" s="29" t="s">
        <v>176</v>
      </c>
      <c r="AY4" s="30"/>
      <c r="AZ4" s="30"/>
      <c r="BA4" s="30"/>
      <c r="BB4" s="30"/>
      <c r="BC4" s="30"/>
      <c r="BD4" s="30"/>
      <c r="BE4" s="30"/>
      <c r="BF4" s="30"/>
      <c r="BG4" s="30"/>
      <c r="BH4" s="38"/>
      <c r="BI4"/>
      <c r="BJ4"/>
      <c r="BK4"/>
      <c r="BL4"/>
      <c r="BM4"/>
      <c r="BN4"/>
      <c r="BO4"/>
    </row>
    <row r="5" spans="1:67" s="21" customFormat="1" ht="49.5" customHeight="1" x14ac:dyDescent="0.25">
      <c r="A5" s="17" t="s">
        <v>166</v>
      </c>
      <c r="B5" s="18" t="s">
        <v>164</v>
      </c>
      <c r="C5" s="18" t="s">
        <v>12</v>
      </c>
      <c r="D5" s="17" t="s">
        <v>167</v>
      </c>
      <c r="E5" s="17" t="s">
        <v>168</v>
      </c>
      <c r="F5" s="23" t="s">
        <v>173</v>
      </c>
      <c r="G5" s="23" t="s">
        <v>215</v>
      </c>
      <c r="H5" s="23" t="s">
        <v>216</v>
      </c>
      <c r="I5" s="24" t="s">
        <v>177</v>
      </c>
      <c r="J5" s="24" t="s">
        <v>178</v>
      </c>
      <c r="K5" s="24" t="s">
        <v>264</v>
      </c>
      <c r="L5" s="31" t="s">
        <v>175</v>
      </c>
      <c r="M5" s="31" t="s">
        <v>179</v>
      </c>
      <c r="N5" s="31" t="s">
        <v>182</v>
      </c>
      <c r="O5" s="31" t="s">
        <v>183</v>
      </c>
      <c r="P5" s="31" t="s">
        <v>196</v>
      </c>
      <c r="Q5" s="31" t="s">
        <v>170</v>
      </c>
      <c r="R5" s="31" t="s">
        <v>171</v>
      </c>
      <c r="S5" s="31" t="s">
        <v>172</v>
      </c>
      <c r="T5" s="31"/>
      <c r="U5" s="24" t="s">
        <v>180</v>
      </c>
      <c r="V5" s="23" t="s">
        <v>231</v>
      </c>
      <c r="W5" s="24" t="s">
        <v>184</v>
      </c>
      <c r="X5" s="24" t="s">
        <v>182</v>
      </c>
      <c r="Y5" s="24" t="s">
        <v>183</v>
      </c>
      <c r="Z5" s="24" t="s">
        <v>196</v>
      </c>
      <c r="AA5" s="24" t="s">
        <v>170</v>
      </c>
      <c r="AB5" s="24" t="s">
        <v>425</v>
      </c>
      <c r="AC5" s="24" t="s">
        <v>198</v>
      </c>
      <c r="AD5" s="24" t="s">
        <v>670</v>
      </c>
      <c r="AE5" s="52" t="s">
        <v>217</v>
      </c>
      <c r="AF5" s="52" t="s">
        <v>218</v>
      </c>
      <c r="AG5" s="47" t="s">
        <v>192</v>
      </c>
      <c r="AH5" s="47" t="s">
        <v>184</v>
      </c>
      <c r="AI5" s="47" t="s">
        <v>182</v>
      </c>
      <c r="AJ5" s="47" t="s">
        <v>183</v>
      </c>
      <c r="AK5" s="47" t="s">
        <v>196</v>
      </c>
      <c r="AL5" s="47" t="s">
        <v>198</v>
      </c>
      <c r="AM5" s="47" t="s">
        <v>172</v>
      </c>
      <c r="AN5" s="24" t="s">
        <v>180</v>
      </c>
      <c r="AO5" s="24" t="s">
        <v>184</v>
      </c>
      <c r="AP5" s="24" t="s">
        <v>182</v>
      </c>
      <c r="AQ5" s="24" t="s">
        <v>183</v>
      </c>
      <c r="AR5" s="24" t="s">
        <v>196</v>
      </c>
      <c r="AS5" s="24" t="s">
        <v>198</v>
      </c>
      <c r="AT5" s="24" t="s">
        <v>195</v>
      </c>
      <c r="AU5" s="24" t="s">
        <v>670</v>
      </c>
      <c r="AV5" s="24" t="s">
        <v>172</v>
      </c>
      <c r="AW5" s="24" t="s">
        <v>189</v>
      </c>
      <c r="AX5" s="32" t="s">
        <v>185</v>
      </c>
      <c r="AY5" s="32" t="s">
        <v>186</v>
      </c>
      <c r="AZ5" s="31" t="s">
        <v>187</v>
      </c>
      <c r="BA5" s="32" t="s">
        <v>188</v>
      </c>
      <c r="BB5" s="32" t="s">
        <v>194</v>
      </c>
      <c r="BC5" s="32" t="s">
        <v>195</v>
      </c>
      <c r="BD5" s="39" t="s">
        <v>189</v>
      </c>
      <c r="BE5" s="40" t="s">
        <v>190</v>
      </c>
      <c r="BF5" s="41" t="s">
        <v>193</v>
      </c>
      <c r="BG5" s="41" t="s">
        <v>265</v>
      </c>
      <c r="BH5" s="41" t="s">
        <v>670</v>
      </c>
      <c r="BI5"/>
      <c r="BJ5"/>
      <c r="BK5"/>
      <c r="BL5"/>
      <c r="BM5"/>
      <c r="BN5"/>
      <c r="BO5"/>
    </row>
    <row r="6" spans="1:67" x14ac:dyDescent="0.25">
      <c r="A6" s="13">
        <v>1</v>
      </c>
      <c r="B6" s="22" t="s">
        <v>290</v>
      </c>
      <c r="C6" s="22" t="str">
        <f>+'Retail Rates'!B7</f>
        <v>LGCMG865</v>
      </c>
      <c r="D6" s="14" t="str">
        <f t="shared" ref="D6:D16" si="6">MID(C6,6,3)</f>
        <v>865</v>
      </c>
      <c r="E6" s="14" t="s">
        <v>119</v>
      </c>
      <c r="F6" s="33">
        <f ca="1">SUMIF('Mar16-Aug16 Billed-RETAIL'!$E$7:$BJ$146,'12-MO Billed Summary RETAIL'!$C6,'Mar16-Aug16 Billed-RETAIL'!H$7:H$146)</f>
        <v>24</v>
      </c>
      <c r="G6" s="33">
        <f ca="1">SUMIF('Mar16-Aug16 Billed-RETAIL'!$E$7:$BJ$146,'12-MO Billed Summary RETAIL'!$C6,'Mar16-Aug16 Billed-RETAIL'!I$7:I$146)</f>
        <v>0</v>
      </c>
      <c r="H6" s="33">
        <f ca="1">SUMIF('Mar16-Aug16 Billed-RETAIL'!$E$7:$BJ$146,'12-MO Billed Summary RETAIL'!$C6,'Mar16-Aug16 Billed-RETAIL'!J$7:J$146)</f>
        <v>0</v>
      </c>
      <c r="I6" s="33">
        <f ca="1">SUMIF('Mar16-Aug16 Billed-RETAIL'!$E$7:$BJ$146,'12-MO Billed Summary RETAIL'!$C6,'Mar16-Aug16 Billed-RETAIL'!K$7:K$146)</f>
        <v>598081.30186380364</v>
      </c>
      <c r="J6" s="33">
        <f ca="1">SUMIF('Mar16-Aug16 Billed-RETAIL'!$E$7:$BJ$146,'12-MO Billed Summary RETAIL'!$C6,'Mar16-Aug16 Billed-RETAIL'!L$7:L$146)</f>
        <v>0</v>
      </c>
      <c r="K6" s="33">
        <f ca="1">SUMIF('Mar16-Aug16 Billed-RETAIL'!$E$7:$BJ$146,'12-MO Billed Summary RETAIL'!$C6,'Mar16-Aug16 Billed-RETAIL'!M$7:M$146)</f>
        <v>0</v>
      </c>
      <c r="L6" s="34"/>
      <c r="M6" s="34"/>
      <c r="N6" s="35"/>
      <c r="O6" s="35"/>
      <c r="P6" s="35"/>
      <c r="Q6" s="34"/>
      <c r="R6" s="35"/>
      <c r="S6" s="34"/>
      <c r="T6" s="34"/>
      <c r="U6" s="36">
        <f ca="1">SUMIF('Mar16-Aug16 Billed-RETAIL'!$E$7:$BJ$146,'12-MO Billed Summary RETAIL'!$C6,'Mar16-Aug16 Billed-RETAIL'!W$7:W$146)</f>
        <v>9600</v>
      </c>
      <c r="V6" s="36">
        <f ca="1">SUMIF('Mar16-Aug16 Billed-RETAIL'!$E$7:$BJ$146,'12-MO Billed Summary RETAIL'!$C6,'Mar16-Aug16 Billed-RETAIL'!X$7:X$146)</f>
        <v>0</v>
      </c>
      <c r="W6" s="36">
        <f ca="1">SUMIF('Mar16-Aug16 Billed-RETAIL'!$E$7:$BJ$146,'12-MO Billed Summary RETAIL'!$C6,'Mar16-Aug16 Billed-RETAIL'!Y$7:Y$146)</f>
        <v>0</v>
      </c>
      <c r="X6" s="36">
        <f ca="1">SUMIF('Mar16-Aug16 Billed-RETAIL'!$E$7:$BJ$146,'12-MO Billed Summary RETAIL'!$C6,'Mar16-Aug16 Billed-RETAIL'!Z$7:Z$146)</f>
        <v>41919.518447634007</v>
      </c>
      <c r="Y6" s="36">
        <f ca="1">SUMIF('Mar16-Aug16 Billed-RETAIL'!$E$7:$BJ$146,'12-MO Billed Summary RETAIL'!$C6,'Mar16-Aug16 Billed-RETAIL'!AA$7:AA$146)</f>
        <v>0</v>
      </c>
      <c r="Z6" s="36" t="e">
        <f>SUMIF('Mar16-Aug16 Billed-RETAIL'!E7:E145,'12-MO Billed Summary RETAIL'!C6,'Mar16-Aug16 Billed-RETAIL'!AB7:AB146)</f>
        <v>#N/A</v>
      </c>
      <c r="AA6" s="36">
        <f ca="1">SUMIF('Mar16-Aug16 Billed-RETAIL'!$E$7:$BJ$146,'12-MO Billed Summary RETAIL'!$C6,'Mar16-Aug16 Billed-RETAIL'!AC$7:AC$146)</f>
        <v>0</v>
      </c>
      <c r="AB6" s="36">
        <f ca="1">SUMIF('Mar16-Aug16 Billed-RETAIL'!$E$7:$BJ$146,'12-MO Billed Summary RETAIL'!$C6,'Mar16-Aug16 Billed-RETAIL'!AD$7:AD$146)</f>
        <v>0</v>
      </c>
      <c r="AC6" s="36">
        <f ca="1">SUMIF('Mar16-Aug16 Billed-RETAIL'!$E$7:$BJ$146,'12-MO Billed Summary RETAIL'!$C6,'Mar16-Aug16 Billed-RETAIL'!AE$7:AE$146)</f>
        <v>0</v>
      </c>
      <c r="AD6" s="36" t="e">
        <f ca="1">SUMIF('Mar16-Aug16 Billed-RETAIL'!$E$7:$BJ$146,'12-MO Billed Summary RETAIL'!$C6,'Mar16-Aug16 Billed-RETAIL'!AF$7:AF$146)</f>
        <v>#N/A</v>
      </c>
      <c r="AE6" s="57">
        <f ca="1">SUMIF('Mar16-Aug16 Billed-RETAIL'!$E$7:$BJ$146,'12-MO Billed Summary RETAIL'!$C6,'Mar16-Aug16 Billed-RETAIL'!AG$7:AG$146)</f>
        <v>0</v>
      </c>
      <c r="AF6" s="57">
        <f ca="1">SUMIF('Mar16-Aug16 Billed-RETAIL'!$E$7:$BJ$146,'12-MO Billed Summary RETAIL'!$C6,'Mar16-Aug16 Billed-RETAIL'!AH$7:AH$146)</f>
        <v>0</v>
      </c>
      <c r="AG6" s="48">
        <f ca="1">SUMIF('Mar16-Aug16 Billed-RETAIL'!$E$7:$BJ$146,'12-MO Billed Summary RETAIL'!$C6,'Mar16-Aug16 Billed-RETAIL'!AI$7:AI$146)</f>
        <v>0</v>
      </c>
      <c r="AH6" s="48">
        <f ca="1">SUMIF('Mar16-Aug16 Billed-RETAIL'!$E$7:$BJ$146,'12-MO Billed Summary RETAIL'!$C6,'Mar16-Aug16 Billed-RETAIL'!AJ$7:AJ$146)</f>
        <v>0</v>
      </c>
      <c r="AI6" s="48">
        <f ca="1">SUMIF('Mar16-Aug16 Billed-RETAIL'!$E$7:$BJ$146,'12-MO Billed Summary RETAIL'!$C6,'Mar16-Aug16 Billed-RETAIL'!AK$7:AK$146)</f>
        <v>0</v>
      </c>
      <c r="AJ6" s="48">
        <f ca="1">SUMIF('Mar16-Aug16 Billed-RETAIL'!$E$7:$BJ$146,'12-MO Billed Summary RETAIL'!$C6,'Mar16-Aug16 Billed-RETAIL'!AL$7:AL$146)</f>
        <v>0</v>
      </c>
      <c r="AK6" s="48">
        <f ca="1">SUMIF('Mar16-Aug16 Billed-RETAIL'!$E$7:$BJ$146,'12-MO Billed Summary RETAIL'!$C6,'Mar16-Aug16 Billed-RETAIL'!AM$7:AM$146)</f>
        <v>0</v>
      </c>
      <c r="AL6" s="48">
        <f ca="1">SUMIF('Mar16-Aug16 Billed-RETAIL'!$E$7:$BJ$146,'12-MO Billed Summary RETAIL'!$C6,'Mar16-Aug16 Billed-RETAIL'!AN$7:AN$146)</f>
        <v>0</v>
      </c>
      <c r="AM6" s="48">
        <f ca="1">SUMIF('Mar16-Aug16 Billed-RETAIL'!$E$7:$BJ$146,'12-MO Billed Summary RETAIL'!$C6,'Mar16-Aug16 Billed-RETAIL'!AO$7:AO$146)</f>
        <v>0</v>
      </c>
      <c r="AN6" s="36">
        <f ca="1">SUMIF('Mar16-Aug16 Billed-RETAIL'!$E$7:$BJ$146,'12-MO Billed Summary RETAIL'!$C6,'Mar16-Aug16 Billed-RETAIL'!AP$7:AP$146)</f>
        <v>9600</v>
      </c>
      <c r="AO6" s="36">
        <f ca="1">SUMIF('Mar16-Aug16 Billed-RETAIL'!$E$7:$BJ$146,'12-MO Billed Summary RETAIL'!$C6,'Mar16-Aug16 Billed-RETAIL'!AQ$7:AQ$146)</f>
        <v>0</v>
      </c>
      <c r="AP6" s="36">
        <f ca="1">SUMIF('Mar16-Aug16 Billed-RETAIL'!$E$7:$BJ$146,'12-MO Billed Summary RETAIL'!$C6,'Mar16-Aug16 Billed-RETAIL'!AR$7:AR$146)</f>
        <v>41919.518447634007</v>
      </c>
      <c r="AQ6" s="36">
        <f ca="1">SUMIF('Mar16-Aug16 Billed-RETAIL'!$E$7:$BJ$146,'12-MO Billed Summary RETAIL'!$C6,'Mar16-Aug16 Billed-RETAIL'!AS$7:AS$146)</f>
        <v>0</v>
      </c>
      <c r="AR6" s="36">
        <f ca="1">SUMIF('Mar16-Aug16 Billed-RETAIL'!$E$7:$BJ$146,'12-MO Billed Summary RETAIL'!$C6,'Mar16-Aug16 Billed-RETAIL'!AT$7:AT$146)</f>
        <v>411751.08956146799</v>
      </c>
      <c r="AS6" s="36">
        <f ca="1">SUMIF('Mar16-Aug16 Billed-RETAIL'!$E$7:$BJ$146,'12-MO Billed Summary RETAIL'!$C6,'Mar16-Aug16 Billed-RETAIL'!AU$7:AU$146)</f>
        <v>4877.5832800785802</v>
      </c>
      <c r="AT6" s="36">
        <f ca="1">SUMIF('Mar16-Aug16 Billed-RETAIL'!$E$7:$BJ$146,'12-MO Billed Summary RETAIL'!$C6,'Mar16-Aug16 Billed-RETAIL'!AV$7:AV$146)</f>
        <v>0</v>
      </c>
      <c r="AU6" s="36">
        <f ca="1">SUMIF('Mar16-Aug16 Billed-RETAIL'!$E$7:$BJ$146,'12-MO Billed Summary RETAIL'!$C6,'Mar16-Aug16 Billed-RETAIL'!AW$7:AW$146)</f>
        <v>112865.08582608533</v>
      </c>
      <c r="AV6" s="36">
        <f ca="1">SUMIF('Mar16-Aug16 Billed-RETAIL'!$E$7:$BJ$146,'12-MO Billed Summary RETAIL'!$C6,'Mar16-Aug16 Billed-RETAIL'!AX$7:AX$146)</f>
        <v>0</v>
      </c>
      <c r="AW6" s="36">
        <f ca="1">SUMIF('Mar16-Aug16 Billed-RETAIL'!$E$7:$BJ$146,'12-MO Billed Summary RETAIL'!$C6,'Mar16-Aug16 Billed-RETAIL'!AY$7:AY$146)</f>
        <v>0</v>
      </c>
      <c r="AX6" s="43">
        <f ca="1">SUMIF('Mar16-Aug16 Billed-RETAIL'!$E$7:$BJ$146,'12-MO Billed Summary RETAIL'!$C6,'Mar16-Aug16 Billed-RETAIL'!AZ$7:AZ$146)</f>
        <v>614335.64834399056</v>
      </c>
      <c r="AY6" s="43">
        <f ca="1">SUMIF('Mar16-Aug16 Billed-RETAIL'!$E$7:$BJ$146,'12-MO Billed Summary RETAIL'!$C6,'Mar16-Aug16 Billed-RETAIL'!BA$7:BA$146)</f>
        <v>614335.65206550853</v>
      </c>
      <c r="AZ6" s="44">
        <f t="shared" ref="AZ6:AZ16" ca="1" si="7">IF(AY6=0,0,ROUND(AY6/AX6,6))</f>
        <v>1</v>
      </c>
      <c r="BA6" s="43">
        <f ca="1">SUMIF('Mar16-Aug16 Billed-RETAIL'!$E$7:$BJ$146,'12-MO Billed Summary RETAIL'!$C6,'Mar16-Aug16 Billed-RETAIL'!BC$7:BC$146)</f>
        <v>4877.5832800785802</v>
      </c>
      <c r="BB6" s="43">
        <f ca="1">SUMIF('Mar16-Aug16 Billed-RETAIL'!$E$7:$BJ$146,'12-MO Billed Summary RETAIL'!$C6,'Mar16-Aug16 Billed-RETAIL'!BD$7:BD$146)</f>
        <v>411751.08956146799</v>
      </c>
      <c r="BC6" s="43">
        <f ca="1">SUMIF('Mar16-Aug16 Billed-RETAIL'!$E$7:$BJ$146,'12-MO Billed Summary RETAIL'!$C6,'Mar16-Aug16 Billed-RETAIL'!BE$7:BE$146)</f>
        <v>0</v>
      </c>
      <c r="BD6" s="43">
        <f ca="1">SUMIF('Mar16-Aug16 Billed-RETAIL'!$E$7:$BJ$146,'12-MO Billed Summary RETAIL'!$C6,'Mar16-Aug16 Billed-RETAIL'!BF$7:BF$146)</f>
        <v>0</v>
      </c>
      <c r="BE6" s="43">
        <f ca="1">SUMIF('Mar16-Aug16 Billed-RETAIL'!$E$7:$BJ$146,'12-MO Billed Summary RETAIL'!$C6,'Mar16-Aug16 Billed-RETAIL'!BG$7:BG$146)</f>
        <v>14400</v>
      </c>
      <c r="BF6" s="43">
        <f ca="1">SUMIF('Mar16-Aug16 Billed-RETAIL'!$E$7:$BJ$146,'12-MO Billed Summary RETAIL'!$C6,'Mar16-Aug16 Billed-RETAIL'!BH$7:BH$146)</f>
        <v>70441.893397876585</v>
      </c>
      <c r="BG6" s="43">
        <f ca="1">SUMIF('Mar16-Aug16 Billed-RETAIL'!$E$7:$BJ$146,'12-MO Billed Summary RETAIL'!$C6,'Mar16-Aug16 Billed-RETAIL'!BI$7:BI$146)</f>
        <v>0</v>
      </c>
      <c r="BH6" s="43">
        <f ca="1">SUMIF('Mar16-Aug16 Billed-RETAIL'!$E$7:$BJ$146,'12-MO Billed Summary RETAIL'!$C6,'Mar16-Aug16 Billed-RETAIL'!BJ$7:BJ$146)</f>
        <v>112865.08582608533</v>
      </c>
    </row>
    <row r="7" spans="1:67" x14ac:dyDescent="0.25">
      <c r="A7" s="13">
        <f>+A6+1</f>
        <v>2</v>
      </c>
      <c r="B7" s="22" t="s">
        <v>290</v>
      </c>
      <c r="C7" s="22" t="str">
        <f>+'Retail Rates'!B10</f>
        <v>LGING866</v>
      </c>
      <c r="D7" s="14" t="str">
        <f t="shared" si="6"/>
        <v>866</v>
      </c>
      <c r="E7" s="14" t="str">
        <f>VLOOKUP(C7,'Retail Rates'!$B$7:$D$34,3,FALSE)</f>
        <v>AAGS-I</v>
      </c>
      <c r="F7" s="33">
        <f ca="1">SUMIF('Mar16-Aug16 Billed-RETAIL'!$E$7:$BJ$146,'12-MO Billed Summary RETAIL'!$C7,'Mar16-Aug16 Billed-RETAIL'!H$7:H$146)</f>
        <v>18</v>
      </c>
      <c r="G7" s="33">
        <f ca="1">SUMIF('Mar16-Aug16 Billed-RETAIL'!$E$7:$BJ$146,'12-MO Billed Summary RETAIL'!$C7,'Mar16-Aug16 Billed-RETAIL'!I$7:I$146)</f>
        <v>0</v>
      </c>
      <c r="H7" s="33">
        <f ca="1">SUMIF('Mar16-Aug16 Billed-RETAIL'!$E$7:$BJ$146,'12-MO Billed Summary RETAIL'!$C7,'Mar16-Aug16 Billed-RETAIL'!J$7:J$146)</f>
        <v>0</v>
      </c>
      <c r="I7" s="33">
        <f ca="1">SUMIF('Mar16-Aug16 Billed-RETAIL'!$E$7:$BJ$146,'12-MO Billed Summary RETAIL'!$C7,'Mar16-Aug16 Billed-RETAIL'!K$7:K$146)</f>
        <v>527852.19737466949</v>
      </c>
      <c r="J7" s="33">
        <f ca="1">SUMIF('Mar16-Aug16 Billed-RETAIL'!$E$7:$BJ$146,'12-MO Billed Summary RETAIL'!$C7,'Mar16-Aug16 Billed-RETAIL'!L$7:L$146)</f>
        <v>0</v>
      </c>
      <c r="K7" s="33">
        <f ca="1">SUMIF('Mar16-Aug16 Billed-RETAIL'!$E$7:$BJ$146,'12-MO Billed Summary RETAIL'!$C7,'Mar16-Aug16 Billed-RETAIL'!M$7:M$146)</f>
        <v>0</v>
      </c>
      <c r="L7" s="34"/>
      <c r="M7" s="34"/>
      <c r="N7" s="35"/>
      <c r="O7" s="35"/>
      <c r="P7" s="35"/>
      <c r="Q7" s="34"/>
      <c r="R7" s="35"/>
      <c r="S7" s="34"/>
      <c r="T7" s="34"/>
      <c r="U7" s="36">
        <f ca="1">SUMIF('Mar16-Aug16 Billed-RETAIL'!$E$7:$BJ$146,'12-MO Billed Summary RETAIL'!$C7,'Mar16-Aug16 Billed-RETAIL'!W$7:W$146)</f>
        <v>7200</v>
      </c>
      <c r="V7" s="36">
        <f ca="1">SUMIF('Mar16-Aug16 Billed-RETAIL'!$E$7:$BJ$146,'12-MO Billed Summary RETAIL'!$C7,'Mar16-Aug16 Billed-RETAIL'!X$7:X$146)</f>
        <v>0</v>
      </c>
      <c r="W7" s="36">
        <f ca="1">SUMIF('Mar16-Aug16 Billed-RETAIL'!$E$7:$BJ$146,'12-MO Billed Summary RETAIL'!$C7,'Mar16-Aug16 Billed-RETAIL'!Y$7:Y$146)</f>
        <v>0</v>
      </c>
      <c r="X7" s="36">
        <f ca="1">SUMIF('Mar16-Aug16 Billed-RETAIL'!$E$7:$BJ$146,'12-MO Billed Summary RETAIL'!$C7,'Mar16-Aug16 Billed-RETAIL'!Z$7:Z$146)</f>
        <v>36997.160513990573</v>
      </c>
      <c r="Y7" s="36">
        <f ca="1">SUMIF('Mar16-Aug16 Billed-RETAIL'!$E$7:$BJ$146,'12-MO Billed Summary RETAIL'!$C7,'Mar16-Aug16 Billed-RETAIL'!AA$7:AA$146)</f>
        <v>0</v>
      </c>
      <c r="Z7" s="36" t="e">
        <f ca="1">SUMIF('Mar16-Aug16 Billed-RETAIL'!$E$7:$BJ$146,'12-MO Billed Summary RETAIL'!$C7,'Mar16-Aug16 Billed-RETAIL'!AB$7:AB$146)</f>
        <v>#N/A</v>
      </c>
      <c r="AA7" s="36">
        <f ca="1">SUMIF('Mar16-Aug16 Billed-RETAIL'!$E$7:$BJ$146,'12-MO Billed Summary RETAIL'!$C7,'Mar16-Aug16 Billed-RETAIL'!AC$7:AC$146)</f>
        <v>0</v>
      </c>
      <c r="AB7" s="36">
        <f ca="1">SUMIF('Mar16-Aug16 Billed-RETAIL'!$E$7:$BJ$146,'12-MO Billed Summary RETAIL'!$C7,'Mar16-Aug16 Billed-RETAIL'!AD$7:AD$146)</f>
        <v>0</v>
      </c>
      <c r="AC7" s="36">
        <f ca="1">SUMIF('Mar16-Aug16 Billed-RETAIL'!$E$7:$BJ$146,'12-MO Billed Summary RETAIL'!$C7,'Mar16-Aug16 Billed-RETAIL'!AE$7:AE$146)</f>
        <v>0</v>
      </c>
      <c r="AD7" s="36" t="e">
        <f ca="1">SUMIF('Mar16-Aug16 Billed-RETAIL'!$E$7:$BJ$146,'12-MO Billed Summary RETAIL'!$C7,'Mar16-Aug16 Billed-RETAIL'!AF$7:AF$146)</f>
        <v>#N/A</v>
      </c>
      <c r="AE7" s="57">
        <f ca="1">SUMIF('Mar16-Aug16 Billed-RETAIL'!$E$7:$BJ$146,'12-MO Billed Summary RETAIL'!$C7,'Mar16-Aug16 Billed-RETAIL'!AG$7:AG$146)</f>
        <v>0</v>
      </c>
      <c r="AF7" s="57">
        <f ca="1">SUMIF('Mar16-Aug16 Billed-RETAIL'!$E$7:$BJ$146,'12-MO Billed Summary RETAIL'!$C7,'Mar16-Aug16 Billed-RETAIL'!AH$7:AH$146)</f>
        <v>0</v>
      </c>
      <c r="AG7" s="48">
        <f ca="1">SUMIF('Mar16-Aug16 Billed-RETAIL'!$E$7:$BJ$146,'12-MO Billed Summary RETAIL'!$C7,'Mar16-Aug16 Billed-RETAIL'!AI$7:AI$146)</f>
        <v>0</v>
      </c>
      <c r="AH7" s="48">
        <f ca="1">SUMIF('Mar16-Aug16 Billed-RETAIL'!$E$7:$BJ$146,'12-MO Billed Summary RETAIL'!$C7,'Mar16-Aug16 Billed-RETAIL'!AJ$7:AJ$146)</f>
        <v>0</v>
      </c>
      <c r="AI7" s="48">
        <f ca="1">SUMIF('Mar16-Aug16 Billed-RETAIL'!$E$7:$BJ$146,'12-MO Billed Summary RETAIL'!$C7,'Mar16-Aug16 Billed-RETAIL'!AK$7:AK$146)</f>
        <v>0</v>
      </c>
      <c r="AJ7" s="48">
        <f ca="1">SUMIF('Mar16-Aug16 Billed-RETAIL'!$E$7:$BJ$146,'12-MO Billed Summary RETAIL'!$C7,'Mar16-Aug16 Billed-RETAIL'!AL$7:AL$146)</f>
        <v>0</v>
      </c>
      <c r="AK7" s="48">
        <f ca="1">SUMIF('Mar16-Aug16 Billed-RETAIL'!$E$7:$BJ$146,'12-MO Billed Summary RETAIL'!$C7,'Mar16-Aug16 Billed-RETAIL'!AM$7:AM$146)</f>
        <v>0</v>
      </c>
      <c r="AL7" s="48">
        <f ca="1">SUMIF('Mar16-Aug16 Billed-RETAIL'!$E$7:$BJ$146,'12-MO Billed Summary RETAIL'!$C7,'Mar16-Aug16 Billed-RETAIL'!AN$7:AN$146)</f>
        <v>0</v>
      </c>
      <c r="AM7" s="48">
        <f ca="1">SUMIF('Mar16-Aug16 Billed-RETAIL'!$E$7:$BJ$146,'12-MO Billed Summary RETAIL'!$C7,'Mar16-Aug16 Billed-RETAIL'!AO$7:AO$146)</f>
        <v>0</v>
      </c>
      <c r="AN7" s="36">
        <f ca="1">SUMIF('Mar16-Aug16 Billed-RETAIL'!$E$7:$BJ$146,'12-MO Billed Summary RETAIL'!$C7,'Mar16-Aug16 Billed-RETAIL'!AP$7:AP$146)</f>
        <v>7200</v>
      </c>
      <c r="AO7" s="36">
        <f ca="1">SUMIF('Mar16-Aug16 Billed-RETAIL'!$E$7:$BJ$146,'12-MO Billed Summary RETAIL'!$C7,'Mar16-Aug16 Billed-RETAIL'!AQ$7:AQ$146)</f>
        <v>0</v>
      </c>
      <c r="AP7" s="36">
        <f ca="1">SUMIF('Mar16-Aug16 Billed-RETAIL'!$E$7:$BJ$146,'12-MO Billed Summary RETAIL'!$C7,'Mar16-Aug16 Billed-RETAIL'!AR$7:AR$146)</f>
        <v>36997.160513990573</v>
      </c>
      <c r="AQ7" s="36">
        <f ca="1">SUMIF('Mar16-Aug16 Billed-RETAIL'!$E$7:$BJ$146,'12-MO Billed Summary RETAIL'!$C7,'Mar16-Aug16 Billed-RETAIL'!AS$7:AS$146)</f>
        <v>0</v>
      </c>
      <c r="AR7" s="36">
        <f ca="1">SUMIF('Mar16-Aug16 Billed-RETAIL'!$E$7:$BJ$146,'12-MO Billed Summary RETAIL'!$C7,'Mar16-Aug16 Billed-RETAIL'!AT$7:AT$146)</f>
        <v>39943.46</v>
      </c>
      <c r="AS7" s="36">
        <f ca="1">SUMIF('Mar16-Aug16 Billed-RETAIL'!$E$7:$BJ$146,'12-MO Billed Summary RETAIL'!$C7,'Mar16-Aug16 Billed-RETAIL'!AU$7:AU$146)</f>
        <v>0</v>
      </c>
      <c r="AT7" s="36">
        <f ca="1">SUMIF('Mar16-Aug16 Billed-RETAIL'!$E$7:$BJ$146,'12-MO Billed Summary RETAIL'!$C7,'Mar16-Aug16 Billed-RETAIL'!AV$7:AV$146)</f>
        <v>0</v>
      </c>
      <c r="AU7" s="36">
        <f ca="1">SUMIF('Mar16-Aug16 Billed-RETAIL'!$E$7:$BJ$146,'12-MO Billed Summary RETAIL'!$C7,'Mar16-Aug16 Billed-RETAIL'!AW$7:AW$146)</f>
        <v>16275.039999999999</v>
      </c>
      <c r="AV7" s="36">
        <f ca="1">SUMIF('Mar16-Aug16 Billed-RETAIL'!$E$7:$BJ$146,'12-MO Billed Summary RETAIL'!$C7,'Mar16-Aug16 Billed-RETAIL'!AX$7:AX$146)</f>
        <v>0</v>
      </c>
      <c r="AW7" s="36">
        <f ca="1">SUMIF('Mar16-Aug16 Billed-RETAIL'!$E$7:$BJ$146,'12-MO Billed Summary RETAIL'!$C7,'Mar16-Aug16 Billed-RETAIL'!AY$7:AY$146)</f>
        <v>0</v>
      </c>
      <c r="AX7" s="43">
        <f ca="1">SUMIF('Mar16-Aug16 Billed-RETAIL'!$E$7:$BJ$146,'12-MO Billed Summary RETAIL'!$C7,'Mar16-Aug16 Billed-RETAIL'!AZ$7:AZ$146)</f>
        <v>67093.3</v>
      </c>
      <c r="AY7" s="43">
        <f ca="1">SUMIF('Mar16-Aug16 Billed-RETAIL'!$E$7:$BJ$146,'12-MO Billed Summary RETAIL'!$C7,'Mar16-Aug16 Billed-RETAIL'!BA$7:BA$146)</f>
        <v>67093.290000000008</v>
      </c>
      <c r="AZ7" s="44">
        <f t="shared" ca="1" si="7"/>
        <v>1</v>
      </c>
      <c r="BA7" s="43">
        <f ca="1">SUMIF('Mar16-Aug16 Billed-RETAIL'!$E$7:$BJ$146,'12-MO Billed Summary RETAIL'!$C7,'Mar16-Aug16 Billed-RETAIL'!BC$7:BC$146)</f>
        <v>0</v>
      </c>
      <c r="BB7" s="43">
        <f ca="1">SUMIF('Mar16-Aug16 Billed-RETAIL'!$E$7:$BJ$146,'12-MO Billed Summary RETAIL'!$C7,'Mar16-Aug16 Billed-RETAIL'!BD$7:BD$146)</f>
        <v>39943.46</v>
      </c>
      <c r="BC7" s="43">
        <f ca="1">SUMIF('Mar16-Aug16 Billed-RETAIL'!$E$7:$BJ$146,'12-MO Billed Summary RETAIL'!$C7,'Mar16-Aug16 Billed-RETAIL'!BE$7:BE$146)</f>
        <v>0</v>
      </c>
      <c r="BD7" s="43">
        <f ca="1">SUMIF('Mar16-Aug16 Billed-RETAIL'!$E$7:$BJ$146,'12-MO Billed Summary RETAIL'!$C7,'Mar16-Aug16 Billed-RETAIL'!BF$7:BF$146)</f>
        <v>0</v>
      </c>
      <c r="BE7" s="43">
        <f ca="1">SUMIF('Mar16-Aug16 Billed-RETAIL'!$E$7:$BJ$146,'12-MO Billed Summary RETAIL'!$C7,'Mar16-Aug16 Billed-RETAIL'!BG$7:BG$146)</f>
        <v>2400</v>
      </c>
      <c r="BF7" s="43">
        <f ca="1">SUMIF('Mar16-Aug16 Billed-RETAIL'!$E$7:$BJ$146,'12-MO Billed Summary RETAIL'!$C7,'Mar16-Aug16 Billed-RETAIL'!BH$7:BH$146)</f>
        <v>8474.7900000000009</v>
      </c>
      <c r="BG7" s="43">
        <f ca="1">SUMIF('Mar16-Aug16 Billed-RETAIL'!$E$7:$BJ$146,'12-MO Billed Summary RETAIL'!$C7,'Mar16-Aug16 Billed-RETAIL'!BI$7:BI$146)</f>
        <v>0</v>
      </c>
      <c r="BH7" s="43">
        <f ca="1">SUMIF('Mar16-Aug16 Billed-RETAIL'!$E$7:$BJ$146,'12-MO Billed Summary RETAIL'!$C7,'Mar16-Aug16 Billed-RETAIL'!BJ$7:BJ$146)</f>
        <v>16275.039999999999</v>
      </c>
    </row>
    <row r="8" spans="1:67" x14ac:dyDescent="0.25">
      <c r="A8" s="13">
        <f>+A7+1</f>
        <v>3</v>
      </c>
      <c r="B8" s="22" t="s">
        <v>290</v>
      </c>
      <c r="C8" s="22" t="str">
        <f>+'Retail Rates'!B11</f>
        <v>LGING866DS</v>
      </c>
      <c r="D8" s="14" t="str">
        <f t="shared" si="6"/>
        <v>866</v>
      </c>
      <c r="E8" s="14" t="str">
        <f>VLOOKUP(C8,'Retail Rates'!$B$7:$D$34,3,FALSE)</f>
        <v>AAGS-I</v>
      </c>
      <c r="F8" s="33">
        <f ca="1">SUMIF('Mar16-Aug16 Billed-RETAIL'!$E$7:$BJ$146,'12-MO Billed Summary RETAIL'!$C8,'Mar16-Aug16 Billed-RETAIL'!H$7:H$146)</f>
        <v>7</v>
      </c>
      <c r="G8" s="33">
        <f ca="1">SUMIF('Mar16-Aug16 Billed-RETAIL'!$E$7:$BJ$146,'12-MO Billed Summary RETAIL'!$C8,'Mar16-Aug16 Billed-RETAIL'!I$7:I$146)</f>
        <v>0</v>
      </c>
      <c r="H8" s="33">
        <f ca="1">SUMIF('Mar16-Aug16 Billed-RETAIL'!$E$7:$BJ$146,'12-MO Billed Summary RETAIL'!$C8,'Mar16-Aug16 Billed-RETAIL'!J$7:J$146)</f>
        <v>0</v>
      </c>
      <c r="I8" s="33">
        <f ca="1">SUMIF('Mar16-Aug16 Billed-RETAIL'!$E$7:$BJ$146,'12-MO Billed Summary RETAIL'!$C8,'Mar16-Aug16 Billed-RETAIL'!K$7:K$146)</f>
        <v>218492</v>
      </c>
      <c r="J8" s="33">
        <f ca="1">SUMIF('Mar16-Aug16 Billed-RETAIL'!$E$7:$BJ$146,'12-MO Billed Summary RETAIL'!$C8,'Mar16-Aug16 Billed-RETAIL'!L$7:L$146)</f>
        <v>0</v>
      </c>
      <c r="K8" s="33">
        <f ca="1">SUMIF('Mar16-Aug16 Billed-RETAIL'!$E$7:$BJ$146,'12-MO Billed Summary RETAIL'!$C8,'Mar16-Aug16 Billed-RETAIL'!M$7:M$146)</f>
        <v>0</v>
      </c>
      <c r="L8" s="34"/>
      <c r="M8" s="34"/>
      <c r="N8" s="35"/>
      <c r="O8" s="35"/>
      <c r="P8" s="35"/>
      <c r="Q8" s="34"/>
      <c r="R8" s="35"/>
      <c r="S8" s="34"/>
      <c r="T8" s="34"/>
      <c r="U8" s="36">
        <f ca="1">SUMIF('Mar16-Aug16 Billed-RETAIL'!$E$7:$BJ$146,'12-MO Billed Summary RETAIL'!$C8,'Mar16-Aug16 Billed-RETAIL'!W$7:W$146)</f>
        <v>2800</v>
      </c>
      <c r="V8" s="36">
        <f ca="1">SUMIF('Mar16-Aug16 Billed-RETAIL'!$E$7:$BJ$146,'12-MO Billed Summary RETAIL'!$C8,'Mar16-Aug16 Billed-RETAIL'!X$7:X$146)</f>
        <v>0</v>
      </c>
      <c r="W8" s="36">
        <f ca="1">SUMIF('Mar16-Aug16 Billed-RETAIL'!$E$7:$BJ$146,'12-MO Billed Summary RETAIL'!$C8,'Mar16-Aug16 Billed-RETAIL'!Y$7:Y$146)</f>
        <v>0</v>
      </c>
      <c r="X8" s="36">
        <f ca="1">SUMIF('Mar16-Aug16 Billed-RETAIL'!$E$7:$BJ$146,'12-MO Billed Summary RETAIL'!$C8,'Mar16-Aug16 Billed-RETAIL'!Z$7:Z$146)</f>
        <v>15314.10428</v>
      </c>
      <c r="Y8" s="36">
        <f ca="1">SUMIF('Mar16-Aug16 Billed-RETAIL'!$E$7:$BJ$146,'12-MO Billed Summary RETAIL'!$C8,'Mar16-Aug16 Billed-RETAIL'!AA$7:AA$146)</f>
        <v>0</v>
      </c>
      <c r="Z8" s="36" t="e">
        <f ca="1">SUMIF('Mar16-Aug16 Billed-RETAIL'!$E$7:$BJ$146,'12-MO Billed Summary RETAIL'!$C8,'Mar16-Aug16 Billed-RETAIL'!AB$7:AB$146)</f>
        <v>#N/A</v>
      </c>
      <c r="AA8" s="36">
        <f ca="1">SUMIF('Mar16-Aug16 Billed-RETAIL'!$E$7:$BJ$146,'12-MO Billed Summary RETAIL'!$C8,'Mar16-Aug16 Billed-RETAIL'!AC$7:AC$146)</f>
        <v>0</v>
      </c>
      <c r="AB8" s="36">
        <f ca="1">SUMIF('Mar16-Aug16 Billed-RETAIL'!$E$7:$BJ$146,'12-MO Billed Summary RETAIL'!$C8,'Mar16-Aug16 Billed-RETAIL'!AD$7:AD$146)</f>
        <v>0</v>
      </c>
      <c r="AC8" s="36">
        <f ca="1">SUMIF('Mar16-Aug16 Billed-RETAIL'!$E$7:$BJ$146,'12-MO Billed Summary RETAIL'!$C8,'Mar16-Aug16 Billed-RETAIL'!AE$7:AE$146)</f>
        <v>0</v>
      </c>
      <c r="AD8" s="36" t="e">
        <f ca="1">SUMIF('Mar16-Aug16 Billed-RETAIL'!$E$7:$BJ$146,'12-MO Billed Summary RETAIL'!$C8,'Mar16-Aug16 Billed-RETAIL'!AF$7:AF$146)</f>
        <v>#N/A</v>
      </c>
      <c r="AE8" s="57">
        <f ca="1">SUMIF('Mar16-Aug16 Billed-RETAIL'!$E$7:$BJ$146,'12-MO Billed Summary RETAIL'!$C8,'Mar16-Aug16 Billed-RETAIL'!AG$7:AG$146)</f>
        <v>0</v>
      </c>
      <c r="AF8" s="57">
        <f ca="1">SUMIF('Mar16-Aug16 Billed-RETAIL'!$E$7:$BJ$146,'12-MO Billed Summary RETAIL'!$C8,'Mar16-Aug16 Billed-RETAIL'!AH$7:AH$146)</f>
        <v>0</v>
      </c>
      <c r="AG8" s="48">
        <f ca="1">SUMIF('Mar16-Aug16 Billed-RETAIL'!$E$7:$BJ$146,'12-MO Billed Summary RETAIL'!$C8,'Mar16-Aug16 Billed-RETAIL'!AI$7:AI$146)</f>
        <v>0</v>
      </c>
      <c r="AH8" s="48">
        <f ca="1">SUMIF('Mar16-Aug16 Billed-RETAIL'!$E$7:$BJ$146,'12-MO Billed Summary RETAIL'!$C8,'Mar16-Aug16 Billed-RETAIL'!AJ$7:AJ$146)</f>
        <v>0</v>
      </c>
      <c r="AI8" s="48">
        <f ca="1">SUMIF('Mar16-Aug16 Billed-RETAIL'!$E$7:$BJ$146,'12-MO Billed Summary RETAIL'!$C8,'Mar16-Aug16 Billed-RETAIL'!AK$7:AK$146)</f>
        <v>0</v>
      </c>
      <c r="AJ8" s="48">
        <f ca="1">SUMIF('Mar16-Aug16 Billed-RETAIL'!$E$7:$BJ$146,'12-MO Billed Summary RETAIL'!$C8,'Mar16-Aug16 Billed-RETAIL'!AL$7:AL$146)</f>
        <v>0</v>
      </c>
      <c r="AK8" s="48">
        <f ca="1">SUMIF('Mar16-Aug16 Billed-RETAIL'!$E$7:$BJ$146,'12-MO Billed Summary RETAIL'!$C8,'Mar16-Aug16 Billed-RETAIL'!AM$7:AM$146)</f>
        <v>0</v>
      </c>
      <c r="AL8" s="48">
        <f ca="1">SUMIF('Mar16-Aug16 Billed-RETAIL'!$E$7:$BJ$146,'12-MO Billed Summary RETAIL'!$C8,'Mar16-Aug16 Billed-RETAIL'!AN$7:AN$146)</f>
        <v>0</v>
      </c>
      <c r="AM8" s="48">
        <f ca="1">SUMIF('Mar16-Aug16 Billed-RETAIL'!$E$7:$BJ$146,'12-MO Billed Summary RETAIL'!$C8,'Mar16-Aug16 Billed-RETAIL'!AO$7:AO$146)</f>
        <v>0</v>
      </c>
      <c r="AN8" s="36">
        <f ca="1">SUMIF('Mar16-Aug16 Billed-RETAIL'!$E$7:$BJ$146,'12-MO Billed Summary RETAIL'!$C8,'Mar16-Aug16 Billed-RETAIL'!AP$7:AP$146)</f>
        <v>2800</v>
      </c>
      <c r="AO8" s="36">
        <f ca="1">SUMIF('Mar16-Aug16 Billed-RETAIL'!$E$7:$BJ$146,'12-MO Billed Summary RETAIL'!$C8,'Mar16-Aug16 Billed-RETAIL'!AQ$7:AQ$146)</f>
        <v>0</v>
      </c>
      <c r="AP8" s="36">
        <f ca="1">SUMIF('Mar16-Aug16 Billed-RETAIL'!$E$7:$BJ$146,'12-MO Billed Summary RETAIL'!$C8,'Mar16-Aug16 Billed-RETAIL'!AR$7:AR$146)</f>
        <v>15314.10428</v>
      </c>
      <c r="AQ8" s="36">
        <f ca="1">SUMIF('Mar16-Aug16 Billed-RETAIL'!$E$7:$BJ$146,'12-MO Billed Summary RETAIL'!$C8,'Mar16-Aug16 Billed-RETAIL'!AS$7:AS$146)</f>
        <v>0</v>
      </c>
      <c r="AR8" s="36">
        <f ca="1">SUMIF('Mar16-Aug16 Billed-RETAIL'!$E$7:$BJ$146,'12-MO Billed Summary RETAIL'!$C8,'Mar16-Aug16 Billed-RETAIL'!AT$7:AT$146)</f>
        <v>78915.539999999994</v>
      </c>
      <c r="AS8" s="36">
        <f ca="1">SUMIF('Mar16-Aug16 Billed-RETAIL'!$E$7:$BJ$146,'12-MO Billed Summary RETAIL'!$C8,'Mar16-Aug16 Billed-RETAIL'!AU$7:AU$146)</f>
        <v>0</v>
      </c>
      <c r="AT8" s="36">
        <f ca="1">SUMIF('Mar16-Aug16 Billed-RETAIL'!$E$7:$BJ$146,'12-MO Billed Summary RETAIL'!$C8,'Mar16-Aug16 Billed-RETAIL'!AV$7:AV$146)</f>
        <v>0</v>
      </c>
      <c r="AU8" s="36">
        <f ca="1">SUMIF('Mar16-Aug16 Billed-RETAIL'!$E$7:$BJ$146,'12-MO Billed Summary RETAIL'!$C8,'Mar16-Aug16 Billed-RETAIL'!AW$7:AW$146)</f>
        <v>19872.09</v>
      </c>
      <c r="AV8" s="36">
        <f ca="1">SUMIF('Mar16-Aug16 Billed-RETAIL'!$E$7:$BJ$146,'12-MO Billed Summary RETAIL'!$C8,'Mar16-Aug16 Billed-RETAIL'!AX$7:AX$146)</f>
        <v>0</v>
      </c>
      <c r="AW8" s="36">
        <f ca="1">SUMIF('Mar16-Aug16 Billed-RETAIL'!$E$7:$BJ$146,'12-MO Billed Summary RETAIL'!$C8,'Mar16-Aug16 Billed-RETAIL'!AY$7:AY$146)</f>
        <v>0</v>
      </c>
      <c r="AX8" s="43">
        <f ca="1">SUMIF('Mar16-Aug16 Billed-RETAIL'!$E$7:$BJ$146,'12-MO Billed Summary RETAIL'!$C8,'Mar16-Aug16 Billed-RETAIL'!AZ$7:AZ$146)</f>
        <v>116901.73000000001</v>
      </c>
      <c r="AY8" s="43">
        <f ca="1">SUMIF('Mar16-Aug16 Billed-RETAIL'!$E$7:$BJ$146,'12-MO Billed Summary RETAIL'!$C8,'Mar16-Aug16 Billed-RETAIL'!BA$7:BA$146)</f>
        <v>116901.73000000001</v>
      </c>
      <c r="AZ8" s="44">
        <f ca="1">IF(AY8=0,0,ROUND(AY8/AX8,6))</f>
        <v>1</v>
      </c>
      <c r="BA8" s="43">
        <f ca="1">SUMIF('Mar16-Aug16 Billed-RETAIL'!$E$7:$BJ$146,'12-MO Billed Summary RETAIL'!$C8,'Mar16-Aug16 Billed-RETAIL'!BC$7:BC$146)</f>
        <v>0</v>
      </c>
      <c r="BB8" s="43">
        <f ca="1">SUMIF('Mar16-Aug16 Billed-RETAIL'!$E$7:$BJ$146,'12-MO Billed Summary RETAIL'!$C8,'Mar16-Aug16 Billed-RETAIL'!BD$7:BD$146)</f>
        <v>78915.539999999994</v>
      </c>
      <c r="BC8" s="43">
        <f ca="1">SUMIF('Mar16-Aug16 Billed-RETAIL'!$E$7:$BJ$146,'12-MO Billed Summary RETAIL'!$C8,'Mar16-Aug16 Billed-RETAIL'!BE$7:BE$146)</f>
        <v>0</v>
      </c>
      <c r="BD8" s="43">
        <f ca="1">SUMIF('Mar16-Aug16 Billed-RETAIL'!$E$7:$BJ$146,'12-MO Billed Summary RETAIL'!$C8,'Mar16-Aug16 Billed-RETAIL'!BF$7:BF$146)</f>
        <v>0</v>
      </c>
      <c r="BE8" s="43">
        <f ca="1">SUMIF('Mar16-Aug16 Billed-RETAIL'!$E$7:$BJ$146,'12-MO Billed Summary RETAIL'!$C8,'Mar16-Aug16 Billed-RETAIL'!BG$7:BG$146)</f>
        <v>2800</v>
      </c>
      <c r="BF8" s="43">
        <f ca="1">SUMIF('Mar16-Aug16 Billed-RETAIL'!$E$7:$BJ$146,'12-MO Billed Summary RETAIL'!$C8,'Mar16-Aug16 Billed-RETAIL'!BH$7:BH$146)</f>
        <v>15314.100000000002</v>
      </c>
      <c r="BG8" s="43">
        <f ca="1">SUMIF('Mar16-Aug16 Billed-RETAIL'!$E$7:$BJ$146,'12-MO Billed Summary RETAIL'!$C8,'Mar16-Aug16 Billed-RETAIL'!BI$7:BI$146)</f>
        <v>0</v>
      </c>
      <c r="BH8" s="43">
        <f ca="1">SUMIF('Mar16-Aug16 Billed-RETAIL'!$E$7:$BJ$146,'12-MO Billed Summary RETAIL'!$C8,'Mar16-Aug16 Billed-RETAIL'!BJ$7:BJ$146)</f>
        <v>19872.09</v>
      </c>
    </row>
    <row r="9" spans="1:67" x14ac:dyDescent="0.25">
      <c r="A9" s="13">
        <f>+A8+1</f>
        <v>4</v>
      </c>
      <c r="B9" s="22" t="s">
        <v>290</v>
      </c>
      <c r="C9" s="22" t="str">
        <f>+'Retail Rates'!B15</f>
        <v>LGCMG851</v>
      </c>
      <c r="D9" s="14" t="str">
        <f t="shared" si="6"/>
        <v>851</v>
      </c>
      <c r="E9" s="14" t="str">
        <f>VLOOKUP(C9,'Retail Rates'!$B$7:$D$34,3,FALSE)</f>
        <v>CGS</v>
      </c>
      <c r="F9" s="33">
        <f ca="1">SUMIF('Mar16-Aug16 Billed-RETAIL'!$E$7:$BJ$146,'12-MO Billed Summary RETAIL'!$C9,'Mar16-Aug16 Billed-RETAIL'!H$7:H$146)</f>
        <v>0</v>
      </c>
      <c r="G9" s="33">
        <f ca="1">SUMIF('Mar16-Aug16 Billed-RETAIL'!$E$7:$BJ$146,'12-MO Billed Summary RETAIL'!$C9,'Mar16-Aug16 Billed-RETAIL'!I$7:I$146)</f>
        <v>288395</v>
      </c>
      <c r="H9" s="33">
        <f ca="1">SUMIF('Mar16-Aug16 Billed-RETAIL'!$E$7:$BJ$146,'12-MO Billed Summary RETAIL'!$C9,'Mar16-Aug16 Billed-RETAIL'!J$7:J$146)</f>
        <v>12693</v>
      </c>
      <c r="I9" s="33">
        <f ca="1">SUMIF('Mar16-Aug16 Billed-RETAIL'!$E$7:$BJ$146,'12-MO Billed Summary RETAIL'!$C9,'Mar16-Aug16 Billed-RETAIL'!K$7:K$146)</f>
        <v>97176098.321892634</v>
      </c>
      <c r="J9" s="33">
        <f ca="1">SUMIF('Mar16-Aug16 Billed-RETAIL'!$E$7:$BJ$146,'12-MO Billed Summary RETAIL'!$C9,'Mar16-Aug16 Billed-RETAIL'!L$7:L$146)</f>
        <v>7321907.8939329078</v>
      </c>
      <c r="K9" s="33">
        <f ca="1">SUMIF('Mar16-Aug16 Billed-RETAIL'!$E$7:$BJ$146,'12-MO Billed Summary RETAIL'!$C9,'Mar16-Aug16 Billed-RETAIL'!M$7:M$146)</f>
        <v>0</v>
      </c>
      <c r="L9" s="34"/>
      <c r="M9" s="34"/>
      <c r="N9" s="35"/>
      <c r="O9" s="35"/>
      <c r="P9" s="35"/>
      <c r="Q9" s="34"/>
      <c r="R9" s="35"/>
      <c r="S9" s="34"/>
      <c r="T9" s="34"/>
      <c r="U9" s="36">
        <f ca="1">SUMIF('Mar16-Aug16 Billed-RETAIL'!$E$7:$BJ$146,'12-MO Billed Summary RETAIL'!$C9,'Mar16-Aug16 Billed-RETAIL'!W$7:W$146)</f>
        <v>11535800</v>
      </c>
      <c r="V9" s="36">
        <f ca="1">SUMIF('Mar16-Aug16 Billed-RETAIL'!$E$7:$BJ$146,'12-MO Billed Summary RETAIL'!$C9,'Mar16-Aug16 Billed-RETAIL'!X$7:X$146)</f>
        <v>0</v>
      </c>
      <c r="W9" s="36">
        <f ca="1">SUMIF('Mar16-Aug16 Billed-RETAIL'!$E$7:$BJ$146,'12-MO Billed Summary RETAIL'!$C9,'Mar16-Aug16 Billed-RETAIL'!Y$7:Y$146)</f>
        <v>2284740</v>
      </c>
      <c r="X9" s="36">
        <f ca="1">SUMIF('Mar16-Aug16 Billed-RETAIL'!$E$7:$BJ$146,'12-MO Billed Summary RETAIL'!$C9,'Mar16-Aug16 Billed-RETAIL'!Z$7:Z$146)</f>
        <v>20896748.18313979</v>
      </c>
      <c r="Y9" s="36">
        <f ca="1">SUMIF('Mar16-Aug16 Billed-RETAIL'!$E$7:$BJ$146,'12-MO Billed Summary RETAIL'!$C9,'Mar16-Aug16 Billed-RETAIL'!AA$7:AA$146)</f>
        <v>1208407.6788146873</v>
      </c>
      <c r="Z9" s="36" t="e">
        <f ca="1">SUMIF('Mar16-Aug16 Billed-RETAIL'!$E$7:$BJ$146,'12-MO Billed Summary RETAIL'!$C9,'Mar16-Aug16 Billed-RETAIL'!AB$7:AB$146)</f>
        <v>#N/A</v>
      </c>
      <c r="AA9" s="36">
        <f ca="1">SUMIF('Mar16-Aug16 Billed-RETAIL'!$E$7:$BJ$146,'12-MO Billed Summary RETAIL'!$C9,'Mar16-Aug16 Billed-RETAIL'!AC$7:AC$146)</f>
        <v>0</v>
      </c>
      <c r="AB9" s="36">
        <f ca="1">SUMIF('Mar16-Aug16 Billed-RETAIL'!$E$7:$BJ$146,'12-MO Billed Summary RETAIL'!$C9,'Mar16-Aug16 Billed-RETAIL'!AD$7:AD$146)</f>
        <v>0</v>
      </c>
      <c r="AC9" s="36">
        <f ca="1">SUMIF('Mar16-Aug16 Billed-RETAIL'!$E$7:$BJ$146,'12-MO Billed Summary RETAIL'!$C9,'Mar16-Aug16 Billed-RETAIL'!AE$7:AE$146)</f>
        <v>0</v>
      </c>
      <c r="AD9" s="36" t="e">
        <f ca="1">SUMIF('Mar16-Aug16 Billed-RETAIL'!$E$7:$BJ$146,'12-MO Billed Summary RETAIL'!$C9,'Mar16-Aug16 Billed-RETAIL'!AF$7:AF$146)</f>
        <v>#N/A</v>
      </c>
      <c r="AE9" s="57">
        <f ca="1">SUMIF('Mar16-Aug16 Billed-RETAIL'!$E$7:$BJ$146,'12-MO Billed Summary RETAIL'!$C9,'Mar16-Aug16 Billed-RETAIL'!AG$7:AG$146)</f>
        <v>0</v>
      </c>
      <c r="AF9" s="57">
        <f ca="1">SUMIF('Mar16-Aug16 Billed-RETAIL'!$E$7:$BJ$146,'12-MO Billed Summary RETAIL'!$C9,'Mar16-Aug16 Billed-RETAIL'!AH$7:AH$146)</f>
        <v>0</v>
      </c>
      <c r="AG9" s="48">
        <f ca="1">SUMIF('Mar16-Aug16 Billed-RETAIL'!$E$7:$BJ$146,'12-MO Billed Summary RETAIL'!$C9,'Mar16-Aug16 Billed-RETAIL'!AI$7:AI$146)</f>
        <v>153.14000000000004</v>
      </c>
      <c r="AH9" s="48">
        <f ca="1">SUMIF('Mar16-Aug16 Billed-RETAIL'!$E$7:$BJ$146,'12-MO Billed Summary RETAIL'!$C9,'Mar16-Aug16 Billed-RETAIL'!AJ$7:AJ$146)</f>
        <v>90.63</v>
      </c>
      <c r="AI9" s="48">
        <f ca="1">SUMIF('Mar16-Aug16 Billed-RETAIL'!$E$7:$BJ$146,'12-MO Billed Summary RETAIL'!$C9,'Mar16-Aug16 Billed-RETAIL'!AK$7:AK$146)</f>
        <v>98.669999999999987</v>
      </c>
      <c r="AJ9" s="48">
        <f ca="1">SUMIF('Mar16-Aug16 Billed-RETAIL'!$E$7:$BJ$146,'12-MO Billed Summary RETAIL'!$C9,'Mar16-Aug16 Billed-RETAIL'!AL$7:AL$146)</f>
        <v>0</v>
      </c>
      <c r="AK9" s="48">
        <f ca="1">SUMIF('Mar16-Aug16 Billed-RETAIL'!$E$7:$BJ$146,'12-MO Billed Summary RETAIL'!$C9,'Mar16-Aug16 Billed-RETAIL'!AM$7:AM$146)</f>
        <v>0</v>
      </c>
      <c r="AL9" s="48">
        <f ca="1">SUMIF('Mar16-Aug16 Billed-RETAIL'!$E$7:$BJ$146,'12-MO Billed Summary RETAIL'!$C9,'Mar16-Aug16 Billed-RETAIL'!AN$7:AN$146)</f>
        <v>0</v>
      </c>
      <c r="AM9" s="48">
        <f ca="1">SUMIF('Mar16-Aug16 Billed-RETAIL'!$E$7:$BJ$146,'12-MO Billed Summary RETAIL'!$C9,'Mar16-Aug16 Billed-RETAIL'!AO$7:AO$146)</f>
        <v>0</v>
      </c>
      <c r="AN9" s="36">
        <f ca="1">SUMIF('Mar16-Aug16 Billed-RETAIL'!$E$7:$BJ$146,'12-MO Billed Summary RETAIL'!$C9,'Mar16-Aug16 Billed-RETAIL'!AP$7:AP$146)</f>
        <v>11535953.140000001</v>
      </c>
      <c r="AO9" s="36">
        <f ca="1">SUMIF('Mar16-Aug16 Billed-RETAIL'!$E$7:$BJ$146,'12-MO Billed Summary RETAIL'!$C9,'Mar16-Aug16 Billed-RETAIL'!AQ$7:AQ$146)</f>
        <v>2284830.63</v>
      </c>
      <c r="AP9" s="36">
        <f ca="1">SUMIF('Mar16-Aug16 Billed-RETAIL'!$E$7:$BJ$146,'12-MO Billed Summary RETAIL'!$C9,'Mar16-Aug16 Billed-RETAIL'!AR$7:AR$146)</f>
        <v>20896846.853139788</v>
      </c>
      <c r="AQ9" s="36">
        <f ca="1">SUMIF('Mar16-Aug16 Billed-RETAIL'!$E$7:$BJ$146,'12-MO Billed Summary RETAIL'!$C9,'Mar16-Aug16 Billed-RETAIL'!AS$7:AS$146)</f>
        <v>1208407.6788146873</v>
      </c>
      <c r="AR9" s="36">
        <f ca="1">SUMIF('Mar16-Aug16 Billed-RETAIL'!$E$7:$BJ$146,'12-MO Billed Summary RETAIL'!$C9,'Mar16-Aug16 Billed-RETAIL'!AT$7:AT$146)</f>
        <v>42831717.492513314</v>
      </c>
      <c r="AS9" s="36">
        <f ca="1">SUMIF('Mar16-Aug16 Billed-RETAIL'!$E$7:$BJ$146,'12-MO Billed Summary RETAIL'!$C9,'Mar16-Aug16 Billed-RETAIL'!AU$7:AU$146)</f>
        <v>600012.3998668018</v>
      </c>
      <c r="AT9" s="36">
        <f ca="1">SUMIF('Mar16-Aug16 Billed-RETAIL'!$E$7:$BJ$146,'12-MO Billed Summary RETAIL'!$C9,'Mar16-Aug16 Billed-RETAIL'!AV$7:AV$146)</f>
        <v>791801.53000000014</v>
      </c>
      <c r="AU9" s="36">
        <f ca="1">SUMIF('Mar16-Aug16 Billed-RETAIL'!$E$7:$BJ$146,'12-MO Billed Summary RETAIL'!$C9,'Mar16-Aug16 Billed-RETAIL'!AW$7:AW$146)</f>
        <v>8107255.4302754849</v>
      </c>
      <c r="AV9" s="36">
        <f ca="1">SUMIF('Mar16-Aug16 Billed-RETAIL'!$E$7:$BJ$146,'12-MO Billed Summary RETAIL'!$C9,'Mar16-Aug16 Billed-RETAIL'!AX$7:AX$146)</f>
        <v>0</v>
      </c>
      <c r="AW9" s="36">
        <f ca="1">SUMIF('Mar16-Aug16 Billed-RETAIL'!$E$7:$BJ$146,'12-MO Billed Summary RETAIL'!$C9,'Mar16-Aug16 Billed-RETAIL'!AY$7:AY$146)</f>
        <v>0</v>
      </c>
      <c r="AX9" s="43">
        <f ca="1">SUMIF('Mar16-Aug16 Billed-RETAIL'!$E$7:$BJ$146,'12-MO Billed Summary RETAIL'!$C9,'Mar16-Aug16 Billed-RETAIL'!AZ$7:AZ$146)</f>
        <v>88256825.149999991</v>
      </c>
      <c r="AY9" s="43">
        <f ca="1">SUMIF('Mar16-Aug16 Billed-RETAIL'!$E$7:$BJ$146,'12-MO Billed Summary RETAIL'!$C9,'Mar16-Aug16 Billed-RETAIL'!BA$7:BA$146)</f>
        <v>88256825.150645524</v>
      </c>
      <c r="AZ9" s="44">
        <f t="shared" ca="1" si="7"/>
        <v>1</v>
      </c>
      <c r="BA9" s="43">
        <f ca="1">SUMIF('Mar16-Aug16 Billed-RETAIL'!$E$7:$BJ$146,'12-MO Billed Summary RETAIL'!$C9,'Mar16-Aug16 Billed-RETAIL'!BC$7:BC$146)</f>
        <v>600012.3998668018</v>
      </c>
      <c r="BB9" s="43">
        <f ca="1">SUMIF('Mar16-Aug16 Billed-RETAIL'!$E$7:$BJ$146,'12-MO Billed Summary RETAIL'!$C9,'Mar16-Aug16 Billed-RETAIL'!BD$7:BD$146)</f>
        <v>42831717.492513314</v>
      </c>
      <c r="BC9" s="43">
        <f ca="1">SUMIF('Mar16-Aug16 Billed-RETAIL'!$E$7:$BJ$146,'12-MO Billed Summary RETAIL'!$C9,'Mar16-Aug16 Billed-RETAIL'!BE$7:BE$146)</f>
        <v>791801.53000000014</v>
      </c>
      <c r="BD9" s="43">
        <f ca="1">SUMIF('Mar16-Aug16 Billed-RETAIL'!$E$7:$BJ$146,'12-MO Billed Summary RETAIL'!$C9,'Mar16-Aug16 Billed-RETAIL'!BF$7:BF$146)</f>
        <v>0</v>
      </c>
      <c r="BE9" s="43">
        <f ca="1">SUMIF('Mar16-Aug16 Billed-RETAIL'!$E$7:$BJ$146,'12-MO Billed Summary RETAIL'!$C9,'Mar16-Aug16 Billed-RETAIL'!BG$7:BG$146)</f>
        <v>13820783.77</v>
      </c>
      <c r="BF9" s="43">
        <f ca="1">SUMIF('Mar16-Aug16 Billed-RETAIL'!$E$7:$BJ$146,'12-MO Billed Summary RETAIL'!$C9,'Mar16-Aug16 Billed-RETAIL'!BH$7:BH$146)</f>
        <v>22105254.527989924</v>
      </c>
      <c r="BG9" s="43">
        <f ca="1">SUMIF('Mar16-Aug16 Billed-RETAIL'!$E$7:$BJ$146,'12-MO Billed Summary RETAIL'!$C9,'Mar16-Aug16 Billed-RETAIL'!BI$7:BI$146)</f>
        <v>0</v>
      </c>
      <c r="BH9" s="43">
        <f ca="1">SUMIF('Mar16-Aug16 Billed-RETAIL'!$E$7:$BJ$146,'12-MO Billed Summary RETAIL'!$C9,'Mar16-Aug16 Billed-RETAIL'!BJ$7:BJ$146)</f>
        <v>8107255.4302754849</v>
      </c>
    </row>
    <row r="10" spans="1:67" x14ac:dyDescent="0.25">
      <c r="A10" s="13">
        <f t="shared" ref="A10:A16" si="8">+A9+1</f>
        <v>5</v>
      </c>
      <c r="B10" s="22" t="s">
        <v>290</v>
      </c>
      <c r="C10" s="22" t="str">
        <f>+'Retail Rates'!B16</f>
        <v>LGUMG861</v>
      </c>
      <c r="D10" s="14" t="str">
        <f t="shared" si="6"/>
        <v>861</v>
      </c>
      <c r="E10" s="14" t="str">
        <f>VLOOKUP(C10,'Retail Rates'!$B$7:$D$34,3,FALSE)</f>
        <v>CGS</v>
      </c>
      <c r="F10" s="33">
        <f ca="1">SUMIF('Mar16-Aug16 Billed-RETAIL'!$E$7:$BJ$146,'12-MO Billed Summary RETAIL'!$C10,'Mar16-Aug16 Billed-RETAIL'!H$7:H$146)</f>
        <v>0</v>
      </c>
      <c r="G10" s="33">
        <f ca="1">SUMIF('Mar16-Aug16 Billed-RETAIL'!$E$7:$BJ$146,'12-MO Billed Summary RETAIL'!$C10,'Mar16-Aug16 Billed-RETAIL'!I$7:I$146)</f>
        <v>3728</v>
      </c>
      <c r="H10" s="33">
        <f ca="1">SUMIF('Mar16-Aug16 Billed-RETAIL'!$E$7:$BJ$146,'12-MO Billed Summary RETAIL'!$C10,'Mar16-Aug16 Billed-RETAIL'!J$7:J$146)</f>
        <v>0</v>
      </c>
      <c r="I10" s="33">
        <f ca="1">SUMIF('Mar16-Aug16 Billed-RETAIL'!$E$7:$BJ$146,'12-MO Billed Summary RETAIL'!$C10,'Mar16-Aug16 Billed-RETAIL'!K$7:K$146)</f>
        <v>3686</v>
      </c>
      <c r="J10" s="33">
        <f ca="1">SUMIF('Mar16-Aug16 Billed-RETAIL'!$E$7:$BJ$146,'12-MO Billed Summary RETAIL'!$C10,'Mar16-Aug16 Billed-RETAIL'!L$7:L$146)</f>
        <v>0</v>
      </c>
      <c r="K10" s="33">
        <f ca="1">SUMIF('Mar16-Aug16 Billed-RETAIL'!$E$7:$BJ$146,'12-MO Billed Summary RETAIL'!$C10,'Mar16-Aug16 Billed-RETAIL'!M$7:M$146)</f>
        <v>0</v>
      </c>
      <c r="L10" s="34"/>
      <c r="M10" s="34"/>
      <c r="N10" s="35"/>
      <c r="O10" s="35"/>
      <c r="P10" s="35"/>
      <c r="Q10" s="34"/>
      <c r="R10" s="35"/>
      <c r="S10" s="34"/>
      <c r="T10" s="34"/>
      <c r="U10" s="36">
        <f ca="1">SUMIF('Mar16-Aug16 Billed-RETAIL'!$E$7:$BJ$146,'12-MO Billed Summary RETAIL'!$C10,'Mar16-Aug16 Billed-RETAIL'!W$7:W$146)</f>
        <v>149120</v>
      </c>
      <c r="V10" s="36">
        <f ca="1">SUMIF('Mar16-Aug16 Billed-RETAIL'!$E$7:$BJ$146,'12-MO Billed Summary RETAIL'!$C10,'Mar16-Aug16 Billed-RETAIL'!X$7:X$146)</f>
        <v>0</v>
      </c>
      <c r="W10" s="36">
        <f ca="1">SUMIF('Mar16-Aug16 Billed-RETAIL'!$E$7:$BJ$146,'12-MO Billed Summary RETAIL'!$C10,'Mar16-Aug16 Billed-RETAIL'!Y$7:Y$146)</f>
        <v>0</v>
      </c>
      <c r="X10" s="36">
        <f ca="1">SUMIF('Mar16-Aug16 Billed-RETAIL'!$E$7:$BJ$146,'12-MO Billed Summary RETAIL'!$C10,'Mar16-Aug16 Billed-RETAIL'!Z$7:Z$146)</f>
        <v>792.63743999999997</v>
      </c>
      <c r="Y10" s="36">
        <f ca="1">SUMIF('Mar16-Aug16 Billed-RETAIL'!$E$7:$BJ$146,'12-MO Billed Summary RETAIL'!$C10,'Mar16-Aug16 Billed-RETAIL'!AA$7:AA$146)</f>
        <v>0</v>
      </c>
      <c r="Z10" s="36" t="e">
        <f ca="1">SUMIF('Mar16-Aug16 Billed-RETAIL'!$E$7:$BJ$146,'12-MO Billed Summary RETAIL'!$C10,'Mar16-Aug16 Billed-RETAIL'!AB$7:AB$146)</f>
        <v>#N/A</v>
      </c>
      <c r="AA10" s="36">
        <f ca="1">SUMIF('Mar16-Aug16 Billed-RETAIL'!$E$7:$BJ$146,'12-MO Billed Summary RETAIL'!$C10,'Mar16-Aug16 Billed-RETAIL'!AC$7:AC$146)</f>
        <v>0</v>
      </c>
      <c r="AB10" s="36">
        <f ca="1">SUMIF('Mar16-Aug16 Billed-RETAIL'!$E$7:$BJ$146,'12-MO Billed Summary RETAIL'!$C10,'Mar16-Aug16 Billed-RETAIL'!AD$7:AD$146)</f>
        <v>0</v>
      </c>
      <c r="AC10" s="36">
        <f ca="1">SUMIF('Mar16-Aug16 Billed-RETAIL'!$E$7:$BJ$146,'12-MO Billed Summary RETAIL'!$C10,'Mar16-Aug16 Billed-RETAIL'!AE$7:AE$146)</f>
        <v>0</v>
      </c>
      <c r="AD10" s="36" t="e">
        <f ca="1">SUMIF('Mar16-Aug16 Billed-RETAIL'!$E$7:$BJ$146,'12-MO Billed Summary RETAIL'!$C10,'Mar16-Aug16 Billed-RETAIL'!AF$7:AF$146)</f>
        <v>#N/A</v>
      </c>
      <c r="AE10" s="57">
        <f ca="1">SUMIF('Mar16-Aug16 Billed-RETAIL'!$E$7:$BJ$146,'12-MO Billed Summary RETAIL'!$C10,'Mar16-Aug16 Billed-RETAIL'!AG$7:AG$146)</f>
        <v>0</v>
      </c>
      <c r="AF10" s="57">
        <f ca="1">SUMIF('Mar16-Aug16 Billed-RETAIL'!$E$7:$BJ$146,'12-MO Billed Summary RETAIL'!$C10,'Mar16-Aug16 Billed-RETAIL'!AH$7:AH$146)</f>
        <v>0</v>
      </c>
      <c r="AG10" s="48">
        <f ca="1">SUMIF('Mar16-Aug16 Billed-RETAIL'!$E$7:$BJ$146,'12-MO Billed Summary RETAIL'!$C10,'Mar16-Aug16 Billed-RETAIL'!AI$7:AI$146)</f>
        <v>0</v>
      </c>
      <c r="AH10" s="48">
        <f ca="1">SUMIF('Mar16-Aug16 Billed-RETAIL'!$E$7:$BJ$146,'12-MO Billed Summary RETAIL'!$C10,'Mar16-Aug16 Billed-RETAIL'!AJ$7:AJ$146)</f>
        <v>0</v>
      </c>
      <c r="AI10" s="48">
        <f ca="1">SUMIF('Mar16-Aug16 Billed-RETAIL'!$E$7:$BJ$146,'12-MO Billed Summary RETAIL'!$C10,'Mar16-Aug16 Billed-RETAIL'!AK$7:AK$146)</f>
        <v>17.739999999999998</v>
      </c>
      <c r="AJ10" s="48">
        <f ca="1">SUMIF('Mar16-Aug16 Billed-RETAIL'!$E$7:$BJ$146,'12-MO Billed Summary RETAIL'!$C10,'Mar16-Aug16 Billed-RETAIL'!AL$7:AL$146)</f>
        <v>0</v>
      </c>
      <c r="AK10" s="48">
        <f ca="1">SUMIF('Mar16-Aug16 Billed-RETAIL'!$E$7:$BJ$146,'12-MO Billed Summary RETAIL'!$C10,'Mar16-Aug16 Billed-RETAIL'!AM$7:AM$146)</f>
        <v>0</v>
      </c>
      <c r="AL10" s="48">
        <f ca="1">SUMIF('Mar16-Aug16 Billed-RETAIL'!$E$7:$BJ$146,'12-MO Billed Summary RETAIL'!$C10,'Mar16-Aug16 Billed-RETAIL'!AN$7:AN$146)</f>
        <v>0</v>
      </c>
      <c r="AM10" s="48">
        <f ca="1">SUMIF('Mar16-Aug16 Billed-RETAIL'!$E$7:$BJ$146,'12-MO Billed Summary RETAIL'!$C10,'Mar16-Aug16 Billed-RETAIL'!AO$7:AO$146)</f>
        <v>0</v>
      </c>
      <c r="AN10" s="36">
        <f ca="1">SUMIF('Mar16-Aug16 Billed-RETAIL'!$E$7:$BJ$146,'12-MO Billed Summary RETAIL'!$C10,'Mar16-Aug16 Billed-RETAIL'!AP$7:AP$146)</f>
        <v>149120</v>
      </c>
      <c r="AO10" s="36">
        <f ca="1">SUMIF('Mar16-Aug16 Billed-RETAIL'!$E$7:$BJ$146,'12-MO Billed Summary RETAIL'!$C10,'Mar16-Aug16 Billed-RETAIL'!AQ$7:AQ$146)</f>
        <v>0</v>
      </c>
      <c r="AP10" s="36">
        <f ca="1">SUMIF('Mar16-Aug16 Billed-RETAIL'!$E$7:$BJ$146,'12-MO Billed Summary RETAIL'!$C10,'Mar16-Aug16 Billed-RETAIL'!AR$7:AR$146)</f>
        <v>810.37744000000021</v>
      </c>
      <c r="AQ10" s="36">
        <f ca="1">SUMIF('Mar16-Aug16 Billed-RETAIL'!$E$7:$BJ$146,'12-MO Billed Summary RETAIL'!$C10,'Mar16-Aug16 Billed-RETAIL'!AS$7:AS$146)</f>
        <v>0</v>
      </c>
      <c r="AR10" s="36">
        <f ca="1">SUMIF('Mar16-Aug16 Billed-RETAIL'!$E$7:$BJ$146,'12-MO Billed Summary RETAIL'!$C10,'Mar16-Aug16 Billed-RETAIL'!AT$7:AT$146)</f>
        <v>1251.3399999999999</v>
      </c>
      <c r="AS10" s="36">
        <f ca="1">SUMIF('Mar16-Aug16 Billed-RETAIL'!$E$7:$BJ$146,'12-MO Billed Summary RETAIL'!$C10,'Mar16-Aug16 Billed-RETAIL'!AU$7:AU$146)</f>
        <v>0</v>
      </c>
      <c r="AT10" s="36">
        <f ca="1">SUMIF('Mar16-Aug16 Billed-RETAIL'!$E$7:$BJ$146,'12-MO Billed Summary RETAIL'!$C10,'Mar16-Aug16 Billed-RETAIL'!AV$7:AV$146)</f>
        <v>0</v>
      </c>
      <c r="AU10" s="36">
        <f ca="1">SUMIF('Mar16-Aug16 Billed-RETAIL'!$E$7:$BJ$146,'12-MO Billed Summary RETAIL'!$C10,'Mar16-Aug16 Billed-RETAIL'!AW$7:AW$146)</f>
        <v>0</v>
      </c>
      <c r="AV10" s="36">
        <f ca="1">SUMIF('Mar16-Aug16 Billed-RETAIL'!$E$7:$BJ$146,'12-MO Billed Summary RETAIL'!$C10,'Mar16-Aug16 Billed-RETAIL'!AX$7:AX$146)</f>
        <v>0</v>
      </c>
      <c r="AW10" s="36">
        <f ca="1">SUMIF('Mar16-Aug16 Billed-RETAIL'!$E$7:$BJ$146,'12-MO Billed Summary RETAIL'!$C10,'Mar16-Aug16 Billed-RETAIL'!AY$7:AY$146)</f>
        <v>0</v>
      </c>
      <c r="AX10" s="43">
        <f ca="1">SUMIF('Mar16-Aug16 Billed-RETAIL'!$E$7:$BJ$146,'12-MO Billed Summary RETAIL'!$C10,'Mar16-Aug16 Billed-RETAIL'!AZ$7:AZ$146)</f>
        <v>151181.71000000002</v>
      </c>
      <c r="AY10" s="43">
        <f ca="1">SUMIF('Mar16-Aug16 Billed-RETAIL'!$E$7:$BJ$146,'12-MO Billed Summary RETAIL'!$C10,'Mar16-Aug16 Billed-RETAIL'!BA$7:BA$146)</f>
        <v>151181.71000000002</v>
      </c>
      <c r="AZ10" s="44">
        <f t="shared" ca="1" si="7"/>
        <v>1</v>
      </c>
      <c r="BA10" s="43">
        <f ca="1">SUMIF('Mar16-Aug16 Billed-RETAIL'!$E$7:$BJ$146,'12-MO Billed Summary RETAIL'!$C10,'Mar16-Aug16 Billed-RETAIL'!BC$7:BC$146)</f>
        <v>0</v>
      </c>
      <c r="BB10" s="43">
        <f ca="1">SUMIF('Mar16-Aug16 Billed-RETAIL'!$E$7:$BJ$146,'12-MO Billed Summary RETAIL'!$C10,'Mar16-Aug16 Billed-RETAIL'!BD$7:BD$146)</f>
        <v>1251.3399999999999</v>
      </c>
      <c r="BC10" s="43">
        <f ca="1">SUMIF('Mar16-Aug16 Billed-RETAIL'!$E$7:$BJ$146,'12-MO Billed Summary RETAIL'!$C10,'Mar16-Aug16 Billed-RETAIL'!BE$7:BE$146)</f>
        <v>0</v>
      </c>
      <c r="BD10" s="43">
        <f ca="1">SUMIF('Mar16-Aug16 Billed-RETAIL'!$E$7:$BJ$146,'12-MO Billed Summary RETAIL'!$C10,'Mar16-Aug16 Billed-RETAIL'!BF$7:BF$146)</f>
        <v>0</v>
      </c>
      <c r="BE10" s="43">
        <f ca="1">SUMIF('Mar16-Aug16 Billed-RETAIL'!$E$7:$BJ$146,'12-MO Billed Summary RETAIL'!$C10,'Mar16-Aug16 Billed-RETAIL'!BG$7:BG$146)</f>
        <v>149120</v>
      </c>
      <c r="BF10" s="43">
        <f ca="1">SUMIF('Mar16-Aug16 Billed-RETAIL'!$E$7:$BJ$146,'12-MO Billed Summary RETAIL'!$C10,'Mar16-Aug16 Billed-RETAIL'!BH$7:BH$146)</f>
        <v>810.37</v>
      </c>
      <c r="BG10" s="43">
        <f ca="1">SUMIF('Mar16-Aug16 Billed-RETAIL'!$E$7:$BJ$146,'12-MO Billed Summary RETAIL'!$C10,'Mar16-Aug16 Billed-RETAIL'!BI$7:BI$146)</f>
        <v>0</v>
      </c>
      <c r="BH10" s="43">
        <f ca="1">SUMIF('Mar16-Aug16 Billed-RETAIL'!$E$7:$BJ$146,'12-MO Billed Summary RETAIL'!$C10,'Mar16-Aug16 Billed-RETAIL'!BJ$7:BJ$146)</f>
        <v>0</v>
      </c>
    </row>
    <row r="11" spans="1:67" x14ac:dyDescent="0.25">
      <c r="A11" s="13">
        <f t="shared" si="8"/>
        <v>6</v>
      </c>
      <c r="B11" s="22" t="s">
        <v>290</v>
      </c>
      <c r="C11" s="22" t="str">
        <f>+'Retail Rates'!B20</f>
        <v>LGCMG875</v>
      </c>
      <c r="D11" s="14" t="str">
        <f t="shared" si="6"/>
        <v>875</v>
      </c>
      <c r="E11" s="14" t="s">
        <v>870</v>
      </c>
      <c r="F11" s="33">
        <f ca="1">SUMIF('Mar16-Aug16 Billed-RETAIL'!$E$7:$BJ$146,'12-MO Billed Summary RETAIL'!$C11,'Mar16-Aug16 Billed-RETAIL'!H$7:H$146)</f>
        <v>12</v>
      </c>
      <c r="G11" s="33">
        <f ca="1">SUMIF('Mar16-Aug16 Billed-RETAIL'!$E$7:$BJ$146,'12-MO Billed Summary RETAIL'!$C11,'Mar16-Aug16 Billed-RETAIL'!I$7:I$146)</f>
        <v>0</v>
      </c>
      <c r="H11" s="33">
        <f ca="1">SUMIF('Mar16-Aug16 Billed-RETAIL'!$E$7:$BJ$146,'12-MO Billed Summary RETAIL'!$C11,'Mar16-Aug16 Billed-RETAIL'!J$7:J$146)</f>
        <v>0</v>
      </c>
      <c r="I11" s="33">
        <f ca="1">SUMIF('Mar16-Aug16 Billed-RETAIL'!$E$7:$BJ$146,'12-MO Billed Summary RETAIL'!$C11,'Mar16-Aug16 Billed-RETAIL'!K$7:K$146)</f>
        <v>75</v>
      </c>
      <c r="J11" s="33">
        <f ca="1">SUMIF('Mar16-Aug16 Billed-RETAIL'!$E$7:$BJ$146,'12-MO Billed Summary RETAIL'!$C11,'Mar16-Aug16 Billed-RETAIL'!L$7:L$146)</f>
        <v>0</v>
      </c>
      <c r="K11" s="33">
        <f ca="1">SUMIF('Mar16-Aug16 Billed-RETAIL'!$E$7:$BJ$146,'12-MO Billed Summary RETAIL'!$C11,'Mar16-Aug16 Billed-RETAIL'!M$7:M$146)</f>
        <v>5796</v>
      </c>
      <c r="L11" s="34"/>
      <c r="M11" s="34"/>
      <c r="N11" s="35"/>
      <c r="O11" s="35"/>
      <c r="P11" s="35"/>
      <c r="Q11" s="34"/>
      <c r="R11" s="35"/>
      <c r="S11" s="34"/>
      <c r="T11" s="34"/>
      <c r="U11" s="36">
        <f ca="1">SUMIF('Mar16-Aug16 Billed-RETAIL'!$E$7:$BJ$146,'12-MO Billed Summary RETAIL'!$C11,'Mar16-Aug16 Billed-RETAIL'!W$7:W$146)</f>
        <v>480</v>
      </c>
      <c r="V11" s="36">
        <f ca="1">SUMIF('Mar16-Aug16 Billed-RETAIL'!$E$7:$BJ$146,'12-MO Billed Summary RETAIL'!$C11,'Mar16-Aug16 Billed-RETAIL'!X$7:X$146)</f>
        <v>0</v>
      </c>
      <c r="W11" s="36">
        <f ca="1">SUMIF('Mar16-Aug16 Billed-RETAIL'!$E$7:$BJ$146,'12-MO Billed Summary RETAIL'!$C11,'Mar16-Aug16 Billed-RETAIL'!Y$7:Y$146)</f>
        <v>0</v>
      </c>
      <c r="X11" s="36">
        <f ca="1">SUMIF('Mar16-Aug16 Billed-RETAIL'!$E$7:$BJ$146,'12-MO Billed Summary RETAIL'!$C11,'Mar16-Aug16 Billed-RETAIL'!Z$7:Z$146)</f>
        <v>2.4967499999999996</v>
      </c>
      <c r="Y11" s="36">
        <f ca="1">SUMIF('Mar16-Aug16 Billed-RETAIL'!$E$7:$BJ$146,'12-MO Billed Summary RETAIL'!$C11,'Mar16-Aug16 Billed-RETAIL'!AA$7:AA$146)</f>
        <v>0</v>
      </c>
      <c r="Z11" s="36" t="e">
        <f ca="1">SUMIF('Mar16-Aug16 Billed-RETAIL'!$E$7:$BJ$146,'12-MO Billed Summary RETAIL'!$C11,'Mar16-Aug16 Billed-RETAIL'!AB$7:AB$146)</f>
        <v>#N/A</v>
      </c>
      <c r="AA11" s="36">
        <f ca="1">SUMIF('Mar16-Aug16 Billed-RETAIL'!$E$7:$BJ$146,'12-MO Billed Summary RETAIL'!$C11,'Mar16-Aug16 Billed-RETAIL'!AC$7:AC$146)</f>
        <v>0</v>
      </c>
      <c r="AB11" s="36">
        <f ca="1">SUMIF('Mar16-Aug16 Billed-RETAIL'!$E$7:$BJ$146,'12-MO Billed Summary RETAIL'!$C11,'Mar16-Aug16 Billed-RETAIL'!AD$7:AD$146)</f>
        <v>0</v>
      </c>
      <c r="AC11" s="36">
        <f ca="1">SUMIF('Mar16-Aug16 Billed-RETAIL'!$E$7:$BJ$146,'12-MO Billed Summary RETAIL'!$C11,'Mar16-Aug16 Billed-RETAIL'!AE$7:AE$146)</f>
        <v>6528.0348000000022</v>
      </c>
      <c r="AD11" s="36" t="e">
        <f ca="1">SUMIF('Mar16-Aug16 Billed-RETAIL'!$E$7:$BJ$146,'12-MO Billed Summary RETAIL'!$C11,'Mar16-Aug16 Billed-RETAIL'!AF$7:AF$146)</f>
        <v>#N/A</v>
      </c>
      <c r="AE11" s="57">
        <f ca="1">SUMIF('Mar16-Aug16 Billed-RETAIL'!$E$7:$BJ$146,'12-MO Billed Summary RETAIL'!$C11,'Mar16-Aug16 Billed-RETAIL'!AG$7:AG$146)</f>
        <v>0</v>
      </c>
      <c r="AF11" s="57">
        <f ca="1">SUMIF('Mar16-Aug16 Billed-RETAIL'!$E$7:$BJ$146,'12-MO Billed Summary RETAIL'!$C11,'Mar16-Aug16 Billed-RETAIL'!AH$7:AH$146)</f>
        <v>0</v>
      </c>
      <c r="AG11" s="48">
        <f ca="1">SUMIF('Mar16-Aug16 Billed-RETAIL'!$E$7:$BJ$146,'12-MO Billed Summary RETAIL'!$C11,'Mar16-Aug16 Billed-RETAIL'!AI$7:AI$146)</f>
        <v>0</v>
      </c>
      <c r="AH11" s="48">
        <f ca="1">SUMIF('Mar16-Aug16 Billed-RETAIL'!$E$7:$BJ$146,'12-MO Billed Summary RETAIL'!$C11,'Mar16-Aug16 Billed-RETAIL'!AJ$7:AJ$146)</f>
        <v>0</v>
      </c>
      <c r="AI11" s="48">
        <f ca="1">SUMIF('Mar16-Aug16 Billed-RETAIL'!$E$7:$BJ$146,'12-MO Billed Summary RETAIL'!$C11,'Mar16-Aug16 Billed-RETAIL'!AK$7:AK$146)</f>
        <v>-0.03</v>
      </c>
      <c r="AJ11" s="48">
        <f ca="1">SUMIF('Mar16-Aug16 Billed-RETAIL'!$E$7:$BJ$146,'12-MO Billed Summary RETAIL'!$C11,'Mar16-Aug16 Billed-RETAIL'!AL$7:AL$146)</f>
        <v>0</v>
      </c>
      <c r="AK11" s="48">
        <f ca="1">SUMIF('Mar16-Aug16 Billed-RETAIL'!$E$7:$BJ$146,'12-MO Billed Summary RETAIL'!$C11,'Mar16-Aug16 Billed-RETAIL'!AM$7:AM$146)</f>
        <v>0</v>
      </c>
      <c r="AL11" s="48">
        <f ca="1">SUMIF('Mar16-Aug16 Billed-RETAIL'!$E$7:$BJ$146,'12-MO Billed Summary RETAIL'!$C11,'Mar16-Aug16 Billed-RETAIL'!AN$7:AN$146)</f>
        <v>0</v>
      </c>
      <c r="AM11" s="48">
        <f ca="1">SUMIF('Mar16-Aug16 Billed-RETAIL'!$E$7:$BJ$146,'12-MO Billed Summary RETAIL'!$C11,'Mar16-Aug16 Billed-RETAIL'!AO$7:AO$146)</f>
        <v>0</v>
      </c>
      <c r="AN11" s="36">
        <f ca="1">SUMIF('Mar16-Aug16 Billed-RETAIL'!$E$7:$BJ$146,'12-MO Billed Summary RETAIL'!$C11,'Mar16-Aug16 Billed-RETAIL'!AP$7:AP$146)</f>
        <v>480</v>
      </c>
      <c r="AO11" s="36">
        <f ca="1">SUMIF('Mar16-Aug16 Billed-RETAIL'!$E$7:$BJ$146,'12-MO Billed Summary RETAIL'!$C11,'Mar16-Aug16 Billed-RETAIL'!AQ$7:AQ$146)</f>
        <v>0</v>
      </c>
      <c r="AP11" s="36">
        <f ca="1">SUMIF('Mar16-Aug16 Billed-RETAIL'!$E$7:$BJ$146,'12-MO Billed Summary RETAIL'!$C11,'Mar16-Aug16 Billed-RETAIL'!AR$7:AR$146)</f>
        <v>2.4667499999999998</v>
      </c>
      <c r="AQ11" s="36">
        <f ca="1">SUMIF('Mar16-Aug16 Billed-RETAIL'!$E$7:$BJ$146,'12-MO Billed Summary RETAIL'!$C11,'Mar16-Aug16 Billed-RETAIL'!AS$7:AS$146)</f>
        <v>0</v>
      </c>
      <c r="AR11" s="36">
        <f ca="1">SUMIF('Mar16-Aug16 Billed-RETAIL'!$E$7:$BJ$146,'12-MO Billed Summary RETAIL'!$C11,'Mar16-Aug16 Billed-RETAIL'!AT$7:AT$146)</f>
        <v>28.985317769790747</v>
      </c>
      <c r="AS11" s="36">
        <f ca="1">SUMIF('Mar16-Aug16 Billed-RETAIL'!$E$7:$BJ$146,'12-MO Billed Summary RETAIL'!$C11,'Mar16-Aug16 Billed-RETAIL'!AU$7:AU$146)</f>
        <v>0.47259333791229874</v>
      </c>
      <c r="AT11" s="36">
        <f ca="1">SUMIF('Mar16-Aug16 Billed-RETAIL'!$E$7:$BJ$146,'12-MO Billed Summary RETAIL'!$C11,'Mar16-Aug16 Billed-RETAIL'!AV$7:AV$146)</f>
        <v>0</v>
      </c>
      <c r="AU11" s="36">
        <f ca="1">SUMIF('Mar16-Aug16 Billed-RETAIL'!$E$7:$BJ$146,'12-MO Billed Summary RETAIL'!$C11,'Mar16-Aug16 Billed-RETAIL'!AW$7:AW$146)</f>
        <v>0</v>
      </c>
      <c r="AV11" s="36">
        <f ca="1">SUMIF('Mar16-Aug16 Billed-RETAIL'!$E$7:$BJ$146,'12-MO Billed Summary RETAIL'!$C11,'Mar16-Aug16 Billed-RETAIL'!AX$7:AX$146)</f>
        <v>6528.0348000000022</v>
      </c>
      <c r="AW11" s="36">
        <f ca="1">SUMIF('Mar16-Aug16 Billed-RETAIL'!$E$7:$BJ$146,'12-MO Billed Summary RETAIL'!$C11,'Mar16-Aug16 Billed-RETAIL'!AY$7:AY$146)</f>
        <v>0</v>
      </c>
      <c r="AX11" s="43">
        <f ca="1">SUMIF('Mar16-Aug16 Billed-RETAIL'!$E$7:$BJ$146,'12-MO Billed Summary RETAIL'!$C11,'Mar16-Aug16 Billed-RETAIL'!AZ$7:AZ$146)</f>
        <v>7039.97</v>
      </c>
      <c r="AY11" s="43">
        <f ca="1">SUMIF('Mar16-Aug16 Billed-RETAIL'!$E$7:$BJ$146,'12-MO Billed Summary RETAIL'!$C11,'Mar16-Aug16 Billed-RETAIL'!BA$7:BA$146)</f>
        <v>7039.97</v>
      </c>
      <c r="AZ11" s="44">
        <f t="shared" ca="1" si="7"/>
        <v>1</v>
      </c>
      <c r="BA11" s="43">
        <f ca="1">SUMIF('Mar16-Aug16 Billed-RETAIL'!$E$7:$BJ$146,'12-MO Billed Summary RETAIL'!$C11,'Mar16-Aug16 Billed-RETAIL'!BC$7:BC$146)</f>
        <v>0.47259333791229874</v>
      </c>
      <c r="BB11" s="43">
        <f ca="1">SUMIF('Mar16-Aug16 Billed-RETAIL'!$E$7:$BJ$146,'12-MO Billed Summary RETAIL'!$C11,'Mar16-Aug16 Billed-RETAIL'!BD$7:BD$146)</f>
        <v>28.985317769790747</v>
      </c>
      <c r="BC11" s="43">
        <f ca="1">SUMIF('Mar16-Aug16 Billed-RETAIL'!$E$7:$BJ$146,'12-MO Billed Summary RETAIL'!$C11,'Mar16-Aug16 Billed-RETAIL'!BE$7:BE$146)</f>
        <v>0</v>
      </c>
      <c r="BD11" s="43">
        <f ca="1">SUMIF('Mar16-Aug16 Billed-RETAIL'!$E$7:$BJ$146,'12-MO Billed Summary RETAIL'!$C11,'Mar16-Aug16 Billed-RETAIL'!BF$7:BF$146)</f>
        <v>0</v>
      </c>
      <c r="BE11" s="43">
        <f ca="1">SUMIF('Mar16-Aug16 Billed-RETAIL'!$E$7:$BJ$146,'12-MO Billed Summary RETAIL'!$C11,'Mar16-Aug16 Billed-RETAIL'!BG$7:BG$146)</f>
        <v>480</v>
      </c>
      <c r="BF11" s="43">
        <f ca="1">SUMIF('Mar16-Aug16 Billed-RETAIL'!$E$7:$BJ$146,'12-MO Billed Summary RETAIL'!$C11,'Mar16-Aug16 Billed-RETAIL'!BH$7:BH$146)</f>
        <v>2.4884399999999935</v>
      </c>
      <c r="BG11" s="43">
        <f ca="1">SUMIF('Mar16-Aug16 Billed-RETAIL'!$E$7:$BJ$146,'12-MO Billed Summary RETAIL'!$C11,'Mar16-Aug16 Billed-RETAIL'!BI$7:BI$146)</f>
        <v>6528.0173999999988</v>
      </c>
      <c r="BH11" s="43">
        <f ca="1">SUMIF('Mar16-Aug16 Billed-RETAIL'!$E$7:$BJ$146,'12-MO Billed Summary RETAIL'!$C11,'Mar16-Aug16 Billed-RETAIL'!BJ$7:BJ$146)</f>
        <v>0</v>
      </c>
    </row>
    <row r="12" spans="1:67" x14ac:dyDescent="0.25">
      <c r="A12" s="13">
        <f t="shared" si="8"/>
        <v>7</v>
      </c>
      <c r="B12" s="22" t="s">
        <v>290</v>
      </c>
      <c r="C12" s="22" t="str">
        <f>+'Retail Rates'!B26</f>
        <v>LGING855</v>
      </c>
      <c r="D12" s="14" t="str">
        <f t="shared" si="6"/>
        <v>855</v>
      </c>
      <c r="E12" s="14" t="s">
        <v>118</v>
      </c>
      <c r="F12" s="33">
        <f ca="1">SUMIF('Mar16-Aug16 Billed-RETAIL'!$E$7:$BJ$146,'12-MO Billed Summary RETAIL'!$C12,'Mar16-Aug16 Billed-RETAIL'!H$7:H$146)</f>
        <v>0</v>
      </c>
      <c r="G12" s="33">
        <f ca="1">SUMIF('Mar16-Aug16 Billed-RETAIL'!$E$7:$BJ$146,'12-MO Billed Summary RETAIL'!$C12,'Mar16-Aug16 Billed-RETAIL'!I$7:I$146)</f>
        <v>1175</v>
      </c>
      <c r="H12" s="33">
        <f ca="1">SUMIF('Mar16-Aug16 Billed-RETAIL'!$E$7:$BJ$146,'12-MO Billed Summary RETAIL'!$C12,'Mar16-Aug16 Billed-RETAIL'!J$7:J$146)</f>
        <v>1013</v>
      </c>
      <c r="I12" s="33">
        <f ca="1">SUMIF('Mar16-Aug16 Billed-RETAIL'!$E$7:$BJ$146,'12-MO Billed Summary RETAIL'!$C12,'Mar16-Aug16 Billed-RETAIL'!K$7:K$146)</f>
        <v>9891183.5745412819</v>
      </c>
      <c r="J12" s="33">
        <f ca="1">SUMIF('Mar16-Aug16 Billed-RETAIL'!$E$7:$BJ$146,'12-MO Billed Summary RETAIL'!$C12,'Mar16-Aug16 Billed-RETAIL'!L$7:L$146)</f>
        <v>1903800.7997475304</v>
      </c>
      <c r="K12" s="33">
        <f ca="1">SUMIF('Mar16-Aug16 Billed-RETAIL'!$E$7:$BJ$146,'12-MO Billed Summary RETAIL'!$C12,'Mar16-Aug16 Billed-RETAIL'!M$7:M$146)</f>
        <v>0</v>
      </c>
      <c r="L12" s="34"/>
      <c r="M12" s="34"/>
      <c r="N12" s="35"/>
      <c r="O12" s="35"/>
      <c r="P12" s="35"/>
      <c r="Q12" s="34"/>
      <c r="R12" s="35"/>
      <c r="S12" s="34"/>
      <c r="T12" s="34"/>
      <c r="U12" s="36">
        <f ca="1">SUMIF('Mar16-Aug16 Billed-RETAIL'!$E$7:$BJ$146,'12-MO Billed Summary RETAIL'!$C12,'Mar16-Aug16 Billed-RETAIL'!W$7:W$146)</f>
        <v>47000</v>
      </c>
      <c r="V12" s="36">
        <f ca="1">SUMIF('Mar16-Aug16 Billed-RETAIL'!$E$7:$BJ$146,'12-MO Billed Summary RETAIL'!$C12,'Mar16-Aug16 Billed-RETAIL'!X$7:X$146)</f>
        <v>0</v>
      </c>
      <c r="W12" s="36">
        <f ca="1">SUMIF('Mar16-Aug16 Billed-RETAIL'!$E$7:$BJ$146,'12-MO Billed Summary RETAIL'!$C12,'Mar16-Aug16 Billed-RETAIL'!Y$7:Y$146)</f>
        <v>182340</v>
      </c>
      <c r="X12" s="36">
        <f ca="1">SUMIF('Mar16-Aug16 Billed-RETAIL'!$E$7:$BJ$146,'12-MO Billed Summary RETAIL'!$C12,'Mar16-Aug16 Billed-RETAIL'!Z$7:Z$146)</f>
        <v>2253112.7064447589</v>
      </c>
      <c r="Y12" s="36">
        <f ca="1">SUMIF('Mar16-Aug16 Billed-RETAIL'!$E$7:$BJ$146,'12-MO Billed Summary RETAIL'!$C12,'Mar16-Aug16 Billed-RETAIL'!AA$7:AA$146)</f>
        <v>338476.74418711342</v>
      </c>
      <c r="Z12" s="36" t="e">
        <f ca="1">SUMIF('Mar16-Aug16 Billed-RETAIL'!$E$7:$BJ$146,'12-MO Billed Summary RETAIL'!$C12,'Mar16-Aug16 Billed-RETAIL'!AB$7:AB$146)</f>
        <v>#N/A</v>
      </c>
      <c r="AA12" s="36">
        <f ca="1">SUMIF('Mar16-Aug16 Billed-RETAIL'!$E$7:$BJ$146,'12-MO Billed Summary RETAIL'!$C12,'Mar16-Aug16 Billed-RETAIL'!AC$7:AC$146)</f>
        <v>0</v>
      </c>
      <c r="AB12" s="36">
        <f ca="1">SUMIF('Mar16-Aug16 Billed-RETAIL'!$E$7:$BJ$146,'12-MO Billed Summary RETAIL'!$C12,'Mar16-Aug16 Billed-RETAIL'!AD$7:AD$146)</f>
        <v>0</v>
      </c>
      <c r="AC12" s="36">
        <f ca="1">SUMIF('Mar16-Aug16 Billed-RETAIL'!$E$7:$BJ$146,'12-MO Billed Summary RETAIL'!$C12,'Mar16-Aug16 Billed-RETAIL'!AE$7:AE$146)</f>
        <v>0</v>
      </c>
      <c r="AD12" s="36" t="e">
        <f ca="1">SUMIF('Mar16-Aug16 Billed-RETAIL'!$E$7:$BJ$146,'12-MO Billed Summary RETAIL'!$C12,'Mar16-Aug16 Billed-RETAIL'!AF$7:AF$146)</f>
        <v>#N/A</v>
      </c>
      <c r="AE12" s="57">
        <f ca="1">SUMIF('Mar16-Aug16 Billed-RETAIL'!$E$7:$BJ$146,'12-MO Billed Summary RETAIL'!$C12,'Mar16-Aug16 Billed-RETAIL'!AG$7:AG$146)</f>
        <v>0</v>
      </c>
      <c r="AF12" s="57">
        <f ca="1">SUMIF('Mar16-Aug16 Billed-RETAIL'!$E$7:$BJ$146,'12-MO Billed Summary RETAIL'!$C12,'Mar16-Aug16 Billed-RETAIL'!AH$7:AH$146)</f>
        <v>0</v>
      </c>
      <c r="AG12" s="48">
        <f ca="1">SUMIF('Mar16-Aug16 Billed-RETAIL'!$E$7:$BJ$146,'12-MO Billed Summary RETAIL'!$C12,'Mar16-Aug16 Billed-RETAIL'!AI$7:AI$146)</f>
        <v>329.41</v>
      </c>
      <c r="AH12" s="48">
        <f ca="1">SUMIF('Mar16-Aug16 Billed-RETAIL'!$E$7:$BJ$146,'12-MO Billed Summary RETAIL'!$C12,'Mar16-Aug16 Billed-RETAIL'!AJ$7:AJ$146)</f>
        <v>-0.29000000000000004</v>
      </c>
      <c r="AI12" s="48">
        <f ca="1">SUMIF('Mar16-Aug16 Billed-RETAIL'!$E$7:$BJ$146,'12-MO Billed Summary RETAIL'!$C12,'Mar16-Aug16 Billed-RETAIL'!AK$7:AK$146)</f>
        <v>207.36</v>
      </c>
      <c r="AJ12" s="48">
        <f ca="1">SUMIF('Mar16-Aug16 Billed-RETAIL'!$E$7:$BJ$146,'12-MO Billed Summary RETAIL'!$C12,'Mar16-Aug16 Billed-RETAIL'!AL$7:AL$146)</f>
        <v>0</v>
      </c>
      <c r="AK12" s="48">
        <f ca="1">SUMIF('Mar16-Aug16 Billed-RETAIL'!$E$7:$BJ$146,'12-MO Billed Summary RETAIL'!$C12,'Mar16-Aug16 Billed-RETAIL'!AM$7:AM$146)</f>
        <v>0</v>
      </c>
      <c r="AL12" s="48">
        <f ca="1">SUMIF('Mar16-Aug16 Billed-RETAIL'!$E$7:$BJ$146,'12-MO Billed Summary RETAIL'!$C12,'Mar16-Aug16 Billed-RETAIL'!AN$7:AN$146)</f>
        <v>0</v>
      </c>
      <c r="AM12" s="48">
        <f ca="1">SUMIF('Mar16-Aug16 Billed-RETAIL'!$E$7:$BJ$146,'12-MO Billed Summary RETAIL'!$C12,'Mar16-Aug16 Billed-RETAIL'!AO$7:AO$146)</f>
        <v>0</v>
      </c>
      <c r="AN12" s="36">
        <f ca="1">SUMIF('Mar16-Aug16 Billed-RETAIL'!$E$7:$BJ$146,'12-MO Billed Summary RETAIL'!$C12,'Mar16-Aug16 Billed-RETAIL'!AP$7:AP$146)</f>
        <v>47329.41</v>
      </c>
      <c r="AO12" s="36">
        <f ca="1">SUMIF('Mar16-Aug16 Billed-RETAIL'!$E$7:$BJ$146,'12-MO Billed Summary RETAIL'!$C12,'Mar16-Aug16 Billed-RETAIL'!AQ$7:AQ$146)</f>
        <v>182339.71</v>
      </c>
      <c r="AP12" s="36">
        <f ca="1">SUMIF('Mar16-Aug16 Billed-RETAIL'!$E$7:$BJ$146,'12-MO Billed Summary RETAIL'!$C12,'Mar16-Aug16 Billed-RETAIL'!AR$7:AR$146)</f>
        <v>2253320.0664447588</v>
      </c>
      <c r="AQ12" s="36">
        <f ca="1">SUMIF('Mar16-Aug16 Billed-RETAIL'!$E$7:$BJ$146,'12-MO Billed Summary RETAIL'!$C12,'Mar16-Aug16 Billed-RETAIL'!AS$7:AS$146)</f>
        <v>338476.74418711342</v>
      </c>
      <c r="AR12" s="36">
        <f ca="1">SUMIF('Mar16-Aug16 Billed-RETAIL'!$E$7:$BJ$146,'12-MO Billed Summary RETAIL'!$C12,'Mar16-Aug16 Billed-RETAIL'!AT$7:AT$146)</f>
        <v>4864596.4851695029</v>
      </c>
      <c r="AS12" s="36">
        <f ca="1">SUMIF('Mar16-Aug16 Billed-RETAIL'!$E$7:$BJ$146,'12-MO Billed Summary RETAIL'!$C12,'Mar16-Aug16 Billed-RETAIL'!AU$7:AU$146)</f>
        <v>0</v>
      </c>
      <c r="AT12" s="36">
        <f ca="1">SUMIF('Mar16-Aug16 Billed-RETAIL'!$E$7:$BJ$146,'12-MO Billed Summary RETAIL'!$C12,'Mar16-Aug16 Billed-RETAIL'!AV$7:AV$146)</f>
        <v>0</v>
      </c>
      <c r="AU12" s="36">
        <f ca="1">SUMIF('Mar16-Aug16 Billed-RETAIL'!$E$7:$BJ$146,'12-MO Billed Summary RETAIL'!$C12,'Mar16-Aug16 Billed-RETAIL'!AW$7:AW$146)</f>
        <v>549642.5529114271</v>
      </c>
      <c r="AV12" s="36">
        <f ca="1">SUMIF('Mar16-Aug16 Billed-RETAIL'!$E$7:$BJ$146,'12-MO Billed Summary RETAIL'!$C12,'Mar16-Aug16 Billed-RETAIL'!AX$7:AX$146)</f>
        <v>0</v>
      </c>
      <c r="AW12" s="36">
        <f ca="1">SUMIF('Mar16-Aug16 Billed-RETAIL'!$E$7:$BJ$146,'12-MO Billed Summary RETAIL'!$C12,'Mar16-Aug16 Billed-RETAIL'!AY$7:AY$146)</f>
        <v>0</v>
      </c>
      <c r="AX12" s="43">
        <f ca="1">SUMIF('Mar16-Aug16 Billed-RETAIL'!$E$7:$BJ$146,'12-MO Billed Summary RETAIL'!$C12,'Mar16-Aug16 Billed-RETAIL'!AZ$7:AZ$146)</f>
        <v>8235704.9800000004</v>
      </c>
      <c r="AY12" s="43">
        <f ca="1">SUMIF('Mar16-Aug16 Billed-RETAIL'!$E$7:$BJ$146,'12-MO Billed Summary RETAIL'!$C12,'Mar16-Aug16 Billed-RETAIL'!BA$7:BA$146)</f>
        <v>8235704.9660221254</v>
      </c>
      <c r="AZ12" s="44">
        <f t="shared" ca="1" si="7"/>
        <v>1</v>
      </c>
      <c r="BA12" s="43">
        <f ca="1">SUMIF('Mar16-Aug16 Billed-RETAIL'!$E$7:$BJ$146,'12-MO Billed Summary RETAIL'!$C12,'Mar16-Aug16 Billed-RETAIL'!BC$7:BC$146)</f>
        <v>0</v>
      </c>
      <c r="BB12" s="43">
        <f ca="1">SUMIF('Mar16-Aug16 Billed-RETAIL'!$E$7:$BJ$146,'12-MO Billed Summary RETAIL'!$C12,'Mar16-Aug16 Billed-RETAIL'!BD$7:BD$146)</f>
        <v>4864596.4851695029</v>
      </c>
      <c r="BC12" s="43">
        <f ca="1">SUMIF('Mar16-Aug16 Billed-RETAIL'!$E$7:$BJ$146,'12-MO Billed Summary RETAIL'!$C12,'Mar16-Aug16 Billed-RETAIL'!BE$7:BE$146)</f>
        <v>0</v>
      </c>
      <c r="BD12" s="43">
        <f ca="1">SUMIF('Mar16-Aug16 Billed-RETAIL'!$E$7:$BJ$146,'12-MO Billed Summary RETAIL'!$C12,'Mar16-Aug16 Billed-RETAIL'!BF$7:BF$146)</f>
        <v>0</v>
      </c>
      <c r="BE12" s="43">
        <f ca="1">SUMIF('Mar16-Aug16 Billed-RETAIL'!$E$7:$BJ$146,'12-MO Billed Summary RETAIL'!$C12,'Mar16-Aug16 Billed-RETAIL'!BG$7:BG$146)</f>
        <v>229669.12</v>
      </c>
      <c r="BF12" s="43">
        <f ca="1">SUMIF('Mar16-Aug16 Billed-RETAIL'!$E$7:$BJ$146,'12-MO Billed Summary RETAIL'!$C12,'Mar16-Aug16 Billed-RETAIL'!BH$7:BH$146)</f>
        <v>2591796.8079411956</v>
      </c>
      <c r="BG12" s="43">
        <f ca="1">SUMIF('Mar16-Aug16 Billed-RETAIL'!$E$7:$BJ$146,'12-MO Billed Summary RETAIL'!$C12,'Mar16-Aug16 Billed-RETAIL'!BI$7:BI$146)</f>
        <v>0</v>
      </c>
      <c r="BH12" s="43">
        <f ca="1">SUMIF('Mar16-Aug16 Billed-RETAIL'!$E$7:$BJ$146,'12-MO Billed Summary RETAIL'!$C12,'Mar16-Aug16 Billed-RETAIL'!BJ$7:BJ$146)</f>
        <v>549642.5529114271</v>
      </c>
    </row>
    <row r="13" spans="1:67" x14ac:dyDescent="0.25">
      <c r="A13" s="13">
        <f t="shared" si="8"/>
        <v>8</v>
      </c>
      <c r="B13" s="22" t="s">
        <v>290</v>
      </c>
      <c r="C13" s="22" t="str">
        <f>+'Retail Rates'!B27</f>
        <v>LGING855DS</v>
      </c>
      <c r="D13" s="14" t="str">
        <f t="shared" si="6"/>
        <v>855</v>
      </c>
      <c r="E13" s="14" t="str">
        <f>VLOOKUP(C13,'Retail Rates'!$B$7:$D$34,3,FALSE)</f>
        <v>IGS</v>
      </c>
      <c r="F13" s="33">
        <f ca="1">SUMIF('Mar16-Aug16 Billed-RETAIL'!$E$7:$BJ$146,'12-MO Billed Summary RETAIL'!$C13,'Mar16-Aug16 Billed-RETAIL'!H$7:H$146)</f>
        <v>0</v>
      </c>
      <c r="G13" s="33">
        <f ca="1">SUMIF('Mar16-Aug16 Billed-RETAIL'!$E$7:$BJ$146,'12-MO Billed Summary RETAIL'!$C13,'Mar16-Aug16 Billed-RETAIL'!I$7:I$146)</f>
        <v>377</v>
      </c>
      <c r="H13" s="33">
        <f ca="1">SUMIF('Mar16-Aug16 Billed-RETAIL'!$E$7:$BJ$146,'12-MO Billed Summary RETAIL'!$C13,'Mar16-Aug16 Billed-RETAIL'!J$7:J$146)</f>
        <v>350</v>
      </c>
      <c r="I13" s="33">
        <f ca="1">SUMIF('Mar16-Aug16 Billed-RETAIL'!$E$7:$BJ$146,'12-MO Billed Summary RETAIL'!$C13,'Mar16-Aug16 Billed-RETAIL'!K$7:K$146)</f>
        <v>261210</v>
      </c>
      <c r="J13" s="33">
        <f ca="1">SUMIF('Mar16-Aug16 Billed-RETAIL'!$E$7:$BJ$146,'12-MO Billed Summary RETAIL'!$C13,'Mar16-Aug16 Billed-RETAIL'!L$7:L$146)</f>
        <v>1956038</v>
      </c>
      <c r="K13" s="33">
        <f ca="1">SUMIF('Mar16-Aug16 Billed-RETAIL'!$E$7:$BJ$146,'12-MO Billed Summary RETAIL'!$C13,'Mar16-Aug16 Billed-RETAIL'!M$7:M$146)</f>
        <v>0</v>
      </c>
      <c r="L13" s="34"/>
      <c r="M13" s="34"/>
      <c r="N13" s="35"/>
      <c r="O13" s="35"/>
      <c r="P13" s="35"/>
      <c r="Q13" s="34"/>
      <c r="R13" s="35"/>
      <c r="S13" s="34"/>
      <c r="T13" s="34"/>
      <c r="U13" s="36">
        <f ca="1">SUMIF('Mar16-Aug16 Billed-RETAIL'!$E$7:$BJ$146,'12-MO Billed Summary RETAIL'!$C13,'Mar16-Aug16 Billed-RETAIL'!W$7:W$146)</f>
        <v>15080</v>
      </c>
      <c r="V13" s="36">
        <f ca="1">SUMIF('Mar16-Aug16 Billed-RETAIL'!$E$7:$BJ$146,'12-MO Billed Summary RETAIL'!$C13,'Mar16-Aug16 Billed-RETAIL'!X$7:X$146)</f>
        <v>0</v>
      </c>
      <c r="W13" s="36">
        <f ca="1">SUMIF('Mar16-Aug16 Billed-RETAIL'!$E$7:$BJ$146,'12-MO Billed Summary RETAIL'!$C13,'Mar16-Aug16 Billed-RETAIL'!Y$7:Y$146)</f>
        <v>63000</v>
      </c>
      <c r="X13" s="36">
        <f ca="1">SUMIF('Mar16-Aug16 Billed-RETAIL'!$E$7:$BJ$146,'12-MO Billed Summary RETAIL'!$C13,'Mar16-Aug16 Billed-RETAIL'!Z$7:Z$146)</f>
        <v>59501.025900000001</v>
      </c>
      <c r="Y13" s="36">
        <f ca="1">SUMIF('Mar16-Aug16 Billed-RETAIL'!$E$7:$BJ$146,'12-MO Billed Summary RETAIL'!$C13,'Mar16-Aug16 Billed-RETAIL'!AA$7:AA$146)</f>
        <v>347763.99601999996</v>
      </c>
      <c r="Z13" s="36" t="e">
        <f ca="1">SUMIF('Mar16-Aug16 Billed-RETAIL'!$E$7:$BJ$146,'12-MO Billed Summary RETAIL'!$C13,'Mar16-Aug16 Billed-RETAIL'!AB$7:AB$146)</f>
        <v>#N/A</v>
      </c>
      <c r="AA13" s="36">
        <f ca="1">SUMIF('Mar16-Aug16 Billed-RETAIL'!$E$7:$BJ$146,'12-MO Billed Summary RETAIL'!$C13,'Mar16-Aug16 Billed-RETAIL'!AC$7:AC$146)</f>
        <v>0</v>
      </c>
      <c r="AB13" s="36">
        <f ca="1">SUMIF('Mar16-Aug16 Billed-RETAIL'!$E$7:$BJ$146,'12-MO Billed Summary RETAIL'!$C13,'Mar16-Aug16 Billed-RETAIL'!AD$7:AD$146)</f>
        <v>0</v>
      </c>
      <c r="AC13" s="36">
        <f ca="1">SUMIF('Mar16-Aug16 Billed-RETAIL'!$E$7:$BJ$146,'12-MO Billed Summary RETAIL'!$C13,'Mar16-Aug16 Billed-RETAIL'!AE$7:AE$146)</f>
        <v>0</v>
      </c>
      <c r="AD13" s="36" t="e">
        <f ca="1">SUMIF('Mar16-Aug16 Billed-RETAIL'!$E$7:$BJ$146,'12-MO Billed Summary RETAIL'!$C13,'Mar16-Aug16 Billed-RETAIL'!AF$7:AF$146)</f>
        <v>#N/A</v>
      </c>
      <c r="AE13" s="57">
        <f ca="1">SUMIF('Mar16-Aug16 Billed-RETAIL'!$E$7:$BJ$146,'12-MO Billed Summary RETAIL'!$C13,'Mar16-Aug16 Billed-RETAIL'!AG$7:AG$146)</f>
        <v>0</v>
      </c>
      <c r="AF13" s="57">
        <f ca="1">SUMIF('Mar16-Aug16 Billed-RETAIL'!$E$7:$BJ$146,'12-MO Billed Summary RETAIL'!$C13,'Mar16-Aug16 Billed-RETAIL'!AH$7:AH$146)</f>
        <v>0</v>
      </c>
      <c r="AG13" s="48">
        <f ca="1">SUMIF('Mar16-Aug16 Billed-RETAIL'!$E$7:$BJ$146,'12-MO Billed Summary RETAIL'!$C13,'Mar16-Aug16 Billed-RETAIL'!AI$7:AI$146)</f>
        <v>12.02</v>
      </c>
      <c r="AH13" s="48">
        <f ca="1">SUMIF('Mar16-Aug16 Billed-RETAIL'!$E$7:$BJ$146,'12-MO Billed Summary RETAIL'!$C13,'Mar16-Aug16 Billed-RETAIL'!AJ$7:AJ$146)</f>
        <v>72.050000000000011</v>
      </c>
      <c r="AI13" s="48">
        <f ca="1">SUMIF('Mar16-Aug16 Billed-RETAIL'!$E$7:$BJ$146,'12-MO Billed Summary RETAIL'!$C13,'Mar16-Aug16 Billed-RETAIL'!AK$7:AK$146)</f>
        <v>0.03</v>
      </c>
      <c r="AJ13" s="48">
        <f ca="1">SUMIF('Mar16-Aug16 Billed-RETAIL'!$E$7:$BJ$146,'12-MO Billed Summary RETAIL'!$C13,'Mar16-Aug16 Billed-RETAIL'!AL$7:AL$146)</f>
        <v>0</v>
      </c>
      <c r="AK13" s="48">
        <f ca="1">SUMIF('Mar16-Aug16 Billed-RETAIL'!$E$7:$BJ$146,'12-MO Billed Summary RETAIL'!$C13,'Mar16-Aug16 Billed-RETAIL'!AM$7:AM$146)</f>
        <v>0</v>
      </c>
      <c r="AL13" s="48">
        <f ca="1">SUMIF('Mar16-Aug16 Billed-RETAIL'!$E$7:$BJ$146,'12-MO Billed Summary RETAIL'!$C13,'Mar16-Aug16 Billed-RETAIL'!AN$7:AN$146)</f>
        <v>0</v>
      </c>
      <c r="AM13" s="48">
        <f ca="1">SUMIF('Mar16-Aug16 Billed-RETAIL'!$E$7:$BJ$146,'12-MO Billed Summary RETAIL'!$C13,'Mar16-Aug16 Billed-RETAIL'!AO$7:AO$146)</f>
        <v>0</v>
      </c>
      <c r="AN13" s="36">
        <f ca="1">SUMIF('Mar16-Aug16 Billed-RETAIL'!$E$7:$BJ$146,'12-MO Billed Summary RETAIL'!$C13,'Mar16-Aug16 Billed-RETAIL'!AP$7:AP$146)</f>
        <v>15092.02</v>
      </c>
      <c r="AO13" s="36">
        <f ca="1">SUMIF('Mar16-Aug16 Billed-RETAIL'!$E$7:$BJ$146,'12-MO Billed Summary RETAIL'!$C13,'Mar16-Aug16 Billed-RETAIL'!AQ$7:AQ$146)</f>
        <v>63072.049999999996</v>
      </c>
      <c r="AP13" s="36">
        <f ca="1">SUMIF('Mar16-Aug16 Billed-RETAIL'!$E$7:$BJ$146,'12-MO Billed Summary RETAIL'!$C13,'Mar16-Aug16 Billed-RETAIL'!AR$7:AR$146)</f>
        <v>59501.055899999992</v>
      </c>
      <c r="AQ13" s="36">
        <f ca="1">SUMIF('Mar16-Aug16 Billed-RETAIL'!$E$7:$BJ$146,'12-MO Billed Summary RETAIL'!$C13,'Mar16-Aug16 Billed-RETAIL'!AS$7:AS$146)</f>
        <v>347763.99601999996</v>
      </c>
      <c r="AR13" s="36">
        <f ca="1">SUMIF('Mar16-Aug16 Billed-RETAIL'!$E$7:$BJ$146,'12-MO Billed Summary RETAIL'!$C13,'Mar16-Aug16 Billed-RETAIL'!AT$7:AT$146)</f>
        <v>790158.19</v>
      </c>
      <c r="AS13" s="36">
        <f ca="1">SUMIF('Mar16-Aug16 Billed-RETAIL'!$E$7:$BJ$146,'12-MO Billed Summary RETAIL'!$C13,'Mar16-Aug16 Billed-RETAIL'!AU$7:AU$146)</f>
        <v>0</v>
      </c>
      <c r="AT13" s="36">
        <f ca="1">SUMIF('Mar16-Aug16 Billed-RETAIL'!$E$7:$BJ$146,'12-MO Billed Summary RETAIL'!$C13,'Mar16-Aug16 Billed-RETAIL'!AV$7:AV$146)</f>
        <v>0</v>
      </c>
      <c r="AU13" s="36">
        <f ca="1">SUMIF('Mar16-Aug16 Billed-RETAIL'!$E$7:$BJ$146,'12-MO Billed Summary RETAIL'!$C13,'Mar16-Aug16 Billed-RETAIL'!AW$7:AW$146)</f>
        <v>188864.35</v>
      </c>
      <c r="AV13" s="36">
        <f ca="1">SUMIF('Mar16-Aug16 Billed-RETAIL'!$E$7:$BJ$146,'12-MO Billed Summary RETAIL'!$C13,'Mar16-Aug16 Billed-RETAIL'!AX$7:AX$146)</f>
        <v>0</v>
      </c>
      <c r="AW13" s="36">
        <f ca="1">SUMIF('Mar16-Aug16 Billed-RETAIL'!$E$7:$BJ$146,'12-MO Billed Summary RETAIL'!$C13,'Mar16-Aug16 Billed-RETAIL'!AY$7:AY$146)</f>
        <v>0</v>
      </c>
      <c r="AX13" s="43">
        <f ca="1">SUMIF('Mar16-Aug16 Billed-RETAIL'!$E$7:$BJ$146,'12-MO Billed Summary RETAIL'!$C13,'Mar16-Aug16 Billed-RETAIL'!AZ$7:AZ$146)</f>
        <v>1464451.67</v>
      </c>
      <c r="AY13" s="43">
        <f ca="1">SUMIF('Mar16-Aug16 Billed-RETAIL'!$E$7:$BJ$146,'12-MO Billed Summary RETAIL'!$C13,'Mar16-Aug16 Billed-RETAIL'!BA$7:BA$146)</f>
        <v>1464451.6800000002</v>
      </c>
      <c r="AZ13" s="44">
        <f ca="1">IF(AY13=0,0,ROUND(AY13/AX13,6))</f>
        <v>1</v>
      </c>
      <c r="BA13" s="43">
        <f ca="1">SUMIF('Mar16-Aug16 Billed-RETAIL'!$E$7:$BJ$146,'12-MO Billed Summary RETAIL'!$C13,'Mar16-Aug16 Billed-RETAIL'!BC$7:BC$146)</f>
        <v>0</v>
      </c>
      <c r="BB13" s="43">
        <f ca="1">SUMIF('Mar16-Aug16 Billed-RETAIL'!$E$7:$BJ$146,'12-MO Billed Summary RETAIL'!$C13,'Mar16-Aug16 Billed-RETAIL'!BD$7:BD$146)</f>
        <v>790158.19</v>
      </c>
      <c r="BC13" s="43">
        <f ca="1">SUMIF('Mar16-Aug16 Billed-RETAIL'!$E$7:$BJ$146,'12-MO Billed Summary RETAIL'!$C13,'Mar16-Aug16 Billed-RETAIL'!BE$7:BE$146)</f>
        <v>0</v>
      </c>
      <c r="BD13" s="43">
        <f ca="1">SUMIF('Mar16-Aug16 Billed-RETAIL'!$E$7:$BJ$146,'12-MO Billed Summary RETAIL'!$C13,'Mar16-Aug16 Billed-RETAIL'!BF$7:BF$146)</f>
        <v>0</v>
      </c>
      <c r="BE13" s="43">
        <f ca="1">SUMIF('Mar16-Aug16 Billed-RETAIL'!$E$7:$BJ$146,'12-MO Billed Summary RETAIL'!$C13,'Mar16-Aug16 Billed-RETAIL'!BG$7:BG$146)</f>
        <v>78164.070000000007</v>
      </c>
      <c r="BF13" s="43">
        <f ca="1">SUMIF('Mar16-Aug16 Billed-RETAIL'!$E$7:$BJ$146,'12-MO Billed Summary RETAIL'!$C13,'Mar16-Aug16 Billed-RETAIL'!BH$7:BH$146)</f>
        <v>407265.07</v>
      </c>
      <c r="BG13" s="43">
        <f ca="1">SUMIF('Mar16-Aug16 Billed-RETAIL'!$E$7:$BJ$146,'12-MO Billed Summary RETAIL'!$C13,'Mar16-Aug16 Billed-RETAIL'!BI$7:BI$146)</f>
        <v>0</v>
      </c>
      <c r="BH13" s="43">
        <f ca="1">SUMIF('Mar16-Aug16 Billed-RETAIL'!$E$7:$BJ$146,'12-MO Billed Summary RETAIL'!$C13,'Mar16-Aug16 Billed-RETAIL'!BJ$7:BJ$146)</f>
        <v>188864.35</v>
      </c>
    </row>
    <row r="14" spans="1:67" x14ac:dyDescent="0.25">
      <c r="A14" s="13">
        <f t="shared" si="8"/>
        <v>9</v>
      </c>
      <c r="B14" s="22" t="s">
        <v>290</v>
      </c>
      <c r="C14" s="22" t="str">
        <f>+'Retail Rates'!B31</f>
        <v>LGRSG811</v>
      </c>
      <c r="D14" s="14" t="str">
        <f t="shared" si="6"/>
        <v>811</v>
      </c>
      <c r="E14" s="14" t="str">
        <f>VLOOKUP(C14,'Retail Rates'!$B$7:$D$34,3,FALSE)</f>
        <v>RGS</v>
      </c>
      <c r="F14" s="33">
        <f ca="1">SUMIF('Mar16-Aug16 Billed-RETAIL'!$E$7:$BJ$146,'12-MO Billed Summary RETAIL'!$C14,'Mar16-Aug16 Billed-RETAIL'!H$7:H$146)</f>
        <v>3564605</v>
      </c>
      <c r="G14" s="33">
        <f ca="1">SUMIF('Mar16-Aug16 Billed-RETAIL'!$E$7:$BJ$146,'12-MO Billed Summary RETAIL'!$C14,'Mar16-Aug16 Billed-RETAIL'!I$7:I$146)</f>
        <v>0</v>
      </c>
      <c r="H14" s="33">
        <f ca="1">SUMIF('Mar16-Aug16 Billed-RETAIL'!$E$7:$BJ$146,'12-MO Billed Summary RETAIL'!$C14,'Mar16-Aug16 Billed-RETAIL'!J$7:J$146)</f>
        <v>0</v>
      </c>
      <c r="I14" s="33">
        <f ca="1">SUMIF('Mar16-Aug16 Billed-RETAIL'!$E$7:$BJ$146,'12-MO Billed Summary RETAIL'!$C14,'Mar16-Aug16 Billed-RETAIL'!K$7:K$146)</f>
        <v>202779288.48166734</v>
      </c>
      <c r="J14" s="33">
        <f ca="1">SUMIF('Mar16-Aug16 Billed-RETAIL'!$E$7:$BJ$146,'12-MO Billed Summary RETAIL'!$C14,'Mar16-Aug16 Billed-RETAIL'!L$7:L$146)</f>
        <v>0</v>
      </c>
      <c r="K14" s="33">
        <f ca="1">SUMIF('Mar16-Aug16 Billed-RETAIL'!$E$7:$BJ$146,'12-MO Billed Summary RETAIL'!$C14,'Mar16-Aug16 Billed-RETAIL'!M$7:M$146)</f>
        <v>0</v>
      </c>
      <c r="L14" s="34"/>
      <c r="M14" s="34"/>
      <c r="N14" s="35"/>
      <c r="O14" s="35"/>
      <c r="P14" s="35"/>
      <c r="Q14" s="34"/>
      <c r="R14" s="35"/>
      <c r="S14" s="34"/>
      <c r="T14" s="34"/>
      <c r="U14" s="36">
        <f ca="1">SUMIF('Mar16-Aug16 Billed-RETAIL'!$E$7:$BJ$146,'12-MO Billed Summary RETAIL'!$C14,'Mar16-Aug16 Billed-RETAIL'!W$7:W$146)</f>
        <v>48122167.5</v>
      </c>
      <c r="V14" s="36">
        <f ca="1">SUMIF('Mar16-Aug16 Billed-RETAIL'!$E$7:$BJ$146,'12-MO Billed Summary RETAIL'!$C14,'Mar16-Aug16 Billed-RETAIL'!X$7:X$146)</f>
        <v>0</v>
      </c>
      <c r="W14" s="36">
        <f ca="1">SUMIF('Mar16-Aug16 Billed-RETAIL'!$E$7:$BJ$146,'12-MO Billed Summary RETAIL'!$C14,'Mar16-Aug16 Billed-RETAIL'!Y$7:Y$146)</f>
        <v>0</v>
      </c>
      <c r="X14" s="36">
        <f ca="1">SUMIF('Mar16-Aug16 Billed-RETAIL'!$E$7:$BJ$146,'12-MO Billed Summary RETAIL'!$C14,'Mar16-Aug16 Billed-RETAIL'!Z$7:Z$146)</f>
        <v>58183461.244044803</v>
      </c>
      <c r="Y14" s="36">
        <f ca="1">SUMIF('Mar16-Aug16 Billed-RETAIL'!$E$7:$BJ$146,'12-MO Billed Summary RETAIL'!$C14,'Mar16-Aug16 Billed-RETAIL'!AA$7:AA$146)</f>
        <v>0</v>
      </c>
      <c r="Z14" s="36" t="e">
        <f ca="1">SUMIF('Mar16-Aug16 Billed-RETAIL'!$E$7:$BJ$146,'12-MO Billed Summary RETAIL'!$C14,'Mar16-Aug16 Billed-RETAIL'!AB$7:AB$146)</f>
        <v>#N/A</v>
      </c>
      <c r="AA14" s="36">
        <f ca="1">SUMIF('Mar16-Aug16 Billed-RETAIL'!$E$7:$BJ$146,'12-MO Billed Summary RETAIL'!$C14,'Mar16-Aug16 Billed-RETAIL'!AC$7:AC$146)</f>
        <v>0</v>
      </c>
      <c r="AB14" s="36">
        <f ca="1">SUMIF('Mar16-Aug16 Billed-RETAIL'!$E$7:$BJ$146,'12-MO Billed Summary RETAIL'!$C14,'Mar16-Aug16 Billed-RETAIL'!AD$7:AD$146)</f>
        <v>0</v>
      </c>
      <c r="AC14" s="36">
        <f ca="1">SUMIF('Mar16-Aug16 Billed-RETAIL'!$E$7:$BJ$146,'12-MO Billed Summary RETAIL'!$C14,'Mar16-Aug16 Billed-RETAIL'!AE$7:AE$146)</f>
        <v>0</v>
      </c>
      <c r="AD14" s="36" t="e">
        <f ca="1">SUMIF('Mar16-Aug16 Billed-RETAIL'!$E$7:$BJ$146,'12-MO Billed Summary RETAIL'!$C14,'Mar16-Aug16 Billed-RETAIL'!AF$7:AF$146)</f>
        <v>#N/A</v>
      </c>
      <c r="AE14" s="57">
        <f ca="1">SUMIF('Mar16-Aug16 Billed-RETAIL'!$E$7:$BJ$146,'12-MO Billed Summary RETAIL'!$C14,'Mar16-Aug16 Billed-RETAIL'!AG$7:AG$146)</f>
        <v>-13018</v>
      </c>
      <c r="AF14" s="57">
        <f ca="1">SUMIF('Mar16-Aug16 Billed-RETAIL'!$E$7:$BJ$146,'12-MO Billed Summary RETAIL'!$C14,'Mar16-Aug16 Billed-RETAIL'!AH$7:AH$146)</f>
        <v>0</v>
      </c>
      <c r="AG14" s="48">
        <f ca="1">SUMIF('Mar16-Aug16 Billed-RETAIL'!$E$7:$BJ$146,'12-MO Billed Summary RETAIL'!$C14,'Mar16-Aug16 Billed-RETAIL'!AI$7:AI$146)</f>
        <v>72.760000000000005</v>
      </c>
      <c r="AH14" s="48">
        <f ca="1">SUMIF('Mar16-Aug16 Billed-RETAIL'!$E$7:$BJ$146,'12-MO Billed Summary RETAIL'!$C14,'Mar16-Aug16 Billed-RETAIL'!AJ$7:AJ$146)</f>
        <v>0</v>
      </c>
      <c r="AI14" s="48">
        <f ca="1">SUMIF('Mar16-Aug16 Billed-RETAIL'!$E$7:$BJ$146,'12-MO Billed Summary RETAIL'!$C14,'Mar16-Aug16 Billed-RETAIL'!AK$7:AK$146)</f>
        <v>-47.72</v>
      </c>
      <c r="AJ14" s="48">
        <f ca="1">SUMIF('Mar16-Aug16 Billed-RETAIL'!$E$7:$BJ$146,'12-MO Billed Summary RETAIL'!$C14,'Mar16-Aug16 Billed-RETAIL'!AL$7:AL$146)</f>
        <v>0</v>
      </c>
      <c r="AK14" s="48">
        <f ca="1">SUMIF('Mar16-Aug16 Billed-RETAIL'!$E$7:$BJ$146,'12-MO Billed Summary RETAIL'!$C14,'Mar16-Aug16 Billed-RETAIL'!AM$7:AM$146)</f>
        <v>0</v>
      </c>
      <c r="AL14" s="48">
        <f ca="1">SUMIF('Mar16-Aug16 Billed-RETAIL'!$E$7:$BJ$146,'12-MO Billed Summary RETAIL'!$C14,'Mar16-Aug16 Billed-RETAIL'!AN$7:AN$146)</f>
        <v>0</v>
      </c>
      <c r="AM14" s="48">
        <f ca="1">SUMIF('Mar16-Aug16 Billed-RETAIL'!$E$7:$BJ$146,'12-MO Billed Summary RETAIL'!$C14,'Mar16-Aug16 Billed-RETAIL'!AO$7:AO$146)</f>
        <v>0</v>
      </c>
      <c r="AN14" s="36">
        <f ca="1">SUMIF('Mar16-Aug16 Billed-RETAIL'!$E$7:$BJ$146,'12-MO Billed Summary RETAIL'!$C14,'Mar16-Aug16 Billed-RETAIL'!AP$7:AP$146)</f>
        <v>47946497.260000005</v>
      </c>
      <c r="AO14" s="36">
        <f ca="1">SUMIF('Mar16-Aug16 Billed-RETAIL'!$E$7:$BJ$146,'12-MO Billed Summary RETAIL'!$C14,'Mar16-Aug16 Billed-RETAIL'!AQ$7:AQ$146)</f>
        <v>0</v>
      </c>
      <c r="AP14" s="36">
        <f ca="1">SUMIF('Mar16-Aug16 Billed-RETAIL'!$E$7:$BJ$146,'12-MO Billed Summary RETAIL'!$C14,'Mar16-Aug16 Billed-RETAIL'!AR$7:AR$146)</f>
        <v>58183413.524044804</v>
      </c>
      <c r="AQ14" s="36">
        <f ca="1">SUMIF('Mar16-Aug16 Billed-RETAIL'!$E$7:$BJ$146,'12-MO Billed Summary RETAIL'!$C14,'Mar16-Aug16 Billed-RETAIL'!AS$7:AS$146)</f>
        <v>0</v>
      </c>
      <c r="AR14" s="36">
        <f ca="1">SUMIF('Mar16-Aug16 Billed-RETAIL'!$E$7:$BJ$146,'12-MO Billed Summary RETAIL'!$C14,'Mar16-Aug16 Billed-RETAIL'!AT$7:AT$146)</f>
        <v>84144226.016604915</v>
      </c>
      <c r="AS14" s="36">
        <f ca="1">SUMIF('Mar16-Aug16 Billed-RETAIL'!$E$7:$BJ$146,'12-MO Billed Summary RETAIL'!$C14,'Mar16-Aug16 Billed-RETAIL'!AU$7:AU$146)</f>
        <v>1672594.2172686211</v>
      </c>
      <c r="AT14" s="36">
        <f ca="1">SUMIF('Mar16-Aug16 Billed-RETAIL'!$E$7:$BJ$146,'12-MO Billed Summary RETAIL'!$C14,'Mar16-Aug16 Billed-RETAIL'!AV$7:AV$146)</f>
        <v>2261342.7600000002</v>
      </c>
      <c r="AU14" s="36">
        <f ca="1">SUMIF('Mar16-Aug16 Billed-RETAIL'!$E$7:$BJ$146,'12-MO Billed Summary RETAIL'!$C14,'Mar16-Aug16 Billed-RETAIL'!AW$7:AW$146)</f>
        <v>18426426.846927226</v>
      </c>
      <c r="AV14" s="36">
        <f ca="1">SUMIF('Mar16-Aug16 Billed-RETAIL'!$E$7:$BJ$146,'12-MO Billed Summary RETAIL'!$C14,'Mar16-Aug16 Billed-RETAIL'!AX$7:AX$146)</f>
        <v>0</v>
      </c>
      <c r="AW14" s="36">
        <f ca="1">SUMIF('Mar16-Aug16 Billed-RETAIL'!$E$7:$BJ$146,'12-MO Billed Summary RETAIL'!$C14,'Mar16-Aug16 Billed-RETAIL'!AY$7:AY$146)</f>
        <v>0</v>
      </c>
      <c r="AX14" s="43">
        <f ca="1">SUMIF('Mar16-Aug16 Billed-RETAIL'!$E$7:$BJ$146,'12-MO Billed Summary RETAIL'!$C14,'Mar16-Aug16 Billed-RETAIL'!AZ$7:AZ$146)</f>
        <v>212634500.62</v>
      </c>
      <c r="AY14" s="43">
        <f ca="1">SUMIF('Mar16-Aug16 Billed-RETAIL'!$E$7:$BJ$146,'12-MO Billed Summary RETAIL'!$C14,'Mar16-Aug16 Billed-RETAIL'!BA$7:BA$146)</f>
        <v>212634500.61876363</v>
      </c>
      <c r="AZ14" s="44">
        <f t="shared" ca="1" si="7"/>
        <v>1</v>
      </c>
      <c r="BA14" s="43">
        <f ca="1">SUMIF('Mar16-Aug16 Billed-RETAIL'!$E$7:$BJ$146,'12-MO Billed Summary RETAIL'!$C14,'Mar16-Aug16 Billed-RETAIL'!BC$7:BC$146)</f>
        <v>1672594.2172686211</v>
      </c>
      <c r="BB14" s="43">
        <f ca="1">SUMIF('Mar16-Aug16 Billed-RETAIL'!$E$7:$BJ$146,'12-MO Billed Summary RETAIL'!$C14,'Mar16-Aug16 Billed-RETAIL'!BD$7:BD$146)</f>
        <v>84144226.016604915</v>
      </c>
      <c r="BC14" s="43">
        <f ca="1">SUMIF('Mar16-Aug16 Billed-RETAIL'!$E$7:$BJ$146,'12-MO Billed Summary RETAIL'!$C14,'Mar16-Aug16 Billed-RETAIL'!BE$7:BE$146)</f>
        <v>2261342.7600000002</v>
      </c>
      <c r="BD14" s="43">
        <f ca="1">SUMIF('Mar16-Aug16 Billed-RETAIL'!$E$7:$BJ$146,'12-MO Billed Summary RETAIL'!$C14,'Mar16-Aug16 Billed-RETAIL'!BF$7:BF$146)</f>
        <v>448968.27</v>
      </c>
      <c r="BE14" s="43">
        <f ca="1">SUMIF('Mar16-Aug16 Billed-RETAIL'!$E$7:$BJ$146,'12-MO Billed Summary RETAIL'!$C14,'Mar16-Aug16 Billed-RETAIL'!BG$7:BG$146)</f>
        <v>47946497.260000005</v>
      </c>
      <c r="BF14" s="43">
        <f ca="1">SUMIF('Mar16-Aug16 Billed-RETAIL'!$E$7:$BJ$146,'12-MO Billed Summary RETAIL'!$C14,'Mar16-Aug16 Billed-RETAIL'!BH$7:BH$146)</f>
        <v>58183413.517962858</v>
      </c>
      <c r="BG14" s="43">
        <f ca="1">SUMIF('Mar16-Aug16 Billed-RETAIL'!$E$7:$BJ$146,'12-MO Billed Summary RETAIL'!$C14,'Mar16-Aug16 Billed-RETAIL'!BI$7:BI$146)</f>
        <v>0</v>
      </c>
      <c r="BH14" s="43">
        <f ca="1">SUMIF('Mar16-Aug16 Billed-RETAIL'!$E$7:$BJ$146,'12-MO Billed Summary RETAIL'!$C14,'Mar16-Aug16 Billed-RETAIL'!BJ$7:BJ$146)</f>
        <v>18426426.846927226</v>
      </c>
    </row>
    <row r="15" spans="1:67" x14ac:dyDescent="0.25">
      <c r="A15" s="13">
        <f t="shared" si="8"/>
        <v>10</v>
      </c>
      <c r="B15" s="22" t="s">
        <v>290</v>
      </c>
      <c r="C15" s="22" t="str">
        <f>+'Retail Rates'!B19</f>
        <v>LGCMG851LT</v>
      </c>
      <c r="D15" s="14" t="str">
        <f t="shared" si="6"/>
        <v>851</v>
      </c>
      <c r="E15" s="14" t="str">
        <f>VLOOKUP(C15,'Retail Rates'!$B$7:$D$34,3,FALSE)</f>
        <v>CGS</v>
      </c>
      <c r="F15" s="33">
        <f ca="1">SUMIF('Mar16-Aug16 Billed-RETAIL'!$E$7:$BJ$146,'12-MO Billed Summary RETAIL'!$C15,'Mar16-Aug16 Billed-RETAIL'!H$7:H$146)</f>
        <v>0</v>
      </c>
      <c r="G15" s="33">
        <f ca="1">SUMIF('Mar16-Aug16 Billed-RETAIL'!$E$7:$BJ$146,'12-MO Billed Summary RETAIL'!$C15,'Mar16-Aug16 Billed-RETAIL'!I$7:I$146)</f>
        <v>6</v>
      </c>
      <c r="H15" s="33">
        <f ca="1">SUMIF('Mar16-Aug16 Billed-RETAIL'!$E$7:$BJ$146,'12-MO Billed Summary RETAIL'!$C15,'Mar16-Aug16 Billed-RETAIL'!J$7:J$146)</f>
        <v>0</v>
      </c>
      <c r="I15" s="33">
        <f ca="1">SUMIF('Mar16-Aug16 Billed-RETAIL'!$E$7:$BJ$146,'12-MO Billed Summary RETAIL'!$C15,'Mar16-Aug16 Billed-RETAIL'!K$7:K$146)</f>
        <v>1688</v>
      </c>
      <c r="J15" s="33">
        <f ca="1">SUMIF('Mar16-Aug16 Billed-RETAIL'!$E$7:$BJ$146,'12-MO Billed Summary RETAIL'!$C15,'Mar16-Aug16 Billed-RETAIL'!L$7:L$146)</f>
        <v>0</v>
      </c>
      <c r="K15" s="33">
        <f ca="1">SUMIF('Mar16-Aug16 Billed-RETAIL'!$E$7:$BJ$146,'12-MO Billed Summary RETAIL'!$C15,'Mar16-Aug16 Billed-RETAIL'!M$7:M$146)</f>
        <v>0</v>
      </c>
      <c r="L15" s="34"/>
      <c r="M15" s="34"/>
      <c r="N15" s="35"/>
      <c r="O15" s="35"/>
      <c r="P15" s="35"/>
      <c r="Q15" s="34"/>
      <c r="R15" s="35"/>
      <c r="S15" s="34"/>
      <c r="T15" s="34"/>
      <c r="U15" s="36">
        <f ca="1">SUMIF('Mar16-Aug16 Billed-RETAIL'!$E$7:$BJ$146,'12-MO Billed Summary RETAIL'!$C15,'Mar16-Aug16 Billed-RETAIL'!W$7:W$146)</f>
        <v>240</v>
      </c>
      <c r="V15" s="36">
        <f ca="1">SUMIF('Mar16-Aug16 Billed-RETAIL'!$E$7:$BJ$146,'12-MO Billed Summary RETAIL'!$C15,'Mar16-Aug16 Billed-RETAIL'!X$7:X$146)</f>
        <v>0</v>
      </c>
      <c r="W15" s="36">
        <f ca="1">SUMIF('Mar16-Aug16 Billed-RETAIL'!$E$7:$BJ$146,'12-MO Billed Summary RETAIL'!$C15,'Mar16-Aug16 Billed-RETAIL'!Y$7:Y$146)</f>
        <v>0</v>
      </c>
      <c r="X15" s="36">
        <f ca="1">SUMIF('Mar16-Aug16 Billed-RETAIL'!$E$7:$BJ$146,'12-MO Billed Summary RETAIL'!$C15,'Mar16-Aug16 Billed-RETAIL'!Z$7:Z$146)</f>
        <v>362.98752000000002</v>
      </c>
      <c r="Y15" s="36">
        <f ca="1">SUMIF('Mar16-Aug16 Billed-RETAIL'!$E$7:$BJ$146,'12-MO Billed Summary RETAIL'!$C15,'Mar16-Aug16 Billed-RETAIL'!AA$7:AA$146)</f>
        <v>0</v>
      </c>
      <c r="Z15" s="36" t="e">
        <f ca="1">SUMIF('Mar16-Aug16 Billed-RETAIL'!$E$7:$BJ$146,'12-MO Billed Summary RETAIL'!$C15,'Mar16-Aug16 Billed-RETAIL'!AB$7:AB$146)</f>
        <v>#N/A</v>
      </c>
      <c r="AA15" s="36">
        <f ca="1">SUMIF('Mar16-Aug16 Billed-RETAIL'!$E$7:$BJ$146,'12-MO Billed Summary RETAIL'!$C15,'Mar16-Aug16 Billed-RETAIL'!AC$7:AC$146)</f>
        <v>0</v>
      </c>
      <c r="AB15" s="36">
        <f ca="1">SUMIF('Mar16-Aug16 Billed-RETAIL'!$E$7:$BJ$146,'12-MO Billed Summary RETAIL'!$C15,'Mar16-Aug16 Billed-RETAIL'!AD$7:AD$146)</f>
        <v>0</v>
      </c>
      <c r="AC15" s="36">
        <f ca="1">SUMIF('Mar16-Aug16 Billed-RETAIL'!$E$7:$BJ$146,'12-MO Billed Summary RETAIL'!$C15,'Mar16-Aug16 Billed-RETAIL'!AE$7:AE$146)</f>
        <v>0</v>
      </c>
      <c r="AD15" s="36" t="e">
        <f ca="1">SUMIF('Mar16-Aug16 Billed-RETAIL'!$E$7:$BJ$146,'12-MO Billed Summary RETAIL'!$C15,'Mar16-Aug16 Billed-RETAIL'!AF$7:AF$146)</f>
        <v>#N/A</v>
      </c>
      <c r="AE15" s="57">
        <f ca="1">SUMIF('Mar16-Aug16 Billed-RETAIL'!$E$7:$BJ$146,'12-MO Billed Summary RETAIL'!$C15,'Mar16-Aug16 Billed-RETAIL'!AG$7:AG$146)</f>
        <v>0</v>
      </c>
      <c r="AF15" s="57">
        <f ca="1">SUMIF('Mar16-Aug16 Billed-RETAIL'!$E$7:$BJ$146,'12-MO Billed Summary RETAIL'!$C15,'Mar16-Aug16 Billed-RETAIL'!AH$7:AH$146)</f>
        <v>0</v>
      </c>
      <c r="AG15" s="48">
        <f ca="1">SUMIF('Mar16-Aug16 Billed-RETAIL'!$E$7:$BJ$146,'12-MO Billed Summary RETAIL'!$C15,'Mar16-Aug16 Billed-RETAIL'!AI$7:AI$146)</f>
        <v>0</v>
      </c>
      <c r="AH15" s="48">
        <f ca="1">SUMIF('Mar16-Aug16 Billed-RETAIL'!$E$7:$BJ$146,'12-MO Billed Summary RETAIL'!$C15,'Mar16-Aug16 Billed-RETAIL'!AJ$7:AJ$146)</f>
        <v>0</v>
      </c>
      <c r="AI15" s="48">
        <f ca="1">SUMIF('Mar16-Aug16 Billed-RETAIL'!$E$7:$BJ$146,'12-MO Billed Summary RETAIL'!$C15,'Mar16-Aug16 Billed-RETAIL'!AK$7:AK$146)</f>
        <v>0</v>
      </c>
      <c r="AJ15" s="48">
        <f ca="1">SUMIF('Mar16-Aug16 Billed-RETAIL'!$E$7:$BJ$146,'12-MO Billed Summary RETAIL'!$C15,'Mar16-Aug16 Billed-RETAIL'!AL$7:AL$146)</f>
        <v>0</v>
      </c>
      <c r="AK15" s="48">
        <f ca="1">SUMIF('Mar16-Aug16 Billed-RETAIL'!$E$7:$BJ$146,'12-MO Billed Summary RETAIL'!$C15,'Mar16-Aug16 Billed-RETAIL'!AM$7:AM$146)</f>
        <v>0</v>
      </c>
      <c r="AL15" s="48">
        <f ca="1">SUMIF('Mar16-Aug16 Billed-RETAIL'!$E$7:$BJ$146,'12-MO Billed Summary RETAIL'!$C15,'Mar16-Aug16 Billed-RETAIL'!AN$7:AN$146)</f>
        <v>0</v>
      </c>
      <c r="AM15" s="48">
        <f ca="1">SUMIF('Mar16-Aug16 Billed-RETAIL'!$E$7:$BJ$146,'12-MO Billed Summary RETAIL'!$C15,'Mar16-Aug16 Billed-RETAIL'!AO$7:AO$146)</f>
        <v>0</v>
      </c>
      <c r="AN15" s="36">
        <f ca="1">SUMIF('Mar16-Aug16 Billed-RETAIL'!$E$7:$BJ$146,'12-MO Billed Summary RETAIL'!$C15,'Mar16-Aug16 Billed-RETAIL'!AP$7:AP$146)</f>
        <v>240</v>
      </c>
      <c r="AO15" s="36">
        <f ca="1">SUMIF('Mar16-Aug16 Billed-RETAIL'!$E$7:$BJ$146,'12-MO Billed Summary RETAIL'!$C15,'Mar16-Aug16 Billed-RETAIL'!AQ$7:AQ$146)</f>
        <v>0</v>
      </c>
      <c r="AP15" s="36">
        <f ca="1">SUMIF('Mar16-Aug16 Billed-RETAIL'!$E$7:$BJ$146,'12-MO Billed Summary RETAIL'!$C15,'Mar16-Aug16 Billed-RETAIL'!AR$7:AR$146)</f>
        <v>362.98752000000002</v>
      </c>
      <c r="AQ15" s="36">
        <f ca="1">SUMIF('Mar16-Aug16 Billed-RETAIL'!$E$7:$BJ$146,'12-MO Billed Summary RETAIL'!$C15,'Mar16-Aug16 Billed-RETAIL'!AS$7:AS$146)</f>
        <v>0</v>
      </c>
      <c r="AR15" s="36">
        <f ca="1">SUMIF('Mar16-Aug16 Billed-RETAIL'!$E$7:$BJ$146,'12-MO Billed Summary RETAIL'!$C15,'Mar16-Aug16 Billed-RETAIL'!AT$7:AT$146)</f>
        <v>583.79999999999995</v>
      </c>
      <c r="AS15" s="36">
        <f ca="1">SUMIF('Mar16-Aug16 Billed-RETAIL'!$E$7:$BJ$146,'12-MO Billed Summary RETAIL'!$C15,'Mar16-Aug16 Billed-RETAIL'!AU$7:AU$146)</f>
        <v>0.96000000000000019</v>
      </c>
      <c r="AT15" s="36">
        <f ca="1">SUMIF('Mar16-Aug16 Billed-RETAIL'!$E$7:$BJ$146,'12-MO Billed Summary RETAIL'!$C15,'Mar16-Aug16 Billed-RETAIL'!AV$7:AV$146)</f>
        <v>0.61</v>
      </c>
      <c r="AU15" s="36">
        <f ca="1">SUMIF('Mar16-Aug16 Billed-RETAIL'!$E$7:$BJ$146,'12-MO Billed Summary RETAIL'!$C15,'Mar16-Aug16 Billed-RETAIL'!AW$7:AW$146)</f>
        <v>161.22</v>
      </c>
      <c r="AV15" s="36">
        <f ca="1">SUMIF('Mar16-Aug16 Billed-RETAIL'!$E$7:$BJ$146,'12-MO Billed Summary RETAIL'!$C15,'Mar16-Aug16 Billed-RETAIL'!AX$7:AX$146)</f>
        <v>0</v>
      </c>
      <c r="AW15" s="36">
        <f ca="1">SUMIF('Mar16-Aug16 Billed-RETAIL'!$E$7:$BJ$146,'12-MO Billed Summary RETAIL'!$C15,'Mar16-Aug16 Billed-RETAIL'!AY$7:AY$146)</f>
        <v>0</v>
      </c>
      <c r="AX15" s="43">
        <f ca="1">SUMIF('Mar16-Aug16 Billed-RETAIL'!$E$7:$BJ$146,'12-MO Billed Summary RETAIL'!$C15,'Mar16-Aug16 Billed-RETAIL'!AZ$7:AZ$146)</f>
        <v>1349.57</v>
      </c>
      <c r="AY15" s="43">
        <f ca="1">SUMIF('Mar16-Aug16 Billed-RETAIL'!$E$7:$BJ$146,'12-MO Billed Summary RETAIL'!$C15,'Mar16-Aug16 Billed-RETAIL'!BA$7:BA$146)</f>
        <v>1349.57</v>
      </c>
      <c r="AZ15" s="44">
        <f t="shared" ca="1" si="7"/>
        <v>1</v>
      </c>
      <c r="BA15" s="43">
        <f ca="1">SUMIF('Mar16-Aug16 Billed-RETAIL'!$E$7:$BJ$146,'12-MO Billed Summary RETAIL'!$C15,'Mar16-Aug16 Billed-RETAIL'!BC$7:BC$146)</f>
        <v>0.96000000000000019</v>
      </c>
      <c r="BB15" s="43">
        <f ca="1">SUMIF('Mar16-Aug16 Billed-RETAIL'!$E$7:$BJ$146,'12-MO Billed Summary RETAIL'!$C15,'Mar16-Aug16 Billed-RETAIL'!BD$7:BD$146)</f>
        <v>583.79999999999995</v>
      </c>
      <c r="BC15" s="43">
        <f ca="1">SUMIF('Mar16-Aug16 Billed-RETAIL'!$E$7:$BJ$146,'12-MO Billed Summary RETAIL'!$C15,'Mar16-Aug16 Billed-RETAIL'!BE$7:BE$146)</f>
        <v>0.61</v>
      </c>
      <c r="BD15" s="43">
        <f ca="1">SUMIF('Mar16-Aug16 Billed-RETAIL'!$E$7:$BJ$146,'12-MO Billed Summary RETAIL'!$C15,'Mar16-Aug16 Billed-RETAIL'!BF$7:BF$146)</f>
        <v>0</v>
      </c>
      <c r="BE15" s="43">
        <f ca="1">SUMIF('Mar16-Aug16 Billed-RETAIL'!$E$7:$BJ$146,'12-MO Billed Summary RETAIL'!$C15,'Mar16-Aug16 Billed-RETAIL'!BG$7:BG$146)</f>
        <v>240</v>
      </c>
      <c r="BF15" s="43">
        <f ca="1">SUMIF('Mar16-Aug16 Billed-RETAIL'!$E$7:$BJ$146,'12-MO Billed Summary RETAIL'!$C15,'Mar16-Aug16 Billed-RETAIL'!BH$7:BH$146)</f>
        <v>362.98</v>
      </c>
      <c r="BG15" s="43">
        <f ca="1">SUMIF('Mar16-Aug16 Billed-RETAIL'!$E$7:$BJ$146,'12-MO Billed Summary RETAIL'!$C15,'Mar16-Aug16 Billed-RETAIL'!BI$7:BI$146)</f>
        <v>0</v>
      </c>
      <c r="BH15" s="43">
        <f ca="1">SUMIF('Mar16-Aug16 Billed-RETAIL'!$E$7:$BJ$146,'12-MO Billed Summary RETAIL'!$C15,'Mar16-Aug16 Billed-RETAIL'!BJ$7:BJ$146)</f>
        <v>161.22</v>
      </c>
    </row>
    <row r="16" spans="1:67" x14ac:dyDescent="0.25">
      <c r="A16" s="13">
        <f t="shared" si="8"/>
        <v>11</v>
      </c>
      <c r="B16" s="22" t="s">
        <v>290</v>
      </c>
      <c r="C16" s="22" t="str">
        <f>+'Retail Rates'!B32</f>
        <v>LGRSG840</v>
      </c>
      <c r="D16" s="14" t="str">
        <f t="shared" si="6"/>
        <v>840</v>
      </c>
      <c r="E16" s="14" t="str">
        <f>VLOOKUP(C16,'Retail Rates'!$B$7:$D$34,3,FALSE)</f>
        <v>RGS</v>
      </c>
      <c r="F16" s="33">
        <f ca="1">SUMIF('Mar16-Aug16 Billed-RETAIL'!$E$7:$BJ$146,'12-MO Billed Summary RETAIL'!$C16,'Mar16-Aug16 Billed-RETAIL'!H$7:H$146)</f>
        <v>18</v>
      </c>
      <c r="G16" s="33">
        <f ca="1">SUMIF('Mar16-Aug16 Billed-RETAIL'!$E$7:$BJ$146,'12-MO Billed Summary RETAIL'!$C16,'Mar16-Aug16 Billed-RETAIL'!I$7:I$146)</f>
        <v>0</v>
      </c>
      <c r="H16" s="33">
        <f ca="1">SUMIF('Mar16-Aug16 Billed-RETAIL'!$E$7:$BJ$146,'12-MO Billed Summary RETAIL'!$C16,'Mar16-Aug16 Billed-RETAIL'!J$7:J$146)</f>
        <v>0</v>
      </c>
      <c r="I16" s="33">
        <f ca="1">SUMIF('Mar16-Aug16 Billed-RETAIL'!$E$7:$BJ$146,'12-MO Billed Summary RETAIL'!$C16,'Mar16-Aug16 Billed-RETAIL'!K$7:K$146)</f>
        <v>3322</v>
      </c>
      <c r="J16" s="33">
        <f ca="1">SUMIF('Mar16-Aug16 Billed-RETAIL'!$E$7:$BJ$146,'12-MO Billed Summary RETAIL'!$C16,'Mar16-Aug16 Billed-RETAIL'!L$7:L$146)</f>
        <v>0</v>
      </c>
      <c r="K16" s="33">
        <f ca="1">SUMIF('Mar16-Aug16 Billed-RETAIL'!$E$7:$BJ$146,'12-MO Billed Summary RETAIL'!$C16,'Mar16-Aug16 Billed-RETAIL'!M$7:M$146)</f>
        <v>0</v>
      </c>
      <c r="L16" s="34"/>
      <c r="M16" s="34"/>
      <c r="N16" s="35"/>
      <c r="O16" s="35"/>
      <c r="P16" s="35"/>
      <c r="Q16" s="34"/>
      <c r="R16" s="35"/>
      <c r="S16" s="34"/>
      <c r="T16" s="34"/>
      <c r="U16" s="36">
        <f ca="1">SUMIF('Mar16-Aug16 Billed-RETAIL'!$E$7:$BJ$146,'12-MO Billed Summary RETAIL'!$C16,'Mar16-Aug16 Billed-RETAIL'!W$7:W$146)</f>
        <v>243</v>
      </c>
      <c r="V16" s="36">
        <f ca="1">SUMIF('Mar16-Aug16 Billed-RETAIL'!$E$7:$BJ$146,'12-MO Billed Summary RETAIL'!$C16,'Mar16-Aug16 Billed-RETAIL'!X$7:X$146)</f>
        <v>0</v>
      </c>
      <c r="W16" s="36">
        <f ca="1">SUMIF('Mar16-Aug16 Billed-RETAIL'!$E$7:$BJ$146,'12-MO Billed Summary RETAIL'!$C16,'Mar16-Aug16 Billed-RETAIL'!Y$7:Y$146)</f>
        <v>0</v>
      </c>
      <c r="X16" s="36">
        <f ca="1">SUMIF('Mar16-Aug16 Billed-RETAIL'!$E$7:$BJ$146,'12-MO Billed Summary RETAIL'!$C16,'Mar16-Aug16 Billed-RETAIL'!Z$7:Z$146)</f>
        <v>953.1814599999999</v>
      </c>
      <c r="Y16" s="36">
        <f ca="1">SUMIF('Mar16-Aug16 Billed-RETAIL'!$E$7:$BJ$146,'12-MO Billed Summary RETAIL'!$C16,'Mar16-Aug16 Billed-RETAIL'!AA$7:AA$146)</f>
        <v>0</v>
      </c>
      <c r="Z16" s="36" t="e">
        <f ca="1">SUMIF('Mar16-Aug16 Billed-RETAIL'!$E$7:$BJ$146,'12-MO Billed Summary RETAIL'!$C16,'Mar16-Aug16 Billed-RETAIL'!AB$7:AB$146)</f>
        <v>#N/A</v>
      </c>
      <c r="AA16" s="36">
        <f ca="1">SUMIF('Mar16-Aug16 Billed-RETAIL'!$E$7:$BJ$146,'12-MO Billed Summary RETAIL'!$C16,'Mar16-Aug16 Billed-RETAIL'!AC$7:AC$146)</f>
        <v>0</v>
      </c>
      <c r="AB16" s="36">
        <f ca="1">SUMIF('Mar16-Aug16 Billed-RETAIL'!$E$7:$BJ$146,'12-MO Billed Summary RETAIL'!$C16,'Mar16-Aug16 Billed-RETAIL'!AD$7:AD$146)</f>
        <v>0</v>
      </c>
      <c r="AC16" s="36">
        <f ca="1">SUMIF('Mar16-Aug16 Billed-RETAIL'!$E$7:$BJ$146,'12-MO Billed Summary RETAIL'!$C16,'Mar16-Aug16 Billed-RETAIL'!AE$7:AE$146)</f>
        <v>0</v>
      </c>
      <c r="AD16" s="36" t="e">
        <f ca="1">SUMIF('Mar16-Aug16 Billed-RETAIL'!$E$7:$BJ$146,'12-MO Billed Summary RETAIL'!$C16,'Mar16-Aug16 Billed-RETAIL'!AF$7:AF$146)</f>
        <v>#N/A</v>
      </c>
      <c r="AE16" s="57">
        <f ca="1">SUMIF('Mar16-Aug16 Billed-RETAIL'!$E$7:$BJ$146,'12-MO Billed Summary RETAIL'!$C16,'Mar16-Aug16 Billed-RETAIL'!AG$7:AG$146)</f>
        <v>0</v>
      </c>
      <c r="AF16" s="57">
        <f ca="1">SUMIF('Mar16-Aug16 Billed-RETAIL'!$E$7:$BJ$146,'12-MO Billed Summary RETAIL'!$C16,'Mar16-Aug16 Billed-RETAIL'!AH$7:AH$146)</f>
        <v>0</v>
      </c>
      <c r="AG16" s="48">
        <f ca="1">SUMIF('Mar16-Aug16 Billed-RETAIL'!$E$7:$BJ$146,'12-MO Billed Summary RETAIL'!$C16,'Mar16-Aug16 Billed-RETAIL'!AI$7:AI$146)</f>
        <v>0</v>
      </c>
      <c r="AH16" s="48">
        <f ca="1">SUMIF('Mar16-Aug16 Billed-RETAIL'!$E$7:$BJ$146,'12-MO Billed Summary RETAIL'!$C16,'Mar16-Aug16 Billed-RETAIL'!AJ$7:AJ$146)</f>
        <v>0</v>
      </c>
      <c r="AI16" s="48">
        <f ca="1">SUMIF('Mar16-Aug16 Billed-RETAIL'!$E$7:$BJ$146,'12-MO Billed Summary RETAIL'!$C16,'Mar16-Aug16 Billed-RETAIL'!AK$7:AK$146)</f>
        <v>-0.01</v>
      </c>
      <c r="AJ16" s="48">
        <f ca="1">SUMIF('Mar16-Aug16 Billed-RETAIL'!$E$7:$BJ$146,'12-MO Billed Summary RETAIL'!$C16,'Mar16-Aug16 Billed-RETAIL'!AL$7:AL$146)</f>
        <v>0</v>
      </c>
      <c r="AK16" s="48">
        <f ca="1">SUMIF('Mar16-Aug16 Billed-RETAIL'!$E$7:$BJ$146,'12-MO Billed Summary RETAIL'!$C16,'Mar16-Aug16 Billed-RETAIL'!AM$7:AM$146)</f>
        <v>0</v>
      </c>
      <c r="AL16" s="48">
        <f ca="1">SUMIF('Mar16-Aug16 Billed-RETAIL'!$E$7:$BJ$146,'12-MO Billed Summary RETAIL'!$C16,'Mar16-Aug16 Billed-RETAIL'!AN$7:AN$146)</f>
        <v>0</v>
      </c>
      <c r="AM16" s="48">
        <f ca="1">SUMIF('Mar16-Aug16 Billed-RETAIL'!$E$7:$BJ$146,'12-MO Billed Summary RETAIL'!$C16,'Mar16-Aug16 Billed-RETAIL'!AO$7:AO$146)</f>
        <v>0</v>
      </c>
      <c r="AN16" s="36">
        <f ca="1">SUMIF('Mar16-Aug16 Billed-RETAIL'!$E$7:$BJ$146,'12-MO Billed Summary RETAIL'!$C16,'Mar16-Aug16 Billed-RETAIL'!AP$7:AP$146)</f>
        <v>243</v>
      </c>
      <c r="AO16" s="36">
        <f ca="1">SUMIF('Mar16-Aug16 Billed-RETAIL'!$E$7:$BJ$146,'12-MO Billed Summary RETAIL'!$C16,'Mar16-Aug16 Billed-RETAIL'!AQ$7:AQ$146)</f>
        <v>0</v>
      </c>
      <c r="AP16" s="36">
        <f ca="1">SUMIF('Mar16-Aug16 Billed-RETAIL'!$E$7:$BJ$146,'12-MO Billed Summary RETAIL'!$C16,'Mar16-Aug16 Billed-RETAIL'!AR$7:AR$146)</f>
        <v>953.17145999999991</v>
      </c>
      <c r="AQ16" s="36">
        <f ca="1">SUMIF('Mar16-Aug16 Billed-RETAIL'!$E$7:$BJ$146,'12-MO Billed Summary RETAIL'!$C16,'Mar16-Aug16 Billed-RETAIL'!AS$7:AS$146)</f>
        <v>0</v>
      </c>
      <c r="AR16" s="36">
        <f ca="1">SUMIF('Mar16-Aug16 Billed-RETAIL'!$E$7:$BJ$146,'12-MO Billed Summary RETAIL'!$C16,'Mar16-Aug16 Billed-RETAIL'!AT$7:AT$146)</f>
        <v>1108.8400000000001</v>
      </c>
      <c r="AS16" s="36">
        <f ca="1">SUMIF('Mar16-Aug16 Billed-RETAIL'!$E$7:$BJ$146,'12-MO Billed Summary RETAIL'!$C16,'Mar16-Aug16 Billed-RETAIL'!AU$7:AU$146)</f>
        <v>33.56</v>
      </c>
      <c r="AT16" s="36">
        <f ca="1">SUMIF('Mar16-Aug16 Billed-RETAIL'!$E$7:$BJ$146,'12-MO Billed Summary RETAIL'!$C16,'Mar16-Aug16 Billed-RETAIL'!AV$7:AV$146)</f>
        <v>124.97</v>
      </c>
      <c r="AU16" s="36">
        <f ca="1">SUMIF('Mar16-Aug16 Billed-RETAIL'!$E$7:$BJ$146,'12-MO Billed Summary RETAIL'!$C16,'Mar16-Aug16 Billed-RETAIL'!AW$7:AW$146)</f>
        <v>90.48</v>
      </c>
      <c r="AV16" s="36">
        <f ca="1">SUMIF('Mar16-Aug16 Billed-RETAIL'!$E$7:$BJ$146,'12-MO Billed Summary RETAIL'!$C16,'Mar16-Aug16 Billed-RETAIL'!AX$7:AX$146)</f>
        <v>0</v>
      </c>
      <c r="AW16" s="36">
        <f ca="1">SUMIF('Mar16-Aug16 Billed-RETAIL'!$E$7:$BJ$146,'12-MO Billed Summary RETAIL'!$C16,'Mar16-Aug16 Billed-RETAIL'!AY$7:AY$146)</f>
        <v>0</v>
      </c>
      <c r="AX16" s="43">
        <f ca="1">SUMIF('Mar16-Aug16 Billed-RETAIL'!$E$7:$BJ$146,'12-MO Billed Summary RETAIL'!$C16,'Mar16-Aug16 Billed-RETAIL'!AZ$7:AZ$146)</f>
        <v>2554.0300000000002</v>
      </c>
      <c r="AY16" s="43">
        <f ca="1">SUMIF('Mar16-Aug16 Billed-RETAIL'!$E$7:$BJ$146,'12-MO Billed Summary RETAIL'!$C16,'Mar16-Aug16 Billed-RETAIL'!BA$7:BA$146)</f>
        <v>2554.0299999999997</v>
      </c>
      <c r="AZ16" s="44">
        <f t="shared" ca="1" si="7"/>
        <v>1</v>
      </c>
      <c r="BA16" s="43">
        <f ca="1">SUMIF('Mar16-Aug16 Billed-RETAIL'!$E$7:$BJ$146,'12-MO Billed Summary RETAIL'!$C16,'Mar16-Aug16 Billed-RETAIL'!BC$7:BC$146)</f>
        <v>33.56</v>
      </c>
      <c r="BB16" s="43">
        <f ca="1">SUMIF('Mar16-Aug16 Billed-RETAIL'!$E$7:$BJ$146,'12-MO Billed Summary RETAIL'!$C16,'Mar16-Aug16 Billed-RETAIL'!BD$7:BD$146)</f>
        <v>1108.8400000000001</v>
      </c>
      <c r="BC16" s="43">
        <f ca="1">SUMIF('Mar16-Aug16 Billed-RETAIL'!$E$7:$BJ$146,'12-MO Billed Summary RETAIL'!$C16,'Mar16-Aug16 Billed-RETAIL'!BE$7:BE$146)</f>
        <v>124.97</v>
      </c>
      <c r="BD16" s="43">
        <f ca="1">SUMIF('Mar16-Aug16 Billed-RETAIL'!$E$7:$BJ$146,'12-MO Billed Summary RETAIL'!$C16,'Mar16-Aug16 Billed-RETAIL'!BF$7:BF$146)</f>
        <v>0</v>
      </c>
      <c r="BE16" s="43">
        <f ca="1">SUMIF('Mar16-Aug16 Billed-RETAIL'!$E$7:$BJ$146,'12-MO Billed Summary RETAIL'!$C16,'Mar16-Aug16 Billed-RETAIL'!BG$7:BG$146)</f>
        <v>243</v>
      </c>
      <c r="BF16" s="43">
        <f ca="1">SUMIF('Mar16-Aug16 Billed-RETAIL'!$E$7:$BJ$146,'12-MO Billed Summary RETAIL'!$C16,'Mar16-Aug16 Billed-RETAIL'!BH$7:BH$146)</f>
        <v>953.17999999999984</v>
      </c>
      <c r="BG16" s="43">
        <f ca="1">SUMIF('Mar16-Aug16 Billed-RETAIL'!$E$7:$BJ$146,'12-MO Billed Summary RETAIL'!$C16,'Mar16-Aug16 Billed-RETAIL'!BI$7:BI$146)</f>
        <v>0</v>
      </c>
      <c r="BH16" s="43">
        <f ca="1">SUMIF('Mar16-Aug16 Billed-RETAIL'!$E$7:$BJ$146,'12-MO Billed Summary RETAIL'!$C16,'Mar16-Aug16 Billed-RETAIL'!BJ$7:BJ$146)</f>
        <v>90.48</v>
      </c>
    </row>
    <row r="17" spans="1:59" x14ac:dyDescent="0.25">
      <c r="A17" s="13"/>
      <c r="B17" s="22"/>
      <c r="C17" s="22"/>
      <c r="D17" s="14"/>
      <c r="E17" s="14"/>
      <c r="F17" s="33"/>
      <c r="G17" s="33"/>
      <c r="H17" s="33"/>
      <c r="I17" s="33"/>
      <c r="J17" s="33"/>
      <c r="K17" s="33"/>
      <c r="L17" s="34"/>
      <c r="M17" s="34"/>
      <c r="N17" s="35"/>
      <c r="O17" s="35"/>
      <c r="P17" s="35"/>
      <c r="Q17" s="34"/>
      <c r="R17" s="35"/>
      <c r="S17" s="34"/>
      <c r="T17" s="34"/>
      <c r="U17" s="36"/>
      <c r="V17" s="36"/>
      <c r="W17" s="36"/>
      <c r="X17" s="36"/>
      <c r="Y17" s="36"/>
      <c r="Z17" s="36"/>
      <c r="AA17" s="36"/>
      <c r="AB17" s="36"/>
      <c r="AC17" s="33"/>
      <c r="AD17" s="36"/>
      <c r="AE17" s="57"/>
      <c r="AF17" s="57"/>
      <c r="AG17" s="48"/>
      <c r="AH17" s="48"/>
      <c r="AI17" s="48"/>
      <c r="AJ17" s="48"/>
      <c r="AK17" s="48"/>
      <c r="AL17" s="48"/>
      <c r="AM17" s="48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43"/>
      <c r="AY17" s="43"/>
      <c r="AZ17" s="44"/>
      <c r="BA17" s="43"/>
      <c r="BB17" s="43"/>
      <c r="BC17" s="43"/>
      <c r="BD17" s="43"/>
      <c r="BE17" s="43"/>
      <c r="BF17" s="43"/>
      <c r="BG17" s="43"/>
    </row>
    <row r="18" spans="1:59" x14ac:dyDescent="0.25">
      <c r="A18" s="13"/>
      <c r="B18" s="22"/>
      <c r="C18" s="22"/>
      <c r="D18" s="14"/>
      <c r="E18" s="14"/>
      <c r="F18" s="33"/>
      <c r="G18" s="33"/>
      <c r="H18" s="33"/>
      <c r="I18" s="33"/>
      <c r="J18" s="33"/>
      <c r="K18" s="33"/>
      <c r="L18" s="34"/>
      <c r="M18" s="34"/>
      <c r="N18" s="35"/>
      <c r="O18" s="35"/>
      <c r="P18" s="35"/>
      <c r="Q18" s="34"/>
      <c r="R18" s="35"/>
      <c r="S18" s="34"/>
      <c r="T18" s="34"/>
      <c r="U18" s="36"/>
      <c r="V18" s="36"/>
      <c r="W18" s="36"/>
      <c r="X18" s="36"/>
      <c r="Y18" s="36"/>
      <c r="Z18" s="36"/>
      <c r="AA18" s="36"/>
      <c r="AB18" s="36"/>
      <c r="AC18" s="33"/>
      <c r="AD18" s="36"/>
      <c r="AE18" s="57"/>
      <c r="AF18" s="57"/>
      <c r="AG18" s="48"/>
      <c r="AH18" s="48"/>
      <c r="AI18" s="48"/>
      <c r="AJ18" s="48"/>
      <c r="AK18" s="48"/>
      <c r="AL18" s="48"/>
      <c r="AM18" s="48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43">
        <f ca="1">SUM(AX6:AX17)</f>
        <v>311551938.37834394</v>
      </c>
      <c r="AY18" s="43">
        <f ca="1">SUM(AY6:AY17)</f>
        <v>311551938.36749673</v>
      </c>
      <c r="AZ18" s="44"/>
      <c r="BA18" s="43"/>
      <c r="BB18" s="43"/>
      <c r="BC18" s="43"/>
      <c r="BD18" s="43"/>
      <c r="BE18" s="43"/>
      <c r="BF18" s="43"/>
      <c r="BG18" s="43"/>
    </row>
    <row r="19" spans="1:59" x14ac:dyDescent="0.25">
      <c r="A19" s="13"/>
      <c r="B19" s="22"/>
      <c r="C19" s="22"/>
      <c r="D19" s="14"/>
      <c r="E19" s="14"/>
      <c r="F19" s="33"/>
      <c r="G19" s="33"/>
      <c r="H19" s="33"/>
      <c r="I19" s="33"/>
      <c r="J19" s="33"/>
      <c r="K19" s="33"/>
      <c r="L19" s="34"/>
      <c r="M19" s="34"/>
      <c r="N19" s="35"/>
      <c r="O19" s="35"/>
      <c r="P19" s="35"/>
      <c r="Q19" s="34"/>
      <c r="R19" s="35"/>
      <c r="S19" s="34"/>
      <c r="T19" s="34"/>
      <c r="U19" s="36"/>
      <c r="V19" s="36"/>
      <c r="W19" s="36"/>
      <c r="X19" s="36"/>
      <c r="Y19" s="36"/>
      <c r="Z19" s="36"/>
      <c r="AA19" s="36"/>
      <c r="AB19" s="36"/>
      <c r="AC19" s="33"/>
      <c r="AD19" s="36"/>
      <c r="AE19" s="57"/>
      <c r="AF19" s="57"/>
      <c r="AG19" s="48"/>
      <c r="AH19" s="48"/>
      <c r="AI19" s="48"/>
      <c r="AJ19" s="48"/>
      <c r="AK19" s="48"/>
      <c r="AL19" s="48"/>
      <c r="AM19" s="48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43"/>
      <c r="AY19" s="43"/>
      <c r="AZ19" s="44"/>
      <c r="BA19" s="43"/>
      <c r="BB19" s="43"/>
      <c r="BC19" s="43"/>
      <c r="BD19" s="43"/>
      <c r="BE19" s="43"/>
      <c r="BF19" s="43"/>
      <c r="BG19" s="43"/>
    </row>
    <row r="20" spans="1:59" x14ac:dyDescent="0.25">
      <c r="A20" s="13"/>
      <c r="B20" s="22"/>
      <c r="C20" s="22"/>
      <c r="D20" s="14"/>
      <c r="E20" s="14"/>
      <c r="F20" s="33"/>
      <c r="G20" s="33"/>
      <c r="H20" s="33"/>
      <c r="I20" s="33"/>
      <c r="J20" s="33"/>
      <c r="K20" s="33"/>
      <c r="L20" s="34"/>
      <c r="M20" s="34"/>
      <c r="N20" s="35"/>
      <c r="O20" s="35"/>
      <c r="P20" s="35"/>
      <c r="Q20" s="34"/>
      <c r="R20" s="35"/>
      <c r="S20" s="34"/>
      <c r="T20" s="34"/>
      <c r="U20" s="36"/>
      <c r="V20" s="36"/>
      <c r="W20" s="36"/>
      <c r="X20" s="36"/>
      <c r="Y20" s="36"/>
      <c r="Z20" s="36"/>
      <c r="AA20" s="36"/>
      <c r="AB20" s="36"/>
      <c r="AC20" s="557"/>
      <c r="AD20" s="36"/>
      <c r="AE20" s="57"/>
      <c r="AF20" s="57"/>
      <c r="AG20" s="48"/>
      <c r="AH20" s="48"/>
      <c r="AI20" s="48"/>
      <c r="AJ20" s="48"/>
      <c r="AK20" s="48"/>
      <c r="AL20" s="48"/>
      <c r="AM20" s="48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43"/>
      <c r="AY20" s="43"/>
      <c r="AZ20" s="44"/>
      <c r="BA20" s="43"/>
      <c r="BB20" s="43"/>
      <c r="BC20" s="43"/>
      <c r="BD20" s="43"/>
      <c r="BE20" s="43"/>
      <c r="BF20" s="43"/>
      <c r="BG20" s="43"/>
    </row>
    <row r="21" spans="1:59" x14ac:dyDescent="0.25">
      <c r="A21" s="13"/>
      <c r="B21" s="22"/>
      <c r="C21" s="22"/>
      <c r="D21" s="14"/>
      <c r="E21" s="14"/>
      <c r="F21" s="33"/>
      <c r="G21" s="33"/>
      <c r="H21" s="33"/>
      <c r="I21" s="33"/>
      <c r="J21" s="33"/>
      <c r="K21" s="33"/>
      <c r="L21" s="34"/>
      <c r="M21" s="34"/>
      <c r="N21" s="35"/>
      <c r="O21" s="35"/>
      <c r="P21" s="35"/>
      <c r="Q21" s="34"/>
      <c r="R21" s="35"/>
      <c r="S21" s="34"/>
      <c r="T21" s="34"/>
      <c r="U21" s="36"/>
      <c r="V21" s="36"/>
      <c r="W21" s="36"/>
      <c r="X21" s="36"/>
      <c r="Y21" s="36"/>
      <c r="Z21" s="36"/>
      <c r="AA21" s="36"/>
      <c r="AB21" s="36"/>
      <c r="AC21" s="33"/>
      <c r="AD21" s="36"/>
      <c r="AE21" s="57"/>
      <c r="AF21" s="57"/>
      <c r="AG21" s="48"/>
      <c r="AH21" s="48"/>
      <c r="AI21" s="48"/>
      <c r="AJ21" s="48"/>
      <c r="AK21" s="48"/>
      <c r="AL21" s="48"/>
      <c r="AM21" s="48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43"/>
      <c r="AY21" s="43"/>
      <c r="AZ21" s="44"/>
      <c r="BA21" s="43"/>
      <c r="BB21" s="43"/>
      <c r="BC21" s="43"/>
      <c r="BD21" s="43"/>
      <c r="BE21" s="43"/>
      <c r="BF21" s="43"/>
      <c r="BG21" s="43"/>
    </row>
    <row r="22" spans="1:59" x14ac:dyDescent="0.25">
      <c r="A22" s="13"/>
      <c r="B22" s="22"/>
      <c r="C22" s="22"/>
      <c r="D22" s="14"/>
      <c r="E22" s="14"/>
      <c r="F22" s="33"/>
      <c r="G22" s="33"/>
      <c r="H22" s="33"/>
      <c r="I22" s="33"/>
      <c r="J22" s="33"/>
      <c r="K22" s="33"/>
      <c r="L22" s="34"/>
      <c r="M22" s="34"/>
      <c r="N22" s="35"/>
      <c r="O22" s="35"/>
      <c r="P22" s="35"/>
      <c r="Q22" s="34"/>
      <c r="R22" s="35"/>
      <c r="S22" s="34"/>
      <c r="T22" s="34"/>
      <c r="U22" s="36"/>
      <c r="V22" s="36"/>
      <c r="W22" s="36"/>
      <c r="X22" s="36"/>
      <c r="Y22" s="36"/>
      <c r="Z22" s="36"/>
      <c r="AA22" s="36"/>
      <c r="AB22" s="36"/>
      <c r="AC22" s="33"/>
      <c r="AD22" s="36"/>
      <c r="AE22" s="57"/>
      <c r="AF22" s="57"/>
      <c r="AG22" s="48"/>
      <c r="AH22" s="48"/>
      <c r="AI22" s="48"/>
      <c r="AJ22" s="48"/>
      <c r="AK22" s="48"/>
      <c r="AL22" s="48"/>
      <c r="AM22" s="48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43"/>
      <c r="AY22" s="43"/>
      <c r="AZ22" s="44"/>
      <c r="BA22" s="43"/>
      <c r="BB22" s="43"/>
      <c r="BC22" s="43"/>
      <c r="BD22" s="43"/>
      <c r="BE22" s="43"/>
      <c r="BF22" s="43"/>
      <c r="BG22" s="43"/>
    </row>
    <row r="23" spans="1:59" x14ac:dyDescent="0.25">
      <c r="A23" s="13"/>
      <c r="B23" s="22"/>
      <c r="C23" s="22"/>
      <c r="D23" s="14"/>
      <c r="E23" s="14"/>
      <c r="F23" s="33"/>
      <c r="G23" s="33"/>
      <c r="H23" s="33"/>
      <c r="I23" s="33"/>
      <c r="J23" s="33"/>
      <c r="K23" s="33"/>
      <c r="L23" s="34"/>
      <c r="M23" s="34"/>
      <c r="N23" s="35"/>
      <c r="O23" s="35"/>
      <c r="P23" s="35"/>
      <c r="Q23" s="34"/>
      <c r="R23" s="35"/>
      <c r="S23" s="34"/>
      <c r="T23" s="34"/>
      <c r="U23" s="36"/>
      <c r="V23" s="36"/>
      <c r="W23" s="36"/>
      <c r="X23" s="36"/>
      <c r="Y23" s="36"/>
      <c r="Z23" s="36"/>
      <c r="AA23" s="36"/>
      <c r="AB23" s="36"/>
      <c r="AC23" s="33"/>
      <c r="AD23" s="36"/>
      <c r="AE23" s="57"/>
      <c r="AF23" s="57"/>
      <c r="AG23" s="48"/>
      <c r="AH23" s="48"/>
      <c r="AI23" s="48"/>
      <c r="AJ23" s="48"/>
      <c r="AK23" s="48"/>
      <c r="AL23" s="48"/>
      <c r="AM23" s="48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43"/>
      <c r="AY23" s="43"/>
      <c r="AZ23" s="44"/>
      <c r="BA23" s="43"/>
      <c r="BB23" s="43"/>
      <c r="BC23" s="43"/>
      <c r="BD23" s="43"/>
      <c r="BE23" s="43"/>
      <c r="BF23" s="43"/>
      <c r="BG23" s="43"/>
    </row>
    <row r="24" spans="1:59" x14ac:dyDescent="0.25">
      <c r="A24" s="13"/>
      <c r="B24" s="22"/>
      <c r="C24" s="22"/>
      <c r="D24" s="22"/>
      <c r="E24" s="22"/>
      <c r="F24" s="33"/>
      <c r="G24" s="33"/>
      <c r="H24" s="33"/>
      <c r="I24" s="33"/>
      <c r="J24" s="33"/>
      <c r="K24" s="33"/>
      <c r="L24" s="34"/>
      <c r="M24" s="34"/>
      <c r="N24" s="35"/>
      <c r="O24" s="35"/>
      <c r="P24" s="35"/>
      <c r="Q24" s="34"/>
      <c r="R24" s="35"/>
      <c r="S24" s="34"/>
      <c r="T24" s="34"/>
      <c r="U24" s="36"/>
      <c r="V24" s="36"/>
      <c r="W24" s="36"/>
      <c r="X24" s="36"/>
      <c r="Y24" s="36"/>
      <c r="Z24" s="36"/>
      <c r="AA24" s="36"/>
      <c r="AB24" s="36"/>
      <c r="AC24" s="33"/>
      <c r="AD24" s="36"/>
      <c r="AE24" s="57"/>
      <c r="AF24" s="57"/>
      <c r="AG24" s="48"/>
      <c r="AH24" s="48"/>
      <c r="AI24" s="48"/>
      <c r="AJ24" s="48"/>
      <c r="AK24" s="48"/>
      <c r="AL24" s="48"/>
      <c r="AM24" s="48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43"/>
      <c r="AY24" s="43"/>
      <c r="AZ24" s="44"/>
      <c r="BA24" s="43"/>
      <c r="BB24" s="43"/>
      <c r="BC24" s="43"/>
      <c r="BD24" s="43"/>
      <c r="BE24" s="43"/>
      <c r="BF24" s="43"/>
      <c r="BG24" s="43"/>
    </row>
    <row r="25" spans="1:59" x14ac:dyDescent="0.25">
      <c r="A25" s="13"/>
      <c r="B25" s="22"/>
      <c r="C25" s="22"/>
      <c r="D25" s="14"/>
      <c r="E25" s="14"/>
      <c r="F25" s="33"/>
      <c r="G25" s="33"/>
      <c r="H25" s="33"/>
      <c r="I25" s="33"/>
      <c r="J25" s="33"/>
      <c r="K25" s="33"/>
      <c r="L25" s="34"/>
      <c r="M25" s="34"/>
      <c r="N25" s="35"/>
      <c r="O25" s="35"/>
      <c r="P25" s="35"/>
      <c r="Q25" s="34"/>
      <c r="R25" s="35"/>
      <c r="S25" s="34"/>
      <c r="T25" s="34"/>
      <c r="U25" s="36"/>
      <c r="V25" s="36"/>
      <c r="W25" s="36"/>
      <c r="X25" s="36"/>
      <c r="Y25" s="36"/>
      <c r="Z25" s="36"/>
      <c r="AA25" s="36"/>
      <c r="AB25" s="36"/>
      <c r="AC25" s="33"/>
      <c r="AD25" s="36"/>
      <c r="AE25" s="57"/>
      <c r="AF25" s="57"/>
      <c r="AG25" s="48"/>
      <c r="AH25" s="48"/>
      <c r="AI25" s="48"/>
      <c r="AJ25" s="48"/>
      <c r="AK25" s="48"/>
      <c r="AL25" s="48"/>
      <c r="AM25" s="48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43"/>
      <c r="AY25" s="43"/>
      <c r="AZ25" s="44"/>
      <c r="BA25" s="43"/>
      <c r="BB25" s="43"/>
      <c r="BC25" s="43"/>
      <c r="BD25" s="43"/>
      <c r="BE25" s="43"/>
      <c r="BF25" s="43"/>
      <c r="BG25" s="43"/>
    </row>
    <row r="26" spans="1:59" x14ac:dyDescent="0.25">
      <c r="A26" s="13"/>
      <c r="B26" s="22"/>
      <c r="C26" s="22"/>
      <c r="D26" s="14"/>
      <c r="E26" s="14"/>
      <c r="F26" s="33"/>
      <c r="G26" s="33"/>
      <c r="H26" s="33"/>
      <c r="I26" s="33"/>
      <c r="J26" s="33"/>
      <c r="K26" s="33"/>
      <c r="L26" s="34"/>
      <c r="M26" s="34"/>
      <c r="N26" s="35"/>
      <c r="O26" s="35"/>
      <c r="P26" s="35"/>
      <c r="Q26" s="34"/>
      <c r="R26" s="35"/>
      <c r="S26" s="34"/>
      <c r="T26" s="34"/>
      <c r="U26" s="36"/>
      <c r="V26" s="36"/>
      <c r="W26" s="36"/>
      <c r="X26" s="36"/>
      <c r="Y26" s="36"/>
      <c r="Z26" s="36"/>
      <c r="AA26" s="36"/>
      <c r="AB26" s="36"/>
      <c r="AC26" s="33"/>
      <c r="AD26" s="36"/>
      <c r="AE26" s="57"/>
      <c r="AF26" s="57"/>
      <c r="AG26" s="48"/>
      <c r="AH26" s="48"/>
      <c r="AI26" s="48"/>
      <c r="AJ26" s="48"/>
      <c r="AK26" s="48"/>
      <c r="AL26" s="48"/>
      <c r="AM26" s="48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43"/>
      <c r="AY26" s="43"/>
      <c r="AZ26" s="44"/>
      <c r="BA26" s="43"/>
      <c r="BB26" s="43"/>
      <c r="BC26" s="43"/>
      <c r="BD26" s="43"/>
      <c r="BE26" s="43"/>
      <c r="BF26" s="43"/>
      <c r="BG26" s="43"/>
    </row>
    <row r="27" spans="1:59" x14ac:dyDescent="0.25">
      <c r="A27" s="13"/>
      <c r="B27" s="22"/>
      <c r="C27" s="22"/>
      <c r="D27" s="14"/>
      <c r="E27" s="14"/>
      <c r="F27" s="33"/>
      <c r="G27" s="33"/>
      <c r="H27" s="33"/>
      <c r="I27" s="33"/>
      <c r="J27" s="33"/>
      <c r="K27" s="33"/>
      <c r="L27" s="34"/>
      <c r="M27" s="34"/>
      <c r="N27" s="35"/>
      <c r="O27" s="35"/>
      <c r="P27" s="35"/>
      <c r="Q27" s="34"/>
      <c r="R27" s="35"/>
      <c r="S27" s="34"/>
      <c r="T27" s="34"/>
      <c r="U27" s="36"/>
      <c r="V27" s="36"/>
      <c r="W27" s="36"/>
      <c r="X27" s="36"/>
      <c r="Y27" s="36"/>
      <c r="Z27" s="36"/>
      <c r="AA27" s="36"/>
      <c r="AB27" s="36"/>
      <c r="AC27" s="33"/>
      <c r="AD27" s="36"/>
      <c r="AE27" s="57"/>
      <c r="AF27" s="57"/>
      <c r="AG27" s="48"/>
      <c r="AH27" s="48"/>
      <c r="AI27" s="48"/>
      <c r="AJ27" s="48"/>
      <c r="AK27" s="48"/>
      <c r="AL27" s="48"/>
      <c r="AM27" s="48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43"/>
      <c r="AY27" s="43"/>
      <c r="AZ27" s="44"/>
      <c r="BA27" s="43"/>
      <c r="BB27" s="43"/>
      <c r="BC27" s="43"/>
      <c r="BD27" s="43"/>
      <c r="BE27" s="43"/>
      <c r="BF27" s="43"/>
      <c r="BG27" s="43"/>
    </row>
    <row r="28" spans="1:59" x14ac:dyDescent="0.25">
      <c r="A28" s="13"/>
      <c r="B28" s="22"/>
      <c r="C28" s="22"/>
      <c r="D28" s="14"/>
      <c r="E28" s="14"/>
      <c r="F28" s="33"/>
      <c r="G28" s="33"/>
      <c r="H28" s="33"/>
      <c r="I28" s="33"/>
      <c r="J28" s="33"/>
      <c r="K28" s="33"/>
      <c r="L28" s="34"/>
      <c r="M28" s="34"/>
      <c r="N28" s="35"/>
      <c r="O28" s="35"/>
      <c r="P28" s="35"/>
      <c r="Q28" s="34"/>
      <c r="R28" s="35"/>
      <c r="S28" s="34"/>
      <c r="T28" s="34"/>
      <c r="U28" s="36"/>
      <c r="V28" s="36"/>
      <c r="W28" s="36"/>
      <c r="X28" s="36"/>
      <c r="Y28" s="36"/>
      <c r="Z28" s="36"/>
      <c r="AA28" s="36"/>
      <c r="AB28" s="36"/>
      <c r="AC28" s="33"/>
      <c r="AD28" s="36"/>
      <c r="AE28" s="57"/>
      <c r="AF28" s="57"/>
      <c r="AG28" s="48"/>
      <c r="AH28" s="48"/>
      <c r="AI28" s="48"/>
      <c r="AJ28" s="48"/>
      <c r="AK28" s="48"/>
      <c r="AL28" s="48"/>
      <c r="AM28" s="48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43"/>
      <c r="AY28" s="43"/>
      <c r="AZ28" s="44"/>
      <c r="BA28" s="43"/>
      <c r="BB28" s="43"/>
      <c r="BC28" s="43"/>
      <c r="BD28" s="43"/>
      <c r="BE28" s="43"/>
      <c r="BF28" s="43"/>
      <c r="BG28" s="43"/>
    </row>
    <row r="29" spans="1:59" x14ac:dyDescent="0.25">
      <c r="A29" s="13"/>
      <c r="B29" s="22"/>
      <c r="C29" s="22"/>
      <c r="D29" s="14"/>
      <c r="E29" s="14"/>
      <c r="F29" s="33"/>
      <c r="G29" s="33"/>
      <c r="H29" s="33"/>
      <c r="I29" s="33"/>
      <c r="J29" s="33"/>
      <c r="K29" s="33"/>
      <c r="L29" s="34"/>
      <c r="M29" s="34"/>
      <c r="N29" s="35"/>
      <c r="O29" s="35"/>
      <c r="P29" s="35"/>
      <c r="Q29" s="34"/>
      <c r="R29" s="35"/>
      <c r="S29" s="34"/>
      <c r="T29" s="34"/>
      <c r="U29" s="36"/>
      <c r="V29" s="36"/>
      <c r="W29" s="36"/>
      <c r="X29" s="36"/>
      <c r="Y29" s="36"/>
      <c r="Z29" s="36"/>
      <c r="AA29" s="36"/>
      <c r="AB29" s="36"/>
      <c r="AC29" s="33"/>
      <c r="AD29" s="36"/>
      <c r="AE29" s="57"/>
      <c r="AF29" s="57"/>
      <c r="AG29" s="48"/>
      <c r="AH29" s="48"/>
      <c r="AI29" s="48"/>
      <c r="AJ29" s="48"/>
      <c r="AK29" s="48"/>
      <c r="AL29" s="48"/>
      <c r="AM29" s="48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43"/>
      <c r="AY29" s="43"/>
      <c r="AZ29" s="44"/>
      <c r="BA29" s="43"/>
      <c r="BB29" s="43"/>
      <c r="BC29" s="43"/>
      <c r="BD29" s="43"/>
      <c r="BE29" s="43"/>
      <c r="BF29" s="43"/>
      <c r="BG29" s="43"/>
    </row>
    <row r="30" spans="1:59" x14ac:dyDescent="0.25">
      <c r="A30" s="13"/>
      <c r="B30" s="22"/>
      <c r="C30" s="22"/>
      <c r="D30" s="14"/>
      <c r="E30" s="14"/>
      <c r="F30" s="33"/>
      <c r="G30" s="33"/>
      <c r="H30" s="33"/>
      <c r="I30" s="33"/>
      <c r="J30" s="33"/>
      <c r="K30" s="33"/>
      <c r="L30" s="34"/>
      <c r="M30" s="34"/>
      <c r="N30" s="35"/>
      <c r="O30" s="35"/>
      <c r="P30" s="35"/>
      <c r="Q30" s="34"/>
      <c r="R30" s="35"/>
      <c r="S30" s="34"/>
      <c r="T30" s="34"/>
      <c r="U30" s="36"/>
      <c r="V30" s="36"/>
      <c r="W30" s="36"/>
      <c r="X30" s="36"/>
      <c r="Y30" s="36"/>
      <c r="Z30" s="36"/>
      <c r="AA30" s="36"/>
      <c r="AB30" s="36"/>
      <c r="AC30" s="33"/>
      <c r="AD30" s="36"/>
      <c r="AE30" s="57"/>
      <c r="AF30" s="57"/>
      <c r="AG30" s="48"/>
      <c r="AH30" s="48"/>
      <c r="AI30" s="48"/>
      <c r="AJ30" s="48"/>
      <c r="AK30" s="48"/>
      <c r="AL30" s="48"/>
      <c r="AM30" s="48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43"/>
      <c r="AY30" s="43"/>
      <c r="AZ30" s="44"/>
      <c r="BA30" s="43"/>
      <c r="BB30" s="43"/>
      <c r="BC30" s="43"/>
      <c r="BD30" s="43"/>
      <c r="BE30" s="43"/>
      <c r="BF30" s="43"/>
      <c r="BG30" s="43"/>
    </row>
    <row r="31" spans="1:59" x14ac:dyDescent="0.25">
      <c r="A31" s="13"/>
      <c r="B31" s="22"/>
      <c r="C31" s="22"/>
      <c r="D31" s="14"/>
      <c r="E31" s="14"/>
      <c r="F31" s="33"/>
      <c r="G31" s="33"/>
      <c r="H31" s="33"/>
      <c r="I31" s="33"/>
      <c r="J31" s="33"/>
      <c r="K31" s="33"/>
      <c r="L31" s="34"/>
      <c r="M31" s="34"/>
      <c r="N31" s="35"/>
      <c r="O31" s="35"/>
      <c r="P31" s="35"/>
      <c r="Q31" s="34"/>
      <c r="R31" s="35"/>
      <c r="S31" s="34"/>
      <c r="T31" s="34"/>
      <c r="U31" s="36"/>
      <c r="V31" s="36"/>
      <c r="W31" s="36"/>
      <c r="X31" s="36"/>
      <c r="Y31" s="36"/>
      <c r="Z31" s="36"/>
      <c r="AA31" s="36"/>
      <c r="AB31" s="36"/>
      <c r="AC31" s="33"/>
      <c r="AD31" s="36"/>
      <c r="AE31" s="57"/>
      <c r="AF31" s="57"/>
      <c r="AG31" s="48"/>
      <c r="AH31" s="48"/>
      <c r="AI31" s="48"/>
      <c r="AJ31" s="48"/>
      <c r="AK31" s="48"/>
      <c r="AL31" s="48"/>
      <c r="AM31" s="48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43"/>
      <c r="AY31" s="43"/>
      <c r="AZ31" s="44"/>
      <c r="BA31" s="43"/>
      <c r="BB31" s="43"/>
      <c r="BC31" s="43"/>
      <c r="BD31" s="43"/>
      <c r="BE31" s="43"/>
      <c r="BF31" s="43"/>
      <c r="BG31" s="43"/>
    </row>
    <row r="32" spans="1:59" x14ac:dyDescent="0.25">
      <c r="A32" s="13"/>
      <c r="B32" s="22"/>
      <c r="C32" s="22"/>
      <c r="D32" s="14"/>
      <c r="E32" s="14"/>
      <c r="F32" s="33"/>
      <c r="G32" s="33"/>
      <c r="H32" s="33"/>
      <c r="I32" s="33"/>
      <c r="J32" s="33"/>
      <c r="K32" s="33"/>
      <c r="L32" s="34"/>
      <c r="M32" s="34"/>
      <c r="N32" s="35"/>
      <c r="O32" s="35"/>
      <c r="P32" s="35"/>
      <c r="Q32" s="34"/>
      <c r="R32" s="35"/>
      <c r="S32" s="34"/>
      <c r="T32" s="34"/>
      <c r="U32" s="36"/>
      <c r="V32" s="36"/>
      <c r="W32" s="36"/>
      <c r="X32" s="36"/>
      <c r="Y32" s="36"/>
      <c r="Z32" s="36"/>
      <c r="AA32" s="36"/>
      <c r="AB32" s="36"/>
      <c r="AC32" s="33"/>
      <c r="AD32" s="36"/>
      <c r="AE32" s="57"/>
      <c r="AF32" s="57"/>
      <c r="AG32" s="48"/>
      <c r="AH32" s="48"/>
      <c r="AI32" s="48"/>
      <c r="AJ32" s="48"/>
      <c r="AK32" s="48"/>
      <c r="AL32" s="48"/>
      <c r="AM32" s="48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43"/>
      <c r="AY32" s="43"/>
      <c r="AZ32" s="44"/>
      <c r="BA32" s="43"/>
      <c r="BB32" s="43"/>
      <c r="BC32" s="43"/>
      <c r="BD32" s="43"/>
      <c r="BE32" s="43"/>
      <c r="BF32" s="43"/>
      <c r="BG32" s="43"/>
    </row>
    <row r="33" spans="1:59" x14ac:dyDescent="0.25">
      <c r="A33" s="13"/>
      <c r="B33" s="22"/>
      <c r="C33" s="22"/>
      <c r="D33" s="14"/>
      <c r="E33" s="14"/>
      <c r="F33" s="33"/>
      <c r="G33" s="33"/>
      <c r="H33" s="33"/>
      <c r="I33" s="33"/>
      <c r="J33" s="33"/>
      <c r="K33" s="33"/>
      <c r="L33" s="34"/>
      <c r="M33" s="34"/>
      <c r="N33" s="35"/>
      <c r="O33" s="35"/>
      <c r="P33" s="35"/>
      <c r="Q33" s="34"/>
      <c r="R33" s="35"/>
      <c r="S33" s="34"/>
      <c r="T33" s="34"/>
      <c r="U33" s="36"/>
      <c r="V33" s="36"/>
      <c r="W33" s="36"/>
      <c r="X33" s="36"/>
      <c r="Y33" s="36"/>
      <c r="Z33" s="36"/>
      <c r="AA33" s="36"/>
      <c r="AB33" s="36"/>
      <c r="AC33" s="33"/>
      <c r="AD33" s="36"/>
      <c r="AE33" s="57"/>
      <c r="AF33" s="57"/>
      <c r="AG33" s="48"/>
      <c r="AH33" s="48"/>
      <c r="AI33" s="48"/>
      <c r="AJ33" s="48"/>
      <c r="AK33" s="48"/>
      <c r="AL33" s="48"/>
      <c r="AM33" s="48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43"/>
      <c r="AY33" s="43"/>
      <c r="AZ33" s="44"/>
      <c r="BA33" s="43"/>
      <c r="BB33" s="43"/>
      <c r="BC33" s="43"/>
      <c r="BD33" s="43"/>
      <c r="BE33" s="43"/>
      <c r="BF33" s="43"/>
      <c r="BG33" s="43"/>
    </row>
    <row r="34" spans="1:59" x14ac:dyDescent="0.25">
      <c r="A34" s="13"/>
      <c r="B34" s="22"/>
      <c r="C34" s="22"/>
      <c r="D34" s="14"/>
      <c r="E34" s="14"/>
      <c r="F34" s="33"/>
      <c r="G34" s="33"/>
      <c r="H34" s="33"/>
      <c r="I34" s="33"/>
      <c r="J34" s="33"/>
      <c r="K34" s="33"/>
      <c r="L34" s="34"/>
      <c r="M34" s="34"/>
      <c r="N34" s="35"/>
      <c r="O34" s="35"/>
      <c r="P34" s="35"/>
      <c r="Q34" s="34"/>
      <c r="R34" s="35"/>
      <c r="S34" s="34"/>
      <c r="T34" s="34"/>
      <c r="U34" s="36"/>
      <c r="V34" s="36"/>
      <c r="W34" s="36"/>
      <c r="X34" s="36"/>
      <c r="Y34" s="36"/>
      <c r="Z34" s="36"/>
      <c r="AA34" s="36"/>
      <c r="AB34" s="36"/>
      <c r="AC34" s="33"/>
      <c r="AD34" s="36"/>
      <c r="AE34" s="57"/>
      <c r="AF34" s="57"/>
      <c r="AG34" s="48"/>
      <c r="AH34" s="48"/>
      <c r="AI34" s="48"/>
      <c r="AJ34" s="48"/>
      <c r="AK34" s="48"/>
      <c r="AL34" s="48"/>
      <c r="AM34" s="48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43"/>
      <c r="AY34" s="43"/>
      <c r="AZ34" s="44"/>
      <c r="BA34" s="43"/>
      <c r="BB34" s="43"/>
      <c r="BC34" s="43"/>
      <c r="BD34" s="43"/>
      <c r="BE34" s="43"/>
      <c r="BF34" s="43"/>
      <c r="BG34" s="43"/>
    </row>
    <row r="35" spans="1:59" x14ac:dyDescent="0.25">
      <c r="A35" s="13"/>
      <c r="B35" s="22"/>
      <c r="C35" s="22"/>
      <c r="D35" s="14"/>
      <c r="E35" s="14"/>
      <c r="F35" s="33"/>
      <c r="G35" s="33"/>
      <c r="H35" s="33"/>
      <c r="I35" s="33"/>
      <c r="J35" s="33"/>
      <c r="K35" s="33"/>
      <c r="L35" s="34"/>
      <c r="M35" s="34"/>
      <c r="N35" s="35"/>
      <c r="O35" s="35"/>
      <c r="P35" s="35"/>
      <c r="Q35" s="34"/>
      <c r="R35" s="35"/>
      <c r="S35" s="34"/>
      <c r="T35" s="34"/>
      <c r="U35" s="36"/>
      <c r="V35" s="36"/>
      <c r="W35" s="36"/>
      <c r="X35" s="36"/>
      <c r="Y35" s="36"/>
      <c r="Z35" s="36"/>
      <c r="AA35" s="36"/>
      <c r="AB35" s="36"/>
      <c r="AC35" s="33"/>
      <c r="AD35" s="36"/>
      <c r="AE35" s="57"/>
      <c r="AF35" s="57"/>
      <c r="AG35" s="48"/>
      <c r="AH35" s="48"/>
      <c r="AI35" s="48"/>
      <c r="AJ35" s="48"/>
      <c r="AK35" s="48"/>
      <c r="AL35" s="48"/>
      <c r="AM35" s="48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43"/>
      <c r="AY35" s="43"/>
      <c r="AZ35" s="44"/>
      <c r="BA35" s="43"/>
      <c r="BB35" s="43"/>
      <c r="BC35" s="43"/>
      <c r="BD35" s="43"/>
      <c r="BE35" s="43"/>
      <c r="BF35" s="43"/>
      <c r="BG35" s="43"/>
    </row>
    <row r="36" spans="1:59" x14ac:dyDescent="0.25">
      <c r="A36" s="13"/>
      <c r="B36" s="22"/>
      <c r="C36" s="22"/>
      <c r="D36" s="14"/>
      <c r="E36" s="14"/>
      <c r="F36" s="33"/>
      <c r="G36" s="33"/>
      <c r="H36" s="33"/>
      <c r="I36" s="33"/>
      <c r="J36" s="33"/>
      <c r="K36" s="33"/>
      <c r="L36" s="34"/>
      <c r="M36" s="34"/>
      <c r="N36" s="35"/>
      <c r="O36" s="35"/>
      <c r="P36" s="35"/>
      <c r="Q36" s="34"/>
      <c r="R36" s="35"/>
      <c r="S36" s="34"/>
      <c r="T36" s="34"/>
      <c r="U36" s="36"/>
      <c r="V36" s="36"/>
      <c r="W36" s="36"/>
      <c r="X36" s="36"/>
      <c r="Y36" s="36"/>
      <c r="Z36" s="36"/>
      <c r="AA36" s="36"/>
      <c r="AB36" s="36"/>
      <c r="AC36" s="33"/>
      <c r="AD36" s="36"/>
      <c r="AE36" s="57"/>
      <c r="AF36" s="57"/>
      <c r="AG36" s="48"/>
      <c r="AH36" s="48"/>
      <c r="AI36" s="48"/>
      <c r="AJ36" s="48"/>
      <c r="AK36" s="48"/>
      <c r="AL36" s="48"/>
      <c r="AM36" s="48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43"/>
      <c r="AY36" s="43"/>
      <c r="AZ36" s="44"/>
      <c r="BA36" s="43"/>
      <c r="BB36" s="43"/>
      <c r="BC36" s="43"/>
      <c r="BD36" s="43"/>
      <c r="BE36" s="43"/>
      <c r="BF36" s="43"/>
      <c r="BG36" s="43"/>
    </row>
    <row r="37" spans="1:59" x14ac:dyDescent="0.25">
      <c r="A37" s="13"/>
      <c r="B37" s="22"/>
      <c r="C37" s="22"/>
      <c r="D37" s="14"/>
      <c r="E37" s="14"/>
      <c r="F37" s="33"/>
      <c r="G37" s="33"/>
      <c r="H37" s="33"/>
      <c r="I37" s="33"/>
      <c r="J37" s="33"/>
      <c r="K37" s="33"/>
      <c r="L37" s="34"/>
      <c r="M37" s="34"/>
      <c r="N37" s="35"/>
      <c r="O37" s="35"/>
      <c r="P37" s="35"/>
      <c r="Q37" s="34"/>
      <c r="R37" s="35"/>
      <c r="S37" s="34"/>
      <c r="T37" s="34"/>
      <c r="U37" s="36"/>
      <c r="V37" s="36"/>
      <c r="W37" s="36"/>
      <c r="X37" s="36"/>
      <c r="Y37" s="36"/>
      <c r="Z37" s="36"/>
      <c r="AA37" s="36"/>
      <c r="AB37" s="36"/>
      <c r="AC37" s="33"/>
      <c r="AD37" s="36"/>
      <c r="AE37" s="57"/>
      <c r="AF37" s="57"/>
      <c r="AG37" s="48"/>
      <c r="AH37" s="48"/>
      <c r="AI37" s="48"/>
      <c r="AJ37" s="48"/>
      <c r="AK37" s="48"/>
      <c r="AL37" s="48"/>
      <c r="AM37" s="48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43"/>
      <c r="AY37" s="43"/>
      <c r="AZ37" s="44"/>
      <c r="BA37" s="43"/>
      <c r="BB37" s="43"/>
      <c r="BC37" s="43"/>
      <c r="BD37" s="43"/>
      <c r="BE37" s="43"/>
      <c r="BF37" s="43"/>
      <c r="BG37" s="43"/>
    </row>
    <row r="38" spans="1:59" x14ac:dyDescent="0.25">
      <c r="A38" s="13"/>
      <c r="B38" s="22"/>
      <c r="C38" s="22"/>
      <c r="D38" s="14"/>
      <c r="E38" s="14"/>
      <c r="F38" s="33"/>
      <c r="G38" s="33"/>
      <c r="H38" s="33"/>
      <c r="I38" s="33"/>
      <c r="J38" s="33"/>
      <c r="K38" s="33"/>
      <c r="L38" s="34"/>
      <c r="M38" s="34"/>
      <c r="N38" s="35"/>
      <c r="O38" s="35"/>
      <c r="P38" s="35"/>
      <c r="Q38" s="34"/>
      <c r="R38" s="35"/>
      <c r="S38" s="34"/>
      <c r="T38" s="34"/>
      <c r="U38" s="36"/>
      <c r="V38" s="36"/>
      <c r="W38" s="36"/>
      <c r="X38" s="36"/>
      <c r="Y38" s="36"/>
      <c r="Z38" s="36"/>
      <c r="AA38" s="36"/>
      <c r="AB38" s="36"/>
      <c r="AC38" s="33"/>
      <c r="AD38" s="36"/>
      <c r="AE38" s="57"/>
      <c r="AF38" s="57"/>
      <c r="AG38" s="48"/>
      <c r="AH38" s="48"/>
      <c r="AI38" s="48"/>
      <c r="AJ38" s="48"/>
      <c r="AK38" s="48"/>
      <c r="AL38" s="48"/>
      <c r="AM38" s="48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43"/>
      <c r="AY38" s="43"/>
      <c r="AZ38" s="44"/>
      <c r="BA38" s="43"/>
      <c r="BB38" s="43"/>
      <c r="BC38" s="43"/>
      <c r="BD38" s="43"/>
      <c r="BE38" s="43"/>
      <c r="BF38" s="43"/>
      <c r="BG38" s="43"/>
    </row>
    <row r="39" spans="1:59" x14ac:dyDescent="0.25">
      <c r="A39" s="13"/>
      <c r="B39" s="22"/>
      <c r="C39" s="22"/>
      <c r="D39" s="14"/>
      <c r="E39" s="14"/>
      <c r="F39" s="33"/>
      <c r="G39" s="33"/>
      <c r="H39" s="33"/>
      <c r="I39" s="33"/>
      <c r="J39" s="33"/>
      <c r="K39" s="33"/>
      <c r="L39" s="34"/>
      <c r="M39" s="34"/>
      <c r="N39" s="35"/>
      <c r="O39" s="35"/>
      <c r="P39" s="35"/>
      <c r="Q39" s="34"/>
      <c r="R39" s="35"/>
      <c r="S39" s="34"/>
      <c r="T39" s="34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57"/>
      <c r="AF39" s="57"/>
      <c r="AG39" s="48"/>
      <c r="AH39" s="48"/>
      <c r="AI39" s="48"/>
      <c r="AJ39" s="48"/>
      <c r="AK39" s="48"/>
      <c r="AL39" s="48"/>
      <c r="AM39" s="48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43"/>
      <c r="AY39" s="43"/>
      <c r="AZ39" s="44"/>
      <c r="BA39" s="43"/>
      <c r="BB39" s="43"/>
      <c r="BC39" s="43"/>
      <c r="BD39" s="43"/>
      <c r="BE39" s="43"/>
      <c r="BF39" s="43"/>
      <c r="BG39" s="43"/>
    </row>
    <row r="40" spans="1:59" x14ac:dyDescent="0.25">
      <c r="A40" s="13"/>
      <c r="B40" s="22"/>
      <c r="C40" s="22"/>
      <c r="D40" s="14"/>
      <c r="E40" s="14"/>
      <c r="F40" s="33"/>
      <c r="G40" s="33"/>
      <c r="H40" s="33"/>
      <c r="I40" s="33"/>
      <c r="J40" s="33"/>
      <c r="K40" s="33"/>
      <c r="L40" s="34"/>
      <c r="M40" s="34"/>
      <c r="N40" s="35"/>
      <c r="O40" s="35"/>
      <c r="P40" s="35"/>
      <c r="Q40" s="34"/>
      <c r="R40" s="35"/>
      <c r="S40" s="34"/>
      <c r="T40" s="34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57"/>
      <c r="AF40" s="57"/>
      <c r="AG40" s="48"/>
      <c r="AH40" s="48"/>
      <c r="AI40" s="48"/>
      <c r="AJ40" s="48"/>
      <c r="AK40" s="48"/>
      <c r="AL40" s="48"/>
      <c r="AM40" s="48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43"/>
      <c r="AY40" s="43"/>
      <c r="AZ40" s="44"/>
      <c r="BA40" s="43"/>
      <c r="BB40" s="43"/>
      <c r="BC40" s="43"/>
      <c r="BD40" s="43"/>
      <c r="BE40" s="43"/>
      <c r="BF40" s="43"/>
      <c r="BG40" s="43"/>
    </row>
    <row r="41" spans="1:59" x14ac:dyDescent="0.25">
      <c r="A41" s="13"/>
      <c r="B41" s="22"/>
      <c r="C41" s="22"/>
      <c r="D41" s="14"/>
      <c r="E41" s="14"/>
      <c r="F41" s="33"/>
      <c r="G41" s="33"/>
      <c r="H41" s="33"/>
      <c r="I41" s="33"/>
      <c r="J41" s="33"/>
      <c r="K41" s="33"/>
      <c r="L41" s="34"/>
      <c r="M41" s="34"/>
      <c r="N41" s="35"/>
      <c r="O41" s="35"/>
      <c r="P41" s="35"/>
      <c r="Q41" s="34"/>
      <c r="R41" s="35"/>
      <c r="S41" s="34"/>
      <c r="T41" s="34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57"/>
      <c r="AF41" s="57"/>
      <c r="AG41" s="48"/>
      <c r="AH41" s="48"/>
      <c r="AI41" s="48"/>
      <c r="AJ41" s="48"/>
      <c r="AK41" s="48"/>
      <c r="AL41" s="48"/>
      <c r="AM41" s="48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43"/>
      <c r="AY41" s="43"/>
      <c r="AZ41" s="44"/>
      <c r="BA41" s="43"/>
      <c r="BB41" s="43"/>
      <c r="BC41" s="43"/>
      <c r="BD41" s="43"/>
      <c r="BE41" s="43"/>
      <c r="BF41" s="43"/>
      <c r="BG41" s="43"/>
    </row>
    <row r="42" spans="1:59" x14ac:dyDescent="0.25">
      <c r="A42" s="13"/>
      <c r="B42" s="22"/>
      <c r="C42" s="22"/>
      <c r="D42" s="14"/>
      <c r="E42" s="14"/>
      <c r="F42" s="33"/>
      <c r="G42" s="33"/>
      <c r="H42" s="33"/>
      <c r="I42" s="33"/>
      <c r="J42" s="33"/>
      <c r="K42" s="33"/>
      <c r="L42" s="34"/>
      <c r="M42" s="34"/>
      <c r="N42" s="35"/>
      <c r="O42" s="35"/>
      <c r="P42" s="35"/>
      <c r="Q42" s="34"/>
      <c r="R42" s="35"/>
      <c r="S42" s="34"/>
      <c r="T42" s="34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57"/>
      <c r="AF42" s="57"/>
      <c r="AG42" s="48"/>
      <c r="AH42" s="48"/>
      <c r="AI42" s="48"/>
      <c r="AJ42" s="48"/>
      <c r="AK42" s="48"/>
      <c r="AL42" s="48"/>
      <c r="AM42" s="48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43"/>
      <c r="AY42" s="43"/>
      <c r="AZ42" s="44"/>
      <c r="BA42" s="43"/>
      <c r="BB42" s="43"/>
      <c r="BC42" s="43"/>
      <c r="BD42" s="43"/>
      <c r="BE42" s="43"/>
      <c r="BF42" s="43"/>
      <c r="BG42" s="43"/>
    </row>
    <row r="43" spans="1:59" x14ac:dyDescent="0.25">
      <c r="A43" s="13"/>
      <c r="B43" s="22"/>
      <c r="C43" s="22"/>
      <c r="D43" s="14"/>
      <c r="E43" s="14"/>
      <c r="F43" s="33"/>
      <c r="G43" s="33"/>
      <c r="H43" s="33"/>
      <c r="I43" s="33"/>
      <c r="J43" s="33"/>
      <c r="K43" s="33"/>
      <c r="L43" s="34"/>
      <c r="M43" s="34"/>
      <c r="N43" s="35"/>
      <c r="O43" s="35"/>
      <c r="P43" s="35"/>
      <c r="Q43" s="34"/>
      <c r="R43" s="35"/>
      <c r="S43" s="34"/>
      <c r="T43" s="34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57"/>
      <c r="AF43" s="57"/>
      <c r="AG43" s="48"/>
      <c r="AH43" s="48"/>
      <c r="AI43" s="48"/>
      <c r="AJ43" s="48"/>
      <c r="AK43" s="48"/>
      <c r="AL43" s="48"/>
      <c r="AM43" s="48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43"/>
      <c r="AY43" s="43"/>
      <c r="AZ43" s="44"/>
      <c r="BA43" s="43"/>
      <c r="BB43" s="43"/>
      <c r="BC43" s="43"/>
      <c r="BD43" s="43"/>
      <c r="BE43" s="43"/>
      <c r="BF43" s="43"/>
      <c r="BG43" s="43"/>
    </row>
    <row r="44" spans="1:59" x14ac:dyDescent="0.25">
      <c r="A44" s="13"/>
      <c r="B44" s="22"/>
      <c r="C44" s="22"/>
      <c r="D44" s="14"/>
      <c r="E44" s="14"/>
      <c r="F44" s="33"/>
      <c r="G44" s="33"/>
      <c r="H44" s="33"/>
      <c r="I44" s="33"/>
      <c r="J44" s="33"/>
      <c r="K44" s="33"/>
      <c r="L44" s="34"/>
      <c r="M44" s="34"/>
      <c r="N44" s="35"/>
      <c r="O44" s="35"/>
      <c r="P44" s="35"/>
      <c r="Q44" s="34"/>
      <c r="R44" s="35"/>
      <c r="S44" s="34"/>
      <c r="T44" s="34"/>
      <c r="U44" s="36"/>
      <c r="V44" s="36"/>
      <c r="W44" s="36"/>
      <c r="X44" s="36"/>
      <c r="Y44" s="36"/>
      <c r="Z44" s="36"/>
      <c r="AA44" s="36"/>
      <c r="AB44" s="36"/>
      <c r="AC44" s="33"/>
      <c r="AD44" s="36"/>
      <c r="AE44" s="57"/>
      <c r="AF44" s="57"/>
      <c r="AG44" s="48"/>
      <c r="AH44" s="48"/>
      <c r="AI44" s="48"/>
      <c r="AJ44" s="48"/>
      <c r="AK44" s="48"/>
      <c r="AL44" s="48"/>
      <c r="AM44" s="48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43"/>
      <c r="AY44" s="43"/>
      <c r="AZ44" s="44"/>
      <c r="BA44" s="43"/>
      <c r="BB44" s="43"/>
      <c r="BC44" s="43"/>
      <c r="BD44" s="43"/>
      <c r="BE44" s="43"/>
      <c r="BF44" s="43"/>
      <c r="BG44" s="43"/>
    </row>
    <row r="45" spans="1:59" x14ac:dyDescent="0.25">
      <c r="A45" s="13"/>
      <c r="B45" s="22"/>
      <c r="C45" s="22"/>
      <c r="D45" s="14"/>
      <c r="E45" s="14"/>
      <c r="F45" s="33"/>
      <c r="G45" s="33"/>
      <c r="H45" s="33"/>
      <c r="I45" s="33"/>
      <c r="J45" s="33"/>
      <c r="K45" s="33"/>
      <c r="L45" s="34"/>
      <c r="M45" s="34"/>
      <c r="N45" s="35"/>
      <c r="O45" s="35"/>
      <c r="P45" s="35"/>
      <c r="Q45" s="34"/>
      <c r="R45" s="35"/>
      <c r="S45" s="34"/>
      <c r="T45" s="34"/>
      <c r="U45" s="36"/>
      <c r="V45" s="36"/>
      <c r="W45" s="36"/>
      <c r="X45" s="36"/>
      <c r="Y45" s="36"/>
      <c r="Z45" s="36"/>
      <c r="AA45" s="36"/>
      <c r="AB45" s="36"/>
      <c r="AC45" s="33"/>
      <c r="AD45" s="36"/>
      <c r="AE45" s="57"/>
      <c r="AF45" s="57"/>
      <c r="AG45" s="48"/>
      <c r="AH45" s="48"/>
      <c r="AI45" s="48"/>
      <c r="AJ45" s="48"/>
      <c r="AK45" s="48"/>
      <c r="AL45" s="48"/>
      <c r="AM45" s="48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43"/>
      <c r="AY45" s="43"/>
      <c r="AZ45" s="44"/>
      <c r="BA45" s="43"/>
      <c r="BB45" s="43"/>
      <c r="BC45" s="43"/>
      <c r="BD45" s="43"/>
      <c r="BE45" s="43"/>
      <c r="BF45" s="43"/>
      <c r="BG45" s="43"/>
    </row>
    <row r="46" spans="1:59" x14ac:dyDescent="0.25">
      <c r="A46" s="13"/>
      <c r="B46" s="22"/>
      <c r="C46" s="22"/>
      <c r="D46" s="14"/>
      <c r="E46" s="14"/>
      <c r="F46" s="33"/>
      <c r="G46" s="33"/>
      <c r="H46" s="33"/>
      <c r="I46" s="33"/>
      <c r="J46" s="33"/>
      <c r="K46" s="33"/>
      <c r="L46" s="34"/>
      <c r="M46" s="34"/>
      <c r="N46" s="35"/>
      <c r="O46" s="35"/>
      <c r="P46" s="35"/>
      <c r="Q46" s="34"/>
      <c r="R46" s="35"/>
      <c r="S46" s="34"/>
      <c r="T46" s="34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57"/>
      <c r="AF46" s="57"/>
      <c r="AG46" s="48"/>
      <c r="AH46" s="48"/>
      <c r="AI46" s="48"/>
      <c r="AJ46" s="48"/>
      <c r="AK46" s="48"/>
      <c r="AL46" s="48"/>
      <c r="AM46" s="48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43"/>
      <c r="AY46" s="43"/>
      <c r="AZ46" s="44"/>
      <c r="BA46" s="43"/>
      <c r="BB46" s="43"/>
      <c r="BC46" s="43"/>
      <c r="BD46" s="43"/>
      <c r="BE46" s="43"/>
      <c r="BF46" s="43"/>
      <c r="BG46" s="43"/>
    </row>
    <row r="47" spans="1:59" x14ac:dyDescent="0.25">
      <c r="A47" s="13"/>
      <c r="B47" s="22"/>
      <c r="C47" s="22"/>
      <c r="D47" s="14"/>
      <c r="E47" s="14"/>
      <c r="F47" s="33"/>
      <c r="G47" s="33"/>
      <c r="H47" s="33"/>
      <c r="I47" s="33"/>
      <c r="J47" s="33"/>
      <c r="K47" s="33"/>
      <c r="L47" s="34"/>
      <c r="M47" s="34"/>
      <c r="N47" s="35"/>
      <c r="O47" s="35"/>
      <c r="P47" s="35"/>
      <c r="Q47" s="34"/>
      <c r="R47" s="35"/>
      <c r="S47" s="34"/>
      <c r="T47" s="34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57"/>
      <c r="AF47" s="57"/>
      <c r="AG47" s="48"/>
      <c r="AH47" s="48"/>
      <c r="AI47" s="48"/>
      <c r="AJ47" s="48"/>
      <c r="AK47" s="48"/>
      <c r="AL47" s="48"/>
      <c r="AM47" s="48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43"/>
      <c r="AY47" s="43"/>
      <c r="AZ47" s="44"/>
      <c r="BA47" s="43"/>
      <c r="BB47" s="43"/>
      <c r="BC47" s="43"/>
      <c r="BD47" s="43"/>
      <c r="BE47" s="43"/>
      <c r="BF47" s="43"/>
      <c r="BG47" s="43"/>
    </row>
    <row r="48" spans="1:59" x14ac:dyDescent="0.25">
      <c r="A48" s="13"/>
      <c r="B48" s="22"/>
      <c r="C48" s="22"/>
      <c r="D48" s="14"/>
      <c r="E48" s="14"/>
      <c r="F48" s="33"/>
      <c r="G48" s="33"/>
      <c r="H48" s="33"/>
      <c r="I48" s="33"/>
      <c r="J48" s="33"/>
      <c r="K48" s="33"/>
      <c r="L48" s="34"/>
      <c r="M48" s="34"/>
      <c r="N48" s="35"/>
      <c r="O48" s="35"/>
      <c r="P48" s="35"/>
      <c r="Q48" s="34"/>
      <c r="R48" s="35"/>
      <c r="S48" s="34"/>
      <c r="T48" s="34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57"/>
      <c r="AF48" s="57"/>
      <c r="AG48" s="48"/>
      <c r="AH48" s="48"/>
      <c r="AI48" s="48"/>
      <c r="AJ48" s="48"/>
      <c r="AK48" s="48"/>
      <c r="AL48" s="48"/>
      <c r="AM48" s="48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43"/>
      <c r="AY48" s="43"/>
      <c r="AZ48" s="44"/>
      <c r="BA48" s="43"/>
      <c r="BB48" s="43"/>
      <c r="BC48" s="43"/>
      <c r="BD48" s="43"/>
      <c r="BE48" s="43"/>
      <c r="BF48" s="43"/>
      <c r="BG48" s="43"/>
    </row>
    <row r="49" spans="1:59" x14ac:dyDescent="0.25">
      <c r="A49" s="13"/>
      <c r="B49" s="22"/>
      <c r="C49" s="22"/>
      <c r="D49" s="14"/>
      <c r="E49" s="14"/>
      <c r="F49" s="33"/>
      <c r="G49" s="33"/>
      <c r="H49" s="33"/>
      <c r="I49" s="33"/>
      <c r="J49" s="33"/>
      <c r="K49" s="33"/>
      <c r="L49" s="34"/>
      <c r="M49" s="34"/>
      <c r="N49" s="35"/>
      <c r="O49" s="35"/>
      <c r="P49" s="35"/>
      <c r="Q49" s="34"/>
      <c r="R49" s="35"/>
      <c r="S49" s="34"/>
      <c r="T49" s="34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57"/>
      <c r="AF49" s="57"/>
      <c r="AG49" s="48"/>
      <c r="AH49" s="48"/>
      <c r="AI49" s="48"/>
      <c r="AJ49" s="48"/>
      <c r="AK49" s="48"/>
      <c r="AL49" s="48"/>
      <c r="AM49" s="48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43"/>
      <c r="AY49" s="43"/>
      <c r="AZ49" s="44"/>
      <c r="BA49" s="43"/>
      <c r="BB49" s="43"/>
      <c r="BC49" s="43"/>
      <c r="BD49" s="43"/>
      <c r="BE49" s="43"/>
      <c r="BF49" s="43"/>
      <c r="BG49" s="43"/>
    </row>
    <row r="50" spans="1:59" x14ac:dyDescent="0.25">
      <c r="A50" s="13"/>
      <c r="B50" s="22"/>
      <c r="C50" s="22"/>
      <c r="D50" s="14"/>
      <c r="E50" s="14"/>
      <c r="F50" s="33"/>
      <c r="G50" s="33"/>
      <c r="H50" s="33"/>
      <c r="I50" s="33"/>
      <c r="J50" s="33"/>
      <c r="K50" s="33"/>
      <c r="L50" s="34"/>
      <c r="M50" s="34"/>
      <c r="N50" s="35"/>
      <c r="O50" s="35"/>
      <c r="P50" s="35"/>
      <c r="Q50" s="34"/>
      <c r="R50" s="35"/>
      <c r="S50" s="34"/>
      <c r="T50" s="34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57"/>
      <c r="AF50" s="57"/>
      <c r="AG50" s="48"/>
      <c r="AH50" s="48"/>
      <c r="AI50" s="48"/>
      <c r="AJ50" s="48"/>
      <c r="AK50" s="48"/>
      <c r="AL50" s="48"/>
      <c r="AM50" s="48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43"/>
      <c r="AY50" s="43"/>
      <c r="AZ50" s="44"/>
      <c r="BA50" s="43"/>
      <c r="BB50" s="43"/>
      <c r="BC50" s="43"/>
      <c r="BD50" s="43"/>
      <c r="BE50" s="43"/>
      <c r="BF50" s="43"/>
      <c r="BG50" s="43"/>
    </row>
    <row r="51" spans="1:59" x14ac:dyDescent="0.25">
      <c r="A51" s="13"/>
      <c r="B51" s="22"/>
      <c r="C51" s="22"/>
      <c r="D51" s="14"/>
      <c r="E51" s="14"/>
      <c r="F51" s="33"/>
      <c r="G51" s="33"/>
      <c r="H51" s="33"/>
      <c r="I51" s="33"/>
      <c r="J51" s="33"/>
      <c r="K51" s="33"/>
      <c r="L51" s="34"/>
      <c r="M51" s="34"/>
      <c r="N51" s="35"/>
      <c r="O51" s="35"/>
      <c r="P51" s="35"/>
      <c r="Q51" s="34"/>
      <c r="R51" s="35"/>
      <c r="S51" s="34"/>
      <c r="T51" s="34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57"/>
      <c r="AF51" s="57"/>
      <c r="AG51" s="48"/>
      <c r="AH51" s="48"/>
      <c r="AI51" s="48"/>
      <c r="AJ51" s="48"/>
      <c r="AK51" s="48"/>
      <c r="AL51" s="48"/>
      <c r="AM51" s="48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43"/>
      <c r="AY51" s="43"/>
      <c r="AZ51" s="44"/>
      <c r="BA51" s="43"/>
      <c r="BB51" s="43"/>
      <c r="BC51" s="43"/>
      <c r="BD51" s="43"/>
      <c r="BE51" s="43"/>
      <c r="BF51" s="43"/>
      <c r="BG51" s="43"/>
    </row>
    <row r="52" spans="1:59" x14ac:dyDescent="0.25">
      <c r="A52" s="13"/>
      <c r="B52" s="22"/>
      <c r="C52" s="22"/>
      <c r="D52" s="14"/>
      <c r="E52" s="14"/>
      <c r="F52" s="33"/>
      <c r="G52" s="33"/>
      <c r="H52" s="33"/>
      <c r="I52" s="33"/>
      <c r="J52" s="33"/>
      <c r="K52" s="33"/>
      <c r="L52" s="34"/>
      <c r="M52" s="34"/>
      <c r="N52" s="35"/>
      <c r="O52" s="35"/>
      <c r="P52" s="35"/>
      <c r="Q52" s="34"/>
      <c r="R52" s="35"/>
      <c r="S52" s="34"/>
      <c r="T52" s="34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57"/>
      <c r="AF52" s="57"/>
      <c r="AG52" s="48"/>
      <c r="AH52" s="48"/>
      <c r="AI52" s="48"/>
      <c r="AJ52" s="48"/>
      <c r="AK52" s="48"/>
      <c r="AL52" s="48"/>
      <c r="AM52" s="48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43"/>
      <c r="AY52" s="43"/>
      <c r="AZ52" s="44"/>
      <c r="BA52" s="43"/>
      <c r="BB52" s="43"/>
      <c r="BC52" s="43"/>
      <c r="BD52" s="43"/>
      <c r="BE52" s="43"/>
      <c r="BF52" s="43"/>
      <c r="BG52" s="43"/>
    </row>
    <row r="53" spans="1:59" x14ac:dyDescent="0.25">
      <c r="A53" s="13"/>
      <c r="B53" s="22"/>
      <c r="C53" s="22"/>
      <c r="D53" s="14"/>
      <c r="E53" s="14"/>
      <c r="F53" s="33"/>
      <c r="G53" s="33"/>
      <c r="H53" s="33"/>
      <c r="I53" s="33"/>
      <c r="J53" s="33"/>
      <c r="K53" s="33"/>
      <c r="L53" s="34"/>
      <c r="M53" s="34"/>
      <c r="N53" s="35"/>
      <c r="O53" s="35"/>
      <c r="P53" s="35"/>
      <c r="Q53" s="34"/>
      <c r="R53" s="35"/>
      <c r="S53" s="34"/>
      <c r="T53" s="34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57"/>
      <c r="AF53" s="57"/>
      <c r="AG53" s="48"/>
      <c r="AH53" s="48"/>
      <c r="AI53" s="48"/>
      <c r="AJ53" s="48"/>
      <c r="AK53" s="48"/>
      <c r="AL53" s="48"/>
      <c r="AM53" s="48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43"/>
      <c r="AY53" s="43"/>
      <c r="AZ53" s="44"/>
      <c r="BA53" s="43"/>
      <c r="BB53" s="43"/>
      <c r="BC53" s="43"/>
      <c r="BD53" s="43"/>
      <c r="BE53" s="43"/>
      <c r="BF53" s="43"/>
      <c r="BG53" s="43"/>
    </row>
    <row r="54" spans="1:59" x14ac:dyDescent="0.25">
      <c r="A54" s="13"/>
      <c r="B54" s="22"/>
      <c r="C54" s="22"/>
      <c r="D54" s="14"/>
      <c r="E54" s="14"/>
      <c r="F54" s="33"/>
      <c r="G54" s="33"/>
      <c r="H54" s="33"/>
      <c r="I54" s="33"/>
      <c r="J54" s="33"/>
      <c r="K54" s="33"/>
      <c r="L54" s="34"/>
      <c r="M54" s="34"/>
      <c r="N54" s="35"/>
      <c r="O54" s="35"/>
      <c r="P54" s="35"/>
      <c r="Q54" s="34"/>
      <c r="R54" s="35"/>
      <c r="S54" s="34"/>
      <c r="T54" s="34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57"/>
      <c r="AF54" s="57"/>
      <c r="AG54" s="48"/>
      <c r="AH54" s="48"/>
      <c r="AI54" s="48"/>
      <c r="AJ54" s="48"/>
      <c r="AK54" s="48"/>
      <c r="AL54" s="48"/>
      <c r="AM54" s="48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43"/>
      <c r="AY54" s="43"/>
      <c r="AZ54" s="44"/>
      <c r="BA54" s="43"/>
      <c r="BB54" s="43"/>
      <c r="BC54" s="43"/>
      <c r="BD54" s="43"/>
      <c r="BE54" s="43"/>
      <c r="BF54" s="43"/>
      <c r="BG54" s="43"/>
    </row>
    <row r="55" spans="1:59" x14ac:dyDescent="0.25">
      <c r="A55" s="13"/>
      <c r="B55" s="22"/>
      <c r="C55" s="22"/>
      <c r="D55" s="14"/>
      <c r="E55" s="14"/>
      <c r="F55" s="33"/>
      <c r="G55" s="33"/>
      <c r="H55" s="33"/>
      <c r="I55" s="33"/>
      <c r="J55" s="33"/>
      <c r="K55" s="33"/>
      <c r="L55" s="34"/>
      <c r="M55" s="34"/>
      <c r="N55" s="35"/>
      <c r="O55" s="35"/>
      <c r="P55" s="35"/>
      <c r="Q55" s="34"/>
      <c r="R55" s="35"/>
      <c r="S55" s="34"/>
      <c r="T55" s="34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57"/>
      <c r="AF55" s="57"/>
      <c r="AG55" s="48"/>
      <c r="AH55" s="48"/>
      <c r="AI55" s="48"/>
      <c r="AJ55" s="48"/>
      <c r="AK55" s="48"/>
      <c r="AL55" s="48"/>
      <c r="AM55" s="48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43"/>
      <c r="AY55" s="43"/>
      <c r="AZ55" s="44"/>
      <c r="BA55" s="43"/>
      <c r="BB55" s="43"/>
      <c r="BC55" s="43"/>
      <c r="BD55" s="43"/>
      <c r="BE55" s="43"/>
      <c r="BF55" s="43"/>
      <c r="BG55" s="43"/>
    </row>
    <row r="56" spans="1:59" x14ac:dyDescent="0.25">
      <c r="A56" s="13"/>
      <c r="B56" s="22"/>
      <c r="C56" s="22"/>
      <c r="D56" s="14"/>
      <c r="E56" s="14"/>
      <c r="F56" s="33"/>
      <c r="G56" s="33"/>
      <c r="H56" s="33"/>
      <c r="I56" s="33"/>
      <c r="J56" s="33"/>
      <c r="K56" s="33"/>
      <c r="L56" s="34"/>
      <c r="M56" s="34"/>
      <c r="N56" s="35"/>
      <c r="O56" s="35"/>
      <c r="P56" s="35"/>
      <c r="Q56" s="34"/>
      <c r="R56" s="35"/>
      <c r="S56" s="34"/>
      <c r="T56" s="34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57"/>
      <c r="AF56" s="57"/>
      <c r="AG56" s="48"/>
      <c r="AH56" s="48"/>
      <c r="AI56" s="48"/>
      <c r="AJ56" s="48"/>
      <c r="AK56" s="48"/>
      <c r="AL56" s="48"/>
      <c r="AM56" s="48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43"/>
      <c r="AY56" s="43"/>
      <c r="AZ56" s="44"/>
      <c r="BA56" s="43"/>
      <c r="BB56" s="43"/>
      <c r="BC56" s="43"/>
      <c r="BD56" s="43"/>
      <c r="BE56" s="43"/>
      <c r="BF56" s="43"/>
      <c r="BG56" s="43"/>
    </row>
    <row r="57" spans="1:59" x14ac:dyDescent="0.25">
      <c r="A57" s="13"/>
      <c r="B57" s="22"/>
      <c r="C57" s="22"/>
      <c r="D57" s="14"/>
      <c r="E57" s="14"/>
      <c r="F57" s="33"/>
      <c r="G57" s="33"/>
      <c r="H57" s="33"/>
      <c r="I57" s="33"/>
      <c r="J57" s="33"/>
      <c r="K57" s="33"/>
      <c r="L57" s="34"/>
      <c r="M57" s="34"/>
      <c r="N57" s="35"/>
      <c r="O57" s="35"/>
      <c r="P57" s="35"/>
      <c r="Q57" s="34"/>
      <c r="R57" s="35"/>
      <c r="S57" s="34"/>
      <c r="T57" s="34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57"/>
      <c r="AF57" s="57"/>
      <c r="AG57" s="48"/>
      <c r="AH57" s="48"/>
      <c r="AI57" s="48"/>
      <c r="AJ57" s="48"/>
      <c r="AK57" s="48"/>
      <c r="AL57" s="48"/>
      <c r="AM57" s="48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43"/>
      <c r="AY57" s="43"/>
      <c r="AZ57" s="44"/>
      <c r="BA57" s="43"/>
      <c r="BB57" s="43"/>
      <c r="BC57" s="43"/>
      <c r="BD57" s="43"/>
      <c r="BE57" s="43"/>
      <c r="BF57" s="43"/>
      <c r="BG57" s="43"/>
    </row>
    <row r="58" spans="1:59" x14ac:dyDescent="0.25">
      <c r="A58" s="13"/>
      <c r="B58" s="22"/>
      <c r="C58" s="22"/>
      <c r="D58" s="14"/>
      <c r="E58" s="14"/>
      <c r="F58" s="33"/>
      <c r="G58" s="33"/>
      <c r="H58" s="33"/>
      <c r="I58" s="33"/>
      <c r="J58" s="33"/>
      <c r="K58" s="33"/>
      <c r="L58" s="34"/>
      <c r="M58" s="34"/>
      <c r="N58" s="35"/>
      <c r="O58" s="35"/>
      <c r="P58" s="35"/>
      <c r="Q58" s="34"/>
      <c r="R58" s="35"/>
      <c r="S58" s="34"/>
      <c r="T58" s="34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57"/>
      <c r="AF58" s="57"/>
      <c r="AG58" s="48"/>
      <c r="AH58" s="48"/>
      <c r="AI58" s="48"/>
      <c r="AJ58" s="48"/>
      <c r="AK58" s="48"/>
      <c r="AL58" s="48"/>
      <c r="AM58" s="48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43"/>
      <c r="AY58" s="43"/>
      <c r="AZ58" s="44"/>
      <c r="BA58" s="43"/>
      <c r="BB58" s="43"/>
      <c r="BC58" s="43"/>
      <c r="BD58" s="43"/>
      <c r="BE58" s="43"/>
      <c r="BF58" s="43"/>
      <c r="BG58" s="43"/>
    </row>
    <row r="59" spans="1:59" x14ac:dyDescent="0.25">
      <c r="A59" s="13"/>
      <c r="B59" s="22"/>
      <c r="C59" s="22"/>
      <c r="D59" s="14"/>
      <c r="E59" s="14"/>
      <c r="F59" s="33"/>
      <c r="G59" s="33"/>
      <c r="H59" s="33"/>
      <c r="I59" s="33"/>
      <c r="J59" s="33"/>
      <c r="K59" s="33"/>
      <c r="L59" s="34"/>
      <c r="M59" s="34"/>
      <c r="N59" s="35"/>
      <c r="O59" s="35"/>
      <c r="P59" s="35"/>
      <c r="Q59" s="34"/>
      <c r="R59" s="35"/>
      <c r="S59" s="34"/>
      <c r="T59" s="34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57"/>
      <c r="AF59" s="57"/>
      <c r="AG59" s="48"/>
      <c r="AH59" s="48"/>
      <c r="AI59" s="48"/>
      <c r="AJ59" s="48"/>
      <c r="AK59" s="48"/>
      <c r="AL59" s="48"/>
      <c r="AM59" s="48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43"/>
      <c r="AY59" s="43"/>
      <c r="AZ59" s="44"/>
      <c r="BA59" s="43"/>
      <c r="BB59" s="43"/>
      <c r="BC59" s="43"/>
      <c r="BD59" s="43"/>
      <c r="BE59" s="43"/>
      <c r="BF59" s="43"/>
      <c r="BG59" s="43"/>
    </row>
    <row r="60" spans="1:59" x14ac:dyDescent="0.25">
      <c r="A60" s="13"/>
      <c r="B60" s="22"/>
      <c r="C60" s="22"/>
      <c r="D60" s="14"/>
      <c r="E60" s="14"/>
      <c r="F60" s="33"/>
      <c r="G60" s="33"/>
      <c r="H60" s="33"/>
      <c r="I60" s="33"/>
      <c r="J60" s="33"/>
      <c r="K60" s="33"/>
      <c r="L60" s="34"/>
      <c r="M60" s="34"/>
      <c r="N60" s="35"/>
      <c r="O60" s="35"/>
      <c r="P60" s="35"/>
      <c r="Q60" s="34"/>
      <c r="R60" s="35"/>
      <c r="S60" s="34"/>
      <c r="T60" s="34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57"/>
      <c r="AF60" s="57"/>
      <c r="AG60" s="48"/>
      <c r="AH60" s="48"/>
      <c r="AI60" s="48"/>
      <c r="AJ60" s="48"/>
      <c r="AK60" s="48"/>
      <c r="AL60" s="48"/>
      <c r="AM60" s="48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43"/>
      <c r="AY60" s="43"/>
      <c r="AZ60" s="44"/>
      <c r="BA60" s="43"/>
      <c r="BB60" s="43"/>
      <c r="BC60" s="43"/>
      <c r="BD60" s="43"/>
      <c r="BE60" s="43"/>
      <c r="BF60" s="43"/>
      <c r="BG60" s="43"/>
    </row>
    <row r="61" spans="1:59" x14ac:dyDescent="0.25">
      <c r="A61" s="13"/>
      <c r="B61" s="22"/>
      <c r="C61" s="22"/>
      <c r="D61" s="14"/>
      <c r="E61" s="14"/>
      <c r="F61" s="33"/>
      <c r="G61" s="33"/>
      <c r="H61" s="33"/>
      <c r="I61" s="33"/>
      <c r="J61" s="33"/>
      <c r="K61" s="33"/>
      <c r="L61" s="34"/>
      <c r="M61" s="34"/>
      <c r="N61" s="35"/>
      <c r="O61" s="35"/>
      <c r="P61" s="35"/>
      <c r="Q61" s="34"/>
      <c r="R61" s="35"/>
      <c r="S61" s="34"/>
      <c r="T61" s="34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57"/>
      <c r="AF61" s="57"/>
      <c r="AG61" s="48"/>
      <c r="AH61" s="48"/>
      <c r="AI61" s="48"/>
      <c r="AJ61" s="48"/>
      <c r="AK61" s="48"/>
      <c r="AL61" s="48"/>
      <c r="AM61" s="48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43"/>
      <c r="AY61" s="43"/>
      <c r="AZ61" s="44"/>
      <c r="BA61" s="43"/>
      <c r="BB61" s="43"/>
      <c r="BC61" s="43"/>
      <c r="BD61" s="43"/>
      <c r="BE61" s="43"/>
      <c r="BF61" s="43"/>
      <c r="BG61" s="43"/>
    </row>
    <row r="62" spans="1:59" x14ac:dyDescent="0.25">
      <c r="A62" s="13"/>
      <c r="B62" s="22"/>
      <c r="C62" s="22"/>
      <c r="D62" s="14"/>
      <c r="E62" s="14"/>
      <c r="F62" s="33"/>
      <c r="G62" s="33"/>
      <c r="H62" s="33"/>
      <c r="I62" s="33"/>
      <c r="J62" s="33"/>
      <c r="K62" s="33"/>
      <c r="L62" s="34"/>
      <c r="M62" s="34"/>
      <c r="N62" s="35"/>
      <c r="O62" s="35"/>
      <c r="P62" s="35"/>
      <c r="Q62" s="34"/>
      <c r="R62" s="35"/>
      <c r="S62" s="34"/>
      <c r="T62" s="34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57"/>
      <c r="AF62" s="57"/>
      <c r="AG62" s="48"/>
      <c r="AH62" s="48"/>
      <c r="AI62" s="48"/>
      <c r="AJ62" s="48"/>
      <c r="AK62" s="48"/>
      <c r="AL62" s="48"/>
      <c r="AM62" s="48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43"/>
      <c r="AY62" s="43"/>
      <c r="AZ62" s="44"/>
      <c r="BA62" s="43"/>
      <c r="BB62" s="43"/>
      <c r="BC62" s="43"/>
      <c r="BD62" s="43"/>
      <c r="BE62" s="43"/>
      <c r="BF62" s="43"/>
      <c r="BG62" s="43"/>
    </row>
    <row r="63" spans="1:59" x14ac:dyDescent="0.25">
      <c r="A63" s="13"/>
      <c r="B63" s="22"/>
      <c r="C63" s="22"/>
      <c r="D63" s="14"/>
      <c r="E63" s="14"/>
      <c r="F63" s="33"/>
      <c r="G63" s="33"/>
      <c r="H63" s="33"/>
      <c r="I63" s="33"/>
      <c r="J63" s="33"/>
      <c r="K63" s="33"/>
      <c r="L63" s="34"/>
      <c r="M63" s="34"/>
      <c r="N63" s="35"/>
      <c r="O63" s="35"/>
      <c r="P63" s="35"/>
      <c r="Q63" s="34"/>
      <c r="R63" s="35"/>
      <c r="S63" s="34"/>
      <c r="T63" s="34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57"/>
      <c r="AF63" s="57"/>
      <c r="AG63" s="48"/>
      <c r="AH63" s="48"/>
      <c r="AI63" s="48"/>
      <c r="AJ63" s="48"/>
      <c r="AK63" s="48"/>
      <c r="AL63" s="48"/>
      <c r="AM63" s="48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43"/>
      <c r="AY63" s="43"/>
      <c r="AZ63" s="44"/>
      <c r="BA63" s="43"/>
      <c r="BB63" s="43"/>
      <c r="BC63" s="43"/>
      <c r="BD63" s="43"/>
      <c r="BE63" s="43"/>
      <c r="BF63" s="43"/>
      <c r="BG63" s="43"/>
    </row>
    <row r="64" spans="1:59" x14ac:dyDescent="0.25">
      <c r="A64" s="13"/>
      <c r="B64" s="22"/>
      <c r="C64" s="22"/>
      <c r="D64" s="14"/>
      <c r="E64" s="14"/>
      <c r="F64" s="33"/>
      <c r="G64" s="33"/>
      <c r="H64" s="33"/>
      <c r="I64" s="33"/>
      <c r="J64" s="33"/>
      <c r="K64" s="33"/>
      <c r="L64" s="34"/>
      <c r="M64" s="34"/>
      <c r="N64" s="35"/>
      <c r="O64" s="35"/>
      <c r="P64" s="35"/>
      <c r="Q64" s="34"/>
      <c r="R64" s="35"/>
      <c r="S64" s="34"/>
      <c r="T64" s="34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57"/>
      <c r="AF64" s="57"/>
      <c r="AG64" s="48"/>
      <c r="AH64" s="48"/>
      <c r="AI64" s="48"/>
      <c r="AJ64" s="48"/>
      <c r="AK64" s="48"/>
      <c r="AL64" s="48"/>
      <c r="AM64" s="48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43"/>
      <c r="AY64" s="43"/>
      <c r="AZ64" s="44"/>
      <c r="BA64" s="43"/>
      <c r="BB64" s="43"/>
      <c r="BC64" s="43"/>
      <c r="BD64" s="43"/>
      <c r="BE64" s="43"/>
      <c r="BF64" s="43"/>
      <c r="BG64" s="43"/>
    </row>
    <row r="65" spans="1:59" x14ac:dyDescent="0.25">
      <c r="A65" s="13"/>
      <c r="B65" s="22"/>
      <c r="C65" s="22"/>
      <c r="D65" s="14"/>
      <c r="E65" s="14"/>
      <c r="F65" s="33"/>
      <c r="G65" s="33"/>
      <c r="H65" s="33"/>
      <c r="I65" s="33"/>
      <c r="J65" s="33"/>
      <c r="K65" s="33"/>
      <c r="L65" s="34"/>
      <c r="M65" s="34"/>
      <c r="N65" s="35"/>
      <c r="O65" s="35"/>
      <c r="P65" s="35"/>
      <c r="Q65" s="34"/>
      <c r="R65" s="35"/>
      <c r="S65" s="34"/>
      <c r="T65" s="34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57"/>
      <c r="AF65" s="57"/>
      <c r="AG65" s="48"/>
      <c r="AH65" s="48"/>
      <c r="AI65" s="48"/>
      <c r="AJ65" s="48"/>
      <c r="AK65" s="48"/>
      <c r="AL65" s="48"/>
      <c r="AM65" s="48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43"/>
      <c r="AY65" s="43"/>
      <c r="AZ65" s="44"/>
      <c r="BA65" s="43"/>
      <c r="BB65" s="43"/>
      <c r="BC65" s="43"/>
      <c r="BD65" s="43"/>
      <c r="BE65" s="43"/>
      <c r="BF65" s="43"/>
      <c r="BG65" s="43"/>
    </row>
    <row r="66" spans="1:59" x14ac:dyDescent="0.25">
      <c r="A66" s="13"/>
      <c r="B66" s="22"/>
      <c r="C66" s="22"/>
      <c r="D66" s="14"/>
      <c r="E66" s="14"/>
      <c r="F66" s="33"/>
      <c r="G66" s="33"/>
      <c r="H66" s="33"/>
      <c r="I66" s="33"/>
      <c r="J66" s="33"/>
      <c r="K66" s="33"/>
      <c r="L66" s="34"/>
      <c r="M66" s="34"/>
      <c r="N66" s="35"/>
      <c r="O66" s="35"/>
      <c r="P66" s="35"/>
      <c r="Q66" s="34"/>
      <c r="R66" s="35"/>
      <c r="S66" s="34"/>
      <c r="T66" s="34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57"/>
      <c r="AF66" s="57"/>
      <c r="AG66" s="48"/>
      <c r="AH66" s="48"/>
      <c r="AI66" s="48"/>
      <c r="AJ66" s="48"/>
      <c r="AK66" s="48"/>
      <c r="AL66" s="48"/>
      <c r="AM66" s="48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43"/>
      <c r="AY66" s="43"/>
      <c r="AZ66" s="44"/>
      <c r="BA66" s="43"/>
      <c r="BB66" s="43"/>
      <c r="BC66" s="43"/>
      <c r="BD66" s="43"/>
      <c r="BE66" s="43"/>
      <c r="BF66" s="43"/>
      <c r="BG66" s="43"/>
    </row>
    <row r="67" spans="1:59" x14ac:dyDescent="0.25">
      <c r="A67" s="13"/>
      <c r="B67" s="22"/>
      <c r="C67" s="22"/>
      <c r="D67" s="14"/>
      <c r="E67" s="14"/>
      <c r="F67" s="33"/>
      <c r="G67" s="33"/>
      <c r="H67" s="33"/>
      <c r="I67" s="33"/>
      <c r="J67" s="33"/>
      <c r="K67" s="33"/>
      <c r="L67" s="34"/>
      <c r="M67" s="34"/>
      <c r="N67" s="35"/>
      <c r="O67" s="35"/>
      <c r="P67" s="35"/>
      <c r="Q67" s="34"/>
      <c r="R67" s="35"/>
      <c r="S67" s="34"/>
      <c r="T67" s="34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57"/>
      <c r="AF67" s="57"/>
      <c r="AG67" s="48"/>
      <c r="AH67" s="48"/>
      <c r="AI67" s="48"/>
      <c r="AJ67" s="48"/>
      <c r="AK67" s="48"/>
      <c r="AL67" s="48"/>
      <c r="AM67" s="48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43"/>
      <c r="AY67" s="43"/>
      <c r="AZ67" s="44"/>
      <c r="BA67" s="43"/>
      <c r="BB67" s="43"/>
      <c r="BC67" s="43"/>
      <c r="BD67" s="43"/>
      <c r="BE67" s="43"/>
      <c r="BF67" s="43"/>
      <c r="BG67" s="43"/>
    </row>
    <row r="68" spans="1:59" x14ac:dyDescent="0.25">
      <c r="A68" s="13"/>
      <c r="B68" s="22"/>
      <c r="C68" s="22"/>
      <c r="D68" s="14"/>
      <c r="E68" s="14"/>
      <c r="F68" s="33"/>
      <c r="G68" s="33"/>
      <c r="H68" s="33"/>
      <c r="I68" s="33"/>
      <c r="J68" s="33"/>
      <c r="K68" s="33"/>
      <c r="L68" s="34"/>
      <c r="M68" s="34"/>
      <c r="N68" s="35"/>
      <c r="O68" s="35"/>
      <c r="P68" s="35"/>
      <c r="Q68" s="34"/>
      <c r="R68" s="35"/>
      <c r="S68" s="34"/>
      <c r="T68" s="34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57"/>
      <c r="AF68" s="57"/>
      <c r="AG68" s="48"/>
      <c r="AH68" s="48"/>
      <c r="AI68" s="48"/>
      <c r="AJ68" s="48"/>
      <c r="AK68" s="48"/>
      <c r="AL68" s="48"/>
      <c r="AM68" s="48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43"/>
      <c r="AY68" s="43"/>
      <c r="AZ68" s="44"/>
      <c r="BA68" s="43"/>
      <c r="BB68" s="43"/>
      <c r="BC68" s="43"/>
      <c r="BD68" s="43"/>
      <c r="BE68" s="43"/>
      <c r="BF68" s="43"/>
      <c r="BG68" s="43"/>
    </row>
    <row r="69" spans="1:59" x14ac:dyDescent="0.25">
      <c r="A69" s="13"/>
      <c r="B69" s="22"/>
      <c r="C69" s="22"/>
      <c r="D69" s="14"/>
      <c r="E69" s="14"/>
      <c r="F69" s="33"/>
      <c r="G69" s="33"/>
      <c r="H69" s="33"/>
      <c r="I69" s="33"/>
      <c r="J69" s="33"/>
      <c r="K69" s="33"/>
      <c r="L69" s="34"/>
      <c r="M69" s="34"/>
      <c r="N69" s="35"/>
      <c r="O69" s="35"/>
      <c r="P69" s="35"/>
      <c r="Q69" s="34"/>
      <c r="R69" s="35"/>
      <c r="S69" s="34"/>
      <c r="T69" s="34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57"/>
      <c r="AF69" s="57"/>
      <c r="AG69" s="48"/>
      <c r="AH69" s="48"/>
      <c r="AI69" s="48"/>
      <c r="AJ69" s="48"/>
      <c r="AK69" s="48"/>
      <c r="AL69" s="48"/>
      <c r="AM69" s="48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43"/>
      <c r="AY69" s="43"/>
      <c r="AZ69" s="44"/>
      <c r="BA69" s="43"/>
      <c r="BB69" s="43"/>
      <c r="BC69" s="43"/>
      <c r="BD69" s="43"/>
      <c r="BE69" s="43"/>
      <c r="BF69" s="43"/>
      <c r="BG69" s="43"/>
    </row>
    <row r="70" spans="1:59" x14ac:dyDescent="0.25">
      <c r="A70" s="13"/>
      <c r="B70" s="22"/>
      <c r="C70" s="22"/>
      <c r="D70" s="14"/>
      <c r="E70" s="14"/>
      <c r="F70" s="33"/>
      <c r="G70" s="33"/>
      <c r="H70" s="33"/>
      <c r="I70" s="33"/>
      <c r="J70" s="33"/>
      <c r="K70" s="33"/>
      <c r="L70" s="34"/>
      <c r="M70" s="34"/>
      <c r="N70" s="35"/>
      <c r="O70" s="35"/>
      <c r="P70" s="35"/>
      <c r="Q70" s="34"/>
      <c r="R70" s="35"/>
      <c r="S70" s="34"/>
      <c r="T70" s="34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57"/>
      <c r="AF70" s="57"/>
      <c r="AG70" s="48"/>
      <c r="AH70" s="48"/>
      <c r="AI70" s="48"/>
      <c r="AJ70" s="48"/>
      <c r="AK70" s="48"/>
      <c r="AL70" s="48"/>
      <c r="AM70" s="48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43"/>
      <c r="AY70" s="43"/>
      <c r="AZ70" s="44"/>
      <c r="BA70" s="43"/>
      <c r="BB70" s="43"/>
      <c r="BC70" s="43"/>
      <c r="BD70" s="43"/>
      <c r="BE70" s="43"/>
      <c r="BF70" s="43"/>
      <c r="BG70" s="43"/>
    </row>
    <row r="71" spans="1:59" x14ac:dyDescent="0.25">
      <c r="A71" s="13"/>
      <c r="B71" s="22"/>
      <c r="C71" s="22"/>
      <c r="D71" s="14"/>
      <c r="E71" s="14"/>
      <c r="F71" s="33"/>
      <c r="G71" s="33"/>
      <c r="H71" s="33"/>
      <c r="I71" s="33"/>
      <c r="J71" s="33"/>
      <c r="K71" s="33"/>
      <c r="L71" s="34"/>
      <c r="M71" s="34"/>
      <c r="N71" s="35"/>
      <c r="O71" s="35"/>
      <c r="P71" s="35"/>
      <c r="Q71" s="34"/>
      <c r="R71" s="35"/>
      <c r="S71" s="34"/>
      <c r="T71" s="34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57"/>
      <c r="AF71" s="57"/>
      <c r="AG71" s="48"/>
      <c r="AH71" s="48"/>
      <c r="AI71" s="48"/>
      <c r="AJ71" s="48"/>
      <c r="AK71" s="48"/>
      <c r="AL71" s="48"/>
      <c r="AM71" s="48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43"/>
      <c r="AY71" s="43"/>
      <c r="AZ71" s="44"/>
      <c r="BA71" s="43"/>
      <c r="BB71" s="43"/>
      <c r="BC71" s="43"/>
      <c r="BD71" s="43"/>
      <c r="BE71" s="43"/>
      <c r="BF71" s="43"/>
      <c r="BG71" s="43"/>
    </row>
    <row r="72" spans="1:59" x14ac:dyDescent="0.25">
      <c r="A72" s="13"/>
      <c r="B72" s="22"/>
      <c r="C72" s="22"/>
      <c r="D72" s="14"/>
      <c r="E72" s="14"/>
      <c r="F72" s="33"/>
      <c r="G72" s="33"/>
      <c r="H72" s="33"/>
      <c r="I72" s="33"/>
      <c r="J72" s="33"/>
      <c r="K72" s="33"/>
      <c r="L72" s="34"/>
      <c r="M72" s="34"/>
      <c r="N72" s="35"/>
      <c r="O72" s="35"/>
      <c r="P72" s="35"/>
      <c r="Q72" s="34"/>
      <c r="R72" s="35"/>
      <c r="S72" s="34"/>
      <c r="T72" s="34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57"/>
      <c r="AF72" s="57"/>
      <c r="AG72" s="48"/>
      <c r="AH72" s="48"/>
      <c r="AI72" s="48"/>
      <c r="AJ72" s="48"/>
      <c r="AK72" s="48"/>
      <c r="AL72" s="48"/>
      <c r="AM72" s="48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43"/>
      <c r="AY72" s="43"/>
      <c r="AZ72" s="44"/>
      <c r="BA72" s="43"/>
      <c r="BB72" s="43"/>
      <c r="BC72" s="43"/>
      <c r="BD72" s="43"/>
      <c r="BE72" s="43"/>
      <c r="BF72" s="43"/>
      <c r="BG72" s="43"/>
    </row>
    <row r="73" spans="1:59" x14ac:dyDescent="0.25">
      <c r="A73" s="13"/>
      <c r="B73" s="22"/>
      <c r="C73" s="22"/>
      <c r="D73" s="14"/>
      <c r="E73" s="14"/>
      <c r="F73" s="33"/>
      <c r="G73" s="33"/>
      <c r="H73" s="33"/>
      <c r="I73" s="33"/>
      <c r="J73" s="33"/>
      <c r="K73" s="33"/>
      <c r="L73" s="34"/>
      <c r="M73" s="34"/>
      <c r="N73" s="35"/>
      <c r="O73" s="35"/>
      <c r="P73" s="35"/>
      <c r="Q73" s="34"/>
      <c r="R73" s="35"/>
      <c r="S73" s="34"/>
      <c r="T73" s="34"/>
      <c r="U73" s="36"/>
      <c r="V73" s="36"/>
      <c r="W73" s="36"/>
      <c r="X73" s="36"/>
      <c r="Y73" s="36"/>
      <c r="Z73" s="36"/>
      <c r="AA73" s="36"/>
      <c r="AB73" s="36"/>
      <c r="AC73" s="33"/>
      <c r="AD73" s="36"/>
      <c r="AE73" s="57"/>
      <c r="AF73" s="57"/>
      <c r="AG73" s="48"/>
      <c r="AH73" s="48"/>
      <c r="AI73" s="48"/>
      <c r="AJ73" s="48"/>
      <c r="AK73" s="48"/>
      <c r="AL73" s="48"/>
      <c r="AM73" s="48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43"/>
      <c r="AY73" s="43"/>
      <c r="AZ73" s="44"/>
      <c r="BA73" s="43"/>
      <c r="BB73" s="43"/>
      <c r="BC73" s="43"/>
      <c r="BD73" s="43"/>
      <c r="BE73" s="43"/>
      <c r="BF73" s="43"/>
      <c r="BG73" s="43"/>
    </row>
    <row r="74" spans="1:59" x14ac:dyDescent="0.25">
      <c r="A74" s="13"/>
      <c r="B74" s="22"/>
      <c r="C74" s="22"/>
      <c r="D74" s="14"/>
      <c r="E74" s="14"/>
      <c r="F74" s="33"/>
      <c r="G74" s="33"/>
      <c r="H74" s="33"/>
      <c r="I74" s="33"/>
      <c r="J74" s="33"/>
      <c r="K74" s="33"/>
      <c r="L74" s="34"/>
      <c r="M74" s="34"/>
      <c r="N74" s="35"/>
      <c r="O74" s="35"/>
      <c r="P74" s="35"/>
      <c r="Q74" s="34"/>
      <c r="R74" s="35"/>
      <c r="S74" s="34"/>
      <c r="T74" s="34"/>
      <c r="U74" s="36"/>
      <c r="V74" s="36"/>
      <c r="W74" s="36"/>
      <c r="X74" s="36"/>
      <c r="Y74" s="36"/>
      <c r="Z74" s="36"/>
      <c r="AA74" s="36"/>
      <c r="AB74" s="36"/>
      <c r="AC74" s="33"/>
      <c r="AD74" s="36"/>
      <c r="AE74" s="57"/>
      <c r="AF74" s="57"/>
      <c r="AG74" s="48"/>
      <c r="AH74" s="48"/>
      <c r="AI74" s="48"/>
      <c r="AJ74" s="48"/>
      <c r="AK74" s="48"/>
      <c r="AL74" s="48"/>
      <c r="AM74" s="48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43"/>
      <c r="AY74" s="43"/>
      <c r="AZ74" s="44"/>
      <c r="BA74" s="43"/>
      <c r="BB74" s="43"/>
      <c r="BC74" s="43"/>
      <c r="BD74" s="43"/>
      <c r="BE74" s="43"/>
      <c r="BF74" s="43"/>
      <c r="BG74" s="43"/>
    </row>
    <row r="75" spans="1:59" x14ac:dyDescent="0.25">
      <c r="A75" s="13"/>
      <c r="B75" s="22"/>
      <c r="C75" s="22"/>
      <c r="D75" s="14"/>
      <c r="E75" s="14"/>
      <c r="F75" s="33"/>
      <c r="G75" s="33"/>
      <c r="H75" s="33"/>
      <c r="I75" s="33"/>
      <c r="J75" s="33"/>
      <c r="K75" s="33"/>
      <c r="L75" s="34"/>
      <c r="M75" s="34"/>
      <c r="N75" s="35"/>
      <c r="O75" s="35"/>
      <c r="P75" s="35"/>
      <c r="Q75" s="34"/>
      <c r="R75" s="35"/>
      <c r="S75" s="34"/>
      <c r="T75" s="34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57"/>
      <c r="AF75" s="57"/>
      <c r="AG75" s="48"/>
      <c r="AH75" s="48"/>
      <c r="AI75" s="48"/>
      <c r="AJ75" s="48"/>
      <c r="AK75" s="48"/>
      <c r="AL75" s="48"/>
      <c r="AM75" s="48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43"/>
      <c r="AY75" s="43"/>
      <c r="AZ75" s="44"/>
      <c r="BA75" s="43"/>
      <c r="BB75" s="43"/>
      <c r="BC75" s="43"/>
      <c r="BD75" s="43"/>
      <c r="BE75" s="43"/>
      <c r="BF75" s="43"/>
      <c r="BG75" s="43"/>
    </row>
    <row r="76" spans="1:59" x14ac:dyDescent="0.25">
      <c r="A76" s="13"/>
      <c r="B76" s="22"/>
      <c r="C76" s="22"/>
      <c r="D76" s="14"/>
      <c r="E76" s="14"/>
      <c r="F76" s="33"/>
      <c r="G76" s="33"/>
      <c r="H76" s="33"/>
      <c r="I76" s="33"/>
      <c r="J76" s="33"/>
      <c r="K76" s="33"/>
      <c r="L76" s="34"/>
      <c r="M76" s="34"/>
      <c r="N76" s="35"/>
      <c r="O76" s="35"/>
      <c r="P76" s="35"/>
      <c r="Q76" s="34"/>
      <c r="R76" s="35"/>
      <c r="S76" s="34"/>
      <c r="T76" s="34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57"/>
      <c r="AF76" s="57"/>
      <c r="AG76" s="48"/>
      <c r="AH76" s="48"/>
      <c r="AI76" s="48"/>
      <c r="AJ76" s="48"/>
      <c r="AK76" s="48"/>
      <c r="AL76" s="48"/>
      <c r="AM76" s="48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43"/>
      <c r="AY76" s="43"/>
      <c r="AZ76" s="44"/>
      <c r="BA76" s="43"/>
      <c r="BB76" s="43"/>
      <c r="BC76" s="43"/>
      <c r="BD76" s="43"/>
      <c r="BE76" s="43"/>
      <c r="BF76" s="43"/>
      <c r="BG76" s="43"/>
    </row>
    <row r="77" spans="1:59" x14ac:dyDescent="0.25">
      <c r="A77" s="13"/>
      <c r="B77" s="22"/>
      <c r="C77" s="22"/>
      <c r="D77" s="14"/>
      <c r="E77" s="14"/>
      <c r="F77" s="33"/>
      <c r="G77" s="33"/>
      <c r="H77" s="33"/>
      <c r="I77" s="33"/>
      <c r="J77" s="33"/>
      <c r="K77" s="33"/>
      <c r="L77" s="34"/>
      <c r="M77" s="34"/>
      <c r="N77" s="35"/>
      <c r="O77" s="35"/>
      <c r="P77" s="35"/>
      <c r="Q77" s="34"/>
      <c r="R77" s="35"/>
      <c r="S77" s="34"/>
      <c r="T77" s="34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57"/>
      <c r="AF77" s="57"/>
      <c r="AG77" s="48"/>
      <c r="AH77" s="48"/>
      <c r="AI77" s="48"/>
      <c r="AJ77" s="48"/>
      <c r="AK77" s="48"/>
      <c r="AL77" s="48"/>
      <c r="AM77" s="48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43"/>
      <c r="AY77" s="43"/>
      <c r="AZ77" s="44"/>
      <c r="BA77" s="43"/>
      <c r="BB77" s="43"/>
      <c r="BC77" s="43"/>
      <c r="BD77" s="43"/>
      <c r="BE77" s="43"/>
      <c r="BF77" s="43"/>
      <c r="BG77" s="43"/>
    </row>
    <row r="78" spans="1:59" x14ac:dyDescent="0.25">
      <c r="A78" s="13"/>
      <c r="B78" s="22"/>
      <c r="C78" s="22"/>
      <c r="D78" s="14"/>
      <c r="E78" s="14"/>
      <c r="F78" s="33"/>
      <c r="G78" s="33"/>
      <c r="H78" s="33"/>
      <c r="I78" s="33"/>
      <c r="J78" s="33"/>
      <c r="K78" s="33"/>
      <c r="L78" s="34"/>
      <c r="M78" s="34"/>
      <c r="N78" s="35"/>
      <c r="O78" s="35"/>
      <c r="P78" s="35"/>
      <c r="Q78" s="34"/>
      <c r="R78" s="35"/>
      <c r="S78" s="34"/>
      <c r="T78" s="34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57"/>
      <c r="AF78" s="57"/>
      <c r="AG78" s="48"/>
      <c r="AH78" s="48"/>
      <c r="AI78" s="48"/>
      <c r="AJ78" s="48"/>
      <c r="AK78" s="48"/>
      <c r="AL78" s="48"/>
      <c r="AM78" s="48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43"/>
      <c r="AY78" s="43"/>
      <c r="AZ78" s="44"/>
      <c r="BA78" s="43"/>
      <c r="BB78" s="43"/>
      <c r="BC78" s="43"/>
      <c r="BD78" s="43"/>
      <c r="BE78" s="43"/>
      <c r="BF78" s="43"/>
      <c r="BG78" s="43"/>
    </row>
    <row r="79" spans="1:59" x14ac:dyDescent="0.25">
      <c r="A79" s="13"/>
      <c r="B79" s="22"/>
      <c r="C79" s="22"/>
      <c r="D79" s="14"/>
      <c r="E79" s="14"/>
      <c r="F79" s="33"/>
      <c r="G79" s="33"/>
      <c r="H79" s="33"/>
      <c r="I79" s="33"/>
      <c r="J79" s="33"/>
      <c r="K79" s="33"/>
      <c r="L79" s="34"/>
      <c r="M79" s="34"/>
      <c r="N79" s="35"/>
      <c r="O79" s="35"/>
      <c r="P79" s="35"/>
      <c r="Q79" s="34"/>
      <c r="R79" s="35"/>
      <c r="S79" s="34"/>
      <c r="T79" s="34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57"/>
      <c r="AF79" s="57"/>
      <c r="AG79" s="48"/>
      <c r="AH79" s="48"/>
      <c r="AI79" s="48"/>
      <c r="AJ79" s="48"/>
      <c r="AK79" s="48"/>
      <c r="AL79" s="48"/>
      <c r="AM79" s="48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43"/>
      <c r="AY79" s="43"/>
      <c r="AZ79" s="44"/>
      <c r="BA79" s="43"/>
      <c r="BB79" s="43"/>
      <c r="BC79" s="43"/>
      <c r="BD79" s="43"/>
      <c r="BE79" s="43"/>
      <c r="BF79" s="43"/>
      <c r="BG79" s="43"/>
    </row>
    <row r="80" spans="1:59" x14ac:dyDescent="0.25">
      <c r="A80" s="13"/>
      <c r="B80" s="22"/>
      <c r="C80" s="22"/>
      <c r="D80" s="14"/>
      <c r="E80" s="14"/>
      <c r="F80" s="33"/>
      <c r="G80" s="33"/>
      <c r="H80" s="33"/>
      <c r="I80" s="33"/>
      <c r="J80" s="33"/>
      <c r="K80" s="33"/>
      <c r="L80" s="34"/>
      <c r="M80" s="34"/>
      <c r="N80" s="35"/>
      <c r="O80" s="35"/>
      <c r="P80" s="35"/>
      <c r="Q80" s="34"/>
      <c r="R80" s="35"/>
      <c r="S80" s="34"/>
      <c r="T80" s="34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57"/>
      <c r="AF80" s="57"/>
      <c r="AG80" s="48"/>
      <c r="AH80" s="48"/>
      <c r="AI80" s="48"/>
      <c r="AJ80" s="48"/>
      <c r="AK80" s="48"/>
      <c r="AL80" s="48"/>
      <c r="AM80" s="48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43"/>
      <c r="AY80" s="43"/>
      <c r="AZ80" s="44"/>
      <c r="BA80" s="43"/>
      <c r="BB80" s="43"/>
      <c r="BC80" s="43"/>
      <c r="BD80" s="43"/>
      <c r="BE80" s="43"/>
      <c r="BF80" s="43"/>
      <c r="BG80" s="43"/>
    </row>
    <row r="81" spans="1:59" x14ac:dyDescent="0.25">
      <c r="A81" s="13"/>
      <c r="B81" s="22"/>
      <c r="C81" s="22"/>
      <c r="D81" s="14"/>
      <c r="E81" s="14"/>
      <c r="F81" s="33"/>
      <c r="G81" s="33"/>
      <c r="H81" s="33"/>
      <c r="I81" s="33"/>
      <c r="J81" s="33"/>
      <c r="K81" s="33"/>
      <c r="L81" s="34"/>
      <c r="M81" s="34"/>
      <c r="N81" s="35"/>
      <c r="O81" s="35"/>
      <c r="P81" s="35"/>
      <c r="Q81" s="34"/>
      <c r="R81" s="35"/>
      <c r="S81" s="34"/>
      <c r="T81" s="34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57"/>
      <c r="AF81" s="57"/>
      <c r="AG81" s="48"/>
      <c r="AH81" s="48"/>
      <c r="AI81" s="48"/>
      <c r="AJ81" s="48"/>
      <c r="AK81" s="48"/>
      <c r="AL81" s="48"/>
      <c r="AM81" s="48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43"/>
      <c r="AY81" s="43"/>
      <c r="AZ81" s="44"/>
      <c r="BA81" s="43"/>
      <c r="BB81" s="43"/>
      <c r="BC81" s="43"/>
      <c r="BD81" s="43"/>
      <c r="BE81" s="43"/>
      <c r="BF81" s="43"/>
      <c r="BG81" s="43"/>
    </row>
    <row r="82" spans="1:59" x14ac:dyDescent="0.25">
      <c r="A82" s="13"/>
      <c r="B82" s="22"/>
      <c r="C82" s="22"/>
      <c r="D82" s="14"/>
      <c r="E82" s="14"/>
      <c r="F82" s="33"/>
      <c r="G82" s="33"/>
      <c r="H82" s="33"/>
      <c r="I82" s="33"/>
      <c r="J82" s="33"/>
      <c r="K82" s="33"/>
      <c r="L82" s="34"/>
      <c r="M82" s="34"/>
      <c r="N82" s="35"/>
      <c r="O82" s="35"/>
      <c r="P82" s="35"/>
      <c r="Q82" s="34"/>
      <c r="R82" s="35"/>
      <c r="S82" s="34"/>
      <c r="T82" s="34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57"/>
      <c r="AF82" s="57"/>
      <c r="AG82" s="48"/>
      <c r="AH82" s="48"/>
      <c r="AI82" s="48"/>
      <c r="AJ82" s="48"/>
      <c r="AK82" s="48"/>
      <c r="AL82" s="48"/>
      <c r="AM82" s="48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43"/>
      <c r="AY82" s="43"/>
      <c r="AZ82" s="44"/>
      <c r="BA82" s="43"/>
      <c r="BB82" s="43"/>
      <c r="BC82" s="43"/>
      <c r="BD82" s="43"/>
      <c r="BE82" s="43"/>
      <c r="BF82" s="43"/>
      <c r="BG82" s="43"/>
    </row>
    <row r="83" spans="1:59" x14ac:dyDescent="0.25">
      <c r="A83" s="13"/>
      <c r="B83" s="22"/>
      <c r="C83" s="22"/>
      <c r="D83" s="14"/>
      <c r="E83" s="14"/>
      <c r="F83" s="33"/>
      <c r="G83" s="33"/>
      <c r="H83" s="33"/>
      <c r="I83" s="33"/>
      <c r="J83" s="33"/>
      <c r="K83" s="33"/>
      <c r="L83" s="34"/>
      <c r="M83" s="34"/>
      <c r="N83" s="35"/>
      <c r="O83" s="35"/>
      <c r="P83" s="35"/>
      <c r="Q83" s="34"/>
      <c r="R83" s="35"/>
      <c r="S83" s="34"/>
      <c r="T83" s="34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57"/>
      <c r="AF83" s="57"/>
      <c r="AG83" s="48"/>
      <c r="AH83" s="48"/>
      <c r="AI83" s="48"/>
      <c r="AJ83" s="48"/>
      <c r="AK83" s="48"/>
      <c r="AL83" s="48"/>
      <c r="AM83" s="48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43"/>
      <c r="AY83" s="43"/>
      <c r="AZ83" s="44"/>
      <c r="BA83" s="43"/>
      <c r="BB83" s="43"/>
      <c r="BC83" s="43"/>
      <c r="BD83" s="43"/>
      <c r="BE83" s="43"/>
      <c r="BF83" s="43"/>
      <c r="BG83" s="43"/>
    </row>
    <row r="84" spans="1:59" x14ac:dyDescent="0.25">
      <c r="A84" s="13"/>
      <c r="B84" s="22"/>
      <c r="C84" s="22"/>
      <c r="D84" s="14"/>
      <c r="E84" s="14"/>
      <c r="F84" s="33"/>
      <c r="G84" s="33"/>
      <c r="H84" s="33"/>
      <c r="I84" s="33"/>
      <c r="J84" s="33"/>
      <c r="K84" s="33"/>
      <c r="L84" s="34"/>
      <c r="M84" s="34"/>
      <c r="N84" s="35"/>
      <c r="O84" s="35"/>
      <c r="P84" s="35"/>
      <c r="Q84" s="34"/>
      <c r="R84" s="35"/>
      <c r="S84" s="34"/>
      <c r="T84" s="34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57"/>
      <c r="AF84" s="57"/>
      <c r="AG84" s="48"/>
      <c r="AH84" s="48"/>
      <c r="AI84" s="48"/>
      <c r="AJ84" s="48"/>
      <c r="AK84" s="48"/>
      <c r="AL84" s="48"/>
      <c r="AM84" s="48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43"/>
      <c r="AY84" s="43"/>
      <c r="AZ84" s="44"/>
      <c r="BA84" s="43"/>
      <c r="BB84" s="43"/>
      <c r="BC84" s="43"/>
      <c r="BD84" s="43"/>
      <c r="BE84" s="43"/>
      <c r="BF84" s="43"/>
      <c r="BG84" s="43"/>
    </row>
    <row r="85" spans="1:59" x14ac:dyDescent="0.25">
      <c r="A85" s="13"/>
      <c r="B85" s="22"/>
      <c r="C85" s="22"/>
      <c r="D85" s="14"/>
      <c r="E85" s="14"/>
      <c r="F85" s="33"/>
      <c r="G85" s="33"/>
      <c r="H85" s="33"/>
      <c r="I85" s="33"/>
      <c r="J85" s="33"/>
      <c r="K85" s="33"/>
      <c r="L85" s="34"/>
      <c r="M85" s="34"/>
      <c r="N85" s="35"/>
      <c r="O85" s="35"/>
      <c r="P85" s="35"/>
      <c r="Q85" s="34"/>
      <c r="R85" s="35"/>
      <c r="S85" s="34"/>
      <c r="T85" s="34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57"/>
      <c r="AF85" s="57"/>
      <c r="AG85" s="48"/>
      <c r="AH85" s="48"/>
      <c r="AI85" s="48"/>
      <c r="AJ85" s="48"/>
      <c r="AK85" s="48"/>
      <c r="AL85" s="48"/>
      <c r="AM85" s="48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43"/>
      <c r="AY85" s="43"/>
      <c r="AZ85" s="44"/>
      <c r="BA85" s="43"/>
      <c r="BB85" s="43"/>
      <c r="BC85" s="43"/>
      <c r="BD85" s="43"/>
      <c r="BE85" s="43"/>
      <c r="BF85" s="43"/>
      <c r="BG85" s="43"/>
    </row>
    <row r="86" spans="1:59" x14ac:dyDescent="0.25">
      <c r="A86" s="13"/>
      <c r="B86" s="22"/>
      <c r="C86" s="22"/>
      <c r="D86" s="14"/>
      <c r="E86" s="14"/>
      <c r="F86" s="33"/>
      <c r="G86" s="33"/>
      <c r="H86" s="33"/>
      <c r="I86" s="33"/>
      <c r="J86" s="33"/>
      <c r="K86" s="33"/>
      <c r="L86" s="34"/>
      <c r="M86" s="34"/>
      <c r="N86" s="35"/>
      <c r="O86" s="35"/>
      <c r="P86" s="35"/>
      <c r="Q86" s="34"/>
      <c r="R86" s="35"/>
      <c r="S86" s="34"/>
      <c r="T86" s="34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57"/>
      <c r="AF86" s="57"/>
      <c r="AG86" s="48"/>
      <c r="AH86" s="48"/>
      <c r="AI86" s="48"/>
      <c r="AJ86" s="48"/>
      <c r="AK86" s="48"/>
      <c r="AL86" s="48"/>
      <c r="AM86" s="48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43"/>
      <c r="AY86" s="43"/>
      <c r="AZ86" s="44"/>
      <c r="BA86" s="43"/>
      <c r="BB86" s="43"/>
      <c r="BC86" s="43"/>
      <c r="BD86" s="43"/>
      <c r="BE86" s="43"/>
      <c r="BF86" s="43"/>
      <c r="BG86" s="43"/>
    </row>
    <row r="87" spans="1:59" x14ac:dyDescent="0.25">
      <c r="A87" s="13"/>
      <c r="B87" s="22"/>
      <c r="C87" s="22"/>
      <c r="D87" s="14"/>
      <c r="E87" s="14"/>
      <c r="F87" s="33"/>
      <c r="G87" s="33"/>
      <c r="H87" s="33"/>
      <c r="I87" s="33"/>
      <c r="J87" s="33"/>
      <c r="K87" s="33"/>
      <c r="L87" s="34"/>
      <c r="M87" s="34"/>
      <c r="N87" s="35"/>
      <c r="O87" s="35"/>
      <c r="P87" s="35"/>
      <c r="Q87" s="34"/>
      <c r="R87" s="35"/>
      <c r="S87" s="34"/>
      <c r="T87" s="34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57"/>
      <c r="AF87" s="57"/>
      <c r="AG87" s="48"/>
      <c r="AH87" s="48"/>
      <c r="AI87" s="48"/>
      <c r="AJ87" s="48"/>
      <c r="AK87" s="48"/>
      <c r="AL87" s="48"/>
      <c r="AM87" s="48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43"/>
      <c r="AY87" s="43"/>
      <c r="AZ87" s="44"/>
      <c r="BA87" s="43"/>
      <c r="BB87" s="43"/>
      <c r="BC87" s="43"/>
      <c r="BD87" s="43"/>
      <c r="BE87" s="43"/>
      <c r="BF87" s="43"/>
      <c r="BG87" s="43"/>
    </row>
    <row r="88" spans="1:59" x14ac:dyDescent="0.25">
      <c r="A88" s="13"/>
      <c r="B88" s="22"/>
      <c r="C88" s="22"/>
      <c r="D88" s="14"/>
      <c r="E88" s="14"/>
      <c r="F88" s="33"/>
      <c r="G88" s="33"/>
      <c r="H88" s="33"/>
      <c r="I88" s="33"/>
      <c r="J88" s="33"/>
      <c r="K88" s="33"/>
      <c r="L88" s="34"/>
      <c r="M88" s="34"/>
      <c r="N88" s="35"/>
      <c r="O88" s="35"/>
      <c r="P88" s="35"/>
      <c r="Q88" s="34"/>
      <c r="R88" s="35"/>
      <c r="S88" s="34"/>
      <c r="T88" s="34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57"/>
      <c r="AF88" s="57"/>
      <c r="AG88" s="48"/>
      <c r="AH88" s="48"/>
      <c r="AI88" s="48"/>
      <c r="AJ88" s="48"/>
      <c r="AK88" s="48"/>
      <c r="AL88" s="48"/>
      <c r="AM88" s="48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43"/>
      <c r="AY88" s="43"/>
      <c r="AZ88" s="44"/>
      <c r="BA88" s="43"/>
      <c r="BB88" s="43"/>
      <c r="BC88" s="43"/>
      <c r="BD88" s="43"/>
      <c r="BE88" s="43"/>
      <c r="BF88" s="43"/>
      <c r="BG88" s="43"/>
    </row>
    <row r="89" spans="1:59" x14ac:dyDescent="0.25">
      <c r="A89" s="13"/>
      <c r="B89" s="22"/>
      <c r="C89" s="22"/>
      <c r="D89" s="14"/>
      <c r="E89" s="14"/>
      <c r="F89" s="33"/>
      <c r="G89" s="33"/>
      <c r="H89" s="33"/>
      <c r="I89" s="33"/>
      <c r="J89" s="33"/>
      <c r="K89" s="33"/>
      <c r="L89" s="34"/>
      <c r="M89" s="34"/>
      <c r="N89" s="35"/>
      <c r="O89" s="35"/>
      <c r="P89" s="35"/>
      <c r="Q89" s="34"/>
      <c r="R89" s="35"/>
      <c r="S89" s="34"/>
      <c r="T89" s="34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57"/>
      <c r="AF89" s="57"/>
      <c r="AG89" s="48"/>
      <c r="AH89" s="48"/>
      <c r="AI89" s="48"/>
      <c r="AJ89" s="48"/>
      <c r="AK89" s="48"/>
      <c r="AL89" s="48"/>
      <c r="AM89" s="48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43"/>
      <c r="AY89" s="43"/>
      <c r="AZ89" s="44"/>
      <c r="BA89" s="43"/>
      <c r="BB89" s="43"/>
      <c r="BC89" s="43"/>
      <c r="BD89" s="43"/>
      <c r="BE89" s="43"/>
      <c r="BF89" s="43"/>
      <c r="BG89" s="43"/>
    </row>
    <row r="90" spans="1:59" x14ac:dyDescent="0.25">
      <c r="A90" s="13"/>
      <c r="B90" s="22"/>
      <c r="C90" s="22"/>
      <c r="D90" s="14"/>
      <c r="E90" s="14"/>
      <c r="F90" s="33"/>
      <c r="G90" s="33"/>
      <c r="H90" s="33"/>
      <c r="I90" s="33"/>
      <c r="J90" s="33"/>
      <c r="K90" s="33"/>
      <c r="L90" s="34"/>
      <c r="M90" s="34"/>
      <c r="N90" s="35"/>
      <c r="O90" s="35"/>
      <c r="P90" s="35"/>
      <c r="Q90" s="34"/>
      <c r="R90" s="35"/>
      <c r="S90" s="34"/>
      <c r="T90" s="34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57"/>
      <c r="AF90" s="57"/>
      <c r="AG90" s="48"/>
      <c r="AH90" s="48"/>
      <c r="AI90" s="48"/>
      <c r="AJ90" s="48"/>
      <c r="AK90" s="48"/>
      <c r="AL90" s="48"/>
      <c r="AM90" s="48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43"/>
      <c r="AY90" s="43"/>
      <c r="AZ90" s="44"/>
      <c r="BA90" s="43"/>
      <c r="BB90" s="43"/>
      <c r="BC90" s="43"/>
      <c r="BD90" s="43"/>
      <c r="BE90" s="43"/>
      <c r="BF90" s="43"/>
      <c r="BG90" s="43"/>
    </row>
    <row r="91" spans="1:59" x14ac:dyDescent="0.25">
      <c r="A91" s="13"/>
      <c r="B91" s="22"/>
      <c r="C91" s="22"/>
      <c r="D91" s="14"/>
      <c r="E91" s="14"/>
      <c r="F91" s="33"/>
      <c r="G91" s="33"/>
      <c r="H91" s="33"/>
      <c r="I91" s="33"/>
      <c r="J91" s="33"/>
      <c r="K91" s="33"/>
      <c r="L91" s="34"/>
      <c r="M91" s="34"/>
      <c r="N91" s="35"/>
      <c r="O91" s="35"/>
      <c r="P91" s="35"/>
      <c r="Q91" s="34"/>
      <c r="R91" s="35"/>
      <c r="S91" s="34"/>
      <c r="T91" s="34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57"/>
      <c r="AF91" s="57"/>
      <c r="AG91" s="48"/>
      <c r="AH91" s="48"/>
      <c r="AI91" s="48"/>
      <c r="AJ91" s="48"/>
      <c r="AK91" s="48"/>
      <c r="AL91" s="48"/>
      <c r="AM91" s="48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43"/>
      <c r="AY91" s="43"/>
      <c r="AZ91" s="44"/>
      <c r="BA91" s="43"/>
      <c r="BB91" s="43"/>
      <c r="BC91" s="43"/>
      <c r="BD91" s="43"/>
      <c r="BE91" s="43"/>
      <c r="BF91" s="43"/>
      <c r="BG91" s="43"/>
    </row>
    <row r="92" spans="1:59" x14ac:dyDescent="0.25">
      <c r="A92" s="13"/>
      <c r="B92" s="22"/>
      <c r="C92" s="22"/>
      <c r="D92" s="14"/>
      <c r="E92" s="14"/>
      <c r="F92" s="33"/>
      <c r="G92" s="33"/>
      <c r="H92" s="33"/>
      <c r="I92" s="33"/>
      <c r="J92" s="33"/>
      <c r="K92" s="33"/>
      <c r="L92" s="34"/>
      <c r="M92" s="34"/>
      <c r="N92" s="35"/>
      <c r="O92" s="35"/>
      <c r="P92" s="35"/>
      <c r="Q92" s="34"/>
      <c r="R92" s="35"/>
      <c r="S92" s="34"/>
      <c r="T92" s="34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57"/>
      <c r="AF92" s="57"/>
      <c r="AG92" s="48"/>
      <c r="AH92" s="48"/>
      <c r="AI92" s="48"/>
      <c r="AJ92" s="48"/>
      <c r="AK92" s="48"/>
      <c r="AL92" s="48"/>
      <c r="AM92" s="48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43"/>
      <c r="AY92" s="43"/>
      <c r="AZ92" s="44"/>
      <c r="BA92" s="43"/>
      <c r="BB92" s="43"/>
      <c r="BC92" s="43"/>
      <c r="BD92" s="43"/>
      <c r="BE92" s="43"/>
      <c r="BF92" s="43"/>
      <c r="BG92" s="43"/>
    </row>
    <row r="93" spans="1:59" x14ac:dyDescent="0.25">
      <c r="A93" s="13"/>
      <c r="B93" s="22"/>
      <c r="C93" s="22"/>
      <c r="D93" s="14"/>
      <c r="E93" s="14"/>
      <c r="F93" s="33"/>
      <c r="G93" s="33"/>
      <c r="H93" s="33"/>
      <c r="I93" s="33"/>
      <c r="J93" s="33"/>
      <c r="K93" s="33"/>
      <c r="L93" s="34"/>
      <c r="M93" s="34"/>
      <c r="N93" s="35"/>
      <c r="O93" s="35"/>
      <c r="P93" s="35"/>
      <c r="Q93" s="34"/>
      <c r="R93" s="35"/>
      <c r="S93" s="34"/>
      <c r="T93" s="34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57"/>
      <c r="AF93" s="57"/>
      <c r="AG93" s="48"/>
      <c r="AH93" s="48"/>
      <c r="AI93" s="48"/>
      <c r="AJ93" s="48"/>
      <c r="AK93" s="48"/>
      <c r="AL93" s="48"/>
      <c r="AM93" s="48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43"/>
      <c r="AY93" s="43"/>
      <c r="AZ93" s="44"/>
      <c r="BA93" s="43"/>
      <c r="BB93" s="43"/>
      <c r="BC93" s="43"/>
      <c r="BD93" s="43"/>
      <c r="BE93" s="43"/>
      <c r="BF93" s="43"/>
      <c r="BG93" s="43"/>
    </row>
    <row r="94" spans="1:59" x14ac:dyDescent="0.25">
      <c r="A94" s="13"/>
      <c r="B94" s="22"/>
      <c r="C94" s="22"/>
      <c r="D94" s="14"/>
      <c r="E94" s="14"/>
      <c r="F94" s="33"/>
      <c r="G94" s="33"/>
      <c r="H94" s="33"/>
      <c r="I94" s="33"/>
      <c r="J94" s="33"/>
      <c r="K94" s="33"/>
      <c r="L94" s="34"/>
      <c r="M94" s="34"/>
      <c r="N94" s="35"/>
      <c r="O94" s="35"/>
      <c r="P94" s="35"/>
      <c r="Q94" s="34"/>
      <c r="R94" s="35"/>
      <c r="S94" s="34"/>
      <c r="T94" s="34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57"/>
      <c r="AF94" s="57"/>
      <c r="AG94" s="48"/>
      <c r="AH94" s="48"/>
      <c r="AI94" s="48"/>
      <c r="AJ94" s="48"/>
      <c r="AK94" s="48"/>
      <c r="AL94" s="48"/>
      <c r="AM94" s="48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43"/>
      <c r="AY94" s="43"/>
      <c r="AZ94" s="44"/>
      <c r="BA94" s="43"/>
      <c r="BB94" s="43"/>
      <c r="BC94" s="43"/>
      <c r="BD94" s="43"/>
      <c r="BE94" s="43"/>
      <c r="BF94" s="43"/>
      <c r="BG94" s="43"/>
    </row>
    <row r="95" spans="1:59" x14ac:dyDescent="0.25">
      <c r="A95" s="13"/>
      <c r="B95" s="22"/>
      <c r="C95" s="22"/>
      <c r="D95" s="14"/>
      <c r="E95" s="14"/>
      <c r="F95" s="33"/>
      <c r="G95" s="33"/>
      <c r="H95" s="33"/>
      <c r="I95" s="33"/>
      <c r="J95" s="33"/>
      <c r="K95" s="33"/>
      <c r="L95" s="34"/>
      <c r="M95" s="34"/>
      <c r="N95" s="35"/>
      <c r="O95" s="35"/>
      <c r="P95" s="35"/>
      <c r="Q95" s="34"/>
      <c r="R95" s="35"/>
      <c r="S95" s="34"/>
      <c r="T95" s="34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57"/>
      <c r="AF95" s="57"/>
      <c r="AG95" s="48"/>
      <c r="AH95" s="48"/>
      <c r="AI95" s="48"/>
      <c r="AJ95" s="48"/>
      <c r="AK95" s="48"/>
      <c r="AL95" s="48"/>
      <c r="AM95" s="48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43"/>
      <c r="AY95" s="43"/>
      <c r="AZ95" s="44"/>
      <c r="BA95" s="43"/>
      <c r="BB95" s="43"/>
      <c r="BC95" s="43"/>
      <c r="BD95" s="43"/>
      <c r="BE95" s="43"/>
      <c r="BF95" s="43"/>
      <c r="BG95" s="43"/>
    </row>
    <row r="96" spans="1:59" x14ac:dyDescent="0.25">
      <c r="A96" s="13"/>
      <c r="B96" s="22"/>
      <c r="C96" s="22"/>
      <c r="D96" s="14"/>
      <c r="E96" s="14"/>
      <c r="F96" s="33"/>
      <c r="G96" s="33"/>
      <c r="H96" s="33"/>
      <c r="I96" s="33"/>
      <c r="J96" s="33"/>
      <c r="K96" s="33"/>
      <c r="L96" s="34"/>
      <c r="M96" s="34"/>
      <c r="N96" s="35"/>
      <c r="O96" s="35"/>
      <c r="P96" s="35"/>
      <c r="Q96" s="34"/>
      <c r="R96" s="35"/>
      <c r="S96" s="34"/>
      <c r="T96" s="34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57"/>
      <c r="AF96" s="57"/>
      <c r="AG96" s="48"/>
      <c r="AH96" s="48"/>
      <c r="AI96" s="48"/>
      <c r="AJ96" s="48"/>
      <c r="AK96" s="48"/>
      <c r="AL96" s="48"/>
      <c r="AM96" s="48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43"/>
      <c r="AY96" s="43"/>
      <c r="AZ96" s="44"/>
      <c r="BA96" s="43"/>
      <c r="BB96" s="43"/>
      <c r="BC96" s="43"/>
      <c r="BD96" s="43"/>
      <c r="BE96" s="43"/>
      <c r="BF96" s="43"/>
      <c r="BG96" s="43"/>
    </row>
    <row r="97" spans="1:59" x14ac:dyDescent="0.25">
      <c r="A97" s="13"/>
      <c r="B97" s="22"/>
      <c r="C97" s="22"/>
      <c r="D97" s="14"/>
      <c r="E97" s="14"/>
      <c r="F97" s="33"/>
      <c r="G97" s="33"/>
      <c r="H97" s="33"/>
      <c r="I97" s="33"/>
      <c r="J97" s="33"/>
      <c r="K97" s="33"/>
      <c r="L97" s="34"/>
      <c r="M97" s="34"/>
      <c r="N97" s="35"/>
      <c r="O97" s="35"/>
      <c r="P97" s="35"/>
      <c r="Q97" s="34"/>
      <c r="R97" s="35"/>
      <c r="S97" s="34"/>
      <c r="T97" s="34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57"/>
      <c r="AF97" s="57"/>
      <c r="AG97" s="48"/>
      <c r="AH97" s="48"/>
      <c r="AI97" s="48"/>
      <c r="AJ97" s="48"/>
      <c r="AK97" s="48"/>
      <c r="AL97" s="48"/>
      <c r="AM97" s="48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43"/>
      <c r="AY97" s="43"/>
      <c r="AZ97" s="44"/>
      <c r="BA97" s="43"/>
      <c r="BB97" s="43"/>
      <c r="BC97" s="43"/>
      <c r="BD97" s="43"/>
      <c r="BE97" s="43"/>
      <c r="BF97" s="43"/>
      <c r="BG97" s="43"/>
    </row>
    <row r="98" spans="1:59" x14ac:dyDescent="0.25">
      <c r="A98" s="13"/>
      <c r="B98" s="22"/>
      <c r="C98" s="22"/>
      <c r="D98" s="14"/>
      <c r="E98" s="14"/>
      <c r="F98" s="33"/>
      <c r="G98" s="33"/>
      <c r="H98" s="33"/>
      <c r="I98" s="33"/>
      <c r="J98" s="33"/>
      <c r="K98" s="33"/>
      <c r="L98" s="34"/>
      <c r="M98" s="34"/>
      <c r="N98" s="35"/>
      <c r="O98" s="35"/>
      <c r="P98" s="35"/>
      <c r="Q98" s="34"/>
      <c r="R98" s="35"/>
      <c r="S98" s="34"/>
      <c r="T98" s="34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57"/>
      <c r="AF98" s="57"/>
      <c r="AG98" s="48"/>
      <c r="AH98" s="48"/>
      <c r="AI98" s="48"/>
      <c r="AJ98" s="48"/>
      <c r="AK98" s="48"/>
      <c r="AL98" s="48"/>
      <c r="AM98" s="48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43"/>
      <c r="AY98" s="43"/>
      <c r="AZ98" s="44"/>
      <c r="BA98" s="43"/>
      <c r="BB98" s="43"/>
      <c r="BC98" s="43"/>
      <c r="BD98" s="43"/>
      <c r="BE98" s="43"/>
      <c r="BF98" s="43"/>
      <c r="BG98" s="43"/>
    </row>
    <row r="99" spans="1:59" x14ac:dyDescent="0.25">
      <c r="A99" s="13"/>
      <c r="B99" s="22"/>
      <c r="C99" s="22"/>
      <c r="D99" s="14"/>
      <c r="E99" s="14"/>
      <c r="F99" s="33"/>
      <c r="G99" s="33"/>
      <c r="H99" s="33"/>
      <c r="I99" s="33"/>
      <c r="J99" s="33"/>
      <c r="K99" s="33"/>
      <c r="L99" s="34"/>
      <c r="M99" s="34"/>
      <c r="N99" s="35"/>
      <c r="O99" s="35"/>
      <c r="P99" s="35"/>
      <c r="Q99" s="34"/>
      <c r="R99" s="35"/>
      <c r="S99" s="34"/>
      <c r="T99" s="34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57"/>
      <c r="AF99" s="57"/>
      <c r="AG99" s="48"/>
      <c r="AH99" s="48"/>
      <c r="AI99" s="48"/>
      <c r="AJ99" s="48"/>
      <c r="AK99" s="48"/>
      <c r="AL99" s="48"/>
      <c r="AM99" s="48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43"/>
      <c r="AY99" s="43"/>
      <c r="AZ99" s="44"/>
      <c r="BA99" s="43"/>
      <c r="BB99" s="43"/>
      <c r="BC99" s="43"/>
      <c r="BD99" s="43"/>
      <c r="BE99" s="43"/>
      <c r="BF99" s="43"/>
      <c r="BG99" s="43"/>
    </row>
    <row r="100" spans="1:59" x14ac:dyDescent="0.25">
      <c r="A100" s="13"/>
      <c r="B100" s="22"/>
      <c r="C100" s="22"/>
      <c r="D100" s="14"/>
      <c r="E100" s="14"/>
      <c r="F100" s="33"/>
      <c r="G100" s="33"/>
      <c r="H100" s="33"/>
      <c r="I100" s="33"/>
      <c r="J100" s="33"/>
      <c r="K100" s="33"/>
      <c r="L100" s="34"/>
      <c r="M100" s="34"/>
      <c r="N100" s="35"/>
      <c r="O100" s="35"/>
      <c r="P100" s="35"/>
      <c r="Q100" s="34"/>
      <c r="R100" s="35"/>
      <c r="S100" s="34"/>
      <c r="T100" s="34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57"/>
      <c r="AF100" s="57"/>
      <c r="AG100" s="48"/>
      <c r="AH100" s="48"/>
      <c r="AI100" s="48"/>
      <c r="AJ100" s="48"/>
      <c r="AK100" s="48"/>
      <c r="AL100" s="48"/>
      <c r="AM100" s="48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43"/>
      <c r="AY100" s="43"/>
      <c r="AZ100" s="44"/>
      <c r="BA100" s="43"/>
      <c r="BB100" s="43"/>
      <c r="BC100" s="43"/>
      <c r="BD100" s="43"/>
      <c r="BE100" s="43"/>
      <c r="BF100" s="43"/>
      <c r="BG100" s="43"/>
    </row>
    <row r="101" spans="1:59" x14ac:dyDescent="0.25">
      <c r="A101" s="13"/>
      <c r="B101" s="22"/>
      <c r="C101" s="22"/>
      <c r="D101" s="14"/>
      <c r="E101" s="14"/>
      <c r="F101" s="33"/>
      <c r="G101" s="33"/>
      <c r="H101" s="33"/>
      <c r="I101" s="33"/>
      <c r="J101" s="33"/>
      <c r="K101" s="33"/>
      <c r="L101" s="34"/>
      <c r="M101" s="34"/>
      <c r="N101" s="35"/>
      <c r="O101" s="35"/>
      <c r="P101" s="35"/>
      <c r="Q101" s="34"/>
      <c r="R101" s="35"/>
      <c r="S101" s="34"/>
      <c r="T101" s="34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57"/>
      <c r="AF101" s="57"/>
      <c r="AG101" s="48"/>
      <c r="AH101" s="48"/>
      <c r="AI101" s="48"/>
      <c r="AJ101" s="48"/>
      <c r="AK101" s="48"/>
      <c r="AL101" s="48"/>
      <c r="AM101" s="48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43"/>
      <c r="AY101" s="43"/>
      <c r="AZ101" s="44"/>
      <c r="BA101" s="43"/>
      <c r="BB101" s="43"/>
      <c r="BC101" s="43"/>
      <c r="BD101" s="43"/>
      <c r="BE101" s="43"/>
      <c r="BF101" s="43"/>
      <c r="BG101" s="43"/>
    </row>
    <row r="102" spans="1:59" x14ac:dyDescent="0.25">
      <c r="A102" s="13"/>
      <c r="B102" s="22"/>
      <c r="C102" s="22"/>
      <c r="D102" s="14"/>
      <c r="E102" s="14"/>
      <c r="F102" s="33"/>
      <c r="G102" s="33"/>
      <c r="H102" s="33"/>
      <c r="I102" s="33"/>
      <c r="J102" s="33"/>
      <c r="K102" s="33"/>
      <c r="L102" s="34"/>
      <c r="M102" s="34"/>
      <c r="N102" s="35"/>
      <c r="O102" s="35"/>
      <c r="P102" s="35"/>
      <c r="Q102" s="34"/>
      <c r="R102" s="35"/>
      <c r="S102" s="34"/>
      <c r="T102" s="34"/>
      <c r="U102" s="36"/>
      <c r="V102" s="36"/>
      <c r="W102" s="36"/>
      <c r="X102" s="36"/>
      <c r="Y102" s="36"/>
      <c r="Z102" s="36"/>
      <c r="AA102" s="36"/>
      <c r="AB102" s="36"/>
      <c r="AC102" s="33"/>
      <c r="AD102" s="36"/>
      <c r="AE102" s="57"/>
      <c r="AF102" s="57"/>
      <c r="AG102" s="48"/>
      <c r="AH102" s="48"/>
      <c r="AI102" s="48"/>
      <c r="AJ102" s="48"/>
      <c r="AK102" s="48"/>
      <c r="AL102" s="48"/>
      <c r="AM102" s="48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43"/>
      <c r="AY102" s="43"/>
      <c r="AZ102" s="44"/>
      <c r="BA102" s="43"/>
      <c r="BB102" s="43"/>
      <c r="BC102" s="43"/>
      <c r="BD102" s="43"/>
      <c r="BE102" s="43"/>
      <c r="BF102" s="43"/>
      <c r="BG102" s="43"/>
    </row>
    <row r="103" spans="1:59" x14ac:dyDescent="0.25">
      <c r="A103" s="13"/>
      <c r="B103" s="22"/>
      <c r="C103" s="22"/>
      <c r="D103" s="14"/>
      <c r="E103" s="14"/>
      <c r="F103" s="33"/>
      <c r="G103" s="33"/>
      <c r="H103" s="33"/>
      <c r="I103" s="33"/>
      <c r="J103" s="33"/>
      <c r="K103" s="33"/>
      <c r="L103" s="34"/>
      <c r="M103" s="34"/>
      <c r="N103" s="35"/>
      <c r="O103" s="35"/>
      <c r="P103" s="35"/>
      <c r="Q103" s="34"/>
      <c r="R103" s="35"/>
      <c r="S103" s="34"/>
      <c r="T103" s="34"/>
      <c r="U103" s="36"/>
      <c r="V103" s="36"/>
      <c r="W103" s="36"/>
      <c r="X103" s="36"/>
      <c r="Y103" s="36"/>
      <c r="Z103" s="36"/>
      <c r="AA103" s="36"/>
      <c r="AB103" s="36"/>
      <c r="AC103" s="33"/>
      <c r="AD103" s="36"/>
      <c r="AE103" s="57"/>
      <c r="AF103" s="57"/>
      <c r="AG103" s="48"/>
      <c r="AH103" s="48"/>
      <c r="AI103" s="48"/>
      <c r="AJ103" s="48"/>
      <c r="AK103" s="48"/>
      <c r="AL103" s="48"/>
      <c r="AM103" s="48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43"/>
      <c r="AY103" s="43"/>
      <c r="AZ103" s="44"/>
      <c r="BA103" s="43"/>
      <c r="BB103" s="43"/>
      <c r="BC103" s="43"/>
      <c r="BD103" s="43"/>
      <c r="BE103" s="43"/>
      <c r="BF103" s="43"/>
      <c r="BG103" s="43"/>
    </row>
    <row r="104" spans="1:59" x14ac:dyDescent="0.25">
      <c r="A104" s="13"/>
      <c r="B104" s="22"/>
      <c r="C104" s="22"/>
      <c r="D104" s="14"/>
      <c r="E104" s="14"/>
      <c r="F104" s="33"/>
      <c r="G104" s="33"/>
      <c r="H104" s="33"/>
      <c r="I104" s="33"/>
      <c r="J104" s="33"/>
      <c r="K104" s="33"/>
      <c r="L104" s="34"/>
      <c r="M104" s="34"/>
      <c r="N104" s="35"/>
      <c r="O104" s="35"/>
      <c r="P104" s="35"/>
      <c r="Q104" s="34"/>
      <c r="R104" s="35"/>
      <c r="S104" s="34"/>
      <c r="T104" s="34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57"/>
      <c r="AF104" s="57"/>
      <c r="AG104" s="48"/>
      <c r="AH104" s="48"/>
      <c r="AI104" s="48"/>
      <c r="AJ104" s="48"/>
      <c r="AK104" s="48"/>
      <c r="AL104" s="48"/>
      <c r="AM104" s="48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43"/>
      <c r="AY104" s="43"/>
      <c r="AZ104" s="44"/>
      <c r="BA104" s="43"/>
      <c r="BB104" s="43"/>
      <c r="BC104" s="43"/>
      <c r="BD104" s="43"/>
      <c r="BE104" s="43"/>
      <c r="BF104" s="43"/>
      <c r="BG104" s="43"/>
    </row>
    <row r="105" spans="1:59" x14ac:dyDescent="0.25">
      <c r="A105" s="13"/>
      <c r="B105" s="22"/>
      <c r="C105" s="22"/>
      <c r="D105" s="14"/>
      <c r="E105" s="14"/>
      <c r="F105" s="33"/>
      <c r="G105" s="33"/>
      <c r="H105" s="33"/>
      <c r="I105" s="33"/>
      <c r="J105" s="33"/>
      <c r="K105" s="33"/>
      <c r="L105" s="34"/>
      <c r="M105" s="34"/>
      <c r="N105" s="35"/>
      <c r="O105" s="35"/>
      <c r="P105" s="35"/>
      <c r="Q105" s="34"/>
      <c r="R105" s="35"/>
      <c r="S105" s="34"/>
      <c r="T105" s="34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57"/>
      <c r="AF105" s="57"/>
      <c r="AG105" s="48"/>
      <c r="AH105" s="48"/>
      <c r="AI105" s="48"/>
      <c r="AJ105" s="48"/>
      <c r="AK105" s="48"/>
      <c r="AL105" s="48"/>
      <c r="AM105" s="48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43"/>
      <c r="AY105" s="43"/>
      <c r="AZ105" s="44"/>
      <c r="BA105" s="43"/>
      <c r="BB105" s="43"/>
      <c r="BC105" s="43"/>
      <c r="BD105" s="43"/>
      <c r="BE105" s="43"/>
      <c r="BF105" s="43"/>
      <c r="BG105" s="43"/>
    </row>
    <row r="106" spans="1:59" x14ac:dyDescent="0.25">
      <c r="A106" s="13"/>
      <c r="B106" s="22"/>
      <c r="C106" s="22"/>
      <c r="D106" s="14"/>
      <c r="E106" s="14"/>
      <c r="F106" s="33"/>
      <c r="G106" s="33"/>
      <c r="H106" s="33"/>
      <c r="I106" s="33"/>
      <c r="J106" s="33"/>
      <c r="K106" s="33"/>
      <c r="L106" s="34"/>
      <c r="M106" s="34"/>
      <c r="N106" s="35"/>
      <c r="O106" s="35"/>
      <c r="P106" s="35"/>
      <c r="Q106" s="34"/>
      <c r="R106" s="35"/>
      <c r="S106" s="34"/>
      <c r="T106" s="34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57"/>
      <c r="AF106" s="57"/>
      <c r="AG106" s="48"/>
      <c r="AH106" s="48"/>
      <c r="AI106" s="48"/>
      <c r="AJ106" s="48"/>
      <c r="AK106" s="48"/>
      <c r="AL106" s="48"/>
      <c r="AM106" s="48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43"/>
      <c r="AY106" s="43"/>
      <c r="AZ106" s="44"/>
      <c r="BA106" s="43"/>
      <c r="BB106" s="43"/>
      <c r="BC106" s="43"/>
      <c r="BD106" s="43"/>
      <c r="BE106" s="43"/>
      <c r="BF106" s="43"/>
      <c r="BG106" s="43"/>
    </row>
    <row r="107" spans="1:59" x14ac:dyDescent="0.25">
      <c r="A107" s="13"/>
      <c r="B107" s="22"/>
      <c r="C107" s="22"/>
      <c r="D107" s="14"/>
      <c r="E107" s="14"/>
      <c r="F107" s="33"/>
      <c r="G107" s="33"/>
      <c r="H107" s="33"/>
      <c r="I107" s="33"/>
      <c r="J107" s="33"/>
      <c r="K107" s="33"/>
      <c r="L107" s="34"/>
      <c r="M107" s="34"/>
      <c r="N107" s="35"/>
      <c r="O107" s="35"/>
      <c r="P107" s="35"/>
      <c r="Q107" s="34"/>
      <c r="R107" s="35"/>
      <c r="S107" s="34"/>
      <c r="T107" s="34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57"/>
      <c r="AF107" s="57"/>
      <c r="AG107" s="48"/>
      <c r="AH107" s="48"/>
      <c r="AI107" s="48"/>
      <c r="AJ107" s="48"/>
      <c r="AK107" s="48"/>
      <c r="AL107" s="48"/>
      <c r="AM107" s="48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43"/>
      <c r="AY107" s="43"/>
      <c r="AZ107" s="44"/>
      <c r="BA107" s="43"/>
      <c r="BB107" s="43"/>
      <c r="BC107" s="43"/>
      <c r="BD107" s="43"/>
      <c r="BE107" s="43"/>
      <c r="BF107" s="43"/>
      <c r="BG107" s="43"/>
    </row>
    <row r="108" spans="1:59" x14ac:dyDescent="0.25">
      <c r="A108" s="13"/>
      <c r="B108" s="22"/>
      <c r="C108" s="22"/>
      <c r="D108" s="14"/>
      <c r="E108" s="14"/>
      <c r="F108" s="33"/>
      <c r="G108" s="33"/>
      <c r="H108" s="33"/>
      <c r="I108" s="33"/>
      <c r="J108" s="33"/>
      <c r="K108" s="33"/>
      <c r="L108" s="34"/>
      <c r="M108" s="34"/>
      <c r="N108" s="35"/>
      <c r="O108" s="35"/>
      <c r="P108" s="35"/>
      <c r="Q108" s="34"/>
      <c r="R108" s="35"/>
      <c r="S108" s="34"/>
      <c r="T108" s="34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57"/>
      <c r="AF108" s="57"/>
      <c r="AG108" s="48"/>
      <c r="AH108" s="48"/>
      <c r="AI108" s="48"/>
      <c r="AJ108" s="48"/>
      <c r="AK108" s="48"/>
      <c r="AL108" s="48"/>
      <c r="AM108" s="48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43"/>
      <c r="AY108" s="43"/>
      <c r="AZ108" s="44"/>
      <c r="BA108" s="43"/>
      <c r="BB108" s="43"/>
      <c r="BC108" s="43"/>
      <c r="BD108" s="43"/>
      <c r="BE108" s="43"/>
      <c r="BF108" s="43"/>
      <c r="BG108" s="43"/>
    </row>
    <row r="109" spans="1:59" x14ac:dyDescent="0.25">
      <c r="A109" s="13"/>
      <c r="B109" s="22"/>
      <c r="C109" s="22"/>
      <c r="D109" s="14"/>
      <c r="E109" s="14"/>
      <c r="F109" s="33"/>
      <c r="G109" s="33"/>
      <c r="H109" s="33"/>
      <c r="I109" s="33"/>
      <c r="J109" s="33"/>
      <c r="K109" s="33"/>
      <c r="L109" s="34"/>
      <c r="M109" s="34"/>
      <c r="N109" s="35"/>
      <c r="O109" s="35"/>
      <c r="P109" s="35"/>
      <c r="Q109" s="34"/>
      <c r="R109" s="35"/>
      <c r="S109" s="34"/>
      <c r="T109" s="34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57"/>
      <c r="AF109" s="57"/>
      <c r="AG109" s="48"/>
      <c r="AH109" s="48"/>
      <c r="AI109" s="48"/>
      <c r="AJ109" s="48"/>
      <c r="AK109" s="48"/>
      <c r="AL109" s="48"/>
      <c r="AM109" s="48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43"/>
      <c r="AY109" s="43"/>
      <c r="AZ109" s="44"/>
      <c r="BA109" s="43"/>
      <c r="BB109" s="43"/>
      <c r="BC109" s="43"/>
      <c r="BD109" s="43"/>
      <c r="BE109" s="43"/>
      <c r="BF109" s="43"/>
      <c r="BG109" s="43"/>
    </row>
    <row r="110" spans="1:59" x14ac:dyDescent="0.25">
      <c r="A110" s="13"/>
      <c r="B110" s="22"/>
      <c r="C110" s="22"/>
      <c r="D110" s="14"/>
      <c r="E110" s="14"/>
      <c r="F110" s="33"/>
      <c r="G110" s="33"/>
      <c r="H110" s="33"/>
      <c r="I110" s="33"/>
      <c r="J110" s="33"/>
      <c r="K110" s="33"/>
      <c r="L110" s="34"/>
      <c r="M110" s="34"/>
      <c r="N110" s="35"/>
      <c r="O110" s="35"/>
      <c r="P110" s="35"/>
      <c r="Q110" s="34"/>
      <c r="R110" s="35"/>
      <c r="S110" s="34"/>
      <c r="T110" s="34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57"/>
      <c r="AF110" s="57"/>
      <c r="AG110" s="48"/>
      <c r="AH110" s="48"/>
      <c r="AI110" s="48"/>
      <c r="AJ110" s="48"/>
      <c r="AK110" s="48"/>
      <c r="AL110" s="48"/>
      <c r="AM110" s="48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43"/>
      <c r="AY110" s="43"/>
      <c r="AZ110" s="44"/>
      <c r="BA110" s="43"/>
      <c r="BB110" s="43"/>
      <c r="BC110" s="43"/>
      <c r="BD110" s="43"/>
      <c r="BE110" s="43"/>
      <c r="BF110" s="43"/>
      <c r="BG110" s="43"/>
    </row>
    <row r="111" spans="1:59" x14ac:dyDescent="0.25">
      <c r="A111" s="13"/>
      <c r="B111" s="22"/>
      <c r="C111" s="22"/>
      <c r="D111" s="14"/>
      <c r="E111" s="14"/>
      <c r="F111" s="33"/>
      <c r="G111" s="33"/>
      <c r="H111" s="33"/>
      <c r="I111" s="33"/>
      <c r="J111" s="33"/>
      <c r="K111" s="33"/>
      <c r="L111" s="34"/>
      <c r="M111" s="34"/>
      <c r="N111" s="35"/>
      <c r="O111" s="35"/>
      <c r="P111" s="35"/>
      <c r="Q111" s="34"/>
      <c r="R111" s="35"/>
      <c r="S111" s="34"/>
      <c r="T111" s="34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57"/>
      <c r="AF111" s="57"/>
      <c r="AG111" s="48"/>
      <c r="AH111" s="48"/>
      <c r="AI111" s="48"/>
      <c r="AJ111" s="48"/>
      <c r="AK111" s="48"/>
      <c r="AL111" s="48"/>
      <c r="AM111" s="48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43"/>
      <c r="AY111" s="43"/>
      <c r="AZ111" s="44"/>
      <c r="BA111" s="43"/>
      <c r="BB111" s="43"/>
      <c r="BC111" s="43"/>
      <c r="BD111" s="43"/>
      <c r="BE111" s="43"/>
      <c r="BF111" s="43"/>
      <c r="BG111" s="43"/>
    </row>
    <row r="112" spans="1:59" x14ac:dyDescent="0.25">
      <c r="A112" s="13"/>
      <c r="B112" s="22"/>
      <c r="C112" s="22"/>
      <c r="D112" s="14"/>
      <c r="E112" s="14"/>
      <c r="F112" s="33"/>
      <c r="G112" s="33"/>
      <c r="H112" s="33"/>
      <c r="I112" s="33"/>
      <c r="J112" s="33"/>
      <c r="K112" s="33"/>
      <c r="L112" s="34"/>
      <c r="M112" s="34"/>
      <c r="N112" s="35"/>
      <c r="O112" s="35"/>
      <c r="P112" s="35"/>
      <c r="Q112" s="34"/>
      <c r="R112" s="35"/>
      <c r="S112" s="34"/>
      <c r="T112" s="34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57"/>
      <c r="AF112" s="57"/>
      <c r="AG112" s="48"/>
      <c r="AH112" s="48"/>
      <c r="AI112" s="48"/>
      <c r="AJ112" s="48"/>
      <c r="AK112" s="48"/>
      <c r="AL112" s="48"/>
      <c r="AM112" s="48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43"/>
      <c r="AY112" s="43"/>
      <c r="AZ112" s="44"/>
      <c r="BA112" s="43"/>
      <c r="BB112" s="43"/>
      <c r="BC112" s="43"/>
      <c r="BD112" s="43"/>
      <c r="BE112" s="43"/>
      <c r="BF112" s="43"/>
      <c r="BG112" s="43"/>
    </row>
    <row r="113" spans="1:59" x14ac:dyDescent="0.25">
      <c r="A113" s="13"/>
      <c r="B113" s="22"/>
      <c r="C113" s="22"/>
      <c r="D113" s="14"/>
      <c r="E113" s="14"/>
      <c r="F113" s="33"/>
      <c r="G113" s="33"/>
      <c r="H113" s="33"/>
      <c r="I113" s="33"/>
      <c r="J113" s="33"/>
      <c r="K113" s="33"/>
      <c r="L113" s="34"/>
      <c r="M113" s="34"/>
      <c r="N113" s="35"/>
      <c r="O113" s="35"/>
      <c r="P113" s="35"/>
      <c r="Q113" s="34"/>
      <c r="R113" s="35"/>
      <c r="S113" s="34"/>
      <c r="T113" s="34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57"/>
      <c r="AF113" s="57"/>
      <c r="AG113" s="48"/>
      <c r="AH113" s="48"/>
      <c r="AI113" s="48"/>
      <c r="AJ113" s="48"/>
      <c r="AK113" s="48"/>
      <c r="AL113" s="48"/>
      <c r="AM113" s="48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43"/>
      <c r="AY113" s="43"/>
      <c r="AZ113" s="44"/>
      <c r="BA113" s="43"/>
      <c r="BB113" s="43"/>
      <c r="BC113" s="43"/>
      <c r="BD113" s="43"/>
      <c r="BE113" s="43"/>
      <c r="BF113" s="43"/>
      <c r="BG113" s="43"/>
    </row>
    <row r="114" spans="1:59" x14ac:dyDescent="0.25">
      <c r="A114" s="13"/>
      <c r="B114" s="22"/>
      <c r="C114" s="22"/>
      <c r="D114" s="14"/>
      <c r="E114" s="14"/>
      <c r="F114" s="33"/>
      <c r="G114" s="33"/>
      <c r="H114" s="33"/>
      <c r="I114" s="33"/>
      <c r="J114" s="33"/>
      <c r="K114" s="33"/>
      <c r="L114" s="34"/>
      <c r="M114" s="34"/>
      <c r="N114" s="35"/>
      <c r="O114" s="35"/>
      <c r="P114" s="35"/>
      <c r="Q114" s="34"/>
      <c r="R114" s="35"/>
      <c r="S114" s="34"/>
      <c r="T114" s="34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57"/>
      <c r="AF114" s="57"/>
      <c r="AG114" s="48"/>
      <c r="AH114" s="48"/>
      <c r="AI114" s="48"/>
      <c r="AJ114" s="48"/>
      <c r="AK114" s="48"/>
      <c r="AL114" s="48"/>
      <c r="AM114" s="48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43"/>
      <c r="AY114" s="43"/>
      <c r="AZ114" s="44"/>
      <c r="BA114" s="43"/>
      <c r="BB114" s="43"/>
      <c r="BC114" s="43"/>
      <c r="BD114" s="43"/>
      <c r="BE114" s="43"/>
      <c r="BF114" s="43"/>
      <c r="BG114" s="43"/>
    </row>
    <row r="115" spans="1:59" x14ac:dyDescent="0.25">
      <c r="A115" s="13"/>
      <c r="B115" s="22"/>
      <c r="C115" s="22"/>
      <c r="D115" s="14"/>
      <c r="E115" s="14"/>
      <c r="F115" s="33"/>
      <c r="G115" s="33"/>
      <c r="H115" s="33"/>
      <c r="I115" s="33"/>
      <c r="J115" s="33"/>
      <c r="K115" s="33"/>
      <c r="L115" s="34"/>
      <c r="M115" s="34"/>
      <c r="N115" s="35"/>
      <c r="O115" s="35"/>
      <c r="P115" s="35"/>
      <c r="Q115" s="34"/>
      <c r="R115" s="35"/>
      <c r="S115" s="34"/>
      <c r="T115" s="34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57"/>
      <c r="AF115" s="57"/>
      <c r="AG115" s="48"/>
      <c r="AH115" s="48"/>
      <c r="AI115" s="48"/>
      <c r="AJ115" s="48"/>
      <c r="AK115" s="48"/>
      <c r="AL115" s="48"/>
      <c r="AM115" s="48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43"/>
      <c r="AY115" s="43"/>
      <c r="AZ115" s="44"/>
      <c r="BA115" s="43"/>
      <c r="BB115" s="43"/>
      <c r="BC115" s="43"/>
      <c r="BD115" s="43"/>
      <c r="BE115" s="43"/>
      <c r="BF115" s="43"/>
      <c r="BG115" s="43"/>
    </row>
    <row r="116" spans="1:59" x14ac:dyDescent="0.25">
      <c r="A116" s="13"/>
      <c r="B116" s="22"/>
      <c r="C116" s="22"/>
      <c r="D116" s="14"/>
      <c r="E116" s="14"/>
      <c r="F116" s="33"/>
      <c r="G116" s="33"/>
      <c r="H116" s="33"/>
      <c r="I116" s="33"/>
      <c r="J116" s="33"/>
      <c r="K116" s="33"/>
      <c r="L116" s="34"/>
      <c r="M116" s="34"/>
      <c r="N116" s="35"/>
      <c r="O116" s="35"/>
      <c r="P116" s="35"/>
      <c r="Q116" s="34"/>
      <c r="R116" s="35"/>
      <c r="S116" s="34"/>
      <c r="T116" s="34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57"/>
      <c r="AF116" s="57"/>
      <c r="AG116" s="48"/>
      <c r="AH116" s="48"/>
      <c r="AI116" s="48"/>
      <c r="AJ116" s="48"/>
      <c r="AK116" s="48"/>
      <c r="AL116" s="48"/>
      <c r="AM116" s="48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43"/>
      <c r="AY116" s="43"/>
      <c r="AZ116" s="44"/>
      <c r="BA116" s="43"/>
      <c r="BB116" s="43"/>
      <c r="BC116" s="43"/>
      <c r="BD116" s="43"/>
      <c r="BE116" s="43"/>
      <c r="BF116" s="43"/>
      <c r="BG116" s="43"/>
    </row>
    <row r="117" spans="1:59" x14ac:dyDescent="0.25">
      <c r="A117" s="13"/>
      <c r="B117" s="22"/>
      <c r="C117" s="22"/>
      <c r="D117" s="14"/>
      <c r="E117" s="14"/>
      <c r="F117" s="33"/>
      <c r="G117" s="33"/>
      <c r="H117" s="33"/>
      <c r="I117" s="33"/>
      <c r="J117" s="33"/>
      <c r="K117" s="33"/>
      <c r="L117" s="34"/>
      <c r="M117" s="34"/>
      <c r="N117" s="35"/>
      <c r="O117" s="35"/>
      <c r="P117" s="35"/>
      <c r="Q117" s="34"/>
      <c r="R117" s="35"/>
      <c r="S117" s="34"/>
      <c r="T117" s="34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57"/>
      <c r="AF117" s="57"/>
      <c r="AG117" s="48"/>
      <c r="AH117" s="48"/>
      <c r="AI117" s="48"/>
      <c r="AJ117" s="48"/>
      <c r="AK117" s="48"/>
      <c r="AL117" s="48"/>
      <c r="AM117" s="48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43"/>
      <c r="AY117" s="43"/>
      <c r="AZ117" s="44"/>
      <c r="BA117" s="43"/>
      <c r="BB117" s="43"/>
      <c r="BC117" s="43"/>
      <c r="BD117" s="43"/>
      <c r="BE117" s="43"/>
      <c r="BF117" s="43"/>
      <c r="BG117" s="43"/>
    </row>
    <row r="118" spans="1:59" x14ac:dyDescent="0.25">
      <c r="A118" s="13"/>
      <c r="B118" s="22"/>
      <c r="C118" s="22"/>
      <c r="D118" s="14"/>
      <c r="E118" s="14"/>
      <c r="F118" s="33"/>
      <c r="G118" s="33"/>
      <c r="H118" s="33"/>
      <c r="I118" s="33"/>
      <c r="J118" s="33"/>
      <c r="K118" s="33"/>
      <c r="L118" s="34"/>
      <c r="M118" s="34"/>
      <c r="N118" s="35"/>
      <c r="O118" s="35"/>
      <c r="P118" s="35"/>
      <c r="Q118" s="34"/>
      <c r="R118" s="35"/>
      <c r="S118" s="34"/>
      <c r="T118" s="34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57"/>
      <c r="AF118" s="57"/>
      <c r="AG118" s="48"/>
      <c r="AH118" s="48"/>
      <c r="AI118" s="48"/>
      <c r="AJ118" s="48"/>
      <c r="AK118" s="48"/>
      <c r="AL118" s="48"/>
      <c r="AM118" s="48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43"/>
      <c r="AY118" s="43"/>
      <c r="AZ118" s="44"/>
      <c r="BA118" s="43"/>
      <c r="BB118" s="43"/>
      <c r="BC118" s="43"/>
      <c r="BD118" s="43"/>
      <c r="BE118" s="43"/>
      <c r="BF118" s="43"/>
      <c r="BG118" s="43"/>
    </row>
    <row r="119" spans="1:59" x14ac:dyDescent="0.25">
      <c r="A119" s="13"/>
      <c r="B119" s="22"/>
      <c r="C119" s="22"/>
      <c r="D119" s="14"/>
      <c r="E119" s="14"/>
      <c r="F119" s="33"/>
      <c r="G119" s="33"/>
      <c r="H119" s="33"/>
      <c r="I119" s="33"/>
      <c r="J119" s="33"/>
      <c r="K119" s="33"/>
      <c r="L119" s="34"/>
      <c r="M119" s="34"/>
      <c r="N119" s="35"/>
      <c r="O119" s="35"/>
      <c r="P119" s="35"/>
      <c r="Q119" s="34"/>
      <c r="R119" s="35"/>
      <c r="S119" s="34"/>
      <c r="T119" s="34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57"/>
      <c r="AF119" s="57"/>
      <c r="AG119" s="48"/>
      <c r="AH119" s="48"/>
      <c r="AI119" s="48"/>
      <c r="AJ119" s="48"/>
      <c r="AK119" s="48"/>
      <c r="AL119" s="48"/>
      <c r="AM119" s="48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43"/>
      <c r="AY119" s="43"/>
      <c r="AZ119" s="44"/>
      <c r="BA119" s="43"/>
      <c r="BB119" s="43"/>
      <c r="BC119" s="43"/>
      <c r="BD119" s="43"/>
      <c r="BE119" s="43"/>
      <c r="BF119" s="43"/>
      <c r="BG119" s="43"/>
    </row>
    <row r="120" spans="1:59" x14ac:dyDescent="0.25">
      <c r="A120" s="13"/>
      <c r="B120" s="22"/>
      <c r="C120" s="22"/>
      <c r="D120" s="14"/>
      <c r="E120" s="14"/>
      <c r="F120" s="33"/>
      <c r="G120" s="33"/>
      <c r="H120" s="33"/>
      <c r="I120" s="33"/>
      <c r="J120" s="33"/>
      <c r="K120" s="33"/>
      <c r="L120" s="34"/>
      <c r="M120" s="34"/>
      <c r="N120" s="35"/>
      <c r="O120" s="35"/>
      <c r="P120" s="35"/>
      <c r="Q120" s="34"/>
      <c r="R120" s="35"/>
      <c r="S120" s="34"/>
      <c r="T120" s="34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57"/>
      <c r="AF120" s="57"/>
      <c r="AG120" s="48"/>
      <c r="AH120" s="48"/>
      <c r="AI120" s="48"/>
      <c r="AJ120" s="48"/>
      <c r="AK120" s="48"/>
      <c r="AL120" s="48"/>
      <c r="AM120" s="48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43"/>
      <c r="AY120" s="43"/>
      <c r="AZ120" s="44"/>
      <c r="BA120" s="43"/>
      <c r="BB120" s="43"/>
      <c r="BC120" s="43"/>
      <c r="BD120" s="43"/>
      <c r="BE120" s="43"/>
      <c r="BF120" s="43"/>
      <c r="BG120" s="43"/>
    </row>
    <row r="121" spans="1:59" x14ac:dyDescent="0.25">
      <c r="A121" s="13"/>
      <c r="B121" s="22"/>
      <c r="C121" s="22"/>
      <c r="D121" s="14"/>
      <c r="E121" s="14"/>
      <c r="F121" s="33"/>
      <c r="G121" s="33"/>
      <c r="H121" s="33"/>
      <c r="I121" s="33"/>
      <c r="J121" s="33"/>
      <c r="K121" s="33"/>
      <c r="L121" s="34"/>
      <c r="M121" s="34"/>
      <c r="N121" s="35"/>
      <c r="O121" s="35"/>
      <c r="P121" s="35"/>
      <c r="Q121" s="34"/>
      <c r="R121" s="35"/>
      <c r="S121" s="34"/>
      <c r="T121" s="34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57"/>
      <c r="AF121" s="57"/>
      <c r="AG121" s="48"/>
      <c r="AH121" s="48"/>
      <c r="AI121" s="48"/>
      <c r="AJ121" s="48"/>
      <c r="AK121" s="48"/>
      <c r="AL121" s="48"/>
      <c r="AM121" s="48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43"/>
      <c r="AY121" s="43"/>
      <c r="AZ121" s="44"/>
      <c r="BA121" s="43"/>
      <c r="BB121" s="43"/>
      <c r="BC121" s="43"/>
      <c r="BD121" s="43"/>
      <c r="BE121" s="43"/>
      <c r="BF121" s="43"/>
      <c r="BG121" s="43"/>
    </row>
    <row r="122" spans="1:59" x14ac:dyDescent="0.25">
      <c r="A122" s="13"/>
      <c r="B122" s="22"/>
      <c r="C122" s="22"/>
      <c r="D122" s="14"/>
      <c r="E122" s="14"/>
      <c r="F122" s="33"/>
      <c r="G122" s="33"/>
      <c r="H122" s="33"/>
      <c r="I122" s="33"/>
      <c r="J122" s="33"/>
      <c r="K122" s="33"/>
      <c r="L122" s="34"/>
      <c r="M122" s="34"/>
      <c r="N122" s="35"/>
      <c r="O122" s="35"/>
      <c r="P122" s="35"/>
      <c r="Q122" s="34"/>
      <c r="R122" s="35"/>
      <c r="S122" s="34"/>
      <c r="T122" s="34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57"/>
      <c r="AF122" s="57"/>
      <c r="AG122" s="48"/>
      <c r="AH122" s="48"/>
      <c r="AI122" s="48"/>
      <c r="AJ122" s="48"/>
      <c r="AK122" s="48"/>
      <c r="AL122" s="48"/>
      <c r="AM122" s="48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43"/>
      <c r="AY122" s="43"/>
      <c r="AZ122" s="44"/>
      <c r="BA122" s="43"/>
      <c r="BB122" s="43"/>
      <c r="BC122" s="43"/>
      <c r="BD122" s="43"/>
      <c r="BE122" s="43"/>
      <c r="BF122" s="43"/>
      <c r="BG122" s="43"/>
    </row>
    <row r="123" spans="1:59" x14ac:dyDescent="0.25">
      <c r="A123" s="13"/>
      <c r="B123" s="22"/>
      <c r="C123" s="22"/>
      <c r="D123" s="14"/>
      <c r="E123" s="14"/>
      <c r="F123" s="33"/>
      <c r="G123" s="33"/>
      <c r="H123" s="33"/>
      <c r="I123" s="33"/>
      <c r="J123" s="33"/>
      <c r="K123" s="33"/>
      <c r="L123" s="34"/>
      <c r="M123" s="34"/>
      <c r="N123" s="35"/>
      <c r="O123" s="35"/>
      <c r="P123" s="35"/>
      <c r="Q123" s="34"/>
      <c r="R123" s="35"/>
      <c r="S123" s="34"/>
      <c r="T123" s="34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57"/>
      <c r="AF123" s="57"/>
      <c r="AG123" s="48"/>
      <c r="AH123" s="48"/>
      <c r="AI123" s="48"/>
      <c r="AJ123" s="48"/>
      <c r="AK123" s="48"/>
      <c r="AL123" s="48"/>
      <c r="AM123" s="48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43"/>
      <c r="AY123" s="43"/>
      <c r="AZ123" s="44"/>
      <c r="BA123" s="43"/>
      <c r="BB123" s="43"/>
      <c r="BC123" s="43"/>
      <c r="BD123" s="43"/>
      <c r="BE123" s="43"/>
      <c r="BF123" s="43"/>
      <c r="BG123" s="43"/>
    </row>
    <row r="124" spans="1:59" x14ac:dyDescent="0.25">
      <c r="A124" s="13"/>
      <c r="B124" s="22"/>
      <c r="C124" s="22"/>
      <c r="D124" s="14"/>
      <c r="E124" s="14"/>
      <c r="F124" s="33"/>
      <c r="G124" s="33"/>
      <c r="H124" s="33"/>
      <c r="I124" s="33"/>
      <c r="J124" s="33"/>
      <c r="K124" s="33"/>
      <c r="L124" s="34"/>
      <c r="M124" s="34"/>
      <c r="N124" s="35"/>
      <c r="O124" s="35"/>
      <c r="P124" s="35"/>
      <c r="Q124" s="34"/>
      <c r="R124" s="35"/>
      <c r="S124" s="34"/>
      <c r="T124" s="34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57"/>
      <c r="AF124" s="57"/>
      <c r="AG124" s="48"/>
      <c r="AH124" s="48"/>
      <c r="AI124" s="48"/>
      <c r="AJ124" s="48"/>
      <c r="AK124" s="48"/>
      <c r="AL124" s="48"/>
      <c r="AM124" s="48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43"/>
      <c r="AY124" s="43"/>
      <c r="AZ124" s="44"/>
      <c r="BA124" s="43"/>
      <c r="BB124" s="43"/>
      <c r="BC124" s="43"/>
      <c r="BD124" s="43"/>
      <c r="BE124" s="43"/>
      <c r="BF124" s="43"/>
      <c r="BG124" s="43"/>
    </row>
    <row r="125" spans="1:59" x14ac:dyDescent="0.25">
      <c r="A125" s="13"/>
      <c r="B125" s="22"/>
      <c r="C125" s="22"/>
      <c r="D125" s="14"/>
      <c r="E125" s="14"/>
      <c r="F125" s="33"/>
      <c r="G125" s="33"/>
      <c r="H125" s="33"/>
      <c r="I125" s="33"/>
      <c r="J125" s="33"/>
      <c r="K125" s="33"/>
      <c r="L125" s="34"/>
      <c r="M125" s="34"/>
      <c r="N125" s="35"/>
      <c r="O125" s="35"/>
      <c r="P125" s="35"/>
      <c r="Q125" s="34"/>
      <c r="R125" s="35"/>
      <c r="S125" s="34"/>
      <c r="T125" s="34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57"/>
      <c r="AF125" s="57"/>
      <c r="AG125" s="48"/>
      <c r="AH125" s="48"/>
      <c r="AI125" s="48"/>
      <c r="AJ125" s="48"/>
      <c r="AK125" s="48"/>
      <c r="AL125" s="48"/>
      <c r="AM125" s="48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43"/>
      <c r="AY125" s="43"/>
      <c r="AZ125" s="44"/>
      <c r="BA125" s="43"/>
      <c r="BB125" s="43"/>
      <c r="BC125" s="43"/>
      <c r="BD125" s="43"/>
      <c r="BE125" s="43"/>
      <c r="BF125" s="43"/>
      <c r="BG125" s="43"/>
    </row>
    <row r="126" spans="1:59" x14ac:dyDescent="0.25">
      <c r="A126" s="13"/>
      <c r="B126" s="22"/>
      <c r="C126" s="22"/>
      <c r="D126" s="14"/>
      <c r="E126" s="14"/>
      <c r="F126" s="33"/>
      <c r="G126" s="33"/>
      <c r="H126" s="33"/>
      <c r="I126" s="33"/>
      <c r="J126" s="33"/>
      <c r="K126" s="33"/>
      <c r="L126" s="34"/>
      <c r="M126" s="34"/>
      <c r="N126" s="35"/>
      <c r="O126" s="35"/>
      <c r="P126" s="35"/>
      <c r="Q126" s="34"/>
      <c r="R126" s="35"/>
      <c r="S126" s="34"/>
      <c r="T126" s="34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57"/>
      <c r="AF126" s="57"/>
      <c r="AG126" s="48"/>
      <c r="AH126" s="48"/>
      <c r="AI126" s="48"/>
      <c r="AJ126" s="48"/>
      <c r="AK126" s="48"/>
      <c r="AL126" s="48"/>
      <c r="AM126" s="48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43"/>
      <c r="AY126" s="43"/>
      <c r="AZ126" s="44"/>
      <c r="BA126" s="43"/>
      <c r="BB126" s="43"/>
      <c r="BC126" s="43"/>
      <c r="BD126" s="43"/>
      <c r="BE126" s="43"/>
      <c r="BF126" s="43"/>
      <c r="BG126" s="43"/>
    </row>
    <row r="127" spans="1:59" x14ac:dyDescent="0.25">
      <c r="A127" s="13"/>
      <c r="B127" s="22"/>
      <c r="C127" s="22"/>
      <c r="D127" s="14"/>
      <c r="E127" s="14"/>
      <c r="F127" s="33"/>
      <c r="G127" s="33"/>
      <c r="H127" s="33"/>
      <c r="I127" s="33"/>
      <c r="J127" s="33"/>
      <c r="K127" s="33"/>
      <c r="L127" s="34"/>
      <c r="M127" s="34"/>
      <c r="N127" s="35"/>
      <c r="O127" s="35"/>
      <c r="P127" s="35"/>
      <c r="Q127" s="34"/>
      <c r="R127" s="35"/>
      <c r="S127" s="34"/>
      <c r="T127" s="34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57"/>
      <c r="AF127" s="57"/>
      <c r="AG127" s="48"/>
      <c r="AH127" s="48"/>
      <c r="AI127" s="48"/>
      <c r="AJ127" s="48"/>
      <c r="AK127" s="48"/>
      <c r="AL127" s="48"/>
      <c r="AM127" s="48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43"/>
      <c r="AY127" s="43"/>
      <c r="AZ127" s="44"/>
      <c r="BA127" s="43"/>
      <c r="BB127" s="43"/>
      <c r="BC127" s="43"/>
      <c r="BD127" s="43"/>
      <c r="BE127" s="43"/>
      <c r="BF127" s="43"/>
      <c r="BG127" s="43"/>
    </row>
    <row r="128" spans="1:59" x14ac:dyDescent="0.25">
      <c r="A128" s="13"/>
      <c r="B128" s="22"/>
      <c r="C128" s="22"/>
      <c r="D128" s="14"/>
      <c r="E128" s="14"/>
      <c r="F128" s="33"/>
      <c r="G128" s="33"/>
      <c r="H128" s="33"/>
      <c r="I128" s="33"/>
      <c r="J128" s="33"/>
      <c r="K128" s="33"/>
      <c r="L128" s="34"/>
      <c r="M128" s="34"/>
      <c r="N128" s="35"/>
      <c r="O128" s="35"/>
      <c r="P128" s="35"/>
      <c r="Q128" s="34"/>
      <c r="R128" s="35"/>
      <c r="S128" s="34"/>
      <c r="T128" s="34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57"/>
      <c r="AF128" s="57"/>
      <c r="AG128" s="48"/>
      <c r="AH128" s="48"/>
      <c r="AI128" s="48"/>
      <c r="AJ128" s="48"/>
      <c r="AK128" s="48"/>
      <c r="AL128" s="48"/>
      <c r="AM128" s="48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43"/>
      <c r="AY128" s="43"/>
      <c r="AZ128" s="44"/>
      <c r="BA128" s="43"/>
      <c r="BB128" s="43"/>
      <c r="BC128" s="43"/>
      <c r="BD128" s="43"/>
      <c r="BE128" s="43"/>
      <c r="BF128" s="43"/>
      <c r="BG128" s="43"/>
    </row>
    <row r="129" spans="1:59" x14ac:dyDescent="0.25">
      <c r="A129" s="13"/>
      <c r="B129" s="22"/>
      <c r="C129" s="22"/>
      <c r="D129" s="14"/>
      <c r="E129" s="14"/>
      <c r="F129" s="33"/>
      <c r="G129" s="33"/>
      <c r="H129" s="33"/>
      <c r="I129" s="33"/>
      <c r="J129" s="33"/>
      <c r="K129" s="33"/>
      <c r="L129" s="34"/>
      <c r="M129" s="34"/>
      <c r="N129" s="35"/>
      <c r="O129" s="35"/>
      <c r="P129" s="35"/>
      <c r="Q129" s="34"/>
      <c r="R129" s="35"/>
      <c r="S129" s="34"/>
      <c r="T129" s="34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57"/>
      <c r="AF129" s="57"/>
      <c r="AG129" s="48"/>
      <c r="AH129" s="48"/>
      <c r="AI129" s="48"/>
      <c r="AJ129" s="48"/>
      <c r="AK129" s="48"/>
      <c r="AL129" s="48"/>
      <c r="AM129" s="48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43"/>
      <c r="AY129" s="43"/>
      <c r="AZ129" s="44"/>
      <c r="BA129" s="43"/>
      <c r="BB129" s="43"/>
      <c r="BC129" s="43"/>
      <c r="BD129" s="43"/>
      <c r="BE129" s="43"/>
      <c r="BF129" s="43"/>
      <c r="BG129" s="43"/>
    </row>
    <row r="130" spans="1:59" x14ac:dyDescent="0.25">
      <c r="A130" s="13"/>
      <c r="B130" s="22"/>
      <c r="C130" s="22"/>
      <c r="D130" s="14"/>
      <c r="E130" s="14"/>
      <c r="F130" s="33"/>
      <c r="G130" s="33"/>
      <c r="H130" s="33"/>
      <c r="I130" s="33"/>
      <c r="J130" s="33"/>
      <c r="K130" s="33"/>
      <c r="L130" s="34"/>
      <c r="M130" s="34"/>
      <c r="N130" s="35"/>
      <c r="O130" s="35"/>
      <c r="P130" s="35"/>
      <c r="Q130" s="34"/>
      <c r="R130" s="35"/>
      <c r="S130" s="34"/>
      <c r="T130" s="34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57"/>
      <c r="AF130" s="57"/>
      <c r="AG130" s="48"/>
      <c r="AH130" s="48"/>
      <c r="AI130" s="48"/>
      <c r="AJ130" s="48"/>
      <c r="AK130" s="48"/>
      <c r="AL130" s="48"/>
      <c r="AM130" s="48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43"/>
      <c r="AY130" s="43"/>
      <c r="AZ130" s="44"/>
      <c r="BA130" s="43"/>
      <c r="BB130" s="43"/>
      <c r="BC130" s="43"/>
      <c r="BD130" s="43"/>
      <c r="BE130" s="43"/>
      <c r="BF130" s="43"/>
      <c r="BG130" s="43"/>
    </row>
    <row r="131" spans="1:59" x14ac:dyDescent="0.25">
      <c r="A131" s="13"/>
      <c r="B131" s="22"/>
      <c r="C131" s="22"/>
      <c r="D131" s="14"/>
      <c r="E131" s="14"/>
      <c r="F131" s="33"/>
      <c r="G131" s="33"/>
      <c r="H131" s="33"/>
      <c r="I131" s="33"/>
      <c r="J131" s="33"/>
      <c r="K131" s="33"/>
      <c r="L131" s="34"/>
      <c r="M131" s="34"/>
      <c r="N131" s="35"/>
      <c r="O131" s="35"/>
      <c r="P131" s="35"/>
      <c r="Q131" s="34"/>
      <c r="R131" s="35"/>
      <c r="S131" s="34"/>
      <c r="T131" s="34"/>
      <c r="U131" s="36"/>
      <c r="V131" s="36"/>
      <c r="W131" s="36"/>
      <c r="X131" s="36"/>
      <c r="Y131" s="36"/>
      <c r="Z131" s="36"/>
      <c r="AA131" s="36"/>
      <c r="AB131" s="36"/>
      <c r="AC131" s="33"/>
      <c r="AD131" s="36"/>
      <c r="AE131" s="57"/>
      <c r="AF131" s="57"/>
      <c r="AG131" s="48"/>
      <c r="AH131" s="48"/>
      <c r="AI131" s="48"/>
      <c r="AJ131" s="48"/>
      <c r="AK131" s="48"/>
      <c r="AL131" s="48"/>
      <c r="AM131" s="48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43"/>
      <c r="AY131" s="43"/>
      <c r="AZ131" s="44"/>
      <c r="BA131" s="43"/>
      <c r="BB131" s="43"/>
      <c r="BC131" s="43"/>
      <c r="BD131" s="43"/>
      <c r="BE131" s="43"/>
      <c r="BF131" s="43"/>
      <c r="BG131" s="43"/>
    </row>
    <row r="132" spans="1:59" x14ac:dyDescent="0.25">
      <c r="A132" s="13"/>
      <c r="B132" s="22"/>
      <c r="C132" s="22"/>
      <c r="D132" s="14"/>
      <c r="E132" s="14"/>
      <c r="F132" s="33"/>
      <c r="G132" s="33"/>
      <c r="H132" s="33"/>
      <c r="I132" s="33"/>
      <c r="J132" s="33"/>
      <c r="K132" s="33"/>
      <c r="L132" s="34"/>
      <c r="M132" s="34"/>
      <c r="N132" s="35"/>
      <c r="O132" s="35"/>
      <c r="P132" s="35"/>
      <c r="Q132" s="34"/>
      <c r="R132" s="35"/>
      <c r="S132" s="34"/>
      <c r="T132" s="34"/>
      <c r="U132" s="36"/>
      <c r="V132" s="36"/>
      <c r="W132" s="36"/>
      <c r="X132" s="36"/>
      <c r="Y132" s="36"/>
      <c r="Z132" s="36"/>
      <c r="AA132" s="36"/>
      <c r="AB132" s="36"/>
      <c r="AC132" s="33"/>
      <c r="AD132" s="36"/>
      <c r="AE132" s="57"/>
      <c r="AF132" s="57"/>
      <c r="AG132" s="48"/>
      <c r="AH132" s="48"/>
      <c r="AI132" s="48"/>
      <c r="AJ132" s="48"/>
      <c r="AK132" s="48"/>
      <c r="AL132" s="48"/>
      <c r="AM132" s="48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43"/>
      <c r="AY132" s="43"/>
      <c r="AZ132" s="44"/>
      <c r="BA132" s="43"/>
      <c r="BB132" s="43"/>
      <c r="BC132" s="43"/>
      <c r="BD132" s="43"/>
      <c r="BE132" s="43"/>
      <c r="BF132" s="43"/>
      <c r="BG132" s="43"/>
    </row>
    <row r="133" spans="1:59" x14ac:dyDescent="0.25">
      <c r="A133" s="13"/>
      <c r="B133" s="22"/>
      <c r="C133" s="22"/>
      <c r="D133" s="14"/>
      <c r="E133" s="14"/>
      <c r="F133" s="33"/>
      <c r="G133" s="33"/>
      <c r="H133" s="33"/>
      <c r="I133" s="33"/>
      <c r="J133" s="33"/>
      <c r="K133" s="33"/>
      <c r="L133" s="34"/>
      <c r="M133" s="34"/>
      <c r="N133" s="35"/>
      <c r="O133" s="35"/>
      <c r="P133" s="35"/>
      <c r="Q133" s="34"/>
      <c r="R133" s="35"/>
      <c r="S133" s="34"/>
      <c r="T133" s="34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57"/>
      <c r="AF133" s="57"/>
      <c r="AG133" s="48"/>
      <c r="AH133" s="48"/>
      <c r="AI133" s="48"/>
      <c r="AJ133" s="48"/>
      <c r="AK133" s="48"/>
      <c r="AL133" s="48"/>
      <c r="AM133" s="48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43"/>
      <c r="AY133" s="43"/>
      <c r="AZ133" s="44"/>
      <c r="BA133" s="43"/>
      <c r="BB133" s="43"/>
      <c r="BC133" s="43"/>
      <c r="BD133" s="43"/>
      <c r="BE133" s="43"/>
      <c r="BF133" s="43"/>
      <c r="BG133" s="43"/>
    </row>
    <row r="134" spans="1:59" x14ac:dyDescent="0.25">
      <c r="A134" s="13"/>
      <c r="B134" s="22"/>
      <c r="C134" s="22"/>
      <c r="D134" s="14"/>
      <c r="E134" s="14"/>
      <c r="F134" s="33"/>
      <c r="G134" s="33"/>
      <c r="H134" s="33"/>
      <c r="I134" s="33"/>
      <c r="J134" s="33"/>
      <c r="K134" s="33"/>
      <c r="L134" s="34"/>
      <c r="M134" s="34"/>
      <c r="N134" s="35"/>
      <c r="O134" s="35"/>
      <c r="P134" s="35"/>
      <c r="Q134" s="34"/>
      <c r="R134" s="35"/>
      <c r="S134" s="34"/>
      <c r="T134" s="34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57"/>
      <c r="AF134" s="57"/>
      <c r="AG134" s="48"/>
      <c r="AH134" s="48"/>
      <c r="AI134" s="48"/>
      <c r="AJ134" s="48"/>
      <c r="AK134" s="48"/>
      <c r="AL134" s="48"/>
      <c r="AM134" s="48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43"/>
      <c r="AY134" s="43"/>
      <c r="AZ134" s="44"/>
      <c r="BA134" s="43"/>
      <c r="BB134" s="43"/>
      <c r="BC134" s="43"/>
      <c r="BD134" s="43"/>
      <c r="BE134" s="43"/>
      <c r="BF134" s="43"/>
      <c r="BG134" s="43"/>
    </row>
    <row r="135" spans="1:59" x14ac:dyDescent="0.25">
      <c r="A135" s="13"/>
      <c r="B135" s="22"/>
      <c r="C135" s="22"/>
      <c r="D135" s="14"/>
      <c r="E135" s="14"/>
      <c r="F135" s="33"/>
      <c r="G135" s="33"/>
      <c r="H135" s="33"/>
      <c r="I135" s="33"/>
      <c r="J135" s="33"/>
      <c r="K135" s="33"/>
      <c r="L135" s="34"/>
      <c r="M135" s="34"/>
      <c r="N135" s="35"/>
      <c r="O135" s="35"/>
      <c r="P135" s="35"/>
      <c r="Q135" s="34"/>
      <c r="R135" s="35"/>
      <c r="S135" s="34"/>
      <c r="T135" s="34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57"/>
      <c r="AF135" s="57"/>
      <c r="AG135" s="48"/>
      <c r="AH135" s="48"/>
      <c r="AI135" s="48"/>
      <c r="AJ135" s="48"/>
      <c r="AK135" s="48"/>
      <c r="AL135" s="48"/>
      <c r="AM135" s="48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43"/>
      <c r="AY135" s="43"/>
      <c r="AZ135" s="44"/>
      <c r="BA135" s="43"/>
      <c r="BB135" s="43"/>
      <c r="BC135" s="43"/>
      <c r="BD135" s="43"/>
      <c r="BE135" s="43"/>
      <c r="BF135" s="43"/>
      <c r="BG135" s="43"/>
    </row>
    <row r="136" spans="1:59" x14ac:dyDescent="0.25">
      <c r="A136" s="13"/>
      <c r="B136" s="22"/>
      <c r="C136" s="22"/>
      <c r="D136" s="14"/>
      <c r="E136" s="14"/>
      <c r="F136" s="33"/>
      <c r="G136" s="33"/>
      <c r="H136" s="33"/>
      <c r="I136" s="33"/>
      <c r="J136" s="33"/>
      <c r="K136" s="33"/>
      <c r="L136" s="34"/>
      <c r="M136" s="34"/>
      <c r="N136" s="35"/>
      <c r="O136" s="35"/>
      <c r="P136" s="35"/>
      <c r="Q136" s="34"/>
      <c r="R136" s="35"/>
      <c r="S136" s="34"/>
      <c r="T136" s="34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57"/>
      <c r="AF136" s="57"/>
      <c r="AG136" s="48"/>
      <c r="AH136" s="48"/>
      <c r="AI136" s="48"/>
      <c r="AJ136" s="48"/>
      <c r="AK136" s="48"/>
      <c r="AL136" s="48"/>
      <c r="AM136" s="48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43"/>
      <c r="AY136" s="43"/>
      <c r="AZ136" s="44"/>
      <c r="BA136" s="43"/>
      <c r="BB136" s="43"/>
      <c r="BC136" s="43"/>
      <c r="BD136" s="43"/>
      <c r="BE136" s="43"/>
      <c r="BF136" s="43"/>
      <c r="BG136" s="43"/>
    </row>
    <row r="137" spans="1:59" x14ac:dyDescent="0.25">
      <c r="A137" s="13"/>
      <c r="B137" s="22"/>
      <c r="C137" s="22"/>
      <c r="D137" s="14"/>
      <c r="E137" s="14"/>
      <c r="F137" s="33"/>
      <c r="G137" s="33"/>
      <c r="H137" s="33"/>
      <c r="I137" s="33"/>
      <c r="J137" s="33"/>
      <c r="K137" s="33"/>
      <c r="L137" s="34"/>
      <c r="M137" s="34"/>
      <c r="N137" s="35"/>
      <c r="O137" s="35"/>
      <c r="P137" s="35"/>
      <c r="Q137" s="34"/>
      <c r="R137" s="35"/>
      <c r="S137" s="34"/>
      <c r="T137" s="34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57"/>
      <c r="AF137" s="57"/>
      <c r="AG137" s="48"/>
      <c r="AH137" s="48"/>
      <c r="AI137" s="48"/>
      <c r="AJ137" s="48"/>
      <c r="AK137" s="48"/>
      <c r="AL137" s="48"/>
      <c r="AM137" s="48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43"/>
      <c r="AY137" s="43"/>
      <c r="AZ137" s="44"/>
      <c r="BA137" s="43"/>
      <c r="BB137" s="43"/>
      <c r="BC137" s="43"/>
      <c r="BD137" s="43"/>
      <c r="BE137" s="43"/>
      <c r="BF137" s="43"/>
      <c r="BG137" s="43"/>
    </row>
    <row r="138" spans="1:59" x14ac:dyDescent="0.25">
      <c r="A138" s="13"/>
      <c r="B138" s="22"/>
      <c r="C138" s="22"/>
      <c r="D138" s="14"/>
      <c r="E138" s="14"/>
      <c r="F138" s="33"/>
      <c r="G138" s="33"/>
      <c r="H138" s="33"/>
      <c r="I138" s="33"/>
      <c r="J138" s="33"/>
      <c r="K138" s="33"/>
      <c r="L138" s="34"/>
      <c r="M138" s="34"/>
      <c r="N138" s="35"/>
      <c r="O138" s="35"/>
      <c r="P138" s="35"/>
      <c r="Q138" s="34"/>
      <c r="R138" s="35"/>
      <c r="S138" s="34"/>
      <c r="T138" s="34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57"/>
      <c r="AF138" s="57"/>
      <c r="AG138" s="48"/>
      <c r="AH138" s="48"/>
      <c r="AI138" s="48"/>
      <c r="AJ138" s="48"/>
      <c r="AK138" s="48"/>
      <c r="AL138" s="48"/>
      <c r="AM138" s="48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43"/>
      <c r="AY138" s="43"/>
      <c r="AZ138" s="44"/>
      <c r="BA138" s="43"/>
      <c r="BB138" s="43"/>
      <c r="BC138" s="43"/>
      <c r="BD138" s="43"/>
      <c r="BE138" s="43"/>
      <c r="BF138" s="43"/>
      <c r="BG138" s="43"/>
    </row>
    <row r="139" spans="1:59" x14ac:dyDescent="0.25">
      <c r="A139" s="13"/>
      <c r="B139" s="22"/>
      <c r="C139" s="22"/>
      <c r="D139" s="14"/>
      <c r="E139" s="14"/>
      <c r="F139" s="33"/>
      <c r="G139" s="33"/>
      <c r="H139" s="33"/>
      <c r="I139" s="33"/>
      <c r="J139" s="33"/>
      <c r="K139" s="33"/>
      <c r="L139" s="34"/>
      <c r="M139" s="34"/>
      <c r="N139" s="35"/>
      <c r="O139" s="35"/>
      <c r="P139" s="35"/>
      <c r="Q139" s="34"/>
      <c r="R139" s="35"/>
      <c r="S139" s="34"/>
      <c r="T139" s="34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57"/>
      <c r="AF139" s="57"/>
      <c r="AG139" s="48"/>
      <c r="AH139" s="48"/>
      <c r="AI139" s="48"/>
      <c r="AJ139" s="48"/>
      <c r="AK139" s="48"/>
      <c r="AL139" s="48"/>
      <c r="AM139" s="48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43"/>
      <c r="AY139" s="43"/>
      <c r="AZ139" s="44"/>
      <c r="BA139" s="43"/>
      <c r="BB139" s="43"/>
      <c r="BC139" s="43"/>
      <c r="BD139" s="43"/>
      <c r="BE139" s="43"/>
      <c r="BF139" s="43"/>
      <c r="BG139" s="43"/>
    </row>
    <row r="140" spans="1:59" x14ac:dyDescent="0.25">
      <c r="A140" s="13"/>
      <c r="B140" s="22"/>
      <c r="C140" s="22"/>
      <c r="D140" s="14"/>
      <c r="E140" s="14"/>
      <c r="F140" s="33"/>
      <c r="G140" s="33"/>
      <c r="H140" s="33"/>
      <c r="I140" s="33"/>
      <c r="J140" s="33"/>
      <c r="K140" s="33"/>
      <c r="L140" s="34"/>
      <c r="M140" s="34"/>
      <c r="N140" s="35"/>
      <c r="O140" s="35"/>
      <c r="P140" s="35"/>
      <c r="Q140" s="34"/>
      <c r="R140" s="35"/>
      <c r="S140" s="34"/>
      <c r="T140" s="34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57"/>
      <c r="AF140" s="57"/>
      <c r="AG140" s="48"/>
      <c r="AH140" s="48"/>
      <c r="AI140" s="48"/>
      <c r="AJ140" s="48"/>
      <c r="AK140" s="48"/>
      <c r="AL140" s="48"/>
      <c r="AM140" s="48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43"/>
      <c r="AY140" s="43"/>
      <c r="AZ140" s="44"/>
      <c r="BA140" s="43"/>
      <c r="BB140" s="43"/>
      <c r="BC140" s="43"/>
      <c r="BD140" s="43"/>
      <c r="BE140" s="43"/>
      <c r="BF140" s="43"/>
      <c r="BG140" s="43"/>
    </row>
    <row r="141" spans="1:59" x14ac:dyDescent="0.25">
      <c r="A141" s="13"/>
      <c r="B141" s="22"/>
      <c r="C141" s="22"/>
      <c r="D141" s="14"/>
      <c r="E141" s="14"/>
      <c r="F141" s="33"/>
      <c r="G141" s="33"/>
      <c r="H141" s="33"/>
      <c r="I141" s="33"/>
      <c r="J141" s="33"/>
      <c r="K141" s="33"/>
      <c r="L141" s="34"/>
      <c r="M141" s="34"/>
      <c r="N141" s="35"/>
      <c r="O141" s="35"/>
      <c r="P141" s="35"/>
      <c r="Q141" s="34"/>
      <c r="R141" s="35"/>
      <c r="S141" s="34"/>
      <c r="T141" s="34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57"/>
      <c r="AF141" s="57"/>
      <c r="AG141" s="48"/>
      <c r="AH141" s="48"/>
      <c r="AI141" s="48"/>
      <c r="AJ141" s="48"/>
      <c r="AK141" s="48"/>
      <c r="AL141" s="48"/>
      <c r="AM141" s="48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43"/>
      <c r="AY141" s="43"/>
      <c r="AZ141" s="44"/>
      <c r="BA141" s="43"/>
      <c r="BB141" s="43"/>
      <c r="BC141" s="43"/>
      <c r="BD141" s="43"/>
      <c r="BE141" s="43"/>
      <c r="BF141" s="43"/>
      <c r="BG141" s="43"/>
    </row>
    <row r="142" spans="1:59" x14ac:dyDescent="0.25">
      <c r="A142" s="13"/>
      <c r="B142" s="22"/>
      <c r="C142" s="22"/>
      <c r="D142" s="14"/>
      <c r="E142" s="14"/>
      <c r="F142" s="33"/>
      <c r="G142" s="33"/>
      <c r="H142" s="33"/>
      <c r="I142" s="33"/>
      <c r="J142" s="33"/>
      <c r="K142" s="33"/>
      <c r="L142" s="34"/>
      <c r="M142" s="34"/>
      <c r="N142" s="35"/>
      <c r="O142" s="35"/>
      <c r="P142" s="35"/>
      <c r="Q142" s="34"/>
      <c r="R142" s="35"/>
      <c r="S142" s="34"/>
      <c r="T142" s="34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57"/>
      <c r="AF142" s="57"/>
      <c r="AG142" s="48"/>
      <c r="AH142" s="48"/>
      <c r="AI142" s="48"/>
      <c r="AJ142" s="48"/>
      <c r="AK142" s="48"/>
      <c r="AL142" s="48"/>
      <c r="AM142" s="48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43"/>
      <c r="AY142" s="43"/>
      <c r="AZ142" s="44"/>
      <c r="BA142" s="43"/>
      <c r="BB142" s="43"/>
      <c r="BC142" s="43"/>
      <c r="BD142" s="43"/>
      <c r="BE142" s="43"/>
      <c r="BF142" s="43"/>
      <c r="BG142" s="43"/>
    </row>
    <row r="143" spans="1:59" x14ac:dyDescent="0.25">
      <c r="A143" s="13"/>
      <c r="B143" s="22"/>
      <c r="C143" s="22"/>
      <c r="D143" s="14"/>
      <c r="E143" s="14"/>
      <c r="F143" s="33"/>
      <c r="G143" s="33"/>
      <c r="H143" s="33"/>
      <c r="I143" s="33"/>
      <c r="J143" s="33"/>
      <c r="K143" s="33"/>
      <c r="L143" s="34"/>
      <c r="M143" s="34"/>
      <c r="N143" s="35"/>
      <c r="O143" s="35"/>
      <c r="P143" s="35"/>
      <c r="Q143" s="34"/>
      <c r="R143" s="35"/>
      <c r="S143" s="34"/>
      <c r="T143" s="34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57"/>
      <c r="AF143" s="57"/>
      <c r="AG143" s="48"/>
      <c r="AH143" s="48"/>
      <c r="AI143" s="48"/>
      <c r="AJ143" s="48"/>
      <c r="AK143" s="48"/>
      <c r="AL143" s="48"/>
      <c r="AM143" s="48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43"/>
      <c r="AY143" s="43"/>
      <c r="AZ143" s="44"/>
      <c r="BA143" s="43"/>
      <c r="BB143" s="43"/>
      <c r="BC143" s="43"/>
      <c r="BD143" s="43"/>
      <c r="BE143" s="43"/>
      <c r="BF143" s="43"/>
      <c r="BG143" s="43"/>
    </row>
    <row r="144" spans="1:59" x14ac:dyDescent="0.25">
      <c r="A144" s="13"/>
      <c r="B144" s="22"/>
      <c r="C144" s="22"/>
      <c r="D144" s="14"/>
      <c r="E144" s="14"/>
      <c r="F144" s="33"/>
      <c r="G144" s="33"/>
      <c r="H144" s="33"/>
      <c r="I144" s="33"/>
      <c r="J144" s="33"/>
      <c r="K144" s="33"/>
      <c r="L144" s="34"/>
      <c r="M144" s="34"/>
      <c r="N144" s="35"/>
      <c r="O144" s="35"/>
      <c r="P144" s="35"/>
      <c r="Q144" s="34"/>
      <c r="R144" s="35"/>
      <c r="S144" s="34"/>
      <c r="T144" s="34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57"/>
      <c r="AF144" s="57"/>
      <c r="AG144" s="48"/>
      <c r="AH144" s="48"/>
      <c r="AI144" s="48"/>
      <c r="AJ144" s="48"/>
      <c r="AK144" s="48"/>
      <c r="AL144" s="48"/>
      <c r="AM144" s="48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43"/>
      <c r="AY144" s="43"/>
      <c r="AZ144" s="44"/>
      <c r="BA144" s="43"/>
      <c r="BB144" s="43"/>
      <c r="BC144" s="43"/>
      <c r="BD144" s="43"/>
      <c r="BE144" s="43"/>
      <c r="BF144" s="43"/>
      <c r="BG144" s="43"/>
    </row>
    <row r="145" spans="1:59" x14ac:dyDescent="0.25">
      <c r="A145" s="13"/>
      <c r="B145" s="22"/>
      <c r="C145" s="22"/>
      <c r="D145" s="14"/>
      <c r="E145" s="14"/>
      <c r="F145" s="33"/>
      <c r="G145" s="33"/>
      <c r="H145" s="33"/>
      <c r="I145" s="33"/>
      <c r="J145" s="33"/>
      <c r="K145" s="33"/>
      <c r="L145" s="34"/>
      <c r="M145" s="34"/>
      <c r="N145" s="35"/>
      <c r="O145" s="35"/>
      <c r="P145" s="35"/>
      <c r="Q145" s="34"/>
      <c r="R145" s="35"/>
      <c r="S145" s="34"/>
      <c r="T145" s="34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57"/>
      <c r="AF145" s="57"/>
      <c r="AG145" s="48"/>
      <c r="AH145" s="48"/>
      <c r="AI145" s="48"/>
      <c r="AJ145" s="48"/>
      <c r="AK145" s="48"/>
      <c r="AL145" s="48"/>
      <c r="AM145" s="48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43"/>
      <c r="AY145" s="43"/>
      <c r="AZ145" s="44"/>
      <c r="BA145" s="43"/>
      <c r="BB145" s="43"/>
      <c r="BC145" s="43"/>
      <c r="BD145" s="43"/>
      <c r="BE145" s="43"/>
      <c r="BF145" s="43"/>
      <c r="BG145" s="43"/>
    </row>
    <row r="146" spans="1:59" x14ac:dyDescent="0.25">
      <c r="A146" s="13"/>
      <c r="B146" s="22"/>
      <c r="C146" s="22"/>
      <c r="D146" s="14"/>
      <c r="E146" s="14"/>
      <c r="F146" s="33"/>
      <c r="G146" s="33"/>
      <c r="H146" s="33"/>
      <c r="I146" s="33"/>
      <c r="J146" s="33"/>
      <c r="K146" s="33"/>
      <c r="L146" s="34"/>
      <c r="M146" s="34"/>
      <c r="N146" s="35"/>
      <c r="O146" s="35"/>
      <c r="P146" s="35"/>
      <c r="Q146" s="34"/>
      <c r="R146" s="35"/>
      <c r="S146" s="34"/>
      <c r="T146" s="34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57"/>
      <c r="AF146" s="57"/>
      <c r="AG146" s="48"/>
      <c r="AH146" s="48"/>
      <c r="AI146" s="48"/>
      <c r="AJ146" s="48"/>
      <c r="AK146" s="48"/>
      <c r="AL146" s="48"/>
      <c r="AM146" s="48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43"/>
      <c r="AY146" s="43"/>
      <c r="AZ146" s="44"/>
      <c r="BA146" s="43"/>
      <c r="BB146" s="43"/>
      <c r="BC146" s="43"/>
      <c r="BD146" s="43"/>
      <c r="BE146" s="43"/>
      <c r="BF146" s="43"/>
      <c r="BG146" s="43"/>
    </row>
    <row r="147" spans="1:59" x14ac:dyDescent="0.25">
      <c r="A147" s="13"/>
      <c r="B147" s="22"/>
      <c r="C147" s="22"/>
      <c r="D147" s="14"/>
      <c r="E147" s="14"/>
      <c r="F147" s="33"/>
      <c r="G147" s="33"/>
      <c r="H147" s="33"/>
      <c r="I147" s="33"/>
      <c r="J147" s="33"/>
      <c r="K147" s="33"/>
      <c r="L147" s="34"/>
      <c r="M147" s="34"/>
      <c r="N147" s="35"/>
      <c r="O147" s="35"/>
      <c r="P147" s="35"/>
      <c r="Q147" s="34"/>
      <c r="R147" s="35"/>
      <c r="S147" s="34"/>
      <c r="T147" s="34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57"/>
      <c r="AF147" s="57"/>
      <c r="AG147" s="48"/>
      <c r="AH147" s="48"/>
      <c r="AI147" s="48"/>
      <c r="AJ147" s="48"/>
      <c r="AK147" s="48"/>
      <c r="AL147" s="48"/>
      <c r="AM147" s="48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43"/>
      <c r="AY147" s="43"/>
      <c r="AZ147" s="44"/>
      <c r="BA147" s="43"/>
      <c r="BB147" s="43"/>
      <c r="BC147" s="43"/>
      <c r="BD147" s="43"/>
      <c r="BE147" s="43"/>
      <c r="BF147" s="43"/>
      <c r="BG147" s="43"/>
    </row>
    <row r="148" spans="1:59" x14ac:dyDescent="0.25">
      <c r="A148" s="13"/>
      <c r="B148" s="22"/>
      <c r="C148" s="22"/>
      <c r="D148" s="14"/>
      <c r="E148" s="14"/>
      <c r="F148" s="33"/>
      <c r="G148" s="33"/>
      <c r="H148" s="33"/>
      <c r="I148" s="33"/>
      <c r="J148" s="33"/>
      <c r="K148" s="33"/>
      <c r="L148" s="34"/>
      <c r="M148" s="34"/>
      <c r="N148" s="35"/>
      <c r="O148" s="35"/>
      <c r="P148" s="35"/>
      <c r="Q148" s="34"/>
      <c r="R148" s="35"/>
      <c r="S148" s="34"/>
      <c r="T148" s="34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57"/>
      <c r="AF148" s="57"/>
      <c r="AG148" s="48"/>
      <c r="AH148" s="48"/>
      <c r="AI148" s="48"/>
      <c r="AJ148" s="48"/>
      <c r="AK148" s="48"/>
      <c r="AL148" s="48"/>
      <c r="AM148" s="48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43"/>
      <c r="AY148" s="43"/>
      <c r="AZ148" s="44"/>
      <c r="BA148" s="43"/>
      <c r="BB148" s="43"/>
      <c r="BC148" s="43"/>
      <c r="BD148" s="43"/>
      <c r="BE148" s="43"/>
      <c r="BF148" s="43"/>
      <c r="BG148" s="43"/>
    </row>
    <row r="149" spans="1:59" x14ac:dyDescent="0.25">
      <c r="A149" s="13"/>
      <c r="B149" s="22"/>
      <c r="C149" s="22"/>
      <c r="D149" s="14"/>
      <c r="E149" s="14"/>
      <c r="F149" s="33"/>
      <c r="G149" s="33"/>
      <c r="H149" s="33"/>
      <c r="I149" s="33"/>
      <c r="J149" s="33"/>
      <c r="K149" s="33"/>
      <c r="L149" s="34"/>
      <c r="M149" s="34"/>
      <c r="N149" s="35"/>
      <c r="O149" s="35"/>
      <c r="P149" s="35"/>
      <c r="Q149" s="34"/>
      <c r="R149" s="35"/>
      <c r="S149" s="34"/>
      <c r="T149" s="34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57"/>
      <c r="AF149" s="57"/>
      <c r="AG149" s="48"/>
      <c r="AH149" s="48"/>
      <c r="AI149" s="48"/>
      <c r="AJ149" s="48"/>
      <c r="AK149" s="48"/>
      <c r="AL149" s="48"/>
      <c r="AM149" s="48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43"/>
      <c r="AY149" s="43"/>
      <c r="AZ149" s="44"/>
      <c r="BA149" s="43"/>
      <c r="BB149" s="43"/>
      <c r="BC149" s="43"/>
      <c r="BD149" s="43"/>
      <c r="BE149" s="43"/>
      <c r="BF149" s="43"/>
      <c r="BG149" s="43"/>
    </row>
    <row r="150" spans="1:59" x14ac:dyDescent="0.25">
      <c r="A150" s="13"/>
      <c r="B150" s="22"/>
      <c r="C150" s="22"/>
      <c r="D150" s="14"/>
      <c r="E150" s="14"/>
      <c r="F150" s="33"/>
      <c r="G150" s="33"/>
      <c r="H150" s="33"/>
      <c r="I150" s="33"/>
      <c r="J150" s="33"/>
      <c r="K150" s="33"/>
      <c r="L150" s="34"/>
      <c r="M150" s="34"/>
      <c r="N150" s="35"/>
      <c r="O150" s="35"/>
      <c r="P150" s="35"/>
      <c r="Q150" s="34"/>
      <c r="R150" s="35"/>
      <c r="S150" s="34"/>
      <c r="T150" s="34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57"/>
      <c r="AF150" s="57"/>
      <c r="AG150" s="48"/>
      <c r="AH150" s="48"/>
      <c r="AI150" s="48"/>
      <c r="AJ150" s="48"/>
      <c r="AK150" s="48"/>
      <c r="AL150" s="48"/>
      <c r="AM150" s="48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43"/>
      <c r="AY150" s="43"/>
      <c r="AZ150" s="44"/>
      <c r="BA150" s="43"/>
      <c r="BB150" s="43"/>
      <c r="BC150" s="43"/>
      <c r="BD150" s="43"/>
      <c r="BE150" s="43"/>
      <c r="BF150" s="43"/>
      <c r="BG150" s="43"/>
    </row>
    <row r="151" spans="1:59" x14ac:dyDescent="0.25">
      <c r="A151" s="13"/>
      <c r="B151" s="22"/>
      <c r="C151" s="22"/>
      <c r="D151" s="14"/>
      <c r="E151" s="14"/>
      <c r="F151" s="33"/>
      <c r="G151" s="33"/>
      <c r="H151" s="33"/>
      <c r="I151" s="33"/>
      <c r="J151" s="33"/>
      <c r="K151" s="33"/>
      <c r="L151" s="34"/>
      <c r="M151" s="34"/>
      <c r="N151" s="35"/>
      <c r="O151" s="35"/>
      <c r="P151" s="35"/>
      <c r="Q151" s="34"/>
      <c r="R151" s="35"/>
      <c r="S151" s="34"/>
      <c r="T151" s="34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57"/>
      <c r="AF151" s="57"/>
      <c r="AG151" s="48"/>
      <c r="AH151" s="48"/>
      <c r="AI151" s="48"/>
      <c r="AJ151" s="48"/>
      <c r="AK151" s="48"/>
      <c r="AL151" s="48"/>
      <c r="AM151" s="48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43"/>
      <c r="AY151" s="43"/>
      <c r="AZ151" s="44"/>
      <c r="BA151" s="43"/>
      <c r="BB151" s="43"/>
      <c r="BC151" s="43"/>
      <c r="BD151" s="43"/>
      <c r="BE151" s="43"/>
      <c r="BF151" s="43"/>
      <c r="BG151" s="43"/>
    </row>
    <row r="152" spans="1:59" x14ac:dyDescent="0.25">
      <c r="A152" s="13"/>
      <c r="B152" s="22"/>
      <c r="C152" s="22"/>
      <c r="D152" s="14"/>
      <c r="E152" s="14"/>
      <c r="F152" s="33"/>
      <c r="G152" s="33"/>
      <c r="H152" s="33"/>
      <c r="I152" s="33"/>
      <c r="J152" s="33"/>
      <c r="K152" s="33"/>
      <c r="L152" s="34"/>
      <c r="M152" s="34"/>
      <c r="N152" s="35"/>
      <c r="O152" s="35"/>
      <c r="P152" s="35"/>
      <c r="Q152" s="34"/>
      <c r="R152" s="35"/>
      <c r="S152" s="34"/>
      <c r="T152" s="34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57"/>
      <c r="AF152" s="57"/>
      <c r="AG152" s="48"/>
      <c r="AH152" s="48"/>
      <c r="AI152" s="48"/>
      <c r="AJ152" s="48"/>
      <c r="AK152" s="48"/>
      <c r="AL152" s="48"/>
      <c r="AM152" s="48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43"/>
      <c r="AY152" s="43"/>
      <c r="AZ152" s="44"/>
      <c r="BA152" s="43"/>
      <c r="BB152" s="43"/>
      <c r="BC152" s="43"/>
      <c r="BD152" s="43"/>
      <c r="BE152" s="43"/>
      <c r="BF152" s="43"/>
      <c r="BG152" s="43"/>
    </row>
    <row r="153" spans="1:59" x14ac:dyDescent="0.25">
      <c r="A153" s="13"/>
      <c r="B153" s="22"/>
      <c r="C153" s="22"/>
      <c r="D153" s="14"/>
      <c r="E153" s="14"/>
      <c r="F153" s="33"/>
      <c r="G153" s="33"/>
      <c r="H153" s="33"/>
      <c r="I153" s="33"/>
      <c r="J153" s="33"/>
      <c r="K153" s="33"/>
      <c r="L153" s="34"/>
      <c r="M153" s="34"/>
      <c r="N153" s="35"/>
      <c r="O153" s="35"/>
      <c r="P153" s="35"/>
      <c r="Q153" s="34"/>
      <c r="R153" s="35"/>
      <c r="S153" s="34"/>
      <c r="T153" s="34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57"/>
      <c r="AF153" s="57"/>
      <c r="AG153" s="48"/>
      <c r="AH153" s="48"/>
      <c r="AI153" s="48"/>
      <c r="AJ153" s="48"/>
      <c r="AK153" s="48"/>
      <c r="AL153" s="48"/>
      <c r="AM153" s="48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43"/>
      <c r="AY153" s="43"/>
      <c r="AZ153" s="44"/>
      <c r="BA153" s="43"/>
      <c r="BB153" s="43"/>
      <c r="BC153" s="43"/>
      <c r="BD153" s="43"/>
      <c r="BE153" s="43"/>
      <c r="BF153" s="43"/>
      <c r="BG153" s="43"/>
    </row>
    <row r="154" spans="1:59" x14ac:dyDescent="0.25">
      <c r="A154" s="13"/>
      <c r="B154" s="22"/>
      <c r="C154" s="22"/>
      <c r="D154" s="14"/>
      <c r="E154" s="14"/>
      <c r="F154" s="33"/>
      <c r="G154" s="33"/>
      <c r="H154" s="33"/>
      <c r="I154" s="33"/>
      <c r="J154" s="33"/>
      <c r="K154" s="33"/>
      <c r="L154" s="34"/>
      <c r="M154" s="34"/>
      <c r="N154" s="35"/>
      <c r="O154" s="35"/>
      <c r="P154" s="35"/>
      <c r="Q154" s="34"/>
      <c r="R154" s="35"/>
      <c r="S154" s="34"/>
      <c r="T154" s="34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57"/>
      <c r="AF154" s="57"/>
      <c r="AG154" s="48"/>
      <c r="AH154" s="48"/>
      <c r="AI154" s="48"/>
      <c r="AJ154" s="48"/>
      <c r="AK154" s="48"/>
      <c r="AL154" s="48"/>
      <c r="AM154" s="48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43"/>
      <c r="AY154" s="43"/>
      <c r="AZ154" s="44"/>
      <c r="BA154" s="43"/>
      <c r="BB154" s="43"/>
      <c r="BC154" s="43"/>
      <c r="BD154" s="43"/>
      <c r="BE154" s="43"/>
      <c r="BF154" s="43"/>
      <c r="BG154" s="43"/>
    </row>
    <row r="155" spans="1:59" x14ac:dyDescent="0.25">
      <c r="A155" s="13"/>
      <c r="B155" s="22"/>
      <c r="C155" s="22"/>
      <c r="D155" s="14"/>
      <c r="E155" s="14"/>
      <c r="F155" s="33"/>
      <c r="G155" s="33"/>
      <c r="H155" s="33"/>
      <c r="I155" s="33"/>
      <c r="J155" s="33"/>
      <c r="K155" s="33"/>
      <c r="L155" s="34"/>
      <c r="M155" s="34"/>
      <c r="N155" s="35"/>
      <c r="O155" s="35"/>
      <c r="P155" s="35"/>
      <c r="Q155" s="34"/>
      <c r="R155" s="35"/>
      <c r="S155" s="34"/>
      <c r="T155" s="34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57"/>
      <c r="AF155" s="57"/>
      <c r="AG155" s="48"/>
      <c r="AH155" s="48"/>
      <c r="AI155" s="48"/>
      <c r="AJ155" s="48"/>
      <c r="AK155" s="48"/>
      <c r="AL155" s="48"/>
      <c r="AM155" s="48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43"/>
      <c r="AY155" s="43"/>
      <c r="AZ155" s="44"/>
      <c r="BA155" s="43"/>
      <c r="BB155" s="43"/>
      <c r="BC155" s="43"/>
      <c r="BD155" s="43"/>
      <c r="BE155" s="43"/>
      <c r="BF155" s="43"/>
      <c r="BG155" s="43"/>
    </row>
    <row r="156" spans="1:59" x14ac:dyDescent="0.25">
      <c r="A156" s="13"/>
      <c r="B156" s="22"/>
      <c r="C156" s="22"/>
      <c r="D156" s="14"/>
      <c r="E156" s="14"/>
      <c r="F156" s="33"/>
      <c r="G156" s="33"/>
      <c r="H156" s="33"/>
      <c r="I156" s="33"/>
      <c r="J156" s="33"/>
      <c r="K156" s="33"/>
      <c r="L156" s="34"/>
      <c r="M156" s="34"/>
      <c r="N156" s="35"/>
      <c r="O156" s="35"/>
      <c r="P156" s="35"/>
      <c r="Q156" s="34"/>
      <c r="R156" s="35"/>
      <c r="S156" s="34"/>
      <c r="T156" s="34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57"/>
      <c r="AF156" s="57"/>
      <c r="AG156" s="48"/>
      <c r="AH156" s="48"/>
      <c r="AI156" s="48"/>
      <c r="AJ156" s="48"/>
      <c r="AK156" s="48"/>
      <c r="AL156" s="48"/>
      <c r="AM156" s="48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43"/>
      <c r="AY156" s="43"/>
      <c r="AZ156" s="44"/>
      <c r="BA156" s="43"/>
      <c r="BB156" s="43"/>
      <c r="BC156" s="43"/>
      <c r="BD156" s="43"/>
      <c r="BE156" s="43"/>
      <c r="BF156" s="43"/>
      <c r="BG156" s="43"/>
    </row>
    <row r="157" spans="1:59" x14ac:dyDescent="0.25">
      <c r="A157" s="13"/>
      <c r="B157" s="22"/>
      <c r="C157" s="22"/>
      <c r="D157" s="14"/>
      <c r="E157" s="14"/>
      <c r="F157" s="33"/>
      <c r="G157" s="33"/>
      <c r="H157" s="33"/>
      <c r="I157" s="33"/>
      <c r="J157" s="33"/>
      <c r="K157" s="33"/>
      <c r="L157" s="34"/>
      <c r="M157" s="34"/>
      <c r="N157" s="35"/>
      <c r="O157" s="35"/>
      <c r="P157" s="35"/>
      <c r="Q157" s="34"/>
      <c r="R157" s="35"/>
      <c r="S157" s="34"/>
      <c r="T157" s="34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57"/>
      <c r="AF157" s="57"/>
      <c r="AG157" s="48"/>
      <c r="AH157" s="48"/>
      <c r="AI157" s="48"/>
      <c r="AJ157" s="48"/>
      <c r="AK157" s="48"/>
      <c r="AL157" s="48"/>
      <c r="AM157" s="48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43"/>
      <c r="AY157" s="43"/>
      <c r="AZ157" s="44"/>
      <c r="BA157" s="43"/>
      <c r="BB157" s="43"/>
      <c r="BC157" s="43"/>
      <c r="BD157" s="43"/>
      <c r="BE157" s="43"/>
      <c r="BF157" s="43"/>
      <c r="BG157" s="43"/>
    </row>
    <row r="158" spans="1:59" x14ac:dyDescent="0.25">
      <c r="A158" s="13"/>
      <c r="B158" s="22"/>
      <c r="C158" s="22"/>
      <c r="D158" s="14"/>
      <c r="E158" s="14"/>
      <c r="F158" s="33"/>
      <c r="G158" s="33"/>
      <c r="H158" s="33"/>
      <c r="I158" s="33"/>
      <c r="J158" s="33"/>
      <c r="K158" s="33"/>
      <c r="L158" s="34"/>
      <c r="M158" s="34"/>
      <c r="N158" s="35"/>
      <c r="O158" s="35"/>
      <c r="P158" s="35"/>
      <c r="Q158" s="34"/>
      <c r="R158" s="35"/>
      <c r="S158" s="34"/>
      <c r="T158" s="34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57"/>
      <c r="AF158" s="57"/>
      <c r="AG158" s="48"/>
      <c r="AH158" s="48"/>
      <c r="AI158" s="48"/>
      <c r="AJ158" s="48"/>
      <c r="AK158" s="48"/>
      <c r="AL158" s="48"/>
      <c r="AM158" s="48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43"/>
      <c r="AY158" s="43"/>
      <c r="AZ158" s="44"/>
      <c r="BA158" s="43"/>
      <c r="BB158" s="43"/>
      <c r="BC158" s="43"/>
      <c r="BD158" s="43"/>
      <c r="BE158" s="43"/>
      <c r="BF158" s="43"/>
      <c r="BG158" s="43"/>
    </row>
    <row r="159" spans="1:59" x14ac:dyDescent="0.25">
      <c r="A159" s="13"/>
      <c r="B159" s="22"/>
      <c r="C159" s="22"/>
      <c r="D159" s="14"/>
      <c r="E159" s="14"/>
      <c r="F159" s="33"/>
      <c r="G159" s="33"/>
      <c r="H159" s="33"/>
      <c r="I159" s="33"/>
      <c r="J159" s="33"/>
      <c r="K159" s="33"/>
      <c r="L159" s="34"/>
      <c r="M159" s="34"/>
      <c r="N159" s="35"/>
      <c r="O159" s="35"/>
      <c r="P159" s="35"/>
      <c r="Q159" s="34"/>
      <c r="R159" s="35"/>
      <c r="S159" s="34"/>
      <c r="T159" s="34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57"/>
      <c r="AF159" s="57"/>
      <c r="AG159" s="48"/>
      <c r="AH159" s="48"/>
      <c r="AI159" s="48"/>
      <c r="AJ159" s="48"/>
      <c r="AK159" s="48"/>
      <c r="AL159" s="48"/>
      <c r="AM159" s="48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43"/>
      <c r="AY159" s="43"/>
      <c r="AZ159" s="44"/>
      <c r="BA159" s="43"/>
      <c r="BB159" s="43"/>
      <c r="BC159" s="43"/>
      <c r="BD159" s="43"/>
      <c r="BE159" s="43"/>
      <c r="BF159" s="43"/>
      <c r="BG159" s="43"/>
    </row>
    <row r="160" spans="1:59" x14ac:dyDescent="0.25">
      <c r="A160" s="13"/>
      <c r="B160" s="22"/>
      <c r="C160" s="22"/>
      <c r="D160" s="14"/>
      <c r="E160" s="14"/>
      <c r="F160" s="33"/>
      <c r="G160" s="33"/>
      <c r="H160" s="33"/>
      <c r="I160" s="33"/>
      <c r="J160" s="33"/>
      <c r="K160" s="33"/>
      <c r="L160" s="34"/>
      <c r="M160" s="34"/>
      <c r="N160" s="35"/>
      <c r="O160" s="35"/>
      <c r="P160" s="35"/>
      <c r="Q160" s="34"/>
      <c r="R160" s="35"/>
      <c r="S160" s="34"/>
      <c r="T160" s="34"/>
      <c r="U160" s="36"/>
      <c r="V160" s="36"/>
      <c r="W160" s="36"/>
      <c r="X160" s="36"/>
      <c r="Y160" s="36"/>
      <c r="Z160" s="36"/>
      <c r="AA160" s="36"/>
      <c r="AB160" s="36"/>
      <c r="AC160" s="33"/>
      <c r="AD160" s="36"/>
      <c r="AE160" s="57"/>
      <c r="AF160" s="57"/>
      <c r="AG160" s="48"/>
      <c r="AH160" s="48"/>
      <c r="AI160" s="48"/>
      <c r="AJ160" s="48"/>
      <c r="AK160" s="48"/>
      <c r="AL160" s="48"/>
      <c r="AM160" s="48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43"/>
      <c r="AY160" s="43"/>
      <c r="AZ160" s="44"/>
      <c r="BA160" s="43"/>
      <c r="BB160" s="43"/>
      <c r="BC160" s="43"/>
      <c r="BD160" s="43"/>
      <c r="BE160" s="43"/>
      <c r="BF160" s="43"/>
      <c r="BG160" s="43"/>
    </row>
    <row r="161" spans="1:59" x14ac:dyDescent="0.25">
      <c r="A161" s="13"/>
      <c r="B161" s="22"/>
      <c r="C161" s="22"/>
      <c r="D161" s="14"/>
      <c r="E161" s="14"/>
      <c r="F161" s="33"/>
      <c r="G161" s="33"/>
      <c r="H161" s="33"/>
      <c r="I161" s="33"/>
      <c r="J161" s="33"/>
      <c r="K161" s="33"/>
      <c r="L161" s="34"/>
      <c r="M161" s="34"/>
      <c r="N161" s="35"/>
      <c r="O161" s="35"/>
      <c r="P161" s="35"/>
      <c r="Q161" s="34"/>
      <c r="R161" s="35"/>
      <c r="S161" s="34"/>
      <c r="T161" s="34"/>
      <c r="U161" s="36"/>
      <c r="V161" s="36"/>
      <c r="W161" s="36"/>
      <c r="X161" s="36"/>
      <c r="Y161" s="36"/>
      <c r="Z161" s="36"/>
      <c r="AA161" s="36"/>
      <c r="AB161" s="36"/>
      <c r="AC161" s="33"/>
      <c r="AD161" s="36"/>
      <c r="AE161" s="57"/>
      <c r="AF161" s="57"/>
      <c r="AG161" s="48"/>
      <c r="AH161" s="48"/>
      <c r="AI161" s="48"/>
      <c r="AJ161" s="48"/>
      <c r="AK161" s="48"/>
      <c r="AL161" s="48"/>
      <c r="AM161" s="48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43"/>
      <c r="AY161" s="43"/>
      <c r="AZ161" s="44"/>
      <c r="BA161" s="43"/>
      <c r="BB161" s="43"/>
      <c r="BC161" s="43"/>
      <c r="BD161" s="43"/>
      <c r="BE161" s="43"/>
      <c r="BF161" s="43"/>
      <c r="BG161" s="43"/>
    </row>
    <row r="162" spans="1:59" x14ac:dyDescent="0.25">
      <c r="A162" s="13"/>
      <c r="B162" s="22"/>
      <c r="C162" s="22"/>
      <c r="D162" s="14"/>
      <c r="E162" s="14"/>
      <c r="F162" s="33"/>
      <c r="G162" s="33"/>
      <c r="H162" s="33"/>
      <c r="I162" s="33"/>
      <c r="J162" s="33"/>
      <c r="K162" s="33"/>
      <c r="L162" s="34"/>
      <c r="M162" s="34"/>
      <c r="N162" s="35"/>
      <c r="O162" s="35"/>
      <c r="P162" s="35"/>
      <c r="Q162" s="34"/>
      <c r="R162" s="35"/>
      <c r="S162" s="34"/>
      <c r="T162" s="34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57"/>
      <c r="AF162" s="57"/>
      <c r="AG162" s="48"/>
      <c r="AH162" s="48"/>
      <c r="AI162" s="48"/>
      <c r="AJ162" s="48"/>
      <c r="AK162" s="48"/>
      <c r="AL162" s="48"/>
      <c r="AM162" s="48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43"/>
      <c r="AY162" s="43"/>
      <c r="AZ162" s="44"/>
      <c r="BA162" s="43"/>
      <c r="BB162" s="43"/>
      <c r="BC162" s="43"/>
      <c r="BD162" s="43"/>
      <c r="BE162" s="43"/>
      <c r="BF162" s="43"/>
      <c r="BG162" s="43"/>
    </row>
    <row r="163" spans="1:59" x14ac:dyDescent="0.25">
      <c r="A163" s="13"/>
      <c r="B163" s="22"/>
      <c r="C163" s="22"/>
      <c r="D163" s="14"/>
      <c r="E163" s="14"/>
      <c r="F163" s="33"/>
      <c r="G163" s="33"/>
      <c r="H163" s="33"/>
      <c r="I163" s="33"/>
      <c r="J163" s="33"/>
      <c r="K163" s="33"/>
      <c r="L163" s="34"/>
      <c r="M163" s="34"/>
      <c r="N163" s="35"/>
      <c r="O163" s="35"/>
      <c r="P163" s="35"/>
      <c r="Q163" s="34"/>
      <c r="R163" s="35"/>
      <c r="S163" s="34"/>
      <c r="T163" s="34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57"/>
      <c r="AF163" s="57"/>
      <c r="AG163" s="48"/>
      <c r="AH163" s="48"/>
      <c r="AI163" s="48"/>
      <c r="AJ163" s="48"/>
      <c r="AK163" s="48"/>
      <c r="AL163" s="48"/>
      <c r="AM163" s="48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43"/>
      <c r="AY163" s="43"/>
      <c r="AZ163" s="44"/>
      <c r="BA163" s="43"/>
      <c r="BB163" s="43"/>
      <c r="BC163" s="43"/>
      <c r="BD163" s="43"/>
      <c r="BE163" s="43"/>
      <c r="BF163" s="43"/>
      <c r="BG163" s="43"/>
    </row>
    <row r="164" spans="1:59" x14ac:dyDescent="0.25">
      <c r="A164" s="13"/>
      <c r="B164" s="22"/>
      <c r="C164" s="22"/>
      <c r="D164" s="14"/>
      <c r="E164" s="14"/>
      <c r="F164" s="33"/>
      <c r="G164" s="33"/>
      <c r="H164" s="33"/>
      <c r="I164" s="33"/>
      <c r="J164" s="33"/>
      <c r="K164" s="33"/>
      <c r="L164" s="34"/>
      <c r="M164" s="34"/>
      <c r="N164" s="35"/>
      <c r="O164" s="35"/>
      <c r="P164" s="35"/>
      <c r="Q164" s="34"/>
      <c r="R164" s="35"/>
      <c r="S164" s="34"/>
      <c r="T164" s="34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57"/>
      <c r="AF164" s="57"/>
      <c r="AG164" s="48"/>
      <c r="AH164" s="48"/>
      <c r="AI164" s="48"/>
      <c r="AJ164" s="48"/>
      <c r="AK164" s="48"/>
      <c r="AL164" s="48"/>
      <c r="AM164" s="48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43"/>
      <c r="AY164" s="43"/>
      <c r="AZ164" s="44"/>
      <c r="BA164" s="43"/>
      <c r="BB164" s="43"/>
      <c r="BC164" s="43"/>
      <c r="BD164" s="43"/>
      <c r="BE164" s="43"/>
      <c r="BF164" s="43"/>
      <c r="BG164" s="43"/>
    </row>
    <row r="165" spans="1:59" x14ac:dyDescent="0.25">
      <c r="A165" s="13"/>
      <c r="B165" s="22"/>
      <c r="C165" s="22"/>
      <c r="D165" s="14"/>
      <c r="E165" s="14"/>
      <c r="F165" s="33"/>
      <c r="G165" s="33"/>
      <c r="H165" s="33"/>
      <c r="I165" s="33"/>
      <c r="J165" s="33"/>
      <c r="K165" s="33"/>
      <c r="L165" s="34"/>
      <c r="M165" s="34"/>
      <c r="N165" s="35"/>
      <c r="O165" s="35"/>
      <c r="P165" s="35"/>
      <c r="Q165" s="34"/>
      <c r="R165" s="35"/>
      <c r="S165" s="34"/>
      <c r="T165" s="34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57"/>
      <c r="AF165" s="57"/>
      <c r="AG165" s="48"/>
      <c r="AH165" s="48"/>
      <c r="AI165" s="48"/>
      <c r="AJ165" s="48"/>
      <c r="AK165" s="48"/>
      <c r="AL165" s="48"/>
      <c r="AM165" s="48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43"/>
      <c r="AY165" s="43"/>
      <c r="AZ165" s="44"/>
      <c r="BA165" s="43"/>
      <c r="BB165" s="43"/>
      <c r="BC165" s="43"/>
      <c r="BD165" s="43"/>
      <c r="BE165" s="43"/>
      <c r="BF165" s="43"/>
      <c r="BG165" s="43"/>
    </row>
    <row r="166" spans="1:59" x14ac:dyDescent="0.25">
      <c r="A166" s="13"/>
      <c r="B166" s="22"/>
      <c r="C166" s="22"/>
      <c r="D166" s="14"/>
      <c r="E166" s="14"/>
      <c r="F166" s="33"/>
      <c r="G166" s="33"/>
      <c r="H166" s="33"/>
      <c r="I166" s="33"/>
      <c r="J166" s="33"/>
      <c r="K166" s="33"/>
      <c r="L166" s="34"/>
      <c r="M166" s="34"/>
      <c r="N166" s="35"/>
      <c r="O166" s="35"/>
      <c r="P166" s="35"/>
      <c r="Q166" s="34"/>
      <c r="R166" s="35"/>
      <c r="S166" s="34"/>
      <c r="T166" s="34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57"/>
      <c r="AF166" s="57"/>
      <c r="AG166" s="48"/>
      <c r="AH166" s="48"/>
      <c r="AI166" s="48"/>
      <c r="AJ166" s="48"/>
      <c r="AK166" s="48"/>
      <c r="AL166" s="48"/>
      <c r="AM166" s="48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43"/>
      <c r="AY166" s="43"/>
      <c r="AZ166" s="44"/>
      <c r="BA166" s="43"/>
      <c r="BB166" s="43"/>
      <c r="BC166" s="43"/>
      <c r="BD166" s="43"/>
      <c r="BE166" s="43"/>
      <c r="BF166" s="43"/>
      <c r="BG166" s="43"/>
    </row>
    <row r="167" spans="1:59" x14ac:dyDescent="0.25">
      <c r="A167" s="13"/>
      <c r="B167" s="22"/>
      <c r="C167" s="22"/>
      <c r="D167" s="14"/>
      <c r="E167" s="14"/>
      <c r="F167" s="33"/>
      <c r="G167" s="33"/>
      <c r="H167" s="33"/>
      <c r="I167" s="33"/>
      <c r="J167" s="33"/>
      <c r="K167" s="33"/>
      <c r="L167" s="34"/>
      <c r="M167" s="34"/>
      <c r="N167" s="35"/>
      <c r="O167" s="35"/>
      <c r="P167" s="35"/>
      <c r="Q167" s="34"/>
      <c r="R167" s="35"/>
      <c r="S167" s="34"/>
      <c r="T167" s="34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57"/>
      <c r="AF167" s="57"/>
      <c r="AG167" s="48"/>
      <c r="AH167" s="48"/>
      <c r="AI167" s="48"/>
      <c r="AJ167" s="48"/>
      <c r="AK167" s="48"/>
      <c r="AL167" s="48"/>
      <c r="AM167" s="48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43"/>
      <c r="AY167" s="43"/>
      <c r="AZ167" s="44"/>
      <c r="BA167" s="43"/>
      <c r="BB167" s="43"/>
      <c r="BC167" s="43"/>
      <c r="BD167" s="43"/>
      <c r="BE167" s="43"/>
      <c r="BF167" s="43"/>
      <c r="BG167" s="43"/>
    </row>
    <row r="168" spans="1:59" x14ac:dyDescent="0.25">
      <c r="A168" s="13"/>
      <c r="B168" s="22"/>
      <c r="C168" s="22"/>
      <c r="D168" s="14"/>
      <c r="E168" s="14"/>
      <c r="F168" s="33"/>
      <c r="G168" s="33"/>
      <c r="H168" s="33"/>
      <c r="I168" s="33"/>
      <c r="J168" s="33"/>
      <c r="K168" s="33"/>
      <c r="L168" s="34"/>
      <c r="M168" s="34"/>
      <c r="N168" s="35"/>
      <c r="O168" s="35"/>
      <c r="P168" s="35"/>
      <c r="Q168" s="34"/>
      <c r="R168" s="35"/>
      <c r="S168" s="34"/>
      <c r="T168" s="34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57"/>
      <c r="AF168" s="57"/>
      <c r="AG168" s="48"/>
      <c r="AH168" s="48"/>
      <c r="AI168" s="48"/>
      <c r="AJ168" s="48"/>
      <c r="AK168" s="48"/>
      <c r="AL168" s="48"/>
      <c r="AM168" s="48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43"/>
      <c r="AY168" s="43"/>
      <c r="AZ168" s="44"/>
      <c r="BA168" s="43"/>
      <c r="BB168" s="43"/>
      <c r="BC168" s="43"/>
      <c r="BD168" s="43"/>
      <c r="BE168" s="43"/>
      <c r="BF168" s="43"/>
      <c r="BG168" s="43"/>
    </row>
    <row r="169" spans="1:59" x14ac:dyDescent="0.25">
      <c r="A169" s="13"/>
      <c r="B169" s="22"/>
      <c r="C169" s="22"/>
      <c r="D169" s="14"/>
      <c r="E169" s="14"/>
      <c r="F169" s="33"/>
      <c r="G169" s="33"/>
      <c r="H169" s="33"/>
      <c r="I169" s="33"/>
      <c r="J169" s="33"/>
      <c r="K169" s="33"/>
      <c r="L169" s="34"/>
      <c r="M169" s="34"/>
      <c r="N169" s="35"/>
      <c r="O169" s="35"/>
      <c r="P169" s="35"/>
      <c r="Q169" s="34"/>
      <c r="R169" s="35"/>
      <c r="S169" s="34"/>
      <c r="T169" s="34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57"/>
      <c r="AF169" s="57"/>
      <c r="AG169" s="48"/>
      <c r="AH169" s="48"/>
      <c r="AI169" s="48"/>
      <c r="AJ169" s="48"/>
      <c r="AK169" s="48"/>
      <c r="AL169" s="48"/>
      <c r="AM169" s="48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43"/>
      <c r="AY169" s="43"/>
      <c r="AZ169" s="44"/>
      <c r="BA169" s="43"/>
      <c r="BB169" s="43"/>
      <c r="BC169" s="43"/>
      <c r="BD169" s="43"/>
      <c r="BE169" s="43"/>
      <c r="BF169" s="43"/>
      <c r="BG169" s="43"/>
    </row>
    <row r="170" spans="1:59" x14ac:dyDescent="0.25">
      <c r="A170" s="13"/>
      <c r="B170" s="22"/>
      <c r="C170" s="22"/>
      <c r="D170" s="14"/>
      <c r="E170" s="14"/>
      <c r="F170" s="33"/>
      <c r="G170" s="33"/>
      <c r="H170" s="33"/>
      <c r="I170" s="33"/>
      <c r="J170" s="33"/>
      <c r="K170" s="33"/>
      <c r="L170" s="34"/>
      <c r="M170" s="34"/>
      <c r="N170" s="35"/>
      <c r="O170" s="35"/>
      <c r="P170" s="35"/>
      <c r="Q170" s="34"/>
      <c r="R170" s="35"/>
      <c r="S170" s="34"/>
      <c r="T170" s="34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57"/>
      <c r="AF170" s="57"/>
      <c r="AG170" s="48"/>
      <c r="AH170" s="48"/>
      <c r="AI170" s="48"/>
      <c r="AJ170" s="48"/>
      <c r="AK170" s="48"/>
      <c r="AL170" s="48"/>
      <c r="AM170" s="48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43"/>
      <c r="AY170" s="43"/>
      <c r="AZ170" s="44"/>
      <c r="BA170" s="43"/>
      <c r="BB170" s="43"/>
      <c r="BC170" s="43"/>
      <c r="BD170" s="43"/>
      <c r="BE170" s="43"/>
      <c r="BF170" s="43"/>
      <c r="BG170" s="43"/>
    </row>
    <row r="171" spans="1:59" x14ac:dyDescent="0.25">
      <c r="A171" s="13"/>
      <c r="B171" s="22"/>
      <c r="C171" s="22"/>
      <c r="D171" s="14"/>
      <c r="E171" s="14"/>
      <c r="F171" s="33"/>
      <c r="G171" s="33"/>
      <c r="H171" s="33"/>
      <c r="I171" s="33"/>
      <c r="J171" s="33"/>
      <c r="K171" s="33"/>
      <c r="L171" s="34"/>
      <c r="M171" s="34"/>
      <c r="N171" s="35"/>
      <c r="O171" s="35"/>
      <c r="P171" s="35"/>
      <c r="Q171" s="34"/>
      <c r="R171" s="35"/>
      <c r="S171" s="34"/>
      <c r="T171" s="34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57"/>
      <c r="AF171" s="57"/>
      <c r="AG171" s="48"/>
      <c r="AH171" s="48"/>
      <c r="AI171" s="48"/>
      <c r="AJ171" s="48"/>
      <c r="AK171" s="48"/>
      <c r="AL171" s="48"/>
      <c r="AM171" s="48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43"/>
      <c r="AY171" s="43"/>
      <c r="AZ171" s="44"/>
      <c r="BA171" s="43"/>
      <c r="BB171" s="43"/>
      <c r="BC171" s="43"/>
      <c r="BD171" s="43"/>
      <c r="BE171" s="43"/>
      <c r="BF171" s="43"/>
      <c r="BG171" s="43"/>
    </row>
    <row r="172" spans="1:59" x14ac:dyDescent="0.25">
      <c r="A172" s="13"/>
      <c r="B172" s="22"/>
      <c r="C172" s="22"/>
      <c r="D172" s="14"/>
      <c r="E172" s="14"/>
      <c r="F172" s="33"/>
      <c r="G172" s="33"/>
      <c r="H172" s="33"/>
      <c r="I172" s="33"/>
      <c r="J172" s="33"/>
      <c r="K172" s="33"/>
      <c r="L172" s="34"/>
      <c r="M172" s="34"/>
      <c r="N172" s="35"/>
      <c r="O172" s="35"/>
      <c r="P172" s="35"/>
      <c r="Q172" s="34"/>
      <c r="R172" s="35"/>
      <c r="S172" s="34"/>
      <c r="T172" s="34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57"/>
      <c r="AF172" s="57"/>
      <c r="AG172" s="48"/>
      <c r="AH172" s="48"/>
      <c r="AI172" s="48"/>
      <c r="AJ172" s="48"/>
      <c r="AK172" s="48"/>
      <c r="AL172" s="48"/>
      <c r="AM172" s="48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43"/>
      <c r="AY172" s="43"/>
      <c r="AZ172" s="44"/>
      <c r="BA172" s="43"/>
      <c r="BB172" s="43"/>
      <c r="BC172" s="43"/>
      <c r="BD172" s="43"/>
      <c r="BE172" s="43"/>
      <c r="BF172" s="43"/>
      <c r="BG172" s="43"/>
    </row>
    <row r="173" spans="1:59" x14ac:dyDescent="0.25">
      <c r="A173" s="13"/>
      <c r="B173" s="22"/>
      <c r="C173" s="22"/>
      <c r="D173" s="14"/>
      <c r="E173" s="14"/>
      <c r="F173" s="33"/>
      <c r="G173" s="33"/>
      <c r="H173" s="33"/>
      <c r="I173" s="33"/>
      <c r="J173" s="33"/>
      <c r="K173" s="33"/>
      <c r="L173" s="34"/>
      <c r="M173" s="34"/>
      <c r="N173" s="35"/>
      <c r="O173" s="35"/>
      <c r="P173" s="35"/>
      <c r="Q173" s="34"/>
      <c r="R173" s="35"/>
      <c r="S173" s="34"/>
      <c r="T173" s="34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57"/>
      <c r="AF173" s="57"/>
      <c r="AG173" s="48"/>
      <c r="AH173" s="48"/>
      <c r="AI173" s="48"/>
      <c r="AJ173" s="48"/>
      <c r="AK173" s="48"/>
      <c r="AL173" s="48"/>
      <c r="AM173" s="48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43"/>
      <c r="AY173" s="43"/>
      <c r="AZ173" s="44"/>
      <c r="BA173" s="43"/>
      <c r="BB173" s="43"/>
      <c r="BC173" s="43"/>
      <c r="BD173" s="43"/>
      <c r="BE173" s="43"/>
      <c r="BF173" s="43"/>
      <c r="BG173" s="43"/>
    </row>
    <row r="174" spans="1:59" x14ac:dyDescent="0.25">
      <c r="A174" s="13"/>
      <c r="B174" s="22"/>
      <c r="C174" s="22"/>
      <c r="D174" s="14"/>
      <c r="E174" s="14"/>
      <c r="F174" s="33"/>
      <c r="G174" s="33"/>
      <c r="H174" s="33"/>
      <c r="I174" s="33"/>
      <c r="J174" s="33"/>
      <c r="K174" s="33"/>
      <c r="L174" s="34"/>
      <c r="M174" s="34"/>
      <c r="N174" s="35"/>
      <c r="O174" s="35"/>
      <c r="P174" s="35"/>
      <c r="Q174" s="34"/>
      <c r="R174" s="35"/>
      <c r="S174" s="34"/>
      <c r="T174" s="34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57"/>
      <c r="AF174" s="57"/>
      <c r="AG174" s="48"/>
      <c r="AH174" s="48"/>
      <c r="AI174" s="48"/>
      <c r="AJ174" s="48"/>
      <c r="AK174" s="48"/>
      <c r="AL174" s="48"/>
      <c r="AM174" s="48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43"/>
      <c r="AY174" s="43"/>
      <c r="AZ174" s="44"/>
      <c r="BA174" s="43"/>
      <c r="BB174" s="43"/>
      <c r="BC174" s="43"/>
      <c r="BD174" s="43"/>
      <c r="BE174" s="43"/>
      <c r="BF174" s="43"/>
      <c r="BG174" s="43"/>
    </row>
    <row r="175" spans="1:59" x14ac:dyDescent="0.25">
      <c r="A175" s="13"/>
      <c r="B175" s="22"/>
      <c r="C175" s="22"/>
      <c r="D175" s="14"/>
      <c r="E175" s="14"/>
      <c r="F175" s="33"/>
      <c r="G175" s="33"/>
      <c r="H175" s="33"/>
      <c r="I175" s="33"/>
      <c r="J175" s="33"/>
      <c r="K175" s="33"/>
      <c r="L175" s="34"/>
      <c r="M175" s="34"/>
      <c r="N175" s="35"/>
      <c r="O175" s="35"/>
      <c r="P175" s="35"/>
      <c r="Q175" s="34"/>
      <c r="R175" s="35"/>
      <c r="S175" s="34"/>
      <c r="T175" s="34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57"/>
      <c r="AF175" s="57"/>
      <c r="AG175" s="48"/>
      <c r="AH175" s="48"/>
      <c r="AI175" s="48"/>
      <c r="AJ175" s="48"/>
      <c r="AK175" s="48"/>
      <c r="AL175" s="48"/>
      <c r="AM175" s="48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43"/>
      <c r="AY175" s="43"/>
      <c r="AZ175" s="44"/>
      <c r="BA175" s="43"/>
      <c r="BB175" s="43"/>
      <c r="BC175" s="43"/>
      <c r="BD175" s="43"/>
      <c r="BE175" s="43"/>
      <c r="BF175" s="43"/>
      <c r="BG175" s="43"/>
    </row>
    <row r="176" spans="1:59" x14ac:dyDescent="0.25">
      <c r="A176" s="13"/>
      <c r="B176" s="22"/>
      <c r="C176" s="22"/>
      <c r="D176" s="14"/>
      <c r="E176" s="14"/>
      <c r="F176" s="33"/>
      <c r="G176" s="33"/>
      <c r="H176" s="33"/>
      <c r="I176" s="33"/>
      <c r="J176" s="33"/>
      <c r="K176" s="33"/>
      <c r="L176" s="34"/>
      <c r="M176" s="34"/>
      <c r="N176" s="35"/>
      <c r="O176" s="35"/>
      <c r="P176" s="35"/>
      <c r="Q176" s="34"/>
      <c r="R176" s="35"/>
      <c r="S176" s="34"/>
      <c r="T176" s="34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57"/>
      <c r="AF176" s="57"/>
      <c r="AG176" s="48"/>
      <c r="AH176" s="48"/>
      <c r="AI176" s="48"/>
      <c r="AJ176" s="48"/>
      <c r="AK176" s="48"/>
      <c r="AL176" s="48"/>
      <c r="AM176" s="48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43"/>
      <c r="AY176" s="43"/>
      <c r="AZ176" s="44"/>
      <c r="BA176" s="43"/>
      <c r="BB176" s="43"/>
      <c r="BC176" s="43"/>
      <c r="BD176" s="43"/>
      <c r="BE176" s="43"/>
      <c r="BF176" s="43"/>
      <c r="BG176" s="43"/>
    </row>
    <row r="177" spans="1:59" x14ac:dyDescent="0.25">
      <c r="A177" s="13"/>
      <c r="B177" s="22"/>
      <c r="C177" s="22"/>
      <c r="D177" s="14"/>
      <c r="E177" s="14"/>
      <c r="F177" s="33"/>
      <c r="G177" s="33"/>
      <c r="H177" s="33"/>
      <c r="I177" s="33"/>
      <c r="J177" s="33"/>
      <c r="K177" s="33"/>
      <c r="L177" s="34"/>
      <c r="M177" s="34"/>
      <c r="N177" s="35"/>
      <c r="O177" s="35"/>
      <c r="P177" s="35"/>
      <c r="Q177" s="34"/>
      <c r="R177" s="35"/>
      <c r="S177" s="34"/>
      <c r="T177" s="34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57"/>
      <c r="AF177" s="57"/>
      <c r="AG177" s="48"/>
      <c r="AH177" s="48"/>
      <c r="AI177" s="48"/>
      <c r="AJ177" s="48"/>
      <c r="AK177" s="48"/>
      <c r="AL177" s="48"/>
      <c r="AM177" s="48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43"/>
      <c r="AY177" s="43"/>
      <c r="AZ177" s="44"/>
      <c r="BA177" s="43"/>
      <c r="BB177" s="43"/>
      <c r="BC177" s="43"/>
      <c r="BD177" s="43"/>
      <c r="BE177" s="43"/>
      <c r="BF177" s="43"/>
      <c r="BG177" s="43"/>
    </row>
    <row r="178" spans="1:59" x14ac:dyDescent="0.25">
      <c r="A178" s="13"/>
      <c r="B178" s="22"/>
      <c r="C178" s="22"/>
      <c r="D178" s="14"/>
      <c r="E178" s="14"/>
      <c r="F178" s="33"/>
      <c r="G178" s="33"/>
      <c r="H178" s="33"/>
      <c r="I178" s="33"/>
      <c r="J178" s="33"/>
      <c r="K178" s="33"/>
      <c r="L178" s="34"/>
      <c r="M178" s="34"/>
      <c r="N178" s="35"/>
      <c r="O178" s="35"/>
      <c r="P178" s="35"/>
      <c r="Q178" s="34"/>
      <c r="R178" s="35"/>
      <c r="S178" s="34"/>
      <c r="T178" s="34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57"/>
      <c r="AF178" s="57"/>
      <c r="AG178" s="48"/>
      <c r="AH178" s="48"/>
      <c r="AI178" s="48"/>
      <c r="AJ178" s="48"/>
      <c r="AK178" s="48"/>
      <c r="AL178" s="48"/>
      <c r="AM178" s="48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43"/>
      <c r="AY178" s="43"/>
      <c r="AZ178" s="44"/>
      <c r="BA178" s="43"/>
      <c r="BB178" s="43"/>
      <c r="BC178" s="43"/>
      <c r="BD178" s="43"/>
      <c r="BE178" s="43"/>
      <c r="BF178" s="43"/>
      <c r="BG178" s="43"/>
    </row>
    <row r="179" spans="1:59" x14ac:dyDescent="0.25">
      <c r="A179" s="13"/>
      <c r="B179" s="22"/>
      <c r="C179" s="22"/>
      <c r="D179" s="14"/>
      <c r="E179" s="14"/>
      <c r="F179" s="33"/>
      <c r="G179" s="33"/>
      <c r="H179" s="33"/>
      <c r="I179" s="33"/>
      <c r="J179" s="33"/>
      <c r="K179" s="33"/>
      <c r="L179" s="34"/>
      <c r="M179" s="34"/>
      <c r="N179" s="35"/>
      <c r="O179" s="35"/>
      <c r="P179" s="35"/>
      <c r="Q179" s="34"/>
      <c r="R179" s="35"/>
      <c r="S179" s="34"/>
      <c r="T179" s="34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57"/>
      <c r="AF179" s="57"/>
      <c r="AG179" s="48"/>
      <c r="AH179" s="48"/>
      <c r="AI179" s="48"/>
      <c r="AJ179" s="48"/>
      <c r="AK179" s="48"/>
      <c r="AL179" s="48"/>
      <c r="AM179" s="48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43"/>
      <c r="AY179" s="43"/>
      <c r="AZ179" s="44"/>
      <c r="BA179" s="43"/>
      <c r="BB179" s="43"/>
      <c r="BC179" s="43"/>
      <c r="BD179" s="43"/>
      <c r="BE179" s="43"/>
      <c r="BF179" s="43"/>
      <c r="BG179" s="43"/>
    </row>
    <row r="180" spans="1:59" x14ac:dyDescent="0.25">
      <c r="A180" s="13"/>
      <c r="B180" s="22"/>
      <c r="C180" s="22"/>
      <c r="D180" s="14"/>
      <c r="E180" s="14"/>
      <c r="F180" s="33"/>
      <c r="G180" s="33"/>
      <c r="H180" s="33"/>
      <c r="I180" s="33"/>
      <c r="J180" s="33"/>
      <c r="K180" s="33"/>
      <c r="L180" s="34"/>
      <c r="M180" s="34"/>
      <c r="N180" s="35"/>
      <c r="O180" s="35"/>
      <c r="P180" s="35"/>
      <c r="Q180" s="34"/>
      <c r="R180" s="35"/>
      <c r="S180" s="34"/>
      <c r="T180" s="34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57"/>
      <c r="AF180" s="57"/>
      <c r="AG180" s="48"/>
      <c r="AH180" s="48"/>
      <c r="AI180" s="48"/>
      <c r="AJ180" s="48"/>
      <c r="AK180" s="48"/>
      <c r="AL180" s="48"/>
      <c r="AM180" s="48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43"/>
      <c r="AY180" s="43"/>
      <c r="AZ180" s="44"/>
      <c r="BA180" s="43"/>
      <c r="BB180" s="43"/>
      <c r="BC180" s="43"/>
      <c r="BD180" s="43"/>
      <c r="BE180" s="43"/>
      <c r="BF180" s="43"/>
      <c r="BG180" s="43"/>
    </row>
    <row r="181" spans="1:59" x14ac:dyDescent="0.25">
      <c r="A181" s="13"/>
      <c r="B181" s="22"/>
      <c r="C181" s="22"/>
      <c r="D181" s="14"/>
      <c r="E181" s="14"/>
      <c r="F181" s="33"/>
      <c r="G181" s="33"/>
      <c r="H181" s="33"/>
      <c r="I181" s="33"/>
      <c r="J181" s="33"/>
      <c r="K181" s="33"/>
      <c r="L181" s="34"/>
      <c r="M181" s="34"/>
      <c r="N181" s="35"/>
      <c r="O181" s="35"/>
      <c r="P181" s="35"/>
      <c r="Q181" s="34"/>
      <c r="R181" s="35"/>
      <c r="S181" s="34"/>
      <c r="T181" s="34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57"/>
      <c r="AF181" s="57"/>
      <c r="AG181" s="48"/>
      <c r="AH181" s="48"/>
      <c r="AI181" s="48"/>
      <c r="AJ181" s="48"/>
      <c r="AK181" s="48"/>
      <c r="AL181" s="48"/>
      <c r="AM181" s="48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43"/>
      <c r="AY181" s="43"/>
      <c r="AZ181" s="44"/>
      <c r="BA181" s="43"/>
      <c r="BB181" s="43"/>
      <c r="BC181" s="43"/>
      <c r="BD181" s="43"/>
      <c r="BE181" s="43"/>
      <c r="BF181" s="43"/>
      <c r="BG181" s="43"/>
    </row>
    <row r="182" spans="1:59" x14ac:dyDescent="0.25">
      <c r="A182" s="13"/>
      <c r="B182" s="22"/>
      <c r="C182" s="22"/>
      <c r="D182" s="14"/>
      <c r="E182" s="14"/>
      <c r="F182" s="33"/>
      <c r="G182" s="33"/>
      <c r="H182" s="33"/>
      <c r="I182" s="33"/>
      <c r="J182" s="33"/>
      <c r="K182" s="33"/>
      <c r="L182" s="34"/>
      <c r="M182" s="34"/>
      <c r="N182" s="35"/>
      <c r="O182" s="35"/>
      <c r="P182" s="35"/>
      <c r="Q182" s="34"/>
      <c r="R182" s="35"/>
      <c r="S182" s="34"/>
      <c r="T182" s="34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57"/>
      <c r="AF182" s="57"/>
      <c r="AG182" s="48"/>
      <c r="AH182" s="48"/>
      <c r="AI182" s="48"/>
      <c r="AJ182" s="48"/>
      <c r="AK182" s="48"/>
      <c r="AL182" s="48"/>
      <c r="AM182" s="48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43"/>
      <c r="AY182" s="43"/>
      <c r="AZ182" s="44"/>
      <c r="BA182" s="43"/>
      <c r="BB182" s="43"/>
      <c r="BC182" s="43"/>
      <c r="BD182" s="43"/>
      <c r="BE182" s="43"/>
      <c r="BF182" s="43"/>
      <c r="BG182" s="43"/>
    </row>
    <row r="183" spans="1:59" x14ac:dyDescent="0.25">
      <c r="A183" s="13"/>
      <c r="B183" s="22"/>
      <c r="C183" s="22"/>
      <c r="D183" s="14"/>
      <c r="E183" s="14"/>
      <c r="F183" s="33"/>
      <c r="G183" s="33"/>
      <c r="H183" s="33"/>
      <c r="I183" s="33"/>
      <c r="J183" s="33"/>
      <c r="K183" s="33"/>
      <c r="L183" s="34"/>
      <c r="M183" s="34"/>
      <c r="N183" s="35"/>
      <c r="O183" s="35"/>
      <c r="P183" s="35"/>
      <c r="Q183" s="34"/>
      <c r="R183" s="35"/>
      <c r="S183" s="34"/>
      <c r="T183" s="34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57"/>
      <c r="AF183" s="57"/>
      <c r="AG183" s="48"/>
      <c r="AH183" s="48"/>
      <c r="AI183" s="48"/>
      <c r="AJ183" s="48"/>
      <c r="AK183" s="48"/>
      <c r="AL183" s="48"/>
      <c r="AM183" s="48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43"/>
      <c r="AY183" s="43"/>
      <c r="AZ183" s="44"/>
      <c r="BA183" s="43"/>
      <c r="BB183" s="43"/>
      <c r="BC183" s="43"/>
      <c r="BD183" s="43"/>
      <c r="BE183" s="43"/>
      <c r="BF183" s="43"/>
      <c r="BG183" s="43"/>
    </row>
    <row r="184" spans="1:59" x14ac:dyDescent="0.25">
      <c r="A184" s="13"/>
      <c r="B184" s="22"/>
      <c r="C184" s="22"/>
      <c r="D184" s="14"/>
      <c r="E184" s="14"/>
      <c r="F184" s="33"/>
      <c r="G184" s="33"/>
      <c r="H184" s="33"/>
      <c r="I184" s="33"/>
      <c r="J184" s="33"/>
      <c r="K184" s="33"/>
      <c r="L184" s="34"/>
      <c r="M184" s="34"/>
      <c r="N184" s="35"/>
      <c r="O184" s="35"/>
      <c r="P184" s="35"/>
      <c r="Q184" s="34"/>
      <c r="R184" s="35"/>
      <c r="S184" s="34"/>
      <c r="T184" s="34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57"/>
      <c r="AF184" s="57"/>
      <c r="AG184" s="48"/>
      <c r="AH184" s="48"/>
      <c r="AI184" s="48"/>
      <c r="AJ184" s="48"/>
      <c r="AK184" s="48"/>
      <c r="AL184" s="48"/>
      <c r="AM184" s="48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43"/>
      <c r="AY184" s="43"/>
      <c r="AZ184" s="44"/>
      <c r="BA184" s="43"/>
      <c r="BB184" s="43"/>
      <c r="BC184" s="43"/>
      <c r="BD184" s="43"/>
      <c r="BE184" s="43"/>
      <c r="BF184" s="43"/>
      <c r="BG184" s="43"/>
    </row>
    <row r="185" spans="1:59" x14ac:dyDescent="0.25">
      <c r="A185" s="13"/>
      <c r="B185" s="22"/>
      <c r="C185" s="22"/>
      <c r="D185" s="14"/>
      <c r="E185" s="14"/>
      <c r="F185" s="33"/>
      <c r="G185" s="33"/>
      <c r="H185" s="33"/>
      <c r="I185" s="33"/>
      <c r="J185" s="33"/>
      <c r="K185" s="33"/>
      <c r="L185" s="34"/>
      <c r="M185" s="34"/>
      <c r="N185" s="35"/>
      <c r="O185" s="35"/>
      <c r="P185" s="35"/>
      <c r="Q185" s="34"/>
      <c r="R185" s="35"/>
      <c r="S185" s="34"/>
      <c r="T185" s="34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57"/>
      <c r="AF185" s="57"/>
      <c r="AG185" s="48"/>
      <c r="AH185" s="48"/>
      <c r="AI185" s="48"/>
      <c r="AJ185" s="48"/>
      <c r="AK185" s="48"/>
      <c r="AL185" s="48"/>
      <c r="AM185" s="48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43"/>
      <c r="AY185" s="43"/>
      <c r="AZ185" s="44"/>
      <c r="BA185" s="43"/>
      <c r="BB185" s="43"/>
      <c r="BC185" s="43"/>
      <c r="BD185" s="43"/>
      <c r="BE185" s="43"/>
      <c r="BF185" s="43"/>
      <c r="BG185" s="43"/>
    </row>
    <row r="186" spans="1:59" x14ac:dyDescent="0.25">
      <c r="A186" s="13"/>
      <c r="B186" s="22"/>
      <c r="C186" s="22"/>
      <c r="D186" s="14"/>
      <c r="E186" s="14"/>
      <c r="F186" s="33"/>
      <c r="G186" s="33"/>
      <c r="H186" s="33"/>
      <c r="I186" s="33"/>
      <c r="J186" s="33"/>
      <c r="K186" s="33"/>
      <c r="L186" s="34"/>
      <c r="M186" s="34"/>
      <c r="N186" s="35"/>
      <c r="O186" s="35"/>
      <c r="P186" s="35"/>
      <c r="Q186" s="34"/>
      <c r="R186" s="35"/>
      <c r="S186" s="34"/>
      <c r="T186" s="34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57"/>
      <c r="AF186" s="57"/>
      <c r="AG186" s="48"/>
      <c r="AH186" s="48"/>
      <c r="AI186" s="48"/>
      <c r="AJ186" s="48"/>
      <c r="AK186" s="48"/>
      <c r="AL186" s="48"/>
      <c r="AM186" s="48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43"/>
      <c r="AY186" s="43"/>
      <c r="AZ186" s="44"/>
      <c r="BA186" s="43"/>
      <c r="BB186" s="43"/>
      <c r="BC186" s="43"/>
      <c r="BD186" s="43"/>
      <c r="BE186" s="43"/>
      <c r="BF186" s="43"/>
      <c r="BG186" s="43"/>
    </row>
    <row r="187" spans="1:59" x14ac:dyDescent="0.25">
      <c r="A187" s="13"/>
      <c r="B187" s="22"/>
      <c r="C187" s="22"/>
      <c r="D187" s="14"/>
      <c r="E187" s="14"/>
      <c r="F187" s="33"/>
      <c r="G187" s="33"/>
      <c r="H187" s="33"/>
      <c r="I187" s="33"/>
      <c r="J187" s="33"/>
      <c r="K187" s="33"/>
      <c r="L187" s="34"/>
      <c r="M187" s="34"/>
      <c r="N187" s="35"/>
      <c r="O187" s="35"/>
      <c r="P187" s="35"/>
      <c r="Q187" s="34"/>
      <c r="R187" s="35"/>
      <c r="S187" s="34"/>
      <c r="T187" s="34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57"/>
      <c r="AF187" s="57"/>
      <c r="AG187" s="48"/>
      <c r="AH187" s="48"/>
      <c r="AI187" s="48"/>
      <c r="AJ187" s="48"/>
      <c r="AK187" s="48"/>
      <c r="AL187" s="48"/>
      <c r="AM187" s="48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43"/>
      <c r="AY187" s="43"/>
      <c r="AZ187" s="44"/>
      <c r="BA187" s="43"/>
      <c r="BB187" s="43"/>
      <c r="BC187" s="43"/>
      <c r="BD187" s="43"/>
      <c r="BE187" s="43"/>
      <c r="BF187" s="43"/>
      <c r="BG187" s="43"/>
    </row>
    <row r="188" spans="1:59" x14ac:dyDescent="0.25">
      <c r="A188" s="13"/>
      <c r="B188" s="22"/>
      <c r="C188" s="22"/>
      <c r="D188" s="14"/>
      <c r="E188" s="14"/>
      <c r="F188" s="33"/>
      <c r="G188" s="33"/>
      <c r="H188" s="33"/>
      <c r="I188" s="33"/>
      <c r="J188" s="33"/>
      <c r="K188" s="33"/>
      <c r="L188" s="34"/>
      <c r="M188" s="34"/>
      <c r="N188" s="35"/>
      <c r="O188" s="35"/>
      <c r="P188" s="35"/>
      <c r="Q188" s="34"/>
      <c r="R188" s="35"/>
      <c r="S188" s="34"/>
      <c r="T188" s="34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57"/>
      <c r="AF188" s="57"/>
      <c r="AG188" s="48"/>
      <c r="AH188" s="48"/>
      <c r="AI188" s="48"/>
      <c r="AJ188" s="48"/>
      <c r="AK188" s="48"/>
      <c r="AL188" s="48"/>
      <c r="AM188" s="48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43"/>
      <c r="AY188" s="43"/>
      <c r="AZ188" s="44"/>
      <c r="BA188" s="43"/>
      <c r="BB188" s="43"/>
      <c r="BC188" s="43"/>
      <c r="BD188" s="43"/>
      <c r="BE188" s="43"/>
      <c r="BF188" s="43"/>
      <c r="BG188" s="43"/>
    </row>
    <row r="189" spans="1:59" x14ac:dyDescent="0.25">
      <c r="A189" s="13"/>
      <c r="B189" s="22"/>
      <c r="C189" s="22"/>
      <c r="D189" s="14"/>
      <c r="E189" s="14"/>
      <c r="F189" s="33"/>
      <c r="G189" s="33"/>
      <c r="H189" s="33"/>
      <c r="I189" s="33"/>
      <c r="J189" s="33"/>
      <c r="K189" s="33"/>
      <c r="L189" s="34"/>
      <c r="M189" s="34"/>
      <c r="N189" s="35"/>
      <c r="O189" s="35"/>
      <c r="P189" s="35"/>
      <c r="Q189" s="34"/>
      <c r="R189" s="35"/>
      <c r="S189" s="34"/>
      <c r="T189" s="34"/>
      <c r="U189" s="36"/>
      <c r="V189" s="36"/>
      <c r="W189" s="36"/>
      <c r="X189" s="36"/>
      <c r="Y189" s="36"/>
      <c r="Z189" s="36"/>
      <c r="AA189" s="36"/>
      <c r="AB189" s="36"/>
      <c r="AC189" s="33"/>
      <c r="AD189" s="36"/>
      <c r="AE189" s="57"/>
      <c r="AF189" s="57"/>
      <c r="AG189" s="48"/>
      <c r="AH189" s="48"/>
      <c r="AI189" s="48"/>
      <c r="AJ189" s="48"/>
      <c r="AK189" s="48"/>
      <c r="AL189" s="48"/>
      <c r="AM189" s="48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43"/>
      <c r="AY189" s="43"/>
      <c r="AZ189" s="44"/>
      <c r="BA189" s="43"/>
      <c r="BB189" s="43"/>
      <c r="BC189" s="43"/>
      <c r="BD189" s="43"/>
      <c r="BE189" s="43"/>
      <c r="BF189" s="43"/>
      <c r="BG189" s="43"/>
    </row>
    <row r="190" spans="1:59" x14ac:dyDescent="0.25">
      <c r="A190" s="13"/>
      <c r="B190" s="22"/>
      <c r="C190" s="22"/>
      <c r="D190" s="14"/>
      <c r="E190" s="14"/>
      <c r="F190" s="33"/>
      <c r="G190" s="33"/>
      <c r="H190" s="33"/>
      <c r="I190" s="33"/>
      <c r="J190" s="33"/>
      <c r="K190" s="33"/>
      <c r="L190" s="34"/>
      <c r="M190" s="34"/>
      <c r="N190" s="35"/>
      <c r="O190" s="35"/>
      <c r="P190" s="35"/>
      <c r="Q190" s="34"/>
      <c r="R190" s="35"/>
      <c r="S190" s="34"/>
      <c r="T190" s="34"/>
      <c r="U190" s="36"/>
      <c r="V190" s="36"/>
      <c r="W190" s="36"/>
      <c r="X190" s="36"/>
      <c r="Y190" s="36"/>
      <c r="Z190" s="36"/>
      <c r="AA190" s="36"/>
      <c r="AB190" s="36"/>
      <c r="AC190" s="33"/>
      <c r="AD190" s="36"/>
      <c r="AE190" s="57"/>
      <c r="AF190" s="57"/>
      <c r="AG190" s="48"/>
      <c r="AH190" s="48"/>
      <c r="AI190" s="48"/>
      <c r="AJ190" s="48"/>
      <c r="AK190" s="48"/>
      <c r="AL190" s="48"/>
      <c r="AM190" s="48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43"/>
      <c r="AY190" s="43"/>
      <c r="AZ190" s="44"/>
      <c r="BA190" s="43"/>
      <c r="BB190" s="43"/>
      <c r="BC190" s="43"/>
      <c r="BD190" s="43"/>
      <c r="BE190" s="43"/>
      <c r="BF190" s="43"/>
      <c r="BG190" s="43"/>
    </row>
    <row r="191" spans="1:59" x14ac:dyDescent="0.25">
      <c r="A191" s="13"/>
      <c r="B191" s="22"/>
      <c r="C191" s="22"/>
      <c r="D191" s="14"/>
      <c r="E191" s="14"/>
      <c r="F191" s="33"/>
      <c r="G191" s="33"/>
      <c r="H191" s="33"/>
      <c r="I191" s="33"/>
      <c r="J191" s="33"/>
      <c r="K191" s="33"/>
      <c r="L191" s="34"/>
      <c r="M191" s="34"/>
      <c r="N191" s="35"/>
      <c r="O191" s="35"/>
      <c r="P191" s="35"/>
      <c r="Q191" s="34"/>
      <c r="R191" s="35"/>
      <c r="S191" s="34"/>
      <c r="T191" s="34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57"/>
      <c r="AF191" s="57"/>
      <c r="AG191" s="48"/>
      <c r="AH191" s="48"/>
      <c r="AI191" s="48"/>
      <c r="AJ191" s="48"/>
      <c r="AK191" s="48"/>
      <c r="AL191" s="48"/>
      <c r="AM191" s="48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43"/>
      <c r="AY191" s="43"/>
      <c r="AZ191" s="44"/>
      <c r="BA191" s="43"/>
      <c r="BB191" s="43"/>
      <c r="BC191" s="43"/>
      <c r="BD191" s="43"/>
      <c r="BE191" s="43"/>
      <c r="BF191" s="43"/>
      <c r="BG191" s="43"/>
    </row>
    <row r="192" spans="1:59" x14ac:dyDescent="0.25">
      <c r="A192" s="13"/>
      <c r="B192" s="22"/>
      <c r="C192" s="22"/>
      <c r="D192" s="14"/>
      <c r="E192" s="14"/>
      <c r="F192" s="33"/>
      <c r="G192" s="33"/>
      <c r="H192" s="33"/>
      <c r="I192" s="33"/>
      <c r="J192" s="33"/>
      <c r="K192" s="33"/>
      <c r="L192" s="34"/>
      <c r="M192" s="34"/>
      <c r="N192" s="35"/>
      <c r="O192" s="35"/>
      <c r="P192" s="35"/>
      <c r="Q192" s="34"/>
      <c r="R192" s="35"/>
      <c r="S192" s="34"/>
      <c r="T192" s="34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57"/>
      <c r="AF192" s="57"/>
      <c r="AG192" s="48"/>
      <c r="AH192" s="48"/>
      <c r="AI192" s="48"/>
      <c r="AJ192" s="48"/>
      <c r="AK192" s="48"/>
      <c r="AL192" s="48"/>
      <c r="AM192" s="48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43"/>
      <c r="AY192" s="43"/>
      <c r="AZ192" s="44"/>
      <c r="BA192" s="43"/>
      <c r="BB192" s="43"/>
      <c r="BC192" s="43"/>
      <c r="BD192" s="43"/>
      <c r="BE192" s="43"/>
      <c r="BF192" s="43"/>
      <c r="BG192" s="43"/>
    </row>
    <row r="193" spans="1:59" x14ac:dyDescent="0.25">
      <c r="A193" s="13"/>
      <c r="B193" s="22"/>
      <c r="C193" s="22"/>
      <c r="D193" s="14"/>
      <c r="E193" s="14"/>
      <c r="F193" s="33"/>
      <c r="G193" s="33"/>
      <c r="H193" s="33"/>
      <c r="I193" s="33"/>
      <c r="J193" s="33"/>
      <c r="K193" s="33"/>
      <c r="L193" s="34"/>
      <c r="M193" s="34"/>
      <c r="N193" s="35"/>
      <c r="O193" s="35"/>
      <c r="P193" s="35"/>
      <c r="Q193" s="34"/>
      <c r="R193" s="35"/>
      <c r="S193" s="34"/>
      <c r="T193" s="34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57"/>
      <c r="AF193" s="57"/>
      <c r="AG193" s="48"/>
      <c r="AH193" s="48"/>
      <c r="AI193" s="48"/>
      <c r="AJ193" s="48"/>
      <c r="AK193" s="48"/>
      <c r="AL193" s="48"/>
      <c r="AM193" s="48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43"/>
      <c r="AY193" s="43"/>
      <c r="AZ193" s="44"/>
      <c r="BA193" s="43"/>
      <c r="BB193" s="43"/>
      <c r="BC193" s="43"/>
      <c r="BD193" s="43"/>
      <c r="BE193" s="43"/>
      <c r="BF193" s="43"/>
      <c r="BG193" s="43"/>
    </row>
    <row r="194" spans="1:59" x14ac:dyDescent="0.25">
      <c r="A194" s="13"/>
      <c r="B194" s="22"/>
      <c r="C194" s="22"/>
      <c r="D194" s="14"/>
      <c r="E194" s="14"/>
      <c r="F194" s="33"/>
      <c r="G194" s="33"/>
      <c r="H194" s="33"/>
      <c r="I194" s="33"/>
      <c r="J194" s="33"/>
      <c r="K194" s="33"/>
      <c r="L194" s="34"/>
      <c r="M194" s="34"/>
      <c r="N194" s="35"/>
      <c r="O194" s="35"/>
      <c r="P194" s="35"/>
      <c r="Q194" s="34"/>
      <c r="R194" s="35"/>
      <c r="S194" s="34"/>
      <c r="T194" s="34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57"/>
      <c r="AF194" s="57"/>
      <c r="AG194" s="48"/>
      <c r="AH194" s="48"/>
      <c r="AI194" s="48"/>
      <c r="AJ194" s="48"/>
      <c r="AK194" s="48"/>
      <c r="AL194" s="48"/>
      <c r="AM194" s="48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43"/>
      <c r="AY194" s="43"/>
      <c r="AZ194" s="44"/>
      <c r="BA194" s="43"/>
      <c r="BB194" s="43"/>
      <c r="BC194" s="43"/>
      <c r="BD194" s="43"/>
      <c r="BE194" s="43"/>
      <c r="BF194" s="43"/>
      <c r="BG194" s="43"/>
    </row>
    <row r="195" spans="1:59" x14ac:dyDescent="0.25">
      <c r="A195" s="13"/>
      <c r="B195" s="22"/>
      <c r="C195" s="22"/>
      <c r="D195" s="14"/>
      <c r="E195" s="14"/>
      <c r="F195" s="33"/>
      <c r="G195" s="33"/>
      <c r="H195" s="33"/>
      <c r="I195" s="33"/>
      <c r="J195" s="33"/>
      <c r="K195" s="33"/>
      <c r="L195" s="34"/>
      <c r="M195" s="34"/>
      <c r="N195" s="35"/>
      <c r="O195" s="35"/>
      <c r="P195" s="35"/>
      <c r="Q195" s="34"/>
      <c r="R195" s="35"/>
      <c r="S195" s="34"/>
      <c r="T195" s="34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57"/>
      <c r="AF195" s="57"/>
      <c r="AG195" s="48"/>
      <c r="AH195" s="48"/>
      <c r="AI195" s="48"/>
      <c r="AJ195" s="48"/>
      <c r="AK195" s="48"/>
      <c r="AL195" s="48"/>
      <c r="AM195" s="48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43"/>
      <c r="AY195" s="43"/>
      <c r="AZ195" s="44"/>
      <c r="BA195" s="43"/>
      <c r="BB195" s="43"/>
      <c r="BC195" s="43"/>
      <c r="BD195" s="43"/>
      <c r="BE195" s="43"/>
      <c r="BF195" s="43"/>
      <c r="BG195" s="43"/>
    </row>
    <row r="196" spans="1:59" x14ac:dyDescent="0.25">
      <c r="A196" s="13"/>
      <c r="B196" s="22"/>
      <c r="C196" s="22"/>
      <c r="D196" s="14"/>
      <c r="E196" s="14"/>
      <c r="F196" s="33"/>
      <c r="G196" s="33"/>
      <c r="H196" s="33"/>
      <c r="I196" s="33"/>
      <c r="J196" s="33"/>
      <c r="K196" s="33"/>
      <c r="L196" s="34"/>
      <c r="M196" s="34"/>
      <c r="N196" s="35"/>
      <c r="O196" s="35"/>
      <c r="P196" s="35"/>
      <c r="Q196" s="34"/>
      <c r="R196" s="35"/>
      <c r="S196" s="34"/>
      <c r="T196" s="34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57"/>
      <c r="AF196" s="57"/>
      <c r="AG196" s="48"/>
      <c r="AH196" s="48"/>
      <c r="AI196" s="48"/>
      <c r="AJ196" s="48"/>
      <c r="AK196" s="48"/>
      <c r="AL196" s="48"/>
      <c r="AM196" s="48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43"/>
      <c r="AY196" s="43"/>
      <c r="AZ196" s="44"/>
      <c r="BA196" s="43"/>
      <c r="BB196" s="43"/>
      <c r="BC196" s="43"/>
      <c r="BD196" s="43"/>
      <c r="BE196" s="43"/>
      <c r="BF196" s="43"/>
      <c r="BG196" s="43"/>
    </row>
    <row r="197" spans="1:59" x14ac:dyDescent="0.25">
      <c r="A197" s="13"/>
      <c r="B197" s="22"/>
      <c r="C197" s="22"/>
      <c r="D197" s="14"/>
      <c r="E197" s="14"/>
      <c r="F197" s="33"/>
      <c r="G197" s="33"/>
      <c r="H197" s="33"/>
      <c r="I197" s="33"/>
      <c r="J197" s="33"/>
      <c r="K197" s="33"/>
      <c r="L197" s="34"/>
      <c r="M197" s="34"/>
      <c r="N197" s="35"/>
      <c r="O197" s="35"/>
      <c r="P197" s="35"/>
      <c r="Q197" s="34"/>
      <c r="R197" s="35"/>
      <c r="S197" s="34"/>
      <c r="T197" s="34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57"/>
      <c r="AF197" s="57"/>
      <c r="AG197" s="48"/>
      <c r="AH197" s="48"/>
      <c r="AI197" s="48"/>
      <c r="AJ197" s="48"/>
      <c r="AK197" s="48"/>
      <c r="AL197" s="48"/>
      <c r="AM197" s="48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43"/>
      <c r="AY197" s="43"/>
      <c r="AZ197" s="44"/>
      <c r="BA197" s="43"/>
      <c r="BB197" s="43"/>
      <c r="BC197" s="43"/>
      <c r="BD197" s="43"/>
      <c r="BE197" s="43"/>
      <c r="BF197" s="43"/>
      <c r="BG197" s="43"/>
    </row>
    <row r="198" spans="1:59" x14ac:dyDescent="0.25">
      <c r="A198" s="13"/>
      <c r="B198" s="22"/>
      <c r="C198" s="22"/>
      <c r="D198" s="14"/>
      <c r="E198" s="14"/>
      <c r="F198" s="33"/>
      <c r="G198" s="33"/>
      <c r="H198" s="33"/>
      <c r="I198" s="33"/>
      <c r="J198" s="33"/>
      <c r="K198" s="33"/>
      <c r="L198" s="34"/>
      <c r="M198" s="34"/>
      <c r="N198" s="35"/>
      <c r="O198" s="35"/>
      <c r="P198" s="35"/>
      <c r="Q198" s="34"/>
      <c r="R198" s="35"/>
      <c r="S198" s="34"/>
      <c r="T198" s="34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57"/>
      <c r="AF198" s="57"/>
      <c r="AG198" s="48"/>
      <c r="AH198" s="48"/>
      <c r="AI198" s="48"/>
      <c r="AJ198" s="48"/>
      <c r="AK198" s="48"/>
      <c r="AL198" s="48"/>
      <c r="AM198" s="48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43"/>
      <c r="AY198" s="43"/>
      <c r="AZ198" s="44"/>
      <c r="BA198" s="43"/>
      <c r="BB198" s="43"/>
      <c r="BC198" s="43"/>
      <c r="BD198" s="43"/>
      <c r="BE198" s="43"/>
      <c r="BF198" s="43"/>
      <c r="BG198" s="43"/>
    </row>
    <row r="199" spans="1:59" x14ac:dyDescent="0.25">
      <c r="A199" s="13"/>
      <c r="B199" s="22"/>
      <c r="C199" s="22"/>
      <c r="D199" s="14"/>
      <c r="E199" s="14"/>
      <c r="F199" s="33"/>
      <c r="G199" s="33"/>
      <c r="H199" s="33"/>
      <c r="I199" s="33"/>
      <c r="J199" s="33"/>
      <c r="K199" s="33"/>
      <c r="L199" s="34"/>
      <c r="M199" s="34"/>
      <c r="N199" s="35"/>
      <c r="O199" s="35"/>
      <c r="P199" s="35"/>
      <c r="Q199" s="34"/>
      <c r="R199" s="35"/>
      <c r="S199" s="34"/>
      <c r="T199" s="34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57"/>
      <c r="AF199" s="57"/>
      <c r="AG199" s="48"/>
      <c r="AH199" s="48"/>
      <c r="AI199" s="48"/>
      <c r="AJ199" s="48"/>
      <c r="AK199" s="48"/>
      <c r="AL199" s="48"/>
      <c r="AM199" s="48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43"/>
      <c r="AY199" s="43"/>
      <c r="AZ199" s="44"/>
      <c r="BA199" s="43"/>
      <c r="BB199" s="43"/>
      <c r="BC199" s="43"/>
      <c r="BD199" s="43"/>
      <c r="BE199" s="43"/>
      <c r="BF199" s="43"/>
      <c r="BG199" s="43"/>
    </row>
    <row r="200" spans="1:59" x14ac:dyDescent="0.25">
      <c r="A200" s="13"/>
      <c r="B200" s="22"/>
      <c r="C200" s="22"/>
      <c r="D200" s="14"/>
      <c r="E200" s="14"/>
      <c r="F200" s="33"/>
      <c r="G200" s="33"/>
      <c r="H200" s="33"/>
      <c r="I200" s="33"/>
      <c r="J200" s="33"/>
      <c r="K200" s="33"/>
      <c r="L200" s="34"/>
      <c r="M200" s="34"/>
      <c r="N200" s="35"/>
      <c r="O200" s="35"/>
      <c r="P200" s="35"/>
      <c r="Q200" s="34"/>
      <c r="R200" s="35"/>
      <c r="S200" s="34"/>
      <c r="T200" s="34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57"/>
      <c r="AF200" s="57"/>
      <c r="AG200" s="48"/>
      <c r="AH200" s="48"/>
      <c r="AI200" s="48"/>
      <c r="AJ200" s="48"/>
      <c r="AK200" s="48"/>
      <c r="AL200" s="48"/>
      <c r="AM200" s="48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43"/>
      <c r="AY200" s="43"/>
      <c r="AZ200" s="44"/>
      <c r="BA200" s="43"/>
      <c r="BB200" s="43"/>
      <c r="BC200" s="43"/>
      <c r="BD200" s="43"/>
      <c r="BE200" s="43"/>
      <c r="BF200" s="43"/>
      <c r="BG200" s="43"/>
    </row>
    <row r="201" spans="1:59" x14ac:dyDescent="0.25">
      <c r="A201" s="13"/>
      <c r="B201" s="22"/>
      <c r="C201" s="22"/>
      <c r="D201" s="14"/>
      <c r="E201" s="14"/>
      <c r="F201" s="33"/>
      <c r="G201" s="33"/>
      <c r="H201" s="33"/>
      <c r="I201" s="33"/>
      <c r="J201" s="33"/>
      <c r="K201" s="33"/>
      <c r="L201" s="34"/>
      <c r="M201" s="34"/>
      <c r="N201" s="35"/>
      <c r="O201" s="35"/>
      <c r="P201" s="35"/>
      <c r="Q201" s="34"/>
      <c r="R201" s="35"/>
      <c r="S201" s="34"/>
      <c r="T201" s="34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57"/>
      <c r="AF201" s="57"/>
      <c r="AG201" s="48"/>
      <c r="AH201" s="48"/>
      <c r="AI201" s="48"/>
      <c r="AJ201" s="48"/>
      <c r="AK201" s="48"/>
      <c r="AL201" s="48"/>
      <c r="AM201" s="48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43"/>
      <c r="AY201" s="43"/>
      <c r="AZ201" s="44"/>
      <c r="BA201" s="43"/>
      <c r="BB201" s="43"/>
      <c r="BC201" s="43"/>
      <c r="BD201" s="43"/>
      <c r="BE201" s="43"/>
      <c r="BF201" s="43"/>
      <c r="BG201" s="43"/>
    </row>
    <row r="202" spans="1:59" x14ac:dyDescent="0.25">
      <c r="A202" s="13"/>
      <c r="B202" s="22"/>
      <c r="C202" s="22"/>
      <c r="D202" s="14"/>
      <c r="E202" s="14"/>
      <c r="F202" s="33"/>
      <c r="G202" s="33"/>
      <c r="H202" s="33"/>
      <c r="I202" s="33"/>
      <c r="J202" s="33"/>
      <c r="K202" s="33"/>
      <c r="L202" s="34"/>
      <c r="M202" s="34"/>
      <c r="N202" s="35"/>
      <c r="O202" s="35"/>
      <c r="P202" s="35"/>
      <c r="Q202" s="34"/>
      <c r="R202" s="35"/>
      <c r="S202" s="34"/>
      <c r="T202" s="34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57"/>
      <c r="AF202" s="57"/>
      <c r="AG202" s="48"/>
      <c r="AH202" s="48"/>
      <c r="AI202" s="48"/>
      <c r="AJ202" s="48"/>
      <c r="AK202" s="48"/>
      <c r="AL202" s="48"/>
      <c r="AM202" s="48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43"/>
      <c r="AY202" s="43"/>
      <c r="AZ202" s="44"/>
      <c r="BA202" s="43"/>
      <c r="BB202" s="43"/>
      <c r="BC202" s="43"/>
      <c r="BD202" s="43"/>
      <c r="BE202" s="43"/>
      <c r="BF202" s="43"/>
      <c r="BG202" s="43"/>
    </row>
    <row r="203" spans="1:59" x14ac:dyDescent="0.25">
      <c r="A203" s="13"/>
      <c r="B203" s="22"/>
      <c r="C203" s="22"/>
      <c r="D203" s="14"/>
      <c r="E203" s="14"/>
      <c r="F203" s="33"/>
      <c r="G203" s="33"/>
      <c r="H203" s="33"/>
      <c r="I203" s="33"/>
      <c r="J203" s="33"/>
      <c r="K203" s="33"/>
      <c r="L203" s="34"/>
      <c r="M203" s="34"/>
      <c r="N203" s="35"/>
      <c r="O203" s="35"/>
      <c r="P203" s="35"/>
      <c r="Q203" s="34"/>
      <c r="R203" s="35"/>
      <c r="S203" s="34"/>
      <c r="T203" s="34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57"/>
      <c r="AF203" s="57"/>
      <c r="AG203" s="48"/>
      <c r="AH203" s="48"/>
      <c r="AI203" s="48"/>
      <c r="AJ203" s="48"/>
      <c r="AK203" s="48"/>
      <c r="AL203" s="48"/>
      <c r="AM203" s="48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43"/>
      <c r="AY203" s="43"/>
      <c r="AZ203" s="44"/>
      <c r="BA203" s="43"/>
      <c r="BB203" s="43"/>
      <c r="BC203" s="43"/>
      <c r="BD203" s="43"/>
      <c r="BE203" s="43"/>
      <c r="BF203" s="43"/>
      <c r="BG203" s="43"/>
    </row>
    <row r="204" spans="1:59" x14ac:dyDescent="0.25">
      <c r="A204" s="13"/>
      <c r="B204" s="22"/>
      <c r="C204" s="22"/>
      <c r="D204" s="14"/>
      <c r="E204" s="14"/>
      <c r="F204" s="33"/>
      <c r="G204" s="33"/>
      <c r="H204" s="33"/>
      <c r="I204" s="33"/>
      <c r="J204" s="33"/>
      <c r="K204" s="33"/>
      <c r="L204" s="34"/>
      <c r="M204" s="34"/>
      <c r="N204" s="35"/>
      <c r="O204" s="35"/>
      <c r="P204" s="35"/>
      <c r="Q204" s="34"/>
      <c r="R204" s="35"/>
      <c r="S204" s="34"/>
      <c r="T204" s="34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57"/>
      <c r="AF204" s="57"/>
      <c r="AG204" s="48"/>
      <c r="AH204" s="48"/>
      <c r="AI204" s="48"/>
      <c r="AJ204" s="48"/>
      <c r="AK204" s="48"/>
      <c r="AL204" s="48"/>
      <c r="AM204" s="48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43"/>
      <c r="AY204" s="43"/>
      <c r="AZ204" s="44"/>
      <c r="BA204" s="43"/>
      <c r="BB204" s="43"/>
      <c r="BC204" s="43"/>
      <c r="BD204" s="43"/>
      <c r="BE204" s="43"/>
      <c r="BF204" s="43"/>
      <c r="BG204" s="43"/>
    </row>
    <row r="205" spans="1:59" x14ac:dyDescent="0.25">
      <c r="A205" s="13"/>
      <c r="B205" s="22"/>
      <c r="C205" s="22"/>
      <c r="D205" s="14"/>
      <c r="E205" s="14"/>
      <c r="F205" s="33"/>
      <c r="G205" s="33"/>
      <c r="H205" s="33"/>
      <c r="I205" s="33"/>
      <c r="J205" s="33"/>
      <c r="K205" s="33"/>
      <c r="L205" s="34"/>
      <c r="M205" s="34"/>
      <c r="N205" s="35"/>
      <c r="O205" s="35"/>
      <c r="P205" s="35"/>
      <c r="Q205" s="34"/>
      <c r="R205" s="35"/>
      <c r="S205" s="34"/>
      <c r="T205" s="34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57"/>
      <c r="AF205" s="57"/>
      <c r="AG205" s="48"/>
      <c r="AH205" s="48"/>
      <c r="AI205" s="48"/>
      <c r="AJ205" s="48"/>
      <c r="AK205" s="48"/>
      <c r="AL205" s="48"/>
      <c r="AM205" s="48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43"/>
      <c r="AY205" s="43"/>
      <c r="AZ205" s="44"/>
      <c r="BA205" s="43"/>
      <c r="BB205" s="43"/>
      <c r="BC205" s="43"/>
      <c r="BD205" s="43"/>
      <c r="BE205" s="43"/>
      <c r="BF205" s="43"/>
      <c r="BG205" s="43"/>
    </row>
    <row r="206" spans="1:59" x14ac:dyDescent="0.25">
      <c r="A206" s="13"/>
      <c r="B206" s="22"/>
      <c r="C206" s="22"/>
      <c r="D206" s="14"/>
      <c r="E206" s="14"/>
      <c r="F206" s="33"/>
      <c r="G206" s="33"/>
      <c r="H206" s="33"/>
      <c r="I206" s="33"/>
      <c r="J206" s="33"/>
      <c r="K206" s="33"/>
      <c r="L206" s="34"/>
      <c r="M206" s="34"/>
      <c r="N206" s="35"/>
      <c r="O206" s="35"/>
      <c r="P206" s="35"/>
      <c r="Q206" s="34"/>
      <c r="R206" s="35"/>
      <c r="S206" s="34"/>
      <c r="T206" s="34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57"/>
      <c r="AF206" s="57"/>
      <c r="AG206" s="48"/>
      <c r="AH206" s="48"/>
      <c r="AI206" s="48"/>
      <c r="AJ206" s="48"/>
      <c r="AK206" s="48"/>
      <c r="AL206" s="48"/>
      <c r="AM206" s="48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43"/>
      <c r="AY206" s="43"/>
      <c r="AZ206" s="44"/>
      <c r="BA206" s="43"/>
      <c r="BB206" s="43"/>
      <c r="BC206" s="43"/>
      <c r="BD206" s="43"/>
      <c r="BE206" s="43"/>
      <c r="BF206" s="43"/>
      <c r="BG206" s="43"/>
    </row>
    <row r="207" spans="1:59" x14ac:dyDescent="0.25">
      <c r="A207" s="13"/>
      <c r="B207" s="22"/>
      <c r="C207" s="22"/>
      <c r="D207" s="14"/>
      <c r="E207" s="14"/>
      <c r="F207" s="33"/>
      <c r="G207" s="33"/>
      <c r="H207" s="33"/>
      <c r="I207" s="33"/>
      <c r="J207" s="33"/>
      <c r="K207" s="33"/>
      <c r="L207" s="34"/>
      <c r="M207" s="34"/>
      <c r="N207" s="35"/>
      <c r="O207" s="35"/>
      <c r="P207" s="35"/>
      <c r="Q207" s="34"/>
      <c r="R207" s="35"/>
      <c r="S207" s="34"/>
      <c r="T207" s="34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57"/>
      <c r="AF207" s="57"/>
      <c r="AG207" s="48"/>
      <c r="AH207" s="48"/>
      <c r="AI207" s="48"/>
      <c r="AJ207" s="48"/>
      <c r="AK207" s="48"/>
      <c r="AL207" s="48"/>
      <c r="AM207" s="48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43"/>
      <c r="AY207" s="43"/>
      <c r="AZ207" s="44"/>
      <c r="BA207" s="43"/>
      <c r="BB207" s="43"/>
      <c r="BC207" s="43"/>
      <c r="BD207" s="43"/>
      <c r="BE207" s="43"/>
      <c r="BF207" s="43"/>
      <c r="BG207" s="43"/>
    </row>
    <row r="208" spans="1:59" x14ac:dyDescent="0.25">
      <c r="A208" s="13"/>
      <c r="B208" s="22"/>
      <c r="C208" s="22"/>
      <c r="D208" s="14"/>
      <c r="E208" s="14"/>
      <c r="F208" s="33"/>
      <c r="G208" s="33"/>
      <c r="H208" s="33"/>
      <c r="I208" s="33"/>
      <c r="J208" s="33"/>
      <c r="K208" s="33"/>
      <c r="L208" s="34"/>
      <c r="M208" s="34"/>
      <c r="N208" s="35"/>
      <c r="O208" s="35"/>
      <c r="P208" s="35"/>
      <c r="Q208" s="34"/>
      <c r="R208" s="35"/>
      <c r="S208" s="34"/>
      <c r="T208" s="34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57"/>
      <c r="AF208" s="57"/>
      <c r="AG208" s="48"/>
      <c r="AH208" s="48"/>
      <c r="AI208" s="48"/>
      <c r="AJ208" s="48"/>
      <c r="AK208" s="48"/>
      <c r="AL208" s="48"/>
      <c r="AM208" s="48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43"/>
      <c r="AY208" s="43"/>
      <c r="AZ208" s="44"/>
      <c r="BA208" s="43"/>
      <c r="BB208" s="43"/>
      <c r="BC208" s="43"/>
      <c r="BD208" s="43"/>
      <c r="BE208" s="43"/>
      <c r="BF208" s="43"/>
      <c r="BG208" s="43"/>
    </row>
    <row r="209" spans="1:59" x14ac:dyDescent="0.25">
      <c r="A209" s="13"/>
      <c r="B209" s="22"/>
      <c r="C209" s="22"/>
      <c r="D209" s="14"/>
      <c r="E209" s="14"/>
      <c r="F209" s="33"/>
      <c r="G209" s="33"/>
      <c r="H209" s="33"/>
      <c r="I209" s="33"/>
      <c r="J209" s="33"/>
      <c r="K209" s="33"/>
      <c r="L209" s="34"/>
      <c r="M209" s="34"/>
      <c r="N209" s="35"/>
      <c r="O209" s="35"/>
      <c r="P209" s="35"/>
      <c r="Q209" s="34"/>
      <c r="R209" s="35"/>
      <c r="S209" s="34"/>
      <c r="T209" s="34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57"/>
      <c r="AF209" s="57"/>
      <c r="AG209" s="48"/>
      <c r="AH209" s="48"/>
      <c r="AI209" s="48"/>
      <c r="AJ209" s="48"/>
      <c r="AK209" s="48"/>
      <c r="AL209" s="48"/>
      <c r="AM209" s="48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43"/>
      <c r="AY209" s="43"/>
      <c r="AZ209" s="44"/>
      <c r="BA209" s="43"/>
      <c r="BB209" s="43"/>
      <c r="BC209" s="43"/>
      <c r="BD209" s="43"/>
      <c r="BE209" s="43"/>
      <c r="BF209" s="43"/>
      <c r="BG209" s="43"/>
    </row>
    <row r="210" spans="1:59" x14ac:dyDescent="0.25">
      <c r="A210" s="13"/>
      <c r="B210" s="22"/>
      <c r="C210" s="22"/>
      <c r="D210" s="14"/>
      <c r="E210" s="14"/>
      <c r="F210" s="33"/>
      <c r="G210" s="33"/>
      <c r="H210" s="33"/>
      <c r="I210" s="33"/>
      <c r="J210" s="33"/>
      <c r="K210" s="33"/>
      <c r="L210" s="34"/>
      <c r="M210" s="34"/>
      <c r="N210" s="35"/>
      <c r="O210" s="35"/>
      <c r="P210" s="35"/>
      <c r="Q210" s="34"/>
      <c r="R210" s="35"/>
      <c r="S210" s="34"/>
      <c r="T210" s="34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57"/>
      <c r="AF210" s="57"/>
      <c r="AG210" s="48"/>
      <c r="AH210" s="48"/>
      <c r="AI210" s="48"/>
      <c r="AJ210" s="48"/>
      <c r="AK210" s="48"/>
      <c r="AL210" s="48"/>
      <c r="AM210" s="48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43"/>
      <c r="AY210" s="43"/>
      <c r="AZ210" s="44"/>
      <c r="BA210" s="43"/>
      <c r="BB210" s="43"/>
      <c r="BC210" s="43"/>
      <c r="BD210" s="43"/>
      <c r="BE210" s="43"/>
      <c r="BF210" s="43"/>
      <c r="BG210" s="43"/>
    </row>
    <row r="211" spans="1:59" x14ac:dyDescent="0.25">
      <c r="A211" s="13"/>
      <c r="B211" s="22"/>
      <c r="C211" s="22"/>
      <c r="D211" s="14"/>
      <c r="E211" s="14"/>
      <c r="F211" s="33"/>
      <c r="G211" s="33"/>
      <c r="H211" s="33"/>
      <c r="I211" s="33"/>
      <c r="J211" s="33"/>
      <c r="K211" s="33"/>
      <c r="L211" s="34"/>
      <c r="M211" s="34"/>
      <c r="N211" s="35"/>
      <c r="O211" s="35"/>
      <c r="P211" s="35"/>
      <c r="Q211" s="34"/>
      <c r="R211" s="35"/>
      <c r="S211" s="34"/>
      <c r="T211" s="34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57"/>
      <c r="AF211" s="57"/>
      <c r="AG211" s="48"/>
      <c r="AH211" s="48"/>
      <c r="AI211" s="48"/>
      <c r="AJ211" s="48"/>
      <c r="AK211" s="48"/>
      <c r="AL211" s="48"/>
      <c r="AM211" s="48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43"/>
      <c r="AY211" s="43"/>
      <c r="AZ211" s="44"/>
      <c r="BA211" s="43"/>
      <c r="BB211" s="43"/>
      <c r="BC211" s="43"/>
      <c r="BD211" s="43"/>
      <c r="BE211" s="43"/>
      <c r="BF211" s="43"/>
      <c r="BG211" s="43"/>
    </row>
    <row r="212" spans="1:59" x14ac:dyDescent="0.25">
      <c r="A212" s="13"/>
      <c r="B212" s="22"/>
      <c r="C212" s="22"/>
      <c r="D212" s="14"/>
      <c r="E212" s="14"/>
      <c r="F212" s="33"/>
      <c r="G212" s="33"/>
      <c r="H212" s="33"/>
      <c r="I212" s="33"/>
      <c r="J212" s="33"/>
      <c r="K212" s="33"/>
      <c r="L212" s="34"/>
      <c r="M212" s="34"/>
      <c r="N212" s="35"/>
      <c r="O212" s="35"/>
      <c r="P212" s="35"/>
      <c r="Q212" s="34"/>
      <c r="R212" s="35"/>
      <c r="S212" s="34"/>
      <c r="T212" s="34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57"/>
      <c r="AF212" s="57"/>
      <c r="AG212" s="48"/>
      <c r="AH212" s="48"/>
      <c r="AI212" s="48"/>
      <c r="AJ212" s="48"/>
      <c r="AK212" s="48"/>
      <c r="AL212" s="48"/>
      <c r="AM212" s="48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43"/>
      <c r="AY212" s="43"/>
      <c r="AZ212" s="44"/>
      <c r="BA212" s="43"/>
      <c r="BB212" s="43"/>
      <c r="BC212" s="43"/>
      <c r="BD212" s="43"/>
      <c r="BE212" s="43"/>
      <c r="BF212" s="43"/>
      <c r="BG212" s="43"/>
    </row>
    <row r="213" spans="1:59" x14ac:dyDescent="0.25">
      <c r="A213" s="13"/>
      <c r="B213" s="22"/>
      <c r="C213" s="22"/>
      <c r="D213" s="14"/>
      <c r="E213" s="14"/>
      <c r="F213" s="33"/>
      <c r="G213" s="33"/>
      <c r="H213" s="33"/>
      <c r="I213" s="33"/>
      <c r="J213" s="33"/>
      <c r="K213" s="33"/>
      <c r="L213" s="34"/>
      <c r="M213" s="34"/>
      <c r="N213" s="35"/>
      <c r="O213" s="35"/>
      <c r="P213" s="35"/>
      <c r="Q213" s="34"/>
      <c r="R213" s="35"/>
      <c r="S213" s="34"/>
      <c r="T213" s="34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57"/>
      <c r="AF213" s="57"/>
      <c r="AG213" s="48"/>
      <c r="AH213" s="48"/>
      <c r="AI213" s="48"/>
      <c r="AJ213" s="48"/>
      <c r="AK213" s="48"/>
      <c r="AL213" s="48"/>
      <c r="AM213" s="48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43"/>
      <c r="AY213" s="43"/>
      <c r="AZ213" s="44"/>
      <c r="BA213" s="43"/>
      <c r="BB213" s="43"/>
      <c r="BC213" s="43"/>
      <c r="BD213" s="43"/>
      <c r="BE213" s="43"/>
      <c r="BF213" s="43"/>
      <c r="BG213" s="43"/>
    </row>
    <row r="214" spans="1:59" x14ac:dyDescent="0.25">
      <c r="A214" s="13"/>
      <c r="B214" s="22"/>
      <c r="C214" s="22"/>
      <c r="D214" s="14"/>
      <c r="E214" s="14"/>
      <c r="F214" s="33"/>
      <c r="G214" s="33"/>
      <c r="H214" s="33"/>
      <c r="I214" s="33"/>
      <c r="J214" s="33"/>
      <c r="K214" s="33"/>
      <c r="L214" s="34"/>
      <c r="M214" s="34"/>
      <c r="N214" s="35"/>
      <c r="O214" s="35"/>
      <c r="P214" s="35"/>
      <c r="Q214" s="34"/>
      <c r="R214" s="35"/>
      <c r="S214" s="34"/>
      <c r="T214" s="34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57"/>
      <c r="AF214" s="57"/>
      <c r="AG214" s="48"/>
      <c r="AH214" s="48"/>
      <c r="AI214" s="48"/>
      <c r="AJ214" s="48"/>
      <c r="AK214" s="48"/>
      <c r="AL214" s="48"/>
      <c r="AM214" s="48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43"/>
      <c r="AY214" s="43"/>
      <c r="AZ214" s="44"/>
      <c r="BA214" s="43"/>
      <c r="BB214" s="43"/>
      <c r="BC214" s="43"/>
      <c r="BD214" s="43"/>
      <c r="BE214" s="43"/>
      <c r="BF214" s="43"/>
      <c r="BG214" s="43"/>
    </row>
    <row r="215" spans="1:59" x14ac:dyDescent="0.25">
      <c r="A215" s="13"/>
      <c r="B215" s="22"/>
      <c r="C215" s="22"/>
      <c r="D215" s="14"/>
      <c r="E215" s="14"/>
      <c r="F215" s="33"/>
      <c r="G215" s="33"/>
      <c r="H215" s="33"/>
      <c r="I215" s="33"/>
      <c r="J215" s="33"/>
      <c r="K215" s="33"/>
      <c r="L215" s="34"/>
      <c r="M215" s="34"/>
      <c r="N215" s="35"/>
      <c r="O215" s="35"/>
      <c r="P215" s="35"/>
      <c r="Q215" s="34"/>
      <c r="R215" s="35"/>
      <c r="S215" s="34"/>
      <c r="T215" s="34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57"/>
      <c r="AF215" s="57"/>
      <c r="AG215" s="48"/>
      <c r="AH215" s="48"/>
      <c r="AI215" s="48"/>
      <c r="AJ215" s="48"/>
      <c r="AK215" s="48"/>
      <c r="AL215" s="48"/>
      <c r="AM215" s="48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43"/>
      <c r="AY215" s="43"/>
      <c r="AZ215" s="44"/>
      <c r="BA215" s="43"/>
      <c r="BB215" s="43"/>
      <c r="BC215" s="43"/>
      <c r="BD215" s="43"/>
      <c r="BE215" s="43"/>
      <c r="BF215" s="43"/>
      <c r="BG215" s="43"/>
    </row>
    <row r="216" spans="1:59" x14ac:dyDescent="0.25">
      <c r="A216" s="13"/>
      <c r="B216" s="22"/>
      <c r="C216" s="22"/>
      <c r="D216" s="14"/>
      <c r="E216" s="14"/>
      <c r="F216" s="33"/>
      <c r="G216" s="33"/>
      <c r="H216" s="33"/>
      <c r="I216" s="33"/>
      <c r="J216" s="33"/>
      <c r="K216" s="33"/>
      <c r="L216" s="34"/>
      <c r="M216" s="34"/>
      <c r="N216" s="35"/>
      <c r="O216" s="35"/>
      <c r="P216" s="35"/>
      <c r="Q216" s="34"/>
      <c r="R216" s="35"/>
      <c r="S216" s="34"/>
      <c r="T216" s="34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57"/>
      <c r="AF216" s="57"/>
      <c r="AG216" s="48"/>
      <c r="AH216" s="48"/>
      <c r="AI216" s="48"/>
      <c r="AJ216" s="48"/>
      <c r="AK216" s="48"/>
      <c r="AL216" s="48"/>
      <c r="AM216" s="48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43"/>
      <c r="AY216" s="43"/>
      <c r="AZ216" s="44"/>
      <c r="BA216" s="43"/>
      <c r="BB216" s="43"/>
      <c r="BC216" s="43"/>
      <c r="BD216" s="43"/>
      <c r="BE216" s="43"/>
      <c r="BF216" s="43"/>
      <c r="BG216" s="43"/>
    </row>
    <row r="217" spans="1:59" x14ac:dyDescent="0.25">
      <c r="A217" s="13"/>
      <c r="B217" s="22"/>
      <c r="C217" s="22"/>
      <c r="D217" s="14"/>
      <c r="E217" s="14"/>
      <c r="F217" s="33"/>
      <c r="G217" s="33"/>
      <c r="H217" s="33"/>
      <c r="I217" s="33"/>
      <c r="J217" s="33"/>
      <c r="K217" s="33"/>
      <c r="L217" s="34"/>
      <c r="M217" s="34"/>
      <c r="N217" s="35"/>
      <c r="O217" s="35"/>
      <c r="P217" s="35"/>
      <c r="Q217" s="34"/>
      <c r="R217" s="35"/>
      <c r="S217" s="34"/>
      <c r="T217" s="34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57"/>
      <c r="AF217" s="57"/>
      <c r="AG217" s="48"/>
      <c r="AH217" s="48"/>
      <c r="AI217" s="48"/>
      <c r="AJ217" s="48"/>
      <c r="AK217" s="48"/>
      <c r="AL217" s="48"/>
      <c r="AM217" s="48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43"/>
      <c r="AY217" s="43"/>
      <c r="AZ217" s="44"/>
      <c r="BA217" s="43"/>
      <c r="BB217" s="43"/>
      <c r="BC217" s="43"/>
      <c r="BD217" s="43"/>
      <c r="BE217" s="43"/>
      <c r="BF217" s="43"/>
      <c r="BG217" s="43"/>
    </row>
    <row r="218" spans="1:59" x14ac:dyDescent="0.25">
      <c r="A218" s="13"/>
      <c r="B218" s="22"/>
      <c r="C218" s="22"/>
      <c r="D218" s="14"/>
      <c r="E218" s="14"/>
      <c r="F218" s="33"/>
      <c r="G218" s="33"/>
      <c r="H218" s="33"/>
      <c r="I218" s="33"/>
      <c r="J218" s="33"/>
      <c r="K218" s="33"/>
      <c r="L218" s="34"/>
      <c r="M218" s="34"/>
      <c r="N218" s="35"/>
      <c r="O218" s="35"/>
      <c r="P218" s="35"/>
      <c r="Q218" s="34"/>
      <c r="R218" s="35"/>
      <c r="S218" s="34"/>
      <c r="T218" s="34"/>
      <c r="U218" s="36"/>
      <c r="V218" s="36"/>
      <c r="W218" s="36"/>
      <c r="X218" s="36"/>
      <c r="Y218" s="36"/>
      <c r="Z218" s="36"/>
      <c r="AA218" s="36"/>
      <c r="AB218" s="36"/>
      <c r="AC218" s="33"/>
      <c r="AD218" s="36"/>
      <c r="AE218" s="57"/>
      <c r="AF218" s="57"/>
      <c r="AG218" s="48"/>
      <c r="AH218" s="48"/>
      <c r="AI218" s="48"/>
      <c r="AJ218" s="48"/>
      <c r="AK218" s="48"/>
      <c r="AL218" s="48"/>
      <c r="AM218" s="48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43"/>
      <c r="AY218" s="43"/>
      <c r="AZ218" s="44"/>
      <c r="BA218" s="43"/>
      <c r="BB218" s="43"/>
      <c r="BC218" s="43"/>
      <c r="BD218" s="43"/>
      <c r="BE218" s="43"/>
      <c r="BF218" s="43"/>
      <c r="BG218" s="43"/>
    </row>
    <row r="219" spans="1:59" x14ac:dyDescent="0.25">
      <c r="A219" s="13"/>
      <c r="B219" s="22"/>
      <c r="C219" s="22"/>
      <c r="D219" s="14"/>
      <c r="E219" s="14"/>
      <c r="F219" s="33"/>
      <c r="G219" s="33"/>
      <c r="H219" s="33"/>
      <c r="I219" s="33"/>
      <c r="J219" s="33"/>
      <c r="K219" s="33"/>
      <c r="L219" s="34"/>
      <c r="M219" s="34"/>
      <c r="N219" s="35"/>
      <c r="O219" s="35"/>
      <c r="P219" s="35"/>
      <c r="Q219" s="34"/>
      <c r="R219" s="35"/>
      <c r="S219" s="34"/>
      <c r="T219" s="34"/>
      <c r="U219" s="36"/>
      <c r="V219" s="36"/>
      <c r="W219" s="36"/>
      <c r="X219" s="36"/>
      <c r="Y219" s="36"/>
      <c r="Z219" s="36"/>
      <c r="AA219" s="36"/>
      <c r="AB219" s="36"/>
      <c r="AC219" s="33"/>
      <c r="AD219" s="36"/>
      <c r="AE219" s="57"/>
      <c r="AF219" s="57"/>
      <c r="AG219" s="48"/>
      <c r="AH219" s="48"/>
      <c r="AI219" s="48"/>
      <c r="AJ219" s="48"/>
      <c r="AK219" s="48"/>
      <c r="AL219" s="48"/>
      <c r="AM219" s="48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43"/>
      <c r="AY219" s="43"/>
      <c r="AZ219" s="44"/>
      <c r="BA219" s="43"/>
      <c r="BB219" s="43"/>
      <c r="BC219" s="43"/>
      <c r="BD219" s="43"/>
      <c r="BE219" s="43"/>
      <c r="BF219" s="43"/>
      <c r="BG219" s="43"/>
    </row>
    <row r="220" spans="1:59" x14ac:dyDescent="0.25">
      <c r="A220" s="13"/>
      <c r="B220" s="22"/>
      <c r="C220" s="22"/>
      <c r="D220" s="14"/>
      <c r="E220" s="14"/>
      <c r="F220" s="33"/>
      <c r="G220" s="33"/>
      <c r="H220" s="33"/>
      <c r="I220" s="33"/>
      <c r="J220" s="33"/>
      <c r="K220" s="33"/>
      <c r="L220" s="34"/>
      <c r="M220" s="34"/>
      <c r="N220" s="35"/>
      <c r="O220" s="35"/>
      <c r="P220" s="35"/>
      <c r="Q220" s="34"/>
      <c r="R220" s="35"/>
      <c r="S220" s="34"/>
      <c r="T220" s="34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57"/>
      <c r="AF220" s="57"/>
      <c r="AG220" s="48"/>
      <c r="AH220" s="48"/>
      <c r="AI220" s="48"/>
      <c r="AJ220" s="48"/>
      <c r="AK220" s="48"/>
      <c r="AL220" s="48"/>
      <c r="AM220" s="48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43"/>
      <c r="AY220" s="43"/>
      <c r="AZ220" s="44"/>
    </row>
    <row r="221" spans="1:59" x14ac:dyDescent="0.25">
      <c r="A221" s="13"/>
      <c r="B221" s="22"/>
      <c r="C221" s="22"/>
      <c r="D221" s="14"/>
      <c r="E221" s="14"/>
      <c r="F221" s="33"/>
      <c r="G221" s="33"/>
      <c r="H221" s="33"/>
      <c r="I221" s="33"/>
      <c r="J221" s="33"/>
      <c r="K221" s="33"/>
      <c r="L221" s="34"/>
      <c r="M221" s="34"/>
      <c r="N221" s="35"/>
      <c r="O221" s="35"/>
      <c r="P221" s="35"/>
      <c r="Q221" s="34"/>
      <c r="R221" s="35"/>
      <c r="S221" s="34"/>
      <c r="T221" s="34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57"/>
      <c r="AF221" s="57"/>
      <c r="AG221" s="48"/>
      <c r="AH221" s="48"/>
      <c r="AI221" s="48"/>
      <c r="AJ221" s="48"/>
      <c r="AK221" s="48"/>
      <c r="AL221" s="48"/>
      <c r="AM221" s="48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43"/>
      <c r="AY221" s="43"/>
      <c r="AZ221" s="44"/>
    </row>
    <row r="222" spans="1:59" x14ac:dyDescent="0.25">
      <c r="A222" s="13"/>
      <c r="B222" s="22"/>
      <c r="C222" s="22"/>
      <c r="D222" s="14"/>
      <c r="E222" s="14"/>
      <c r="F222" s="33"/>
      <c r="G222" s="33"/>
      <c r="H222" s="33"/>
      <c r="I222" s="33"/>
      <c r="J222" s="33"/>
      <c r="K222" s="33"/>
      <c r="L222" s="34"/>
      <c r="M222" s="34"/>
      <c r="N222" s="35"/>
      <c r="O222" s="35"/>
      <c r="P222" s="35"/>
      <c r="Q222" s="34"/>
      <c r="R222" s="35"/>
      <c r="S222" s="34"/>
      <c r="T222" s="34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57"/>
      <c r="AF222" s="57"/>
      <c r="AG222" s="48"/>
      <c r="AH222" s="48"/>
      <c r="AI222" s="48"/>
      <c r="AJ222" s="48"/>
      <c r="AK222" s="48"/>
      <c r="AL222" s="48"/>
      <c r="AM222" s="48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43"/>
      <c r="AY222" s="43"/>
      <c r="AZ222" s="44"/>
    </row>
    <row r="223" spans="1:59" x14ac:dyDescent="0.25">
      <c r="A223" s="13"/>
      <c r="B223" s="22"/>
      <c r="C223" s="22"/>
      <c r="D223" s="14"/>
      <c r="E223" s="14"/>
      <c r="F223" s="33"/>
      <c r="G223" s="33"/>
      <c r="H223" s="33"/>
      <c r="I223" s="33"/>
      <c r="J223" s="33"/>
      <c r="K223" s="33"/>
      <c r="L223" s="34"/>
      <c r="M223" s="34"/>
      <c r="N223" s="35"/>
      <c r="O223" s="35"/>
      <c r="P223" s="35"/>
      <c r="Q223" s="34"/>
      <c r="R223" s="35"/>
      <c r="S223" s="34"/>
      <c r="T223" s="34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57"/>
      <c r="AF223" s="57"/>
      <c r="AG223" s="48"/>
      <c r="AH223" s="48"/>
      <c r="AI223" s="48"/>
      <c r="AJ223" s="48"/>
      <c r="AK223" s="48"/>
      <c r="AL223" s="48"/>
      <c r="AM223" s="48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43"/>
      <c r="AY223" s="43"/>
      <c r="AZ223" s="44"/>
    </row>
    <row r="224" spans="1:59" x14ac:dyDescent="0.25">
      <c r="A224" s="13"/>
      <c r="B224" s="22"/>
      <c r="C224" s="22"/>
      <c r="D224" s="14"/>
      <c r="E224" s="14"/>
      <c r="F224" s="33"/>
      <c r="G224" s="33"/>
      <c r="H224" s="33"/>
      <c r="I224" s="33"/>
      <c r="J224" s="33"/>
      <c r="K224" s="33"/>
      <c r="L224" s="34"/>
      <c r="M224" s="34"/>
      <c r="N224" s="35"/>
      <c r="O224" s="35"/>
      <c r="P224" s="35"/>
      <c r="Q224" s="34"/>
      <c r="R224" s="35"/>
      <c r="S224" s="34"/>
      <c r="T224" s="34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57"/>
      <c r="AF224" s="57"/>
      <c r="AG224" s="48"/>
      <c r="AH224" s="48"/>
      <c r="AI224" s="48"/>
      <c r="AJ224" s="48"/>
      <c r="AK224" s="48"/>
      <c r="AL224" s="48"/>
      <c r="AM224" s="48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43"/>
      <c r="AY224" s="43"/>
      <c r="AZ224" s="44"/>
    </row>
    <row r="225" spans="1:52" x14ac:dyDescent="0.25">
      <c r="A225" s="13"/>
      <c r="B225" s="22"/>
      <c r="C225" s="22"/>
      <c r="D225" s="14"/>
      <c r="E225" s="14"/>
      <c r="F225" s="33"/>
      <c r="G225" s="33"/>
      <c r="H225" s="33"/>
      <c r="I225" s="33"/>
      <c r="J225" s="33"/>
      <c r="K225" s="33"/>
      <c r="L225" s="34"/>
      <c r="M225" s="34"/>
      <c r="N225" s="35"/>
      <c r="O225" s="35"/>
      <c r="P225" s="35"/>
      <c r="Q225" s="34"/>
      <c r="R225" s="35"/>
      <c r="S225" s="34"/>
      <c r="T225" s="34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57"/>
      <c r="AF225" s="57"/>
      <c r="AG225" s="48"/>
      <c r="AH225" s="48"/>
      <c r="AI225" s="48"/>
      <c r="AJ225" s="48"/>
      <c r="AK225" s="48"/>
      <c r="AL225" s="48"/>
      <c r="AM225" s="48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43"/>
      <c r="AY225" s="43"/>
      <c r="AZ225" s="44"/>
    </row>
    <row r="226" spans="1:52" x14ac:dyDescent="0.25">
      <c r="A226" s="13"/>
      <c r="B226" s="22"/>
      <c r="C226" s="22"/>
      <c r="D226" s="14"/>
      <c r="E226" s="14"/>
      <c r="F226" s="33"/>
      <c r="G226" s="33"/>
      <c r="H226" s="33"/>
      <c r="I226" s="33"/>
      <c r="J226" s="33"/>
      <c r="K226" s="33"/>
      <c r="L226" s="34"/>
      <c r="M226" s="34"/>
      <c r="N226" s="35"/>
      <c r="O226" s="35"/>
      <c r="P226" s="35"/>
      <c r="Q226" s="34"/>
      <c r="R226" s="35"/>
      <c r="S226" s="34"/>
      <c r="T226" s="34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57"/>
      <c r="AF226" s="57"/>
      <c r="AG226" s="48"/>
      <c r="AH226" s="48"/>
      <c r="AI226" s="48"/>
      <c r="AJ226" s="48"/>
      <c r="AK226" s="48"/>
      <c r="AL226" s="48"/>
      <c r="AM226" s="48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43"/>
    </row>
    <row r="227" spans="1:52" x14ac:dyDescent="0.25">
      <c r="A227" s="13"/>
      <c r="B227" s="22"/>
      <c r="C227" s="22"/>
      <c r="D227" s="14"/>
      <c r="E227" s="14"/>
      <c r="F227" s="33"/>
      <c r="G227" s="33"/>
      <c r="H227" s="33"/>
      <c r="I227" s="33"/>
      <c r="J227" s="33"/>
      <c r="K227" s="33"/>
      <c r="L227" s="34"/>
      <c r="M227" s="34"/>
      <c r="N227" s="35"/>
      <c r="O227" s="35"/>
      <c r="P227" s="35"/>
      <c r="Q227" s="34"/>
      <c r="R227" s="35"/>
      <c r="S227" s="34"/>
      <c r="T227" s="34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57"/>
      <c r="AF227" s="57"/>
      <c r="AG227" s="48"/>
      <c r="AH227" s="48"/>
      <c r="AI227" s="48"/>
      <c r="AJ227" s="48"/>
      <c r="AK227" s="48"/>
      <c r="AL227" s="48"/>
      <c r="AM227" s="48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43"/>
    </row>
    <row r="228" spans="1:52" x14ac:dyDescent="0.25">
      <c r="A228" s="13"/>
      <c r="B228" s="22"/>
      <c r="C228" s="22"/>
      <c r="D228" s="14"/>
      <c r="E228" s="14"/>
      <c r="F228" s="33"/>
      <c r="G228" s="33"/>
      <c r="H228" s="33"/>
      <c r="I228" s="33"/>
      <c r="J228" s="33"/>
      <c r="K228" s="33"/>
      <c r="L228" s="34"/>
      <c r="M228" s="34"/>
      <c r="N228" s="35"/>
      <c r="O228" s="35"/>
      <c r="P228" s="35"/>
      <c r="Q228" s="34"/>
      <c r="R228" s="35"/>
      <c r="S228" s="34"/>
      <c r="T228" s="34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57"/>
      <c r="AF228" s="57"/>
      <c r="AG228" s="48"/>
      <c r="AH228" s="48"/>
      <c r="AI228" s="48"/>
      <c r="AJ228" s="48"/>
      <c r="AK228" s="48"/>
      <c r="AL228" s="48"/>
      <c r="AM228" s="48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43"/>
    </row>
    <row r="229" spans="1:52" x14ac:dyDescent="0.25">
      <c r="A229" s="13"/>
      <c r="B229" s="22"/>
      <c r="C229" s="22"/>
      <c r="D229" s="14"/>
      <c r="E229" s="14"/>
      <c r="F229" s="33"/>
      <c r="G229" s="33"/>
      <c r="H229" s="33"/>
      <c r="I229" s="33"/>
      <c r="J229" s="33"/>
      <c r="K229" s="33"/>
      <c r="L229" s="34"/>
      <c r="M229" s="34"/>
      <c r="N229" s="35"/>
      <c r="O229" s="35"/>
      <c r="P229" s="35"/>
      <c r="Q229" s="34"/>
      <c r="R229" s="35"/>
      <c r="S229" s="34"/>
      <c r="T229" s="34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57"/>
      <c r="AF229" s="57"/>
      <c r="AG229" s="48"/>
      <c r="AH229" s="48"/>
      <c r="AI229" s="48"/>
      <c r="AJ229" s="48"/>
      <c r="AK229" s="48"/>
      <c r="AL229" s="48"/>
      <c r="AM229" s="48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43"/>
    </row>
    <row r="230" spans="1:52" x14ac:dyDescent="0.25">
      <c r="A230" s="13"/>
      <c r="B230" s="22"/>
      <c r="C230" s="22"/>
      <c r="D230" s="14"/>
      <c r="E230" s="14"/>
      <c r="F230" s="33"/>
      <c r="G230" s="33"/>
      <c r="H230" s="33"/>
      <c r="I230" s="33"/>
      <c r="J230" s="33"/>
      <c r="K230" s="33"/>
      <c r="L230" s="34"/>
      <c r="M230" s="34"/>
      <c r="N230" s="35"/>
      <c r="O230" s="35"/>
      <c r="P230" s="35"/>
      <c r="Q230" s="34"/>
      <c r="R230" s="35"/>
      <c r="S230" s="34"/>
      <c r="T230" s="34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57"/>
      <c r="AF230" s="57"/>
      <c r="AG230" s="48"/>
      <c r="AH230" s="48"/>
      <c r="AI230" s="48"/>
      <c r="AJ230" s="48"/>
      <c r="AK230" s="48"/>
      <c r="AL230" s="48"/>
      <c r="AM230" s="48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43"/>
    </row>
    <row r="231" spans="1:52" x14ac:dyDescent="0.25">
      <c r="A231" s="13"/>
      <c r="B231" s="22"/>
      <c r="C231" s="22"/>
      <c r="D231" s="14"/>
      <c r="E231" s="14"/>
      <c r="F231" s="33"/>
      <c r="G231" s="33"/>
      <c r="H231" s="33"/>
      <c r="I231" s="33"/>
      <c r="J231" s="33"/>
      <c r="K231" s="33"/>
      <c r="L231" s="34"/>
      <c r="M231" s="34"/>
      <c r="N231" s="35"/>
      <c r="O231" s="35"/>
      <c r="P231" s="35"/>
      <c r="Q231" s="34"/>
      <c r="R231" s="35"/>
      <c r="S231" s="34"/>
      <c r="T231" s="34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57"/>
      <c r="AF231" s="57"/>
      <c r="AG231" s="48"/>
      <c r="AH231" s="48"/>
      <c r="AI231" s="48"/>
      <c r="AJ231" s="48"/>
      <c r="AK231" s="48"/>
      <c r="AL231" s="48"/>
      <c r="AM231" s="48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43"/>
    </row>
    <row r="232" spans="1:52" x14ac:dyDescent="0.25">
      <c r="A232" s="13"/>
      <c r="B232" s="22"/>
      <c r="C232" s="22"/>
      <c r="D232" s="14"/>
      <c r="E232" s="14"/>
      <c r="F232" s="33"/>
      <c r="G232" s="33"/>
      <c r="H232" s="33"/>
      <c r="I232" s="33"/>
      <c r="J232" s="33"/>
      <c r="K232" s="33"/>
      <c r="L232" s="34"/>
      <c r="M232" s="34"/>
      <c r="N232" s="35"/>
      <c r="O232" s="35"/>
      <c r="P232" s="35"/>
      <c r="Q232" s="34"/>
      <c r="R232" s="35"/>
      <c r="S232" s="34"/>
      <c r="T232" s="34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57"/>
      <c r="AF232" s="57"/>
      <c r="AG232" s="48"/>
      <c r="AH232" s="48"/>
      <c r="AI232" s="48"/>
      <c r="AJ232" s="48"/>
      <c r="AK232" s="48"/>
      <c r="AL232" s="48"/>
      <c r="AM232" s="48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43"/>
    </row>
    <row r="233" spans="1:52" x14ac:dyDescent="0.25">
      <c r="A233" s="13"/>
      <c r="B233" s="22"/>
      <c r="C233" s="22"/>
      <c r="D233" s="14"/>
      <c r="E233" s="14"/>
      <c r="F233" s="33"/>
      <c r="G233" s="33"/>
      <c r="H233" s="33"/>
      <c r="I233" s="33"/>
      <c r="J233" s="33"/>
      <c r="K233" s="33"/>
      <c r="L233" s="34"/>
      <c r="M233" s="34"/>
      <c r="N233" s="35"/>
      <c r="O233" s="35"/>
      <c r="P233" s="35"/>
      <c r="Q233" s="34"/>
      <c r="R233" s="35"/>
      <c r="S233" s="34"/>
      <c r="T233" s="34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57"/>
      <c r="AF233" s="57"/>
      <c r="AG233" s="48"/>
      <c r="AH233" s="48"/>
      <c r="AI233" s="48"/>
      <c r="AJ233" s="48"/>
      <c r="AK233" s="48"/>
      <c r="AL233" s="48"/>
      <c r="AM233" s="48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43"/>
    </row>
    <row r="234" spans="1:52" x14ac:dyDescent="0.25">
      <c r="A234" s="13"/>
      <c r="B234" s="22"/>
      <c r="C234" s="22"/>
      <c r="D234" s="14"/>
      <c r="E234" s="14"/>
      <c r="F234" s="33"/>
      <c r="G234" s="33"/>
      <c r="H234" s="33"/>
      <c r="I234" s="33"/>
      <c r="J234" s="33"/>
      <c r="K234" s="33"/>
      <c r="L234" s="34"/>
      <c r="M234" s="34"/>
      <c r="N234" s="35"/>
      <c r="O234" s="35"/>
      <c r="P234" s="35"/>
      <c r="Q234" s="34"/>
      <c r="R234" s="35"/>
      <c r="S234" s="34"/>
      <c r="T234" s="34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57"/>
      <c r="AF234" s="57"/>
      <c r="AG234" s="48"/>
      <c r="AH234" s="48"/>
      <c r="AI234" s="48"/>
      <c r="AJ234" s="48"/>
      <c r="AK234" s="48"/>
      <c r="AL234" s="48"/>
      <c r="AM234" s="48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43"/>
    </row>
    <row r="235" spans="1:52" x14ac:dyDescent="0.25">
      <c r="A235" s="13"/>
      <c r="B235" s="22"/>
      <c r="C235" s="22"/>
      <c r="D235" s="14"/>
      <c r="E235" s="14"/>
      <c r="F235" s="33"/>
      <c r="G235" s="33"/>
      <c r="H235" s="33"/>
      <c r="I235" s="33"/>
      <c r="J235" s="33"/>
      <c r="K235" s="33"/>
      <c r="L235" s="34"/>
      <c r="M235" s="34"/>
      <c r="N235" s="35"/>
      <c r="O235" s="35"/>
      <c r="P235" s="35"/>
      <c r="Q235" s="34"/>
      <c r="R235" s="35"/>
      <c r="S235" s="34"/>
      <c r="T235" s="34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57"/>
      <c r="AF235" s="57"/>
      <c r="AG235" s="48"/>
      <c r="AH235" s="48"/>
      <c r="AI235" s="48"/>
      <c r="AJ235" s="48"/>
      <c r="AK235" s="48"/>
      <c r="AL235" s="48"/>
      <c r="AM235" s="48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43"/>
    </row>
    <row r="236" spans="1:52" x14ac:dyDescent="0.25">
      <c r="A236" s="13"/>
      <c r="B236" s="22"/>
      <c r="C236" s="22"/>
      <c r="D236" s="14"/>
      <c r="E236" s="14"/>
      <c r="F236" s="33"/>
      <c r="G236" s="33"/>
      <c r="H236" s="33"/>
      <c r="I236" s="33"/>
      <c r="J236" s="33"/>
      <c r="K236" s="33"/>
      <c r="L236" s="34"/>
      <c r="M236" s="34"/>
      <c r="N236" s="35"/>
      <c r="O236" s="35"/>
      <c r="P236" s="35"/>
      <c r="Q236" s="34"/>
      <c r="R236" s="35"/>
      <c r="S236" s="34"/>
      <c r="T236" s="34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57"/>
      <c r="AF236" s="57"/>
      <c r="AG236" s="48"/>
      <c r="AH236" s="48"/>
      <c r="AI236" s="48"/>
      <c r="AJ236" s="48"/>
      <c r="AK236" s="48"/>
      <c r="AL236" s="48"/>
      <c r="AM236" s="48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43"/>
    </row>
    <row r="237" spans="1:52" x14ac:dyDescent="0.25">
      <c r="A237" s="13"/>
      <c r="B237" s="22"/>
      <c r="C237" s="22"/>
      <c r="D237" s="14"/>
      <c r="E237" s="14"/>
      <c r="F237" s="33"/>
      <c r="G237" s="33"/>
      <c r="H237" s="33"/>
      <c r="I237" s="33"/>
      <c r="J237" s="33"/>
      <c r="K237" s="33"/>
      <c r="L237" s="34"/>
      <c r="M237" s="34"/>
      <c r="N237" s="35"/>
      <c r="O237" s="35"/>
      <c r="P237" s="35"/>
      <c r="Q237" s="34"/>
      <c r="R237" s="35"/>
      <c r="S237" s="34"/>
      <c r="T237" s="34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57"/>
      <c r="AF237" s="57"/>
      <c r="AG237" s="48"/>
      <c r="AH237" s="48"/>
      <c r="AI237" s="48"/>
      <c r="AJ237" s="48"/>
      <c r="AK237" s="48"/>
      <c r="AL237" s="48"/>
      <c r="AM237" s="48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43"/>
    </row>
    <row r="238" spans="1:52" x14ac:dyDescent="0.25">
      <c r="A238" s="13"/>
      <c r="B238" s="22"/>
      <c r="C238" s="22"/>
      <c r="D238" s="14"/>
      <c r="E238" s="14"/>
      <c r="F238" s="33"/>
      <c r="G238" s="33"/>
      <c r="H238" s="33"/>
      <c r="I238" s="33"/>
      <c r="J238" s="33"/>
      <c r="K238" s="33"/>
      <c r="L238" s="34"/>
      <c r="M238" s="34"/>
      <c r="N238" s="35"/>
      <c r="O238" s="35"/>
      <c r="P238" s="35"/>
      <c r="Q238" s="34"/>
      <c r="R238" s="35"/>
      <c r="S238" s="34"/>
      <c r="T238" s="34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57"/>
      <c r="AF238" s="57"/>
      <c r="AG238" s="48"/>
      <c r="AH238" s="48"/>
      <c r="AI238" s="48"/>
      <c r="AJ238" s="48"/>
      <c r="AK238" s="48"/>
      <c r="AL238" s="48"/>
      <c r="AM238" s="48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43"/>
    </row>
    <row r="239" spans="1:52" x14ac:dyDescent="0.25">
      <c r="A239" s="13"/>
      <c r="B239" s="22"/>
      <c r="C239" s="22"/>
      <c r="D239" s="14"/>
      <c r="E239" s="14"/>
      <c r="F239" s="33"/>
      <c r="G239" s="33"/>
      <c r="H239" s="33"/>
      <c r="I239" s="33"/>
      <c r="J239" s="33"/>
      <c r="K239" s="33"/>
      <c r="L239" s="34"/>
      <c r="M239" s="34"/>
      <c r="N239" s="35"/>
      <c r="O239" s="35"/>
      <c r="P239" s="35"/>
      <c r="Q239" s="34"/>
      <c r="R239" s="35"/>
      <c r="S239" s="34"/>
      <c r="T239" s="34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57"/>
      <c r="AF239" s="57"/>
      <c r="AG239" s="48"/>
      <c r="AH239" s="48"/>
      <c r="AI239" s="48"/>
      <c r="AJ239" s="48"/>
      <c r="AK239" s="48"/>
      <c r="AL239" s="48"/>
      <c r="AM239" s="48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43"/>
    </row>
    <row r="240" spans="1:52" x14ac:dyDescent="0.25">
      <c r="A240" s="13"/>
      <c r="B240" s="22"/>
      <c r="C240" s="22"/>
      <c r="D240" s="14"/>
      <c r="E240" s="14"/>
      <c r="F240" s="33"/>
      <c r="G240" s="33"/>
      <c r="H240" s="33"/>
      <c r="I240" s="33"/>
      <c r="J240" s="33"/>
      <c r="K240" s="33"/>
      <c r="L240" s="34"/>
      <c r="M240" s="34"/>
      <c r="N240" s="35"/>
      <c r="O240" s="35"/>
      <c r="P240" s="35"/>
      <c r="Q240" s="34"/>
      <c r="R240" s="35"/>
      <c r="S240" s="34"/>
      <c r="T240" s="34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57"/>
      <c r="AF240" s="57"/>
      <c r="AG240" s="48"/>
      <c r="AH240" s="48"/>
      <c r="AI240" s="48"/>
      <c r="AJ240" s="48"/>
      <c r="AK240" s="48"/>
      <c r="AL240" s="48"/>
      <c r="AM240" s="48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43"/>
    </row>
    <row r="241" spans="1:59" x14ac:dyDescent="0.25">
      <c r="A241" s="13"/>
      <c r="B241" s="22"/>
      <c r="C241" s="22"/>
      <c r="D241" s="14"/>
      <c r="E241" s="14"/>
      <c r="F241" s="33"/>
      <c r="G241" s="33"/>
      <c r="H241" s="33"/>
      <c r="I241" s="33"/>
      <c r="J241" s="33"/>
      <c r="K241" s="33"/>
      <c r="L241" s="34"/>
      <c r="M241" s="34"/>
      <c r="N241" s="35"/>
      <c r="O241" s="35"/>
      <c r="P241" s="35"/>
      <c r="Q241" s="34"/>
      <c r="R241" s="35"/>
      <c r="S241" s="34"/>
      <c r="T241" s="34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57"/>
      <c r="AF241" s="57"/>
      <c r="AG241" s="48"/>
      <c r="AH241" s="48"/>
      <c r="AI241" s="48"/>
      <c r="AJ241" s="48"/>
      <c r="AK241" s="48"/>
      <c r="AL241" s="48"/>
      <c r="AM241" s="48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43"/>
    </row>
    <row r="242" spans="1:59" x14ac:dyDescent="0.25">
      <c r="A242" s="13"/>
      <c r="B242" s="22"/>
      <c r="C242" s="22"/>
      <c r="D242" s="14"/>
      <c r="E242" s="14"/>
      <c r="F242" s="33"/>
      <c r="G242" s="33"/>
      <c r="H242" s="33"/>
      <c r="I242" s="33"/>
      <c r="J242" s="33"/>
      <c r="K242" s="33"/>
      <c r="L242" s="34"/>
      <c r="M242" s="34"/>
      <c r="N242" s="35"/>
      <c r="O242" s="35"/>
      <c r="P242" s="35"/>
      <c r="Q242" s="34"/>
      <c r="R242" s="35"/>
      <c r="S242" s="34"/>
      <c r="T242" s="34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57"/>
      <c r="AF242" s="57"/>
      <c r="AG242" s="48"/>
      <c r="AH242" s="48"/>
      <c r="AI242" s="48"/>
      <c r="AJ242" s="48"/>
      <c r="AK242" s="48"/>
      <c r="AL242" s="48"/>
      <c r="AM242" s="48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43"/>
    </row>
    <row r="243" spans="1:59" x14ac:dyDescent="0.25">
      <c r="A243" s="13"/>
      <c r="B243" s="22"/>
      <c r="C243" s="22"/>
      <c r="D243" s="14"/>
      <c r="E243" s="14"/>
      <c r="F243" s="33"/>
      <c r="G243" s="33"/>
      <c r="H243" s="33"/>
      <c r="I243" s="33"/>
      <c r="J243" s="33"/>
      <c r="K243" s="33"/>
      <c r="L243" s="34"/>
      <c r="M243" s="34"/>
      <c r="N243" s="35"/>
      <c r="O243" s="35"/>
      <c r="P243" s="35"/>
      <c r="Q243" s="34"/>
      <c r="R243" s="35"/>
      <c r="S243" s="34"/>
      <c r="T243" s="34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57"/>
      <c r="AF243" s="57"/>
      <c r="AG243" s="48"/>
      <c r="AH243" s="48"/>
      <c r="AI243" s="48"/>
      <c r="AJ243" s="48"/>
      <c r="AK243" s="48"/>
      <c r="AL243" s="48"/>
      <c r="AM243" s="48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43"/>
    </row>
    <row r="244" spans="1:59" x14ac:dyDescent="0.25">
      <c r="A244" s="13"/>
      <c r="B244" s="22"/>
      <c r="C244" s="22"/>
      <c r="D244" s="14"/>
      <c r="E244" s="14"/>
      <c r="F244" s="33"/>
      <c r="G244" s="33"/>
      <c r="H244" s="33"/>
      <c r="I244" s="33"/>
      <c r="J244" s="33"/>
      <c r="K244" s="33"/>
      <c r="L244" s="34"/>
      <c r="M244" s="34"/>
      <c r="N244" s="35"/>
      <c r="O244" s="35"/>
      <c r="P244" s="35"/>
      <c r="Q244" s="34"/>
      <c r="R244" s="35"/>
      <c r="S244" s="34"/>
      <c r="T244" s="34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57"/>
      <c r="AF244" s="57"/>
      <c r="AG244" s="48"/>
      <c r="AH244" s="48"/>
      <c r="AI244" s="48"/>
      <c r="AJ244" s="48"/>
      <c r="AK244" s="48"/>
      <c r="AL244" s="48"/>
      <c r="AM244" s="48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43"/>
    </row>
    <row r="245" spans="1:59" x14ac:dyDescent="0.25">
      <c r="A245" s="13"/>
      <c r="B245" s="22"/>
      <c r="C245" s="22"/>
      <c r="D245" s="14"/>
      <c r="E245" s="14"/>
      <c r="F245" s="33"/>
      <c r="G245" s="33"/>
      <c r="H245" s="33"/>
      <c r="I245" s="33"/>
      <c r="J245" s="33"/>
      <c r="K245" s="33"/>
      <c r="L245" s="34"/>
      <c r="M245" s="34"/>
      <c r="N245" s="35"/>
      <c r="O245" s="35"/>
      <c r="P245" s="35"/>
      <c r="Q245" s="34"/>
      <c r="R245" s="35"/>
      <c r="S245" s="34"/>
      <c r="T245" s="34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57"/>
      <c r="AF245" s="57"/>
      <c r="AG245" s="48"/>
      <c r="AH245" s="48"/>
      <c r="AI245" s="48"/>
      <c r="AJ245" s="48"/>
      <c r="AK245" s="48"/>
      <c r="AL245" s="48"/>
      <c r="AM245" s="48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43"/>
    </row>
    <row r="246" spans="1:59" x14ac:dyDescent="0.25">
      <c r="A246" s="13"/>
      <c r="B246" s="22"/>
      <c r="C246" s="22"/>
      <c r="D246" s="14"/>
      <c r="E246" s="14"/>
      <c r="F246" s="33"/>
      <c r="G246" s="33"/>
      <c r="H246" s="33"/>
      <c r="I246" s="33"/>
      <c r="J246" s="33"/>
      <c r="K246" s="33"/>
      <c r="L246" s="34"/>
      <c r="M246" s="34"/>
      <c r="N246" s="35"/>
      <c r="O246" s="35"/>
      <c r="P246" s="35"/>
      <c r="Q246" s="34"/>
      <c r="R246" s="35"/>
      <c r="S246" s="34"/>
      <c r="T246" s="34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57"/>
      <c r="AF246" s="57"/>
      <c r="AG246" s="48"/>
      <c r="AH246" s="48"/>
      <c r="AI246" s="48"/>
      <c r="AJ246" s="48"/>
      <c r="AK246" s="48"/>
      <c r="AL246" s="48"/>
      <c r="AM246" s="48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43"/>
    </row>
    <row r="247" spans="1:59" x14ac:dyDescent="0.25">
      <c r="A247" s="13"/>
      <c r="B247" s="22"/>
      <c r="C247" s="22"/>
      <c r="D247" s="14"/>
      <c r="E247" s="14"/>
      <c r="F247" s="33"/>
      <c r="G247" s="33"/>
      <c r="H247" s="33"/>
      <c r="I247" s="33"/>
      <c r="J247" s="33"/>
      <c r="K247" s="33"/>
      <c r="L247" s="34"/>
      <c r="M247" s="34"/>
      <c r="N247" s="35"/>
      <c r="O247" s="35"/>
      <c r="P247" s="35"/>
      <c r="Q247" s="34"/>
      <c r="R247" s="35"/>
      <c r="S247" s="34"/>
      <c r="T247" s="34"/>
      <c r="U247" s="36"/>
      <c r="V247" s="36"/>
      <c r="W247" s="36"/>
      <c r="X247" s="36"/>
      <c r="Y247" s="36"/>
      <c r="Z247" s="36"/>
      <c r="AA247" s="36"/>
      <c r="AB247" s="36"/>
      <c r="AC247" s="33"/>
      <c r="AD247" s="36"/>
      <c r="AE247" s="57"/>
      <c r="AF247" s="57"/>
      <c r="AG247" s="48"/>
      <c r="AH247" s="48"/>
      <c r="AI247" s="48"/>
      <c r="AJ247" s="48"/>
      <c r="AK247" s="48"/>
      <c r="AL247" s="48"/>
      <c r="AM247" s="48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43"/>
      <c r="AY247" s="43"/>
    </row>
    <row r="248" spans="1:59" x14ac:dyDescent="0.25">
      <c r="A248" s="13"/>
      <c r="B248" s="22"/>
      <c r="C248" s="22"/>
      <c r="D248" s="14"/>
      <c r="E248" s="14"/>
      <c r="F248" s="33"/>
      <c r="G248" s="33"/>
      <c r="H248" s="33"/>
      <c r="I248" s="33"/>
      <c r="J248" s="33"/>
      <c r="K248" s="33"/>
      <c r="L248" s="34"/>
      <c r="M248" s="34"/>
      <c r="N248" s="35"/>
      <c r="O248" s="35"/>
      <c r="P248" s="35"/>
      <c r="Q248" s="34"/>
      <c r="R248" s="35"/>
      <c r="S248" s="34"/>
      <c r="T248" s="34"/>
      <c r="U248" s="36"/>
      <c r="V248" s="36"/>
      <c r="W248" s="36"/>
      <c r="X248" s="36"/>
      <c r="Y248" s="36"/>
      <c r="Z248" s="36"/>
      <c r="AA248" s="36"/>
      <c r="AB248" s="36"/>
      <c r="AC248" s="33"/>
      <c r="AD248" s="36"/>
      <c r="AE248" s="57"/>
      <c r="AF248" s="57"/>
      <c r="AG248" s="48"/>
      <c r="AH248" s="48"/>
      <c r="AI248" s="48"/>
      <c r="AJ248" s="48"/>
      <c r="AK248" s="48"/>
      <c r="AL248" s="48"/>
      <c r="AM248" s="48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43"/>
    </row>
    <row r="249" spans="1:59" x14ac:dyDescent="0.25">
      <c r="A249" s="13"/>
      <c r="B249" s="22"/>
      <c r="C249" s="22"/>
      <c r="D249" s="14"/>
      <c r="E249" s="14"/>
      <c r="F249" s="33"/>
      <c r="G249" s="33"/>
      <c r="H249" s="33"/>
      <c r="I249" s="33"/>
      <c r="J249" s="33"/>
      <c r="K249" s="33"/>
      <c r="L249" s="34"/>
      <c r="M249" s="34"/>
      <c r="N249" s="35"/>
      <c r="O249" s="35"/>
      <c r="P249" s="35"/>
      <c r="Q249" s="34"/>
      <c r="R249" s="35"/>
      <c r="S249" s="34"/>
      <c r="T249" s="34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57"/>
      <c r="AF249" s="57"/>
      <c r="AG249" s="48"/>
      <c r="AH249" s="48"/>
      <c r="AI249" s="48"/>
      <c r="AJ249" s="48"/>
      <c r="AK249" s="48"/>
      <c r="AL249" s="48"/>
      <c r="AM249" s="48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43"/>
      <c r="AY249" s="43"/>
      <c r="AZ249" s="44"/>
      <c r="BA249" s="43"/>
      <c r="BB249" s="43"/>
      <c r="BC249" s="43"/>
      <c r="BD249" s="43"/>
      <c r="BE249" s="43"/>
      <c r="BF249" s="43"/>
      <c r="BG249" s="43"/>
    </row>
    <row r="250" spans="1:59" x14ac:dyDescent="0.25">
      <c r="A250" s="13"/>
      <c r="B250" s="22"/>
      <c r="C250" s="22"/>
      <c r="D250" s="14"/>
      <c r="E250" s="14"/>
      <c r="F250" s="33"/>
      <c r="G250" s="33"/>
      <c r="H250" s="33"/>
      <c r="I250" s="33"/>
      <c r="J250" s="33"/>
      <c r="K250" s="33"/>
      <c r="L250" s="34"/>
      <c r="M250" s="34"/>
      <c r="N250" s="35"/>
      <c r="O250" s="35"/>
      <c r="P250" s="35"/>
      <c r="Q250" s="34"/>
      <c r="R250" s="35"/>
      <c r="S250" s="34"/>
      <c r="T250" s="34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57"/>
      <c r="AF250" s="57"/>
      <c r="AG250" s="48"/>
      <c r="AH250" s="48"/>
      <c r="AI250" s="48"/>
      <c r="AJ250" s="48"/>
      <c r="AK250" s="48"/>
      <c r="AL250" s="48"/>
      <c r="AM250" s="48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43"/>
      <c r="AY250" s="43"/>
      <c r="AZ250" s="44"/>
      <c r="BA250" s="43"/>
      <c r="BB250" s="43"/>
      <c r="BC250" s="43"/>
      <c r="BD250" s="43"/>
      <c r="BE250" s="43"/>
      <c r="BF250" s="43"/>
    </row>
    <row r="251" spans="1:59" x14ac:dyDescent="0.25">
      <c r="A251" s="13"/>
      <c r="B251" s="22"/>
      <c r="C251" s="22"/>
      <c r="D251" s="14"/>
      <c r="E251" s="14"/>
      <c r="F251" s="33"/>
      <c r="G251" s="33"/>
      <c r="H251" s="33"/>
      <c r="I251" s="33"/>
      <c r="J251" s="33"/>
      <c r="K251" s="33"/>
      <c r="L251" s="34"/>
      <c r="M251" s="34"/>
      <c r="N251" s="35"/>
      <c r="O251" s="35"/>
      <c r="P251" s="35"/>
      <c r="Q251" s="34"/>
      <c r="R251" s="35"/>
      <c r="S251" s="34"/>
      <c r="T251" s="34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57"/>
      <c r="AF251" s="57"/>
      <c r="AG251" s="48"/>
      <c r="AH251" s="48"/>
      <c r="AI251" s="48"/>
      <c r="AJ251" s="48"/>
      <c r="AK251" s="48"/>
      <c r="AL251" s="48"/>
      <c r="AM251" s="48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43"/>
      <c r="AY251" s="43"/>
      <c r="AZ251" s="44"/>
      <c r="BA251" s="43"/>
      <c r="BB251" s="43"/>
      <c r="BC251" s="43"/>
      <c r="BD251" s="43"/>
      <c r="BE251" s="43"/>
      <c r="BF251" s="43"/>
    </row>
    <row r="252" spans="1:59" x14ac:dyDescent="0.25">
      <c r="A252" s="13"/>
      <c r="B252" s="22"/>
      <c r="C252" s="22"/>
      <c r="D252" s="14"/>
      <c r="E252" s="14"/>
      <c r="F252" s="33"/>
      <c r="G252" s="33"/>
      <c r="H252" s="33"/>
      <c r="I252" s="33"/>
      <c r="J252" s="33"/>
      <c r="K252" s="33"/>
      <c r="L252" s="34"/>
      <c r="M252" s="34"/>
      <c r="N252" s="35"/>
      <c r="O252" s="35"/>
      <c r="P252" s="35"/>
      <c r="Q252" s="34"/>
      <c r="R252" s="35"/>
      <c r="S252" s="34"/>
      <c r="T252" s="34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57"/>
      <c r="AF252" s="57"/>
      <c r="AG252" s="48"/>
      <c r="AH252" s="48"/>
      <c r="AI252" s="48"/>
      <c r="AJ252" s="48"/>
      <c r="AK252" s="48"/>
      <c r="AL252" s="48"/>
      <c r="AM252" s="48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43"/>
      <c r="AY252" s="43"/>
      <c r="AZ252" s="44"/>
      <c r="BA252" s="43"/>
      <c r="BB252" s="43"/>
      <c r="BC252" s="43"/>
      <c r="BD252" s="43"/>
      <c r="BE252" s="43"/>
      <c r="BF252" s="43"/>
    </row>
    <row r="253" spans="1:59" x14ac:dyDescent="0.25">
      <c r="A253" s="13"/>
      <c r="B253" s="22"/>
      <c r="C253" s="22"/>
      <c r="D253" s="14"/>
      <c r="E253" s="14"/>
      <c r="F253" s="33"/>
      <c r="G253" s="33"/>
      <c r="H253" s="33"/>
      <c r="I253" s="33"/>
      <c r="J253" s="33"/>
      <c r="K253" s="33"/>
      <c r="L253" s="34"/>
      <c r="M253" s="34"/>
      <c r="N253" s="35"/>
      <c r="O253" s="35"/>
      <c r="P253" s="35"/>
      <c r="Q253" s="34"/>
      <c r="R253" s="35"/>
      <c r="S253" s="34"/>
      <c r="T253" s="34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57"/>
      <c r="AF253" s="57"/>
      <c r="AG253" s="48"/>
      <c r="AH253" s="48"/>
      <c r="AI253" s="48"/>
      <c r="AJ253" s="48"/>
      <c r="AK253" s="48"/>
      <c r="AL253" s="48"/>
      <c r="AM253" s="48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43"/>
      <c r="AY253" s="43"/>
      <c r="AZ253" s="44"/>
      <c r="BA253" s="43"/>
      <c r="BB253" s="43"/>
      <c r="BC253" s="43"/>
      <c r="BD253" s="43"/>
      <c r="BE253" s="43"/>
      <c r="BF253" s="43"/>
    </row>
    <row r="254" spans="1:59" x14ac:dyDescent="0.25">
      <c r="A254" s="13"/>
      <c r="B254" s="22"/>
      <c r="C254" s="22"/>
      <c r="D254" s="14"/>
      <c r="E254" s="14"/>
      <c r="F254" s="33"/>
      <c r="G254" s="33"/>
      <c r="H254" s="33"/>
      <c r="I254" s="33"/>
      <c r="J254" s="33"/>
      <c r="K254" s="33"/>
      <c r="L254" s="34"/>
      <c r="M254" s="34"/>
      <c r="N254" s="35"/>
      <c r="O254" s="35"/>
      <c r="P254" s="35"/>
      <c r="Q254" s="34"/>
      <c r="R254" s="35"/>
      <c r="S254" s="34"/>
      <c r="T254" s="34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57"/>
      <c r="AF254" s="57"/>
      <c r="AG254" s="48"/>
      <c r="AH254" s="48"/>
      <c r="AI254" s="48"/>
      <c r="AJ254" s="48"/>
      <c r="AK254" s="48"/>
      <c r="AL254" s="48"/>
      <c r="AM254" s="48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43"/>
      <c r="AY254" s="43"/>
      <c r="AZ254" s="44"/>
      <c r="BA254" s="43"/>
      <c r="BB254" s="43"/>
      <c r="BC254" s="43"/>
      <c r="BD254" s="43"/>
      <c r="BE254" s="43"/>
      <c r="BF254" s="43"/>
    </row>
    <row r="255" spans="1:59" x14ac:dyDescent="0.25">
      <c r="A255" s="13"/>
      <c r="B255" s="22"/>
      <c r="C255" s="22"/>
      <c r="D255" s="14"/>
      <c r="E255" s="14"/>
      <c r="F255" s="33"/>
      <c r="G255" s="33"/>
      <c r="H255" s="33"/>
      <c r="I255" s="33"/>
      <c r="J255" s="33"/>
      <c r="K255" s="33"/>
      <c r="L255" s="34"/>
      <c r="M255" s="34"/>
      <c r="N255" s="35"/>
      <c r="O255" s="35"/>
      <c r="P255" s="35"/>
      <c r="Q255" s="34"/>
      <c r="R255" s="35"/>
      <c r="S255" s="34"/>
      <c r="T255" s="34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57"/>
      <c r="AF255" s="57"/>
      <c r="AG255" s="48"/>
      <c r="AH255" s="48"/>
      <c r="AI255" s="48"/>
      <c r="AJ255" s="48"/>
      <c r="AK255" s="48"/>
      <c r="AL255" s="48"/>
      <c r="AM255" s="48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43"/>
      <c r="AY255" s="43"/>
      <c r="AZ255" s="44"/>
      <c r="BA255" s="43"/>
      <c r="BB255" s="43"/>
      <c r="BC255" s="43"/>
      <c r="BD255" s="43"/>
      <c r="BE255" s="43"/>
      <c r="BF255" s="43"/>
    </row>
    <row r="256" spans="1:59" x14ac:dyDescent="0.25">
      <c r="A256" s="13"/>
      <c r="B256" s="22"/>
      <c r="C256" s="22"/>
      <c r="D256" s="14"/>
      <c r="E256" s="14"/>
      <c r="F256" s="33"/>
      <c r="G256" s="33"/>
      <c r="H256" s="33"/>
      <c r="I256" s="33"/>
      <c r="J256" s="33"/>
      <c r="K256" s="33"/>
      <c r="L256" s="34"/>
      <c r="M256" s="34"/>
      <c r="N256" s="35"/>
      <c r="O256" s="35"/>
      <c r="P256" s="35"/>
      <c r="Q256" s="34"/>
      <c r="R256" s="35"/>
      <c r="S256" s="34"/>
      <c r="T256" s="34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57"/>
      <c r="AF256" s="57"/>
      <c r="AG256" s="48"/>
      <c r="AH256" s="48"/>
      <c r="AI256" s="48"/>
      <c r="AJ256" s="48"/>
      <c r="AK256" s="48"/>
      <c r="AL256" s="48"/>
      <c r="AM256" s="48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43"/>
      <c r="AY256" s="43"/>
      <c r="AZ256" s="44"/>
      <c r="BA256" s="43"/>
      <c r="BB256" s="43"/>
      <c r="BC256" s="43"/>
      <c r="BD256" s="43"/>
      <c r="BE256" s="43"/>
      <c r="BF256" s="43"/>
    </row>
    <row r="257" spans="1:58" x14ac:dyDescent="0.25">
      <c r="A257" s="13"/>
      <c r="B257" s="22"/>
      <c r="C257" s="22"/>
      <c r="D257" s="14"/>
      <c r="E257" s="14"/>
      <c r="F257" s="33"/>
      <c r="G257" s="33"/>
      <c r="H257" s="33"/>
      <c r="I257" s="33"/>
      <c r="J257" s="33"/>
      <c r="K257" s="33"/>
      <c r="L257" s="34"/>
      <c r="M257" s="34"/>
      <c r="N257" s="35"/>
      <c r="O257" s="35"/>
      <c r="P257" s="35"/>
      <c r="Q257" s="34"/>
      <c r="R257" s="35"/>
      <c r="S257" s="34"/>
      <c r="T257" s="34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57"/>
      <c r="AF257" s="57"/>
      <c r="AG257" s="48"/>
      <c r="AH257" s="48"/>
      <c r="AI257" s="48"/>
      <c r="AJ257" s="48"/>
      <c r="AK257" s="48"/>
      <c r="AL257" s="48"/>
      <c r="AM257" s="48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43"/>
      <c r="AY257" s="43"/>
      <c r="AZ257" s="44"/>
      <c r="BA257" s="43"/>
      <c r="BB257" s="43"/>
      <c r="BC257" s="43"/>
      <c r="BD257" s="43"/>
      <c r="BE257" s="43"/>
      <c r="BF257" s="43"/>
    </row>
    <row r="258" spans="1:58" x14ac:dyDescent="0.25">
      <c r="A258" s="13"/>
      <c r="B258" s="22"/>
      <c r="C258" s="22"/>
      <c r="D258" s="14"/>
      <c r="E258" s="14"/>
      <c r="F258" s="33"/>
      <c r="G258" s="33"/>
      <c r="H258" s="33"/>
      <c r="I258" s="33"/>
      <c r="J258" s="33"/>
      <c r="K258" s="33"/>
      <c r="L258" s="34"/>
      <c r="M258" s="34"/>
      <c r="N258" s="35"/>
      <c r="O258" s="35"/>
      <c r="P258" s="35"/>
      <c r="Q258" s="34"/>
      <c r="R258" s="35"/>
      <c r="S258" s="34"/>
      <c r="T258" s="34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57"/>
      <c r="AF258" s="57"/>
      <c r="AG258" s="48"/>
      <c r="AH258" s="48"/>
      <c r="AI258" s="48"/>
      <c r="AJ258" s="48"/>
      <c r="AK258" s="48"/>
      <c r="AL258" s="48"/>
      <c r="AM258" s="48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43"/>
      <c r="AY258" s="43"/>
      <c r="AZ258" s="44"/>
      <c r="BA258" s="43"/>
      <c r="BB258" s="43"/>
      <c r="BC258" s="43"/>
      <c r="BD258" s="43"/>
      <c r="BE258" s="43"/>
      <c r="BF258" s="43"/>
    </row>
    <row r="259" spans="1:58" x14ac:dyDescent="0.25">
      <c r="A259" s="13"/>
      <c r="B259" s="22"/>
      <c r="C259" s="22"/>
      <c r="D259" s="14"/>
      <c r="E259" s="14"/>
      <c r="F259" s="33"/>
      <c r="G259" s="33"/>
      <c r="H259" s="33"/>
      <c r="I259" s="33"/>
      <c r="J259" s="33"/>
      <c r="K259" s="33"/>
      <c r="L259" s="34"/>
      <c r="M259" s="34"/>
      <c r="N259" s="35"/>
      <c r="O259" s="35"/>
      <c r="P259" s="35"/>
      <c r="Q259" s="34"/>
      <c r="R259" s="35"/>
      <c r="S259" s="34"/>
      <c r="T259" s="34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57"/>
      <c r="AF259" s="57"/>
      <c r="AG259" s="48"/>
      <c r="AH259" s="48"/>
      <c r="AI259" s="48"/>
      <c r="AJ259" s="48"/>
      <c r="AK259" s="48"/>
      <c r="AL259" s="48"/>
      <c r="AM259" s="48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43"/>
      <c r="AY259" s="43"/>
      <c r="AZ259" s="44"/>
      <c r="BA259" s="43"/>
      <c r="BB259" s="43"/>
      <c r="BC259" s="43"/>
      <c r="BD259" s="43"/>
      <c r="BE259" s="43"/>
      <c r="BF259" s="43"/>
    </row>
    <row r="260" spans="1:58" x14ac:dyDescent="0.25">
      <c r="A260" s="13"/>
      <c r="B260" s="22"/>
      <c r="C260" s="22"/>
      <c r="D260" s="14"/>
      <c r="E260" s="14"/>
      <c r="F260" s="33"/>
      <c r="G260" s="33"/>
      <c r="H260" s="33"/>
      <c r="I260" s="33"/>
      <c r="J260" s="33"/>
      <c r="K260" s="33"/>
      <c r="L260" s="34"/>
      <c r="M260" s="34"/>
      <c r="N260" s="35"/>
      <c r="O260" s="35"/>
      <c r="P260" s="35"/>
      <c r="Q260" s="34"/>
      <c r="R260" s="35"/>
      <c r="S260" s="34"/>
      <c r="T260" s="34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57"/>
      <c r="AF260" s="57"/>
      <c r="AG260" s="48"/>
      <c r="AH260" s="48"/>
      <c r="AI260" s="48"/>
      <c r="AJ260" s="48"/>
      <c r="AK260" s="48"/>
      <c r="AL260" s="48"/>
      <c r="AM260" s="48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43"/>
      <c r="AY260" s="43"/>
      <c r="AZ260" s="44"/>
      <c r="BA260" s="43"/>
      <c r="BB260" s="43"/>
      <c r="BC260" s="43"/>
      <c r="BD260" s="43"/>
      <c r="BE260" s="43"/>
      <c r="BF260" s="43"/>
    </row>
    <row r="261" spans="1:58" x14ac:dyDescent="0.25">
      <c r="A261" s="13"/>
      <c r="B261" s="22"/>
      <c r="C261" s="22"/>
      <c r="D261" s="14"/>
      <c r="E261" s="14"/>
      <c r="F261" s="33"/>
      <c r="G261" s="33"/>
      <c r="H261" s="33"/>
      <c r="I261" s="33"/>
      <c r="J261" s="33"/>
      <c r="K261" s="33"/>
      <c r="L261" s="34"/>
      <c r="M261" s="34"/>
      <c r="N261" s="35"/>
      <c r="O261" s="35"/>
      <c r="P261" s="35"/>
      <c r="Q261" s="34"/>
      <c r="R261" s="35"/>
      <c r="S261" s="34"/>
      <c r="T261" s="34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57"/>
      <c r="AF261" s="57"/>
      <c r="AG261" s="48"/>
      <c r="AH261" s="48"/>
      <c r="AI261" s="48"/>
      <c r="AJ261" s="48"/>
      <c r="AK261" s="48"/>
      <c r="AL261" s="48"/>
      <c r="AM261" s="48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43"/>
      <c r="AY261" s="43"/>
      <c r="AZ261" s="44"/>
      <c r="BA261" s="43"/>
      <c r="BB261" s="43"/>
      <c r="BC261" s="43"/>
      <c r="BD261" s="43"/>
      <c r="BE261" s="43"/>
      <c r="BF261" s="43"/>
    </row>
    <row r="262" spans="1:58" x14ac:dyDescent="0.25">
      <c r="A262" s="13"/>
      <c r="B262" s="22"/>
      <c r="C262" s="22"/>
      <c r="D262" s="14"/>
      <c r="E262" s="14"/>
      <c r="F262" s="33"/>
      <c r="G262" s="33"/>
      <c r="H262" s="33"/>
      <c r="I262" s="33"/>
      <c r="J262" s="33"/>
      <c r="K262" s="33"/>
      <c r="L262" s="34"/>
      <c r="M262" s="34"/>
      <c r="N262" s="35"/>
      <c r="O262" s="35"/>
      <c r="P262" s="35"/>
      <c r="Q262" s="34"/>
      <c r="R262" s="35"/>
      <c r="S262" s="34"/>
      <c r="T262" s="34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57"/>
      <c r="AF262" s="57"/>
      <c r="AG262" s="48"/>
      <c r="AH262" s="48"/>
      <c r="AI262" s="48"/>
      <c r="AJ262" s="48"/>
      <c r="AK262" s="48"/>
      <c r="AL262" s="48"/>
      <c r="AM262" s="48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43"/>
      <c r="AY262" s="43"/>
      <c r="AZ262" s="44"/>
      <c r="BA262" s="43"/>
      <c r="BB262" s="43"/>
      <c r="BC262" s="43"/>
      <c r="BD262" s="43"/>
      <c r="BE262" s="43"/>
      <c r="BF262" s="43"/>
    </row>
    <row r="263" spans="1:58" x14ac:dyDescent="0.25">
      <c r="A263" s="13"/>
      <c r="B263" s="22"/>
      <c r="C263" s="22"/>
      <c r="D263" s="14"/>
      <c r="E263" s="14"/>
      <c r="F263" s="33"/>
      <c r="G263" s="33"/>
      <c r="H263" s="33"/>
      <c r="I263" s="33"/>
      <c r="J263" s="33"/>
      <c r="K263" s="33"/>
      <c r="L263" s="34"/>
      <c r="M263" s="34"/>
      <c r="N263" s="35"/>
      <c r="O263" s="35"/>
      <c r="P263" s="35"/>
      <c r="Q263" s="34"/>
      <c r="R263" s="35"/>
      <c r="S263" s="34"/>
      <c r="T263" s="34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57"/>
      <c r="AF263" s="57"/>
      <c r="AG263" s="48"/>
      <c r="AH263" s="48"/>
      <c r="AI263" s="48"/>
      <c r="AJ263" s="48"/>
      <c r="AK263" s="48"/>
      <c r="AL263" s="48"/>
      <c r="AM263" s="48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43"/>
      <c r="AY263" s="43"/>
      <c r="AZ263" s="44"/>
      <c r="BA263" s="43"/>
      <c r="BB263" s="43"/>
      <c r="BC263" s="43"/>
      <c r="BD263" s="43"/>
      <c r="BE263" s="43"/>
      <c r="BF263" s="43"/>
    </row>
    <row r="264" spans="1:58" x14ac:dyDescent="0.25">
      <c r="A264" s="13"/>
      <c r="B264" s="22"/>
      <c r="C264" s="22"/>
      <c r="D264" s="14"/>
      <c r="E264" s="14"/>
      <c r="F264" s="33"/>
      <c r="G264" s="33"/>
      <c r="H264" s="33"/>
      <c r="I264" s="33"/>
      <c r="J264" s="33"/>
      <c r="K264" s="33"/>
      <c r="L264" s="34"/>
      <c r="M264" s="34"/>
      <c r="N264" s="35"/>
      <c r="O264" s="35"/>
      <c r="P264" s="35"/>
      <c r="Q264" s="34"/>
      <c r="R264" s="35"/>
      <c r="S264" s="34"/>
      <c r="T264" s="34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57"/>
      <c r="AF264" s="57"/>
      <c r="AG264" s="48"/>
      <c r="AH264" s="48"/>
      <c r="AI264" s="48"/>
      <c r="AJ264" s="48"/>
      <c r="AK264" s="48"/>
      <c r="AL264" s="48"/>
      <c r="AM264" s="48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43"/>
      <c r="AY264" s="43"/>
      <c r="AZ264" s="44"/>
      <c r="BA264" s="43"/>
      <c r="BB264" s="43"/>
      <c r="BC264" s="43"/>
      <c r="BD264" s="43"/>
      <c r="BE264" s="43"/>
      <c r="BF264" s="43"/>
    </row>
    <row r="265" spans="1:58" x14ac:dyDescent="0.25">
      <c r="A265" s="13"/>
      <c r="B265" s="22"/>
      <c r="C265" s="22"/>
      <c r="D265" s="14"/>
      <c r="E265" s="14"/>
      <c r="F265" s="33"/>
      <c r="G265" s="33"/>
      <c r="H265" s="33"/>
      <c r="I265" s="33"/>
      <c r="J265" s="33"/>
      <c r="K265" s="33"/>
      <c r="L265" s="34"/>
      <c r="M265" s="34"/>
      <c r="N265" s="35"/>
      <c r="O265" s="35"/>
      <c r="P265" s="35"/>
      <c r="Q265" s="34"/>
      <c r="R265" s="35"/>
      <c r="S265" s="34"/>
      <c r="T265" s="34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57"/>
      <c r="AF265" s="57"/>
      <c r="AG265" s="48"/>
      <c r="AH265" s="48"/>
      <c r="AI265" s="48"/>
      <c r="AJ265" s="48"/>
      <c r="AK265" s="48"/>
      <c r="AL265" s="48"/>
      <c r="AM265" s="48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43"/>
      <c r="AY265" s="43"/>
      <c r="AZ265" s="44"/>
      <c r="BA265" s="43"/>
      <c r="BB265" s="43"/>
      <c r="BC265" s="43"/>
      <c r="BD265" s="43"/>
      <c r="BE265" s="43"/>
      <c r="BF265" s="43"/>
    </row>
    <row r="266" spans="1:58" x14ac:dyDescent="0.25">
      <c r="A266" s="13"/>
      <c r="B266" s="22"/>
      <c r="C266" s="22"/>
      <c r="D266" s="14"/>
      <c r="E266" s="14"/>
      <c r="F266" s="33"/>
      <c r="G266" s="33"/>
      <c r="H266" s="33"/>
      <c r="I266" s="33"/>
      <c r="J266" s="33"/>
      <c r="K266" s="33"/>
      <c r="L266" s="34"/>
      <c r="M266" s="34"/>
      <c r="N266" s="35"/>
      <c r="O266" s="35"/>
      <c r="P266" s="35"/>
      <c r="Q266" s="34"/>
      <c r="R266" s="35"/>
      <c r="S266" s="34"/>
      <c r="T266" s="34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57"/>
      <c r="AF266" s="57"/>
      <c r="AG266" s="48"/>
      <c r="AH266" s="48"/>
      <c r="AI266" s="48"/>
      <c r="AJ266" s="48"/>
      <c r="AK266" s="48"/>
      <c r="AL266" s="48"/>
      <c r="AM266" s="48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43"/>
      <c r="AY266" s="43"/>
      <c r="AZ266" s="44"/>
      <c r="BA266" s="43"/>
      <c r="BB266" s="43"/>
      <c r="BC266" s="43"/>
      <c r="BD266" s="43"/>
      <c r="BE266" s="43"/>
      <c r="BF266" s="43"/>
    </row>
    <row r="267" spans="1:58" x14ac:dyDescent="0.25">
      <c r="A267" s="13"/>
      <c r="B267" s="22"/>
      <c r="C267" s="22"/>
      <c r="D267" s="14"/>
      <c r="E267" s="14"/>
      <c r="F267" s="33"/>
      <c r="G267" s="33"/>
      <c r="H267" s="33"/>
      <c r="I267" s="33"/>
      <c r="J267" s="33"/>
      <c r="K267" s="33"/>
      <c r="L267" s="34"/>
      <c r="M267" s="34"/>
      <c r="N267" s="35"/>
      <c r="O267" s="35"/>
      <c r="P267" s="35"/>
      <c r="Q267" s="34"/>
      <c r="R267" s="35"/>
      <c r="S267" s="34"/>
      <c r="T267" s="34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57"/>
      <c r="AF267" s="57"/>
      <c r="AG267" s="48"/>
      <c r="AH267" s="48"/>
      <c r="AI267" s="48"/>
      <c r="AJ267" s="48"/>
      <c r="AK267" s="48"/>
      <c r="AL267" s="48"/>
      <c r="AM267" s="48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43"/>
      <c r="AY267" s="43"/>
      <c r="AZ267" s="44"/>
      <c r="BA267" s="43"/>
      <c r="BB267" s="43"/>
      <c r="BC267" s="43"/>
      <c r="BD267" s="43"/>
      <c r="BE267" s="43"/>
      <c r="BF267" s="43"/>
    </row>
    <row r="268" spans="1:58" x14ac:dyDescent="0.25">
      <c r="A268" s="13"/>
      <c r="B268" s="22"/>
      <c r="C268" s="22"/>
      <c r="D268" s="14"/>
      <c r="E268" s="14"/>
      <c r="F268" s="33"/>
      <c r="G268" s="33"/>
      <c r="H268" s="33"/>
      <c r="I268" s="33"/>
      <c r="J268" s="33"/>
      <c r="K268" s="33"/>
      <c r="L268" s="34"/>
      <c r="M268" s="34"/>
      <c r="N268" s="35"/>
      <c r="O268" s="35"/>
      <c r="P268" s="35"/>
      <c r="Q268" s="34"/>
      <c r="R268" s="35"/>
      <c r="S268" s="34"/>
      <c r="T268" s="34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57"/>
      <c r="AF268" s="57"/>
      <c r="AG268" s="48"/>
      <c r="AH268" s="48"/>
      <c r="AI268" s="48"/>
      <c r="AJ268" s="48"/>
      <c r="AK268" s="48"/>
      <c r="AL268" s="48"/>
      <c r="AM268" s="48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43"/>
      <c r="AY268" s="43"/>
      <c r="AZ268" s="44"/>
      <c r="BA268" s="43"/>
      <c r="BB268" s="43"/>
      <c r="BC268" s="43"/>
      <c r="BD268" s="43"/>
      <c r="BE268" s="43"/>
      <c r="BF268" s="43"/>
    </row>
    <row r="269" spans="1:58" x14ac:dyDescent="0.25">
      <c r="A269" s="13"/>
      <c r="B269" s="22"/>
      <c r="C269" s="22"/>
      <c r="D269" s="14"/>
      <c r="E269" s="14"/>
      <c r="F269" s="33"/>
      <c r="G269" s="33"/>
      <c r="H269" s="33"/>
      <c r="I269" s="33"/>
      <c r="J269" s="33"/>
      <c r="K269" s="33"/>
      <c r="L269" s="34"/>
      <c r="M269" s="34"/>
      <c r="N269" s="35"/>
      <c r="O269" s="35"/>
      <c r="P269" s="35"/>
      <c r="Q269" s="34"/>
      <c r="R269" s="35"/>
      <c r="S269" s="34"/>
      <c r="T269" s="34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57"/>
      <c r="AF269" s="57"/>
      <c r="AG269" s="48"/>
      <c r="AH269" s="48"/>
      <c r="AI269" s="48"/>
      <c r="AJ269" s="48"/>
      <c r="AK269" s="48"/>
      <c r="AL269" s="48"/>
      <c r="AM269" s="48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43"/>
      <c r="AY269" s="43"/>
      <c r="AZ269" s="44"/>
      <c r="BA269" s="43"/>
      <c r="BB269" s="43"/>
      <c r="BC269" s="43"/>
      <c r="BD269" s="43"/>
      <c r="BE269" s="43"/>
      <c r="BF269" s="43"/>
    </row>
    <row r="270" spans="1:58" x14ac:dyDescent="0.25">
      <c r="A270" s="13"/>
      <c r="B270" s="22"/>
      <c r="C270" s="22"/>
      <c r="D270" s="14"/>
      <c r="E270" s="14"/>
      <c r="F270" s="33"/>
      <c r="G270" s="33"/>
      <c r="H270" s="33"/>
      <c r="I270" s="33"/>
      <c r="J270" s="33"/>
      <c r="K270" s="33"/>
      <c r="L270" s="34"/>
      <c r="M270" s="34"/>
      <c r="N270" s="35"/>
      <c r="O270" s="35"/>
      <c r="P270" s="35"/>
      <c r="Q270" s="34"/>
      <c r="R270" s="35"/>
      <c r="S270" s="34"/>
      <c r="T270" s="34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57"/>
      <c r="AF270" s="57"/>
      <c r="AG270" s="48"/>
      <c r="AH270" s="48"/>
      <c r="AI270" s="48"/>
      <c r="AJ270" s="48"/>
      <c r="AK270" s="48"/>
      <c r="AL270" s="48"/>
      <c r="AM270" s="48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43"/>
      <c r="AY270" s="43"/>
      <c r="AZ270" s="44"/>
      <c r="BA270" s="43"/>
      <c r="BB270" s="43"/>
      <c r="BC270" s="43"/>
      <c r="BD270" s="43"/>
      <c r="BE270" s="43"/>
      <c r="BF270" s="43"/>
    </row>
    <row r="271" spans="1:58" x14ac:dyDescent="0.25">
      <c r="A271" s="13"/>
      <c r="B271" s="22"/>
      <c r="C271" s="22"/>
      <c r="D271" s="14"/>
      <c r="E271" s="14"/>
      <c r="F271" s="33"/>
      <c r="G271" s="33"/>
      <c r="H271" s="33"/>
      <c r="I271" s="33"/>
      <c r="J271" s="33"/>
      <c r="K271" s="33"/>
      <c r="L271" s="34"/>
      <c r="M271" s="34"/>
      <c r="N271" s="35"/>
      <c r="O271" s="35"/>
      <c r="P271" s="35"/>
      <c r="Q271" s="34"/>
      <c r="R271" s="35"/>
      <c r="S271" s="34"/>
      <c r="T271" s="34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57"/>
      <c r="AF271" s="57"/>
      <c r="AG271" s="48"/>
      <c r="AH271" s="48"/>
      <c r="AI271" s="48"/>
      <c r="AJ271" s="48"/>
      <c r="AK271" s="48"/>
      <c r="AL271" s="48"/>
      <c r="AM271" s="48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43"/>
      <c r="AY271" s="43"/>
      <c r="AZ271" s="44"/>
      <c r="BA271" s="43"/>
      <c r="BB271" s="43"/>
      <c r="BC271" s="43"/>
      <c r="BD271" s="43"/>
      <c r="BE271" s="43"/>
      <c r="BF271" s="43"/>
    </row>
    <row r="272" spans="1:58" x14ac:dyDescent="0.25">
      <c r="A272" s="13"/>
      <c r="B272" s="22"/>
      <c r="C272" s="22"/>
      <c r="D272" s="14"/>
      <c r="E272" s="14"/>
      <c r="F272" s="33"/>
      <c r="G272" s="33"/>
      <c r="H272" s="33"/>
      <c r="I272" s="33"/>
      <c r="J272" s="33"/>
      <c r="K272" s="33"/>
      <c r="L272" s="34"/>
      <c r="M272" s="34"/>
      <c r="N272" s="35"/>
      <c r="O272" s="35"/>
      <c r="P272" s="35"/>
      <c r="Q272" s="34"/>
      <c r="R272" s="35"/>
      <c r="S272" s="34"/>
      <c r="T272" s="34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57"/>
      <c r="AF272" s="57"/>
      <c r="AG272" s="48"/>
      <c r="AH272" s="48"/>
      <c r="AI272" s="48"/>
      <c r="AJ272" s="48"/>
      <c r="AK272" s="48"/>
      <c r="AL272" s="48"/>
      <c r="AM272" s="48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43"/>
      <c r="AY272" s="43"/>
      <c r="AZ272" s="44"/>
      <c r="BA272" s="43"/>
      <c r="BB272" s="43"/>
      <c r="BC272" s="43"/>
      <c r="BD272" s="43"/>
      <c r="BE272" s="43"/>
      <c r="BF272" s="43"/>
    </row>
    <row r="273" spans="1:59" x14ac:dyDescent="0.25">
      <c r="A273" s="13"/>
      <c r="B273" s="22"/>
      <c r="C273" s="22"/>
      <c r="D273" s="14"/>
      <c r="E273" s="14"/>
      <c r="F273" s="33"/>
      <c r="G273" s="33"/>
      <c r="H273" s="33"/>
      <c r="I273" s="33"/>
      <c r="J273" s="33"/>
      <c r="K273" s="33"/>
      <c r="L273" s="34"/>
      <c r="M273" s="34"/>
      <c r="N273" s="35"/>
      <c r="O273" s="35"/>
      <c r="P273" s="35"/>
      <c r="Q273" s="34"/>
      <c r="R273" s="35"/>
      <c r="S273" s="34"/>
      <c r="T273" s="34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57"/>
      <c r="AF273" s="57"/>
      <c r="AG273" s="48"/>
      <c r="AH273" s="48"/>
      <c r="AI273" s="48"/>
      <c r="AJ273" s="48"/>
      <c r="AK273" s="48"/>
      <c r="AL273" s="48"/>
      <c r="AM273" s="48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43"/>
      <c r="AY273" s="43"/>
      <c r="AZ273" s="44"/>
      <c r="BA273" s="43"/>
      <c r="BB273" s="43"/>
      <c r="BC273" s="43"/>
      <c r="BD273" s="43"/>
      <c r="BE273" s="43"/>
      <c r="BF273" s="43"/>
    </row>
    <row r="274" spans="1:59" x14ac:dyDescent="0.25">
      <c r="A274" s="13"/>
      <c r="B274" s="22"/>
      <c r="C274" s="22"/>
      <c r="D274" s="14"/>
      <c r="E274" s="14"/>
      <c r="F274" s="33"/>
      <c r="G274" s="33"/>
      <c r="H274" s="33"/>
      <c r="I274" s="33"/>
      <c r="J274" s="33"/>
      <c r="K274" s="33"/>
      <c r="L274" s="34"/>
      <c r="M274" s="34"/>
      <c r="N274" s="35"/>
      <c r="O274" s="35"/>
      <c r="P274" s="35"/>
      <c r="Q274" s="34"/>
      <c r="R274" s="35"/>
      <c r="S274" s="34"/>
      <c r="T274" s="34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57"/>
      <c r="AF274" s="57"/>
      <c r="AG274" s="48"/>
      <c r="AH274" s="48"/>
      <c r="AI274" s="48"/>
      <c r="AJ274" s="48"/>
      <c r="AK274" s="48"/>
      <c r="AL274" s="48"/>
      <c r="AM274" s="48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43"/>
      <c r="AY274" s="43"/>
      <c r="AZ274" s="44"/>
      <c r="BA274" s="43"/>
      <c r="BB274" s="43"/>
      <c r="BC274" s="43"/>
      <c r="BD274" s="43"/>
      <c r="BE274" s="43"/>
      <c r="BF274" s="43"/>
    </row>
    <row r="275" spans="1:59" x14ac:dyDescent="0.25">
      <c r="A275" s="13"/>
      <c r="B275" s="22"/>
      <c r="C275" s="22"/>
      <c r="D275" s="14"/>
      <c r="E275" s="14"/>
      <c r="F275" s="33"/>
      <c r="G275" s="33"/>
      <c r="H275" s="33"/>
      <c r="I275" s="33"/>
      <c r="J275" s="33"/>
      <c r="K275" s="33"/>
      <c r="L275" s="34"/>
      <c r="M275" s="34"/>
      <c r="N275" s="35"/>
      <c r="O275" s="35"/>
      <c r="P275" s="35"/>
      <c r="Q275" s="34"/>
      <c r="R275" s="35"/>
      <c r="S275" s="34"/>
      <c r="T275" s="34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57"/>
      <c r="AF275" s="57"/>
      <c r="AG275" s="48"/>
      <c r="AH275" s="48"/>
      <c r="AI275" s="48"/>
      <c r="AJ275" s="48"/>
      <c r="AK275" s="48"/>
      <c r="AL275" s="48"/>
      <c r="AM275" s="48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43"/>
      <c r="AY275" s="43"/>
      <c r="AZ275" s="44"/>
      <c r="BA275" s="43"/>
      <c r="BB275" s="43"/>
      <c r="BC275" s="43"/>
      <c r="BD275" s="43"/>
      <c r="BE275" s="43"/>
      <c r="BF275" s="43"/>
    </row>
    <row r="276" spans="1:59" x14ac:dyDescent="0.25">
      <c r="A276" s="13"/>
      <c r="B276" s="22"/>
      <c r="C276" s="22"/>
      <c r="D276" s="14"/>
      <c r="E276" s="14"/>
      <c r="F276" s="33"/>
      <c r="G276" s="33"/>
      <c r="H276" s="33"/>
      <c r="I276" s="33"/>
      <c r="J276" s="33"/>
      <c r="K276" s="33"/>
      <c r="L276" s="34"/>
      <c r="M276" s="34"/>
      <c r="N276" s="35"/>
      <c r="O276" s="35"/>
      <c r="P276" s="35"/>
      <c r="Q276" s="34"/>
      <c r="R276" s="35"/>
      <c r="S276" s="34"/>
      <c r="T276" s="34"/>
      <c r="U276" s="36"/>
      <c r="V276" s="36"/>
      <c r="W276" s="36"/>
      <c r="X276" s="36"/>
      <c r="Y276" s="36"/>
      <c r="Z276" s="36"/>
      <c r="AA276" s="36"/>
      <c r="AB276" s="36"/>
      <c r="AC276" s="33"/>
      <c r="AD276" s="36"/>
      <c r="AE276" s="57"/>
      <c r="AF276" s="57"/>
      <c r="AG276" s="48"/>
      <c r="AH276" s="48"/>
      <c r="AI276" s="48"/>
      <c r="AJ276" s="48"/>
      <c r="AK276" s="48"/>
      <c r="AL276" s="48"/>
      <c r="AM276" s="48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43"/>
      <c r="AY276" s="43"/>
      <c r="AZ276" s="44"/>
      <c r="BA276" s="43"/>
      <c r="BB276" s="43"/>
      <c r="BC276" s="43"/>
      <c r="BD276" s="43"/>
      <c r="BE276" s="43"/>
      <c r="BF276" s="43"/>
      <c r="BG276" s="43"/>
    </row>
    <row r="277" spans="1:59" x14ac:dyDescent="0.25">
      <c r="A277" s="13"/>
      <c r="B277" s="22"/>
      <c r="C277" s="22"/>
      <c r="D277" s="14"/>
      <c r="E277" s="14"/>
      <c r="F277" s="33"/>
      <c r="G277" s="33"/>
      <c r="H277" s="33"/>
      <c r="I277" s="33"/>
      <c r="J277" s="33"/>
      <c r="K277" s="33"/>
      <c r="L277" s="34"/>
      <c r="M277" s="34"/>
      <c r="N277" s="35"/>
      <c r="O277" s="35"/>
      <c r="P277" s="35"/>
      <c r="Q277" s="34"/>
      <c r="R277" s="35"/>
      <c r="S277" s="34"/>
      <c r="T277" s="34"/>
      <c r="U277" s="36"/>
      <c r="V277" s="36"/>
      <c r="W277" s="36"/>
      <c r="X277" s="36"/>
      <c r="Y277" s="36"/>
      <c r="Z277" s="36"/>
      <c r="AA277" s="36"/>
      <c r="AB277" s="36"/>
      <c r="AC277" s="33"/>
      <c r="AD277" s="36"/>
      <c r="AE277" s="57"/>
      <c r="AF277" s="57"/>
      <c r="AG277" s="48"/>
      <c r="AH277" s="48"/>
      <c r="AI277" s="48"/>
      <c r="AJ277" s="48"/>
      <c r="AK277" s="48"/>
      <c r="AL277" s="48"/>
      <c r="AM277" s="48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43"/>
      <c r="AY277" s="43"/>
      <c r="AZ277" s="44"/>
      <c r="BA277" s="43"/>
      <c r="BB277" s="43"/>
      <c r="BC277" s="43"/>
      <c r="BD277" s="43"/>
      <c r="BE277" s="43"/>
      <c r="BF277" s="43"/>
    </row>
    <row r="278" spans="1:59" x14ac:dyDescent="0.25">
      <c r="A278" s="13"/>
      <c r="B278" s="22"/>
      <c r="C278" s="22"/>
      <c r="D278" s="14"/>
      <c r="E278" s="14"/>
      <c r="F278" s="33"/>
      <c r="G278" s="33"/>
      <c r="H278" s="33"/>
      <c r="I278" s="33"/>
      <c r="J278" s="33"/>
      <c r="K278" s="33"/>
      <c r="L278" s="34"/>
      <c r="M278" s="34"/>
      <c r="N278" s="35"/>
      <c r="O278" s="35"/>
      <c r="P278" s="35"/>
      <c r="Q278" s="34"/>
      <c r="R278" s="35"/>
      <c r="S278" s="34"/>
      <c r="T278" s="34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57"/>
      <c r="AF278" s="57"/>
      <c r="AG278" s="48"/>
      <c r="AH278" s="48"/>
      <c r="AI278" s="48"/>
      <c r="AJ278" s="48"/>
      <c r="AK278" s="48"/>
      <c r="AL278" s="48"/>
      <c r="AM278" s="48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43"/>
      <c r="AY278" s="43"/>
      <c r="AZ278" s="44"/>
      <c r="BA278" s="43"/>
      <c r="BB278" s="43"/>
      <c r="BC278" s="43"/>
      <c r="BD278" s="43"/>
      <c r="BE278" s="43"/>
      <c r="BF278" s="43"/>
    </row>
    <row r="279" spans="1:59" x14ac:dyDescent="0.25">
      <c r="A279" s="13"/>
      <c r="B279" s="22"/>
      <c r="C279" s="22"/>
      <c r="D279" s="14"/>
      <c r="E279" s="14"/>
      <c r="F279" s="33"/>
      <c r="G279" s="33"/>
      <c r="H279" s="33"/>
      <c r="I279" s="33"/>
      <c r="J279" s="33"/>
      <c r="K279" s="33"/>
      <c r="L279" s="34"/>
      <c r="M279" s="34"/>
      <c r="N279" s="35"/>
      <c r="O279" s="35"/>
      <c r="P279" s="35"/>
      <c r="Q279" s="34"/>
      <c r="R279" s="35"/>
      <c r="S279" s="34"/>
      <c r="T279" s="34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57"/>
      <c r="AF279" s="57"/>
      <c r="AG279" s="48"/>
      <c r="AH279" s="48"/>
      <c r="AI279" s="48"/>
      <c r="AJ279" s="48"/>
      <c r="AK279" s="48"/>
      <c r="AL279" s="48"/>
      <c r="AM279" s="48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43"/>
      <c r="AY279" s="43"/>
      <c r="AZ279" s="44"/>
      <c r="BA279" s="43"/>
      <c r="BB279" s="43"/>
      <c r="BC279" s="43"/>
      <c r="BD279" s="43"/>
      <c r="BE279" s="43"/>
      <c r="BF279" s="43"/>
    </row>
    <row r="280" spans="1:59" x14ac:dyDescent="0.25">
      <c r="A280" s="13"/>
      <c r="B280" s="22"/>
      <c r="C280" s="22"/>
      <c r="D280" s="14"/>
      <c r="E280" s="14"/>
      <c r="F280" s="33"/>
      <c r="G280" s="33"/>
      <c r="H280" s="33"/>
      <c r="I280" s="33"/>
      <c r="J280" s="33"/>
      <c r="K280" s="33"/>
      <c r="L280" s="34"/>
      <c r="M280" s="34"/>
      <c r="N280" s="35"/>
      <c r="O280" s="35"/>
      <c r="P280" s="35"/>
      <c r="Q280" s="34"/>
      <c r="R280" s="35"/>
      <c r="S280" s="34"/>
      <c r="T280" s="34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57"/>
      <c r="AF280" s="57"/>
      <c r="AG280" s="48"/>
      <c r="AH280" s="48"/>
      <c r="AI280" s="48"/>
      <c r="AJ280" s="48"/>
      <c r="AK280" s="48"/>
      <c r="AL280" s="48"/>
      <c r="AM280" s="48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43"/>
      <c r="AY280" s="43"/>
      <c r="AZ280" s="44"/>
      <c r="BA280" s="43"/>
      <c r="BB280" s="43"/>
      <c r="BC280" s="43"/>
      <c r="BD280" s="43"/>
      <c r="BE280" s="43"/>
      <c r="BF280" s="43"/>
    </row>
    <row r="281" spans="1:59" x14ac:dyDescent="0.25">
      <c r="A281" s="13"/>
      <c r="B281" s="22"/>
      <c r="C281" s="22"/>
      <c r="D281" s="14"/>
      <c r="E281" s="14"/>
      <c r="F281" s="33"/>
      <c r="G281" s="33"/>
      <c r="H281" s="33"/>
      <c r="I281" s="33"/>
      <c r="J281" s="33"/>
      <c r="K281" s="33"/>
      <c r="L281" s="34"/>
      <c r="M281" s="34"/>
      <c r="N281" s="35"/>
      <c r="O281" s="35"/>
      <c r="P281" s="35"/>
      <c r="Q281" s="34"/>
      <c r="R281" s="35"/>
      <c r="S281" s="34"/>
      <c r="T281" s="34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57"/>
      <c r="AF281" s="57"/>
      <c r="AG281" s="48"/>
      <c r="AH281" s="48"/>
      <c r="AI281" s="48"/>
      <c r="AJ281" s="48"/>
      <c r="AK281" s="48"/>
      <c r="AL281" s="48"/>
      <c r="AM281" s="48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43"/>
      <c r="AY281" s="43"/>
      <c r="AZ281" s="44"/>
      <c r="BA281" s="43"/>
      <c r="BB281" s="43"/>
      <c r="BC281" s="43"/>
      <c r="BD281" s="43"/>
      <c r="BE281" s="43"/>
      <c r="BF281" s="43"/>
    </row>
    <row r="282" spans="1:59" x14ac:dyDescent="0.25">
      <c r="A282" s="13"/>
      <c r="B282" s="22"/>
      <c r="C282" s="22"/>
      <c r="D282" s="14"/>
      <c r="E282" s="14"/>
      <c r="F282" s="33"/>
      <c r="G282" s="33"/>
      <c r="H282" s="33"/>
      <c r="I282" s="33"/>
      <c r="J282" s="33"/>
      <c r="K282" s="33"/>
      <c r="L282" s="34"/>
      <c r="M282" s="34"/>
      <c r="N282" s="35"/>
      <c r="O282" s="35"/>
      <c r="P282" s="35"/>
      <c r="Q282" s="34"/>
      <c r="R282" s="35"/>
      <c r="S282" s="34"/>
      <c r="T282" s="34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57"/>
      <c r="AF282" s="57"/>
      <c r="AG282" s="48"/>
      <c r="AH282" s="48"/>
      <c r="AI282" s="48"/>
      <c r="AJ282" s="48"/>
      <c r="AK282" s="48"/>
      <c r="AL282" s="48"/>
      <c r="AM282" s="48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43"/>
      <c r="AY282" s="43"/>
      <c r="AZ282" s="44"/>
      <c r="BA282" s="43"/>
      <c r="BB282" s="43"/>
      <c r="BC282" s="43"/>
      <c r="BD282" s="43"/>
      <c r="BE282" s="43"/>
      <c r="BF282" s="43"/>
    </row>
    <row r="283" spans="1:59" x14ac:dyDescent="0.25">
      <c r="A283" s="13"/>
      <c r="B283" s="22"/>
      <c r="C283" s="22"/>
      <c r="D283" s="14"/>
      <c r="E283" s="14"/>
      <c r="F283" s="33"/>
      <c r="G283" s="33"/>
      <c r="H283" s="33"/>
      <c r="I283" s="33"/>
      <c r="J283" s="33"/>
      <c r="K283" s="33"/>
      <c r="L283" s="34"/>
      <c r="M283" s="34"/>
      <c r="N283" s="35"/>
      <c r="O283" s="35"/>
      <c r="P283" s="35"/>
      <c r="Q283" s="34"/>
      <c r="R283" s="35"/>
      <c r="S283" s="34"/>
      <c r="T283" s="34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57"/>
      <c r="AF283" s="57"/>
      <c r="AG283" s="48"/>
      <c r="AH283" s="48"/>
      <c r="AI283" s="48"/>
      <c r="AJ283" s="48"/>
      <c r="AK283" s="48"/>
      <c r="AL283" s="48"/>
      <c r="AM283" s="48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43"/>
      <c r="AY283" s="43"/>
      <c r="AZ283" s="44"/>
      <c r="BA283" s="43"/>
      <c r="BB283" s="43"/>
      <c r="BC283" s="43"/>
      <c r="BD283" s="43"/>
      <c r="BE283" s="43"/>
      <c r="BF283" s="43"/>
    </row>
    <row r="284" spans="1:59" x14ac:dyDescent="0.25">
      <c r="A284" s="13"/>
      <c r="B284" s="22"/>
      <c r="C284" s="22"/>
      <c r="D284" s="14"/>
      <c r="E284" s="14"/>
      <c r="F284" s="33"/>
      <c r="G284" s="33"/>
      <c r="H284" s="33"/>
      <c r="I284" s="33"/>
      <c r="J284" s="33"/>
      <c r="K284" s="33"/>
      <c r="L284" s="34"/>
      <c r="M284" s="34"/>
      <c r="N284" s="35"/>
      <c r="O284" s="35"/>
      <c r="P284" s="35"/>
      <c r="Q284" s="34"/>
      <c r="R284" s="35"/>
      <c r="S284" s="34"/>
      <c r="T284" s="34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57"/>
      <c r="AF284" s="57"/>
      <c r="AG284" s="48"/>
      <c r="AH284" s="48"/>
      <c r="AI284" s="48"/>
      <c r="AJ284" s="48"/>
      <c r="AK284" s="48"/>
      <c r="AL284" s="48"/>
      <c r="AM284" s="48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43"/>
      <c r="AY284" s="43"/>
      <c r="AZ284" s="44"/>
      <c r="BA284" s="43"/>
      <c r="BB284" s="43"/>
      <c r="BC284" s="43"/>
      <c r="BD284" s="43"/>
      <c r="BE284" s="43"/>
      <c r="BF284" s="43"/>
    </row>
    <row r="285" spans="1:59" x14ac:dyDescent="0.25">
      <c r="A285" s="13"/>
      <c r="B285" s="22"/>
      <c r="C285" s="22"/>
      <c r="D285" s="14"/>
      <c r="E285" s="14"/>
      <c r="F285" s="33"/>
      <c r="G285" s="33"/>
      <c r="H285" s="33"/>
      <c r="I285" s="33"/>
      <c r="J285" s="33"/>
      <c r="K285" s="33"/>
      <c r="L285" s="34"/>
      <c r="M285" s="34"/>
      <c r="N285" s="35"/>
      <c r="O285" s="35"/>
      <c r="P285" s="35"/>
      <c r="Q285" s="34"/>
      <c r="R285" s="35"/>
      <c r="S285" s="34"/>
      <c r="T285" s="34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57"/>
      <c r="AF285" s="57"/>
      <c r="AG285" s="48"/>
      <c r="AH285" s="48"/>
      <c r="AI285" s="48"/>
      <c r="AJ285" s="48"/>
      <c r="AK285" s="48"/>
      <c r="AL285" s="48"/>
      <c r="AM285" s="48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43"/>
      <c r="AY285" s="43"/>
      <c r="AZ285" s="44"/>
      <c r="BA285" s="43"/>
      <c r="BB285" s="43"/>
      <c r="BC285" s="43"/>
      <c r="BD285" s="43"/>
      <c r="BE285" s="43"/>
      <c r="BF285" s="43"/>
    </row>
    <row r="286" spans="1:59" x14ac:dyDescent="0.25">
      <c r="A286" s="13"/>
      <c r="B286" s="22"/>
      <c r="C286" s="22"/>
      <c r="D286" s="14"/>
      <c r="E286" s="14"/>
      <c r="F286" s="33"/>
      <c r="G286" s="33"/>
      <c r="H286" s="33"/>
      <c r="I286" s="33"/>
      <c r="J286" s="33"/>
      <c r="K286" s="33"/>
      <c r="L286" s="34"/>
      <c r="M286" s="34"/>
      <c r="N286" s="35"/>
      <c r="O286" s="35"/>
      <c r="P286" s="35"/>
      <c r="Q286" s="34"/>
      <c r="R286" s="35"/>
      <c r="S286" s="34"/>
      <c r="T286" s="34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57"/>
      <c r="AF286" s="57"/>
      <c r="AG286" s="48"/>
      <c r="AH286" s="48"/>
      <c r="AI286" s="48"/>
      <c r="AJ286" s="48"/>
      <c r="AK286" s="48"/>
      <c r="AL286" s="48"/>
      <c r="AM286" s="48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43"/>
      <c r="AY286" s="43"/>
      <c r="AZ286" s="44"/>
      <c r="BA286" s="43"/>
      <c r="BB286" s="43"/>
      <c r="BC286" s="43"/>
      <c r="BD286" s="43"/>
      <c r="BE286" s="43"/>
      <c r="BF286" s="43"/>
    </row>
    <row r="287" spans="1:59" x14ac:dyDescent="0.25">
      <c r="A287" s="13"/>
      <c r="B287" s="22"/>
      <c r="C287" s="22"/>
      <c r="D287" s="14"/>
      <c r="E287" s="14"/>
      <c r="F287" s="33"/>
      <c r="G287" s="33"/>
      <c r="H287" s="33"/>
      <c r="I287" s="33"/>
      <c r="J287" s="33"/>
      <c r="K287" s="33"/>
      <c r="L287" s="34"/>
      <c r="M287" s="34"/>
      <c r="N287" s="35"/>
      <c r="O287" s="35"/>
      <c r="P287" s="35"/>
      <c r="Q287" s="34"/>
      <c r="R287" s="35"/>
      <c r="S287" s="34"/>
      <c r="T287" s="34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57"/>
      <c r="AF287" s="57"/>
      <c r="AG287" s="48"/>
      <c r="AH287" s="48"/>
      <c r="AI287" s="48"/>
      <c r="AJ287" s="48"/>
      <c r="AK287" s="48"/>
      <c r="AL287" s="48"/>
      <c r="AM287" s="48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43"/>
      <c r="AY287" s="43"/>
      <c r="AZ287" s="44"/>
      <c r="BA287" s="43"/>
      <c r="BB287" s="43"/>
      <c r="BC287" s="43"/>
      <c r="BD287" s="43"/>
      <c r="BE287" s="43"/>
      <c r="BF287" s="43"/>
    </row>
    <row r="288" spans="1:59" x14ac:dyDescent="0.25">
      <c r="A288" s="13"/>
      <c r="B288" s="22"/>
      <c r="C288" s="22"/>
      <c r="D288" s="14"/>
      <c r="E288" s="14"/>
      <c r="F288" s="33"/>
      <c r="G288" s="33"/>
      <c r="H288" s="33"/>
      <c r="I288" s="33"/>
      <c r="J288" s="33"/>
      <c r="K288" s="33"/>
      <c r="L288" s="34"/>
      <c r="M288" s="34"/>
      <c r="N288" s="35"/>
      <c r="O288" s="35"/>
      <c r="P288" s="35"/>
      <c r="Q288" s="34"/>
      <c r="R288" s="35"/>
      <c r="S288" s="34"/>
      <c r="T288" s="34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57"/>
      <c r="AF288" s="57"/>
      <c r="AG288" s="48"/>
      <c r="AH288" s="48"/>
      <c r="AI288" s="48"/>
      <c r="AJ288" s="48"/>
      <c r="AK288" s="48"/>
      <c r="AL288" s="48"/>
      <c r="AM288" s="48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43"/>
      <c r="AY288" s="43"/>
      <c r="AZ288" s="44"/>
      <c r="BA288" s="43"/>
      <c r="BB288" s="43"/>
      <c r="BC288" s="43"/>
      <c r="BD288" s="43"/>
      <c r="BE288" s="43"/>
      <c r="BF288" s="43"/>
    </row>
    <row r="289" spans="1:58" x14ac:dyDescent="0.25">
      <c r="A289" s="13"/>
      <c r="B289" s="22"/>
      <c r="C289" s="22"/>
      <c r="D289" s="14"/>
      <c r="E289" s="14"/>
      <c r="F289" s="33"/>
      <c r="G289" s="33"/>
      <c r="H289" s="33"/>
      <c r="I289" s="33"/>
      <c r="J289" s="33"/>
      <c r="K289" s="33"/>
      <c r="L289" s="34"/>
      <c r="M289" s="34"/>
      <c r="N289" s="35"/>
      <c r="O289" s="35"/>
      <c r="P289" s="35"/>
      <c r="Q289" s="34"/>
      <c r="R289" s="35"/>
      <c r="S289" s="34"/>
      <c r="T289" s="34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57"/>
      <c r="AF289" s="57"/>
      <c r="AG289" s="48"/>
      <c r="AH289" s="48"/>
      <c r="AI289" s="48"/>
      <c r="AJ289" s="48"/>
      <c r="AK289" s="48"/>
      <c r="AL289" s="48"/>
      <c r="AM289" s="48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43"/>
      <c r="AY289" s="43"/>
      <c r="AZ289" s="44"/>
      <c r="BA289" s="43"/>
      <c r="BB289" s="43"/>
      <c r="BC289" s="43"/>
      <c r="BD289" s="43"/>
      <c r="BE289" s="43"/>
      <c r="BF289" s="43"/>
    </row>
    <row r="290" spans="1:58" x14ac:dyDescent="0.25">
      <c r="A290" s="13"/>
      <c r="B290" s="22"/>
      <c r="C290" s="22"/>
      <c r="D290" s="14"/>
      <c r="E290" s="14"/>
      <c r="F290" s="33"/>
      <c r="G290" s="33"/>
      <c r="H290" s="33"/>
      <c r="I290" s="33"/>
      <c r="J290" s="33"/>
      <c r="K290" s="33"/>
      <c r="L290" s="34"/>
      <c r="M290" s="34"/>
      <c r="N290" s="35"/>
      <c r="O290" s="35"/>
      <c r="P290" s="35"/>
      <c r="Q290" s="34"/>
      <c r="R290" s="35"/>
      <c r="S290" s="34"/>
      <c r="T290" s="34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57"/>
      <c r="AF290" s="57"/>
      <c r="AG290" s="48"/>
      <c r="AH290" s="48"/>
      <c r="AI290" s="48"/>
      <c r="AJ290" s="48"/>
      <c r="AK290" s="48"/>
      <c r="AL290" s="48"/>
      <c r="AM290" s="48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43"/>
      <c r="AY290" s="43"/>
      <c r="AZ290" s="44"/>
      <c r="BA290" s="43"/>
      <c r="BB290" s="43"/>
      <c r="BC290" s="43"/>
      <c r="BD290" s="43"/>
      <c r="BE290" s="43"/>
      <c r="BF290" s="43"/>
    </row>
    <row r="291" spans="1:58" x14ac:dyDescent="0.25">
      <c r="A291" s="13"/>
      <c r="B291" s="22"/>
      <c r="C291" s="22"/>
      <c r="D291" s="14"/>
      <c r="E291" s="14"/>
      <c r="F291" s="33"/>
      <c r="G291" s="33"/>
      <c r="H291" s="33"/>
      <c r="I291" s="33"/>
      <c r="J291" s="33"/>
      <c r="K291" s="33"/>
      <c r="L291" s="34"/>
      <c r="M291" s="34"/>
      <c r="N291" s="35"/>
      <c r="O291" s="35"/>
      <c r="P291" s="35"/>
      <c r="Q291" s="34"/>
      <c r="R291" s="35"/>
      <c r="S291" s="34"/>
      <c r="T291" s="34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57"/>
      <c r="AF291" s="57"/>
      <c r="AG291" s="48"/>
      <c r="AH291" s="48"/>
      <c r="AI291" s="48"/>
      <c r="AJ291" s="48"/>
      <c r="AK291" s="48"/>
      <c r="AL291" s="48"/>
      <c r="AM291" s="48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43"/>
      <c r="AY291" s="43"/>
      <c r="AZ291" s="44"/>
      <c r="BA291" s="43"/>
      <c r="BB291" s="43"/>
      <c r="BC291" s="43"/>
      <c r="BD291" s="43"/>
      <c r="BE291" s="43"/>
      <c r="BF291" s="43"/>
    </row>
    <row r="292" spans="1:58" x14ac:dyDescent="0.25">
      <c r="A292" s="13"/>
      <c r="B292" s="22"/>
      <c r="C292" s="22"/>
      <c r="D292" s="14"/>
      <c r="E292" s="14"/>
      <c r="F292" s="33"/>
      <c r="G292" s="33"/>
      <c r="H292" s="33"/>
      <c r="I292" s="33"/>
      <c r="J292" s="33"/>
      <c r="K292" s="33"/>
      <c r="L292" s="34"/>
      <c r="M292" s="34"/>
      <c r="N292" s="35"/>
      <c r="O292" s="35"/>
      <c r="P292" s="35"/>
      <c r="Q292" s="34"/>
      <c r="R292" s="35"/>
      <c r="S292" s="34"/>
      <c r="T292" s="34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57"/>
      <c r="AF292" s="57"/>
      <c r="AG292" s="48"/>
      <c r="AH292" s="48"/>
      <c r="AI292" s="48"/>
      <c r="AJ292" s="48"/>
      <c r="AK292" s="48"/>
      <c r="AL292" s="48"/>
      <c r="AM292" s="48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43"/>
      <c r="AY292" s="43"/>
      <c r="AZ292" s="44"/>
      <c r="BA292" s="43"/>
      <c r="BB292" s="43"/>
      <c r="BC292" s="43"/>
      <c r="BD292" s="43"/>
      <c r="BE292" s="43"/>
      <c r="BF292" s="43"/>
    </row>
    <row r="293" spans="1:58" x14ac:dyDescent="0.25">
      <c r="A293" s="13"/>
      <c r="B293" s="22"/>
      <c r="C293" s="22"/>
      <c r="D293" s="14"/>
      <c r="E293" s="14"/>
      <c r="F293" s="33"/>
      <c r="G293" s="33"/>
      <c r="H293" s="33"/>
      <c r="I293" s="33"/>
      <c r="J293" s="33"/>
      <c r="K293" s="33"/>
      <c r="L293" s="34"/>
      <c r="M293" s="34"/>
      <c r="N293" s="35"/>
      <c r="O293" s="35"/>
      <c r="P293" s="35"/>
      <c r="Q293" s="34"/>
      <c r="R293" s="35"/>
      <c r="S293" s="34"/>
      <c r="T293" s="34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57"/>
      <c r="AF293" s="57"/>
      <c r="AG293" s="48"/>
      <c r="AH293" s="48"/>
      <c r="AI293" s="48"/>
      <c r="AJ293" s="48"/>
      <c r="AK293" s="48"/>
      <c r="AL293" s="48"/>
      <c r="AM293" s="48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43"/>
      <c r="AY293" s="43"/>
      <c r="AZ293" s="44"/>
      <c r="BA293" s="43"/>
      <c r="BB293" s="43"/>
      <c r="BC293" s="43"/>
      <c r="BD293" s="43"/>
      <c r="BE293" s="43"/>
      <c r="BF293" s="43"/>
    </row>
    <row r="294" spans="1:58" x14ac:dyDescent="0.25">
      <c r="A294" s="13"/>
      <c r="B294" s="22"/>
      <c r="C294" s="22"/>
      <c r="D294" s="14"/>
      <c r="E294" s="14"/>
      <c r="F294" s="33"/>
      <c r="G294" s="33"/>
      <c r="H294" s="33"/>
      <c r="I294" s="33"/>
      <c r="J294" s="33"/>
      <c r="K294" s="33"/>
      <c r="L294" s="34"/>
      <c r="M294" s="34"/>
      <c r="N294" s="35"/>
      <c r="O294" s="35"/>
      <c r="P294" s="35"/>
      <c r="Q294" s="34"/>
      <c r="R294" s="35"/>
      <c r="S294" s="34"/>
      <c r="T294" s="34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57"/>
      <c r="AF294" s="57"/>
      <c r="AG294" s="48"/>
      <c r="AH294" s="48"/>
      <c r="AI294" s="48"/>
      <c r="AJ294" s="48"/>
      <c r="AK294" s="48"/>
      <c r="AL294" s="48"/>
      <c r="AM294" s="48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43"/>
      <c r="AY294" s="43"/>
      <c r="AZ294" s="44"/>
      <c r="BA294" s="43"/>
      <c r="BB294" s="43"/>
      <c r="BC294" s="43"/>
      <c r="BD294" s="43"/>
      <c r="BE294" s="43"/>
      <c r="BF294" s="43"/>
    </row>
    <row r="295" spans="1:58" x14ac:dyDescent="0.25">
      <c r="A295" s="13"/>
      <c r="B295" s="22"/>
      <c r="C295" s="22"/>
      <c r="D295" s="14"/>
      <c r="E295" s="14"/>
      <c r="F295" s="33"/>
      <c r="G295" s="33"/>
      <c r="H295" s="33"/>
      <c r="I295" s="33"/>
      <c r="J295" s="33"/>
      <c r="K295" s="33"/>
      <c r="L295" s="34"/>
      <c r="M295" s="34"/>
      <c r="N295" s="35"/>
      <c r="O295" s="35"/>
      <c r="P295" s="35"/>
      <c r="Q295" s="34"/>
      <c r="R295" s="35"/>
      <c r="S295" s="34"/>
      <c r="T295" s="34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57"/>
      <c r="AF295" s="57"/>
      <c r="AG295" s="48"/>
      <c r="AH295" s="48"/>
      <c r="AI295" s="48"/>
      <c r="AJ295" s="48"/>
      <c r="AK295" s="48"/>
      <c r="AL295" s="48"/>
      <c r="AM295" s="48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43"/>
      <c r="AY295" s="43"/>
      <c r="AZ295" s="44"/>
      <c r="BA295" s="43"/>
      <c r="BB295" s="43"/>
      <c r="BC295" s="43"/>
      <c r="BD295" s="43"/>
      <c r="BE295" s="43"/>
      <c r="BF295" s="43"/>
    </row>
    <row r="296" spans="1:58" x14ac:dyDescent="0.25">
      <c r="A296" s="13"/>
      <c r="B296" s="22"/>
      <c r="C296" s="22"/>
      <c r="D296" s="14"/>
      <c r="E296" s="14"/>
      <c r="F296" s="33"/>
      <c r="G296" s="33"/>
      <c r="H296" s="33"/>
      <c r="I296" s="33"/>
      <c r="J296" s="33"/>
      <c r="K296" s="33"/>
      <c r="L296" s="34"/>
      <c r="M296" s="34"/>
      <c r="N296" s="35"/>
      <c r="O296" s="35"/>
      <c r="P296" s="35"/>
      <c r="Q296" s="34"/>
      <c r="R296" s="35"/>
      <c r="S296" s="34"/>
      <c r="T296" s="34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57"/>
      <c r="AF296" s="57"/>
      <c r="AG296" s="48"/>
      <c r="AH296" s="48"/>
      <c r="AI296" s="48"/>
      <c r="AJ296" s="48"/>
      <c r="AK296" s="48"/>
      <c r="AL296" s="48"/>
      <c r="AM296" s="48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43"/>
      <c r="AY296" s="43"/>
      <c r="AZ296" s="44"/>
      <c r="BA296" s="43"/>
      <c r="BB296" s="43"/>
      <c r="BC296" s="43"/>
      <c r="BD296" s="43"/>
      <c r="BE296" s="43"/>
      <c r="BF296" s="43"/>
    </row>
    <row r="297" spans="1:58" x14ac:dyDescent="0.25">
      <c r="A297" s="13"/>
      <c r="B297" s="22"/>
      <c r="C297" s="22"/>
      <c r="D297" s="14"/>
      <c r="E297" s="14"/>
      <c r="F297" s="33"/>
      <c r="G297" s="33"/>
      <c r="H297" s="33"/>
      <c r="I297" s="33"/>
      <c r="J297" s="33"/>
      <c r="K297" s="33"/>
      <c r="L297" s="34"/>
      <c r="M297" s="34"/>
      <c r="N297" s="35"/>
      <c r="O297" s="35"/>
      <c r="P297" s="35"/>
      <c r="Q297" s="34"/>
      <c r="R297" s="35"/>
      <c r="S297" s="34"/>
      <c r="T297" s="34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57"/>
      <c r="AF297" s="57"/>
      <c r="AG297" s="48"/>
      <c r="AH297" s="48"/>
      <c r="AI297" s="48"/>
      <c r="AJ297" s="48"/>
      <c r="AK297" s="48"/>
      <c r="AL297" s="48"/>
      <c r="AM297" s="48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43"/>
      <c r="AY297" s="43"/>
      <c r="AZ297" s="44"/>
      <c r="BA297" s="43"/>
      <c r="BB297" s="43"/>
      <c r="BC297" s="43"/>
      <c r="BD297" s="43"/>
      <c r="BE297" s="43"/>
      <c r="BF297" s="43"/>
    </row>
    <row r="298" spans="1:58" x14ac:dyDescent="0.25">
      <c r="A298" s="13"/>
      <c r="B298" s="22"/>
      <c r="C298" s="22"/>
      <c r="D298" s="14"/>
      <c r="E298" s="14"/>
      <c r="F298" s="33"/>
      <c r="G298" s="33"/>
      <c r="H298" s="33"/>
      <c r="I298" s="33"/>
      <c r="J298" s="33"/>
      <c r="K298" s="33"/>
      <c r="L298" s="34"/>
      <c r="M298" s="34"/>
      <c r="N298" s="35"/>
      <c r="O298" s="35"/>
      <c r="P298" s="35"/>
      <c r="Q298" s="34"/>
      <c r="R298" s="35"/>
      <c r="S298" s="34"/>
      <c r="T298" s="34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57"/>
      <c r="AF298" s="57"/>
      <c r="AG298" s="48"/>
      <c r="AH298" s="48"/>
      <c r="AI298" s="48"/>
      <c r="AJ298" s="48"/>
      <c r="AK298" s="48"/>
      <c r="AL298" s="48"/>
      <c r="AM298" s="48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43"/>
      <c r="AY298" s="43"/>
      <c r="AZ298" s="44"/>
      <c r="BA298" s="43"/>
      <c r="BB298" s="43"/>
      <c r="BC298" s="43"/>
      <c r="BD298" s="43"/>
      <c r="BE298" s="43"/>
      <c r="BF298" s="43"/>
    </row>
    <row r="299" spans="1:58" x14ac:dyDescent="0.25">
      <c r="A299" s="13"/>
      <c r="B299" s="22"/>
      <c r="C299" s="22"/>
      <c r="D299" s="14"/>
      <c r="E299" s="14"/>
      <c r="F299" s="33"/>
      <c r="G299" s="33"/>
      <c r="H299" s="33"/>
      <c r="I299" s="33"/>
      <c r="J299" s="33"/>
      <c r="K299" s="33"/>
      <c r="L299" s="34"/>
      <c r="M299" s="34"/>
      <c r="N299" s="35"/>
      <c r="O299" s="35"/>
      <c r="P299" s="35"/>
      <c r="Q299" s="34"/>
      <c r="R299" s="35"/>
      <c r="S299" s="34"/>
      <c r="T299" s="34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57"/>
      <c r="AF299" s="57"/>
      <c r="AG299" s="48"/>
      <c r="AH299" s="48"/>
      <c r="AI299" s="48"/>
      <c r="AJ299" s="48"/>
      <c r="AK299" s="48"/>
      <c r="AL299" s="48"/>
      <c r="AM299" s="48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43"/>
      <c r="AY299" s="43"/>
      <c r="AZ299" s="44"/>
      <c r="BA299" s="43"/>
      <c r="BB299" s="43"/>
      <c r="BC299" s="43"/>
      <c r="BD299" s="43"/>
      <c r="BE299" s="43"/>
      <c r="BF299" s="43"/>
    </row>
    <row r="300" spans="1:58" x14ac:dyDescent="0.25">
      <c r="A300" s="13"/>
      <c r="B300" s="22"/>
      <c r="C300" s="22"/>
      <c r="D300" s="14"/>
      <c r="E300" s="14"/>
      <c r="F300" s="33"/>
      <c r="G300" s="33"/>
      <c r="H300" s="33"/>
      <c r="I300" s="33"/>
      <c r="J300" s="33"/>
      <c r="K300" s="33"/>
      <c r="L300" s="34"/>
      <c r="M300" s="34"/>
      <c r="N300" s="35"/>
      <c r="O300" s="35"/>
      <c r="P300" s="35"/>
      <c r="Q300" s="34"/>
      <c r="R300" s="35"/>
      <c r="S300" s="34"/>
      <c r="T300" s="34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57"/>
      <c r="AF300" s="57"/>
      <c r="AG300" s="48"/>
      <c r="AH300" s="48"/>
      <c r="AI300" s="48"/>
      <c r="AJ300" s="48"/>
      <c r="AK300" s="48"/>
      <c r="AL300" s="48"/>
      <c r="AM300" s="48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43"/>
      <c r="AY300" s="43"/>
      <c r="AZ300" s="44"/>
      <c r="BA300" s="43"/>
      <c r="BB300" s="43"/>
      <c r="BC300" s="43"/>
      <c r="BD300" s="43"/>
      <c r="BE300" s="43"/>
      <c r="BF300" s="43"/>
    </row>
    <row r="301" spans="1:58" x14ac:dyDescent="0.25">
      <c r="A301" s="13"/>
      <c r="B301" s="22"/>
      <c r="C301" s="22"/>
      <c r="D301" s="14"/>
      <c r="E301" s="14"/>
      <c r="F301" s="33"/>
      <c r="G301" s="33"/>
      <c r="H301" s="33"/>
      <c r="I301" s="33"/>
      <c r="J301" s="33"/>
      <c r="K301" s="33"/>
      <c r="L301" s="34"/>
      <c r="M301" s="34"/>
      <c r="N301" s="35"/>
      <c r="O301" s="35"/>
      <c r="P301" s="35"/>
      <c r="Q301" s="34"/>
      <c r="R301" s="35"/>
      <c r="S301" s="34"/>
      <c r="T301" s="34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57"/>
      <c r="AF301" s="57"/>
      <c r="AG301" s="48"/>
      <c r="AH301" s="48"/>
      <c r="AI301" s="48"/>
      <c r="AJ301" s="48"/>
      <c r="AK301" s="48"/>
      <c r="AL301" s="48"/>
      <c r="AM301" s="48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43"/>
      <c r="AY301" s="43"/>
      <c r="AZ301" s="44"/>
      <c r="BA301" s="43"/>
      <c r="BB301" s="43"/>
      <c r="BC301" s="43"/>
      <c r="BD301" s="43"/>
      <c r="BE301" s="43"/>
      <c r="BF301" s="43"/>
    </row>
    <row r="302" spans="1:58" x14ac:dyDescent="0.25">
      <c r="A302" s="13"/>
      <c r="B302" s="22"/>
      <c r="C302" s="22"/>
      <c r="D302" s="14"/>
      <c r="E302" s="14"/>
      <c r="F302" s="33"/>
      <c r="G302" s="33"/>
      <c r="H302" s="33"/>
      <c r="I302" s="33"/>
      <c r="J302" s="33"/>
      <c r="K302" s="33"/>
      <c r="L302" s="34"/>
      <c r="M302" s="34"/>
      <c r="N302" s="35"/>
      <c r="O302" s="35"/>
      <c r="P302" s="35"/>
      <c r="Q302" s="34"/>
      <c r="R302" s="35"/>
      <c r="S302" s="34"/>
      <c r="T302" s="34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57"/>
      <c r="AF302" s="57"/>
      <c r="AG302" s="48"/>
      <c r="AH302" s="48"/>
      <c r="AI302" s="48"/>
      <c r="AJ302" s="48"/>
      <c r="AK302" s="48"/>
      <c r="AL302" s="48"/>
      <c r="AM302" s="48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43"/>
      <c r="AY302" s="43"/>
      <c r="AZ302" s="44"/>
      <c r="BA302" s="43"/>
      <c r="BB302" s="43"/>
      <c r="BC302" s="43"/>
      <c r="BD302" s="43"/>
      <c r="BE302" s="43"/>
      <c r="BF302" s="43"/>
    </row>
    <row r="303" spans="1:58" x14ac:dyDescent="0.25">
      <c r="A303" s="13"/>
      <c r="B303" s="22"/>
      <c r="C303" s="22"/>
      <c r="D303" s="14"/>
      <c r="E303" s="14"/>
      <c r="F303" s="33"/>
      <c r="G303" s="33"/>
      <c r="H303" s="33"/>
      <c r="I303" s="33"/>
      <c r="J303" s="33"/>
      <c r="K303" s="33"/>
      <c r="L303" s="34"/>
      <c r="M303" s="34"/>
      <c r="N303" s="35"/>
      <c r="O303" s="35"/>
      <c r="P303" s="35"/>
      <c r="Q303" s="34"/>
      <c r="R303" s="35"/>
      <c r="S303" s="34"/>
      <c r="T303" s="34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57"/>
      <c r="AF303" s="57"/>
      <c r="AG303" s="48"/>
      <c r="AH303" s="48"/>
      <c r="AI303" s="48"/>
      <c r="AJ303" s="48"/>
      <c r="AK303" s="48"/>
      <c r="AL303" s="48"/>
      <c r="AM303" s="48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43"/>
      <c r="AY303" s="43"/>
      <c r="AZ303" s="44"/>
      <c r="BA303" s="43"/>
      <c r="BB303" s="43"/>
      <c r="BC303" s="43"/>
      <c r="BD303" s="43"/>
      <c r="BE303" s="43"/>
      <c r="BF303" s="43"/>
    </row>
    <row r="304" spans="1:58" x14ac:dyDescent="0.25">
      <c r="A304" s="13"/>
      <c r="B304" s="22"/>
      <c r="C304" s="22"/>
      <c r="D304" s="14"/>
      <c r="E304" s="14"/>
      <c r="F304" s="33"/>
      <c r="G304" s="33"/>
      <c r="H304" s="33"/>
      <c r="I304" s="33"/>
      <c r="J304" s="33"/>
      <c r="K304" s="33"/>
      <c r="L304" s="34"/>
      <c r="M304" s="34"/>
      <c r="N304" s="35"/>
      <c r="O304" s="35"/>
      <c r="P304" s="35"/>
      <c r="Q304" s="34"/>
      <c r="R304" s="35"/>
      <c r="S304" s="34"/>
      <c r="T304" s="34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57"/>
      <c r="AF304" s="57"/>
      <c r="AG304" s="48"/>
      <c r="AH304" s="48"/>
      <c r="AI304" s="48"/>
      <c r="AJ304" s="48"/>
      <c r="AK304" s="48"/>
      <c r="AL304" s="48"/>
      <c r="AM304" s="48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43"/>
      <c r="AY304" s="43"/>
      <c r="AZ304" s="44"/>
      <c r="BA304" s="43"/>
      <c r="BB304" s="43"/>
      <c r="BC304" s="43"/>
      <c r="BD304" s="43"/>
      <c r="BE304" s="43"/>
      <c r="BF304" s="43"/>
    </row>
    <row r="305" spans="1:59" x14ac:dyDescent="0.25">
      <c r="A305" s="13"/>
      <c r="B305" s="22"/>
      <c r="C305" s="22"/>
      <c r="D305" s="14"/>
      <c r="E305" s="14"/>
      <c r="F305" s="33"/>
      <c r="G305" s="33"/>
      <c r="H305" s="33"/>
      <c r="I305" s="33"/>
      <c r="J305" s="33"/>
      <c r="K305" s="33"/>
      <c r="L305" s="34"/>
      <c r="M305" s="34"/>
      <c r="N305" s="35"/>
      <c r="O305" s="35"/>
      <c r="P305" s="35"/>
      <c r="Q305" s="34"/>
      <c r="R305" s="35"/>
      <c r="S305" s="34"/>
      <c r="T305" s="34"/>
      <c r="U305" s="36"/>
      <c r="V305" s="36"/>
      <c r="W305" s="36"/>
      <c r="X305" s="36"/>
      <c r="Y305" s="36"/>
      <c r="Z305" s="36"/>
      <c r="AA305" s="36"/>
      <c r="AB305" s="36"/>
      <c r="AC305" s="33"/>
      <c r="AD305" s="36"/>
      <c r="AE305" s="57"/>
      <c r="AF305" s="57"/>
      <c r="AG305" s="48"/>
      <c r="AH305" s="48"/>
      <c r="AI305" s="48"/>
      <c r="AJ305" s="48"/>
      <c r="AK305" s="48"/>
      <c r="AL305" s="48"/>
      <c r="AM305" s="48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43"/>
      <c r="AY305" s="43"/>
      <c r="AZ305" s="44"/>
      <c r="BA305" s="43"/>
      <c r="BB305" s="43"/>
      <c r="BC305" s="43"/>
      <c r="BD305" s="43"/>
      <c r="BE305" s="43"/>
      <c r="BF305" s="43"/>
      <c r="BG305" s="43"/>
    </row>
    <row r="306" spans="1:59" x14ac:dyDescent="0.25">
      <c r="A306" s="13"/>
      <c r="B306" s="22"/>
      <c r="C306" s="22"/>
      <c r="D306" s="14"/>
      <c r="E306" s="14"/>
      <c r="F306" s="33"/>
      <c r="G306" s="33"/>
      <c r="H306" s="33"/>
      <c r="I306" s="33"/>
      <c r="J306" s="33"/>
      <c r="K306" s="33"/>
      <c r="L306" s="34"/>
      <c r="M306" s="34"/>
      <c r="N306" s="35"/>
      <c r="O306" s="35"/>
      <c r="P306" s="35"/>
      <c r="Q306" s="34"/>
      <c r="R306" s="35"/>
      <c r="S306" s="34"/>
      <c r="T306" s="34"/>
      <c r="U306" s="36"/>
      <c r="V306" s="36"/>
      <c r="W306" s="36"/>
      <c r="X306" s="36"/>
      <c r="Y306" s="36"/>
      <c r="Z306" s="36"/>
      <c r="AA306" s="36"/>
      <c r="AB306" s="36"/>
      <c r="AC306" s="33"/>
      <c r="AD306" s="36"/>
      <c r="AE306" s="57"/>
      <c r="AF306" s="57"/>
      <c r="AG306" s="48"/>
      <c r="AH306" s="48"/>
      <c r="AI306" s="48"/>
      <c r="AJ306" s="48"/>
      <c r="AK306" s="48"/>
      <c r="AL306" s="48"/>
      <c r="AM306" s="48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43"/>
      <c r="AY306" s="43"/>
      <c r="AZ306" s="44"/>
      <c r="BA306" s="43"/>
      <c r="BB306" s="43"/>
      <c r="BC306" s="43"/>
      <c r="BD306" s="43"/>
      <c r="BE306" s="43"/>
      <c r="BF306" s="43"/>
    </row>
    <row r="307" spans="1:59" x14ac:dyDescent="0.25">
      <c r="A307" s="13"/>
      <c r="B307" s="22"/>
      <c r="C307" s="22"/>
      <c r="D307" s="14"/>
      <c r="E307" s="14"/>
      <c r="F307" s="33"/>
      <c r="G307" s="33"/>
      <c r="H307" s="33"/>
      <c r="I307" s="33"/>
      <c r="J307" s="33"/>
      <c r="K307" s="33"/>
      <c r="L307" s="34"/>
      <c r="M307" s="34"/>
      <c r="N307" s="35"/>
      <c r="O307" s="35"/>
      <c r="P307" s="35"/>
      <c r="Q307" s="34"/>
      <c r="R307" s="35"/>
      <c r="S307" s="34"/>
      <c r="T307" s="34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57"/>
      <c r="AF307" s="57"/>
      <c r="AG307" s="48"/>
      <c r="AH307" s="48"/>
      <c r="AI307" s="48"/>
      <c r="AJ307" s="48"/>
      <c r="AK307" s="48"/>
      <c r="AL307" s="48"/>
      <c r="AM307" s="48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43"/>
      <c r="AY307" s="43"/>
      <c r="AZ307" s="44"/>
      <c r="BA307" s="43"/>
      <c r="BB307" s="43"/>
      <c r="BC307" s="43"/>
      <c r="BD307" s="43"/>
      <c r="BE307" s="43"/>
      <c r="BF307" s="43"/>
    </row>
    <row r="308" spans="1:59" x14ac:dyDescent="0.25">
      <c r="A308" s="13"/>
      <c r="B308" s="22"/>
      <c r="C308" s="22"/>
      <c r="D308" s="14"/>
      <c r="E308" s="14"/>
      <c r="F308" s="33"/>
      <c r="G308" s="33"/>
      <c r="H308" s="33"/>
      <c r="I308" s="33"/>
      <c r="J308" s="33"/>
      <c r="K308" s="33"/>
      <c r="L308" s="34"/>
      <c r="M308" s="34"/>
      <c r="N308" s="35"/>
      <c r="O308" s="35"/>
      <c r="P308" s="35"/>
      <c r="Q308" s="34"/>
      <c r="R308" s="35"/>
      <c r="S308" s="34"/>
      <c r="T308" s="34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57"/>
      <c r="AF308" s="57"/>
      <c r="AG308" s="48"/>
      <c r="AH308" s="48"/>
      <c r="AI308" s="48"/>
      <c r="AJ308" s="48"/>
      <c r="AK308" s="48"/>
      <c r="AL308" s="48"/>
      <c r="AM308" s="48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43"/>
      <c r="AY308" s="43"/>
      <c r="AZ308" s="44"/>
      <c r="BA308" s="43"/>
      <c r="BB308" s="43"/>
      <c r="BC308" s="43"/>
      <c r="BD308" s="43"/>
      <c r="BE308" s="43"/>
      <c r="BF308" s="43"/>
    </row>
    <row r="309" spans="1:59" x14ac:dyDescent="0.25">
      <c r="A309" s="13"/>
      <c r="B309" s="22"/>
      <c r="C309" s="22"/>
      <c r="D309" s="14"/>
      <c r="E309" s="14"/>
      <c r="F309" s="33"/>
      <c r="G309" s="33"/>
      <c r="H309" s="33"/>
      <c r="I309" s="33"/>
      <c r="J309" s="33"/>
      <c r="K309" s="33"/>
      <c r="L309" s="34"/>
      <c r="M309" s="34"/>
      <c r="N309" s="35"/>
      <c r="O309" s="35"/>
      <c r="P309" s="35"/>
      <c r="Q309" s="34"/>
      <c r="R309" s="35"/>
      <c r="S309" s="34"/>
      <c r="T309" s="34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57"/>
      <c r="AF309" s="57"/>
      <c r="AG309" s="48"/>
      <c r="AH309" s="48"/>
      <c r="AI309" s="48"/>
      <c r="AJ309" s="48"/>
      <c r="AK309" s="48"/>
      <c r="AL309" s="48"/>
      <c r="AM309" s="48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43"/>
      <c r="AY309" s="43"/>
      <c r="AZ309" s="44"/>
      <c r="BA309" s="43"/>
      <c r="BB309" s="43"/>
      <c r="BC309" s="43"/>
      <c r="BD309" s="43"/>
      <c r="BE309" s="43"/>
      <c r="BF309" s="43"/>
    </row>
    <row r="310" spans="1:59" x14ac:dyDescent="0.25">
      <c r="A310" s="13"/>
      <c r="B310" s="22"/>
      <c r="C310" s="22"/>
      <c r="D310" s="14"/>
      <c r="E310" s="14"/>
      <c r="F310" s="33"/>
      <c r="G310" s="33"/>
      <c r="H310" s="33"/>
      <c r="I310" s="33"/>
      <c r="J310" s="33"/>
      <c r="K310" s="33"/>
      <c r="L310" s="34"/>
      <c r="M310" s="34"/>
      <c r="N310" s="35"/>
      <c r="O310" s="35"/>
      <c r="P310" s="35"/>
      <c r="Q310" s="34"/>
      <c r="R310" s="35"/>
      <c r="S310" s="34"/>
      <c r="T310" s="34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57"/>
      <c r="AF310" s="57"/>
      <c r="AG310" s="48"/>
      <c r="AH310" s="48"/>
      <c r="AI310" s="48"/>
      <c r="AJ310" s="48"/>
      <c r="AK310" s="48"/>
      <c r="AL310" s="48"/>
      <c r="AM310" s="48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43"/>
      <c r="AY310" s="43"/>
      <c r="AZ310" s="44"/>
      <c r="BA310" s="43"/>
      <c r="BB310" s="43"/>
      <c r="BC310" s="43"/>
      <c r="BD310" s="43"/>
      <c r="BE310" s="43"/>
      <c r="BF310" s="43"/>
    </row>
    <row r="311" spans="1:59" x14ac:dyDescent="0.25">
      <c r="A311" s="13"/>
      <c r="B311" s="22"/>
      <c r="C311" s="22"/>
      <c r="D311" s="14"/>
      <c r="E311" s="14"/>
      <c r="F311" s="33"/>
      <c r="G311" s="33"/>
      <c r="H311" s="33"/>
      <c r="I311" s="33"/>
      <c r="J311" s="33"/>
      <c r="K311" s="33"/>
      <c r="L311" s="34"/>
      <c r="M311" s="34"/>
      <c r="N311" s="35"/>
      <c r="O311" s="35"/>
      <c r="P311" s="35"/>
      <c r="Q311" s="34"/>
      <c r="R311" s="35"/>
      <c r="S311" s="34"/>
      <c r="T311" s="34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57"/>
      <c r="AF311" s="57"/>
      <c r="AG311" s="48"/>
      <c r="AH311" s="48"/>
      <c r="AI311" s="48"/>
      <c r="AJ311" s="48"/>
      <c r="AK311" s="48"/>
      <c r="AL311" s="48"/>
      <c r="AM311" s="48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43"/>
      <c r="AY311" s="43"/>
      <c r="AZ311" s="44"/>
      <c r="BA311" s="43"/>
      <c r="BB311" s="43"/>
      <c r="BC311" s="43"/>
      <c r="BD311" s="43"/>
      <c r="BE311" s="43"/>
      <c r="BF311" s="43"/>
    </row>
    <row r="312" spans="1:59" x14ac:dyDescent="0.25">
      <c r="A312" s="13"/>
      <c r="B312" s="22"/>
      <c r="C312" s="22"/>
      <c r="D312" s="14"/>
      <c r="E312" s="14"/>
      <c r="F312" s="33"/>
      <c r="G312" s="33"/>
      <c r="H312" s="33"/>
      <c r="I312" s="33"/>
      <c r="J312" s="33"/>
      <c r="K312" s="33"/>
      <c r="L312" s="34"/>
      <c r="M312" s="34"/>
      <c r="N312" s="35"/>
      <c r="O312" s="35"/>
      <c r="P312" s="35"/>
      <c r="Q312" s="34"/>
      <c r="R312" s="35"/>
      <c r="S312" s="34"/>
      <c r="T312" s="34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57"/>
      <c r="AF312" s="57"/>
      <c r="AG312" s="48"/>
      <c r="AH312" s="48"/>
      <c r="AI312" s="48"/>
      <c r="AJ312" s="48"/>
      <c r="AK312" s="48"/>
      <c r="AL312" s="48"/>
      <c r="AM312" s="48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43"/>
      <c r="AY312" s="43"/>
      <c r="AZ312" s="44"/>
      <c r="BA312" s="43"/>
      <c r="BB312" s="43"/>
      <c r="BC312" s="43"/>
      <c r="BD312" s="43"/>
      <c r="BE312" s="43"/>
      <c r="BF312" s="43"/>
    </row>
    <row r="313" spans="1:59" x14ac:dyDescent="0.25">
      <c r="A313" s="13"/>
      <c r="B313" s="22"/>
      <c r="C313" s="22"/>
      <c r="D313" s="14"/>
      <c r="E313" s="14"/>
      <c r="F313" s="33"/>
      <c r="G313" s="33"/>
      <c r="H313" s="33"/>
      <c r="I313" s="33"/>
      <c r="J313" s="33"/>
      <c r="K313" s="33"/>
      <c r="L313" s="34"/>
      <c r="M313" s="34"/>
      <c r="N313" s="35"/>
      <c r="O313" s="35"/>
      <c r="P313" s="35"/>
      <c r="Q313" s="34"/>
      <c r="R313" s="35"/>
      <c r="S313" s="34"/>
      <c r="T313" s="34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57"/>
      <c r="AF313" s="57"/>
      <c r="AG313" s="48"/>
      <c r="AH313" s="48"/>
      <c r="AI313" s="48"/>
      <c r="AJ313" s="48"/>
      <c r="AK313" s="48"/>
      <c r="AL313" s="48"/>
      <c r="AM313" s="48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43"/>
      <c r="AY313" s="43"/>
      <c r="AZ313" s="44"/>
      <c r="BA313" s="43"/>
      <c r="BB313" s="43"/>
      <c r="BC313" s="43"/>
      <c r="BD313" s="43"/>
      <c r="BE313" s="43"/>
      <c r="BF313" s="43"/>
    </row>
    <row r="314" spans="1:59" x14ac:dyDescent="0.25">
      <c r="A314" s="13"/>
      <c r="B314" s="22"/>
      <c r="C314" s="22"/>
      <c r="D314" s="14"/>
      <c r="E314" s="14"/>
      <c r="F314" s="33"/>
      <c r="G314" s="33"/>
      <c r="H314" s="33"/>
      <c r="I314" s="33"/>
      <c r="J314" s="33"/>
      <c r="K314" s="33"/>
      <c r="L314" s="34"/>
      <c r="M314" s="34"/>
      <c r="N314" s="35"/>
      <c r="O314" s="35"/>
      <c r="P314" s="35"/>
      <c r="Q314" s="34"/>
      <c r="R314" s="35"/>
      <c r="S314" s="34"/>
      <c r="T314" s="34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57"/>
      <c r="AF314" s="57"/>
      <c r="AG314" s="48"/>
      <c r="AH314" s="48"/>
      <c r="AI314" s="48"/>
      <c r="AJ314" s="48"/>
      <c r="AK314" s="48"/>
      <c r="AL314" s="48"/>
      <c r="AM314" s="48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43"/>
      <c r="AY314" s="43"/>
      <c r="AZ314" s="44"/>
      <c r="BA314" s="43"/>
      <c r="BB314" s="43"/>
      <c r="BC314" s="43"/>
      <c r="BD314" s="43"/>
      <c r="BE314" s="43"/>
      <c r="BF314" s="43"/>
    </row>
    <row r="315" spans="1:59" x14ac:dyDescent="0.25">
      <c r="A315" s="13"/>
      <c r="B315" s="22"/>
      <c r="C315" s="22"/>
      <c r="D315" s="14"/>
      <c r="E315" s="14"/>
      <c r="F315" s="33"/>
      <c r="G315" s="33"/>
      <c r="H315" s="33"/>
      <c r="I315" s="33"/>
      <c r="J315" s="33"/>
      <c r="K315" s="33"/>
      <c r="L315" s="34"/>
      <c r="M315" s="34"/>
      <c r="N315" s="35"/>
      <c r="O315" s="35"/>
      <c r="P315" s="35"/>
      <c r="Q315" s="34"/>
      <c r="R315" s="35"/>
      <c r="S315" s="34"/>
      <c r="T315" s="34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57"/>
      <c r="AF315" s="57"/>
      <c r="AG315" s="48"/>
      <c r="AH315" s="48"/>
      <c r="AI315" s="48"/>
      <c r="AJ315" s="48"/>
      <c r="AK315" s="48"/>
      <c r="AL315" s="48"/>
      <c r="AM315" s="48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43"/>
      <c r="AY315" s="43"/>
      <c r="AZ315" s="44"/>
      <c r="BA315" s="43"/>
      <c r="BB315" s="43"/>
      <c r="BC315" s="43"/>
      <c r="BD315" s="43"/>
      <c r="BE315" s="43"/>
      <c r="BF315" s="43"/>
    </row>
    <row r="316" spans="1:59" x14ac:dyDescent="0.25">
      <c r="A316" s="13"/>
      <c r="B316" s="22"/>
      <c r="C316" s="22"/>
      <c r="D316" s="14"/>
      <c r="E316" s="14"/>
      <c r="F316" s="33"/>
      <c r="G316" s="33"/>
      <c r="H316" s="33"/>
      <c r="I316" s="33"/>
      <c r="J316" s="33"/>
      <c r="K316" s="33"/>
      <c r="L316" s="34"/>
      <c r="M316" s="34"/>
      <c r="N316" s="35"/>
      <c r="O316" s="35"/>
      <c r="P316" s="35"/>
      <c r="Q316" s="34"/>
      <c r="R316" s="35"/>
      <c r="S316" s="34"/>
      <c r="T316" s="34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57"/>
      <c r="AF316" s="57"/>
      <c r="AG316" s="48"/>
      <c r="AH316" s="48"/>
      <c r="AI316" s="48"/>
      <c r="AJ316" s="48"/>
      <c r="AK316" s="48"/>
      <c r="AL316" s="48"/>
      <c r="AM316" s="48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43"/>
      <c r="AY316" s="43"/>
      <c r="AZ316" s="44"/>
      <c r="BA316" s="43"/>
      <c r="BB316" s="43"/>
      <c r="BC316" s="43"/>
      <c r="BD316" s="43"/>
      <c r="BE316" s="43"/>
      <c r="BF316" s="43"/>
    </row>
    <row r="317" spans="1:59" x14ac:dyDescent="0.25">
      <c r="A317" s="13"/>
      <c r="B317" s="22"/>
      <c r="C317" s="22"/>
      <c r="D317" s="14"/>
      <c r="E317" s="14"/>
      <c r="F317" s="33"/>
      <c r="G317" s="33"/>
      <c r="H317" s="33"/>
      <c r="I317" s="33"/>
      <c r="J317" s="33"/>
      <c r="K317" s="33"/>
      <c r="L317" s="34"/>
      <c r="M317" s="34"/>
      <c r="N317" s="35"/>
      <c r="O317" s="35"/>
      <c r="P317" s="35"/>
      <c r="Q317" s="34"/>
      <c r="R317" s="35"/>
      <c r="S317" s="34"/>
      <c r="T317" s="34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57"/>
      <c r="AF317" s="57"/>
      <c r="AG317" s="48"/>
      <c r="AH317" s="48"/>
      <c r="AI317" s="48"/>
      <c r="AJ317" s="48"/>
      <c r="AK317" s="48"/>
      <c r="AL317" s="48"/>
      <c r="AM317" s="48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43"/>
      <c r="AY317" s="43"/>
      <c r="AZ317" s="44"/>
      <c r="BA317" s="43"/>
      <c r="BB317" s="43"/>
      <c r="BC317" s="43"/>
      <c r="BD317" s="43"/>
      <c r="BE317" s="43"/>
      <c r="BF317" s="43"/>
    </row>
    <row r="318" spans="1:59" x14ac:dyDescent="0.25">
      <c r="A318" s="13"/>
      <c r="B318" s="22"/>
      <c r="C318" s="22"/>
      <c r="D318" s="14"/>
      <c r="E318" s="14"/>
      <c r="F318" s="33"/>
      <c r="G318" s="33"/>
      <c r="H318" s="33"/>
      <c r="I318" s="33"/>
      <c r="J318" s="33"/>
      <c r="K318" s="33"/>
      <c r="L318" s="34"/>
      <c r="M318" s="34"/>
      <c r="N318" s="35"/>
      <c r="O318" s="35"/>
      <c r="P318" s="35"/>
      <c r="Q318" s="34"/>
      <c r="R318" s="35"/>
      <c r="S318" s="34"/>
      <c r="T318" s="34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57"/>
      <c r="AF318" s="57"/>
      <c r="AG318" s="48"/>
      <c r="AH318" s="48"/>
      <c r="AI318" s="48"/>
      <c r="AJ318" s="48"/>
      <c r="AK318" s="48"/>
      <c r="AL318" s="48"/>
      <c r="AM318" s="48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43"/>
      <c r="AY318" s="43"/>
      <c r="AZ318" s="44"/>
      <c r="BA318" s="43"/>
      <c r="BB318" s="43"/>
      <c r="BC318" s="43"/>
      <c r="BD318" s="43"/>
      <c r="BE318" s="43"/>
      <c r="BF318" s="43"/>
    </row>
    <row r="319" spans="1:59" x14ac:dyDescent="0.25">
      <c r="A319" s="13"/>
      <c r="B319" s="22"/>
      <c r="C319" s="22"/>
      <c r="D319" s="14"/>
      <c r="E319" s="14"/>
      <c r="F319" s="33"/>
      <c r="G319" s="33"/>
      <c r="H319" s="33"/>
      <c r="I319" s="33"/>
      <c r="J319" s="33"/>
      <c r="K319" s="33"/>
      <c r="L319" s="34"/>
      <c r="M319" s="34"/>
      <c r="N319" s="35"/>
      <c r="O319" s="35"/>
      <c r="P319" s="35"/>
      <c r="Q319" s="34"/>
      <c r="R319" s="35"/>
      <c r="S319" s="34"/>
      <c r="T319" s="34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57"/>
      <c r="AF319" s="57"/>
      <c r="AG319" s="48"/>
      <c r="AH319" s="48"/>
      <c r="AI319" s="48"/>
      <c r="AJ319" s="48"/>
      <c r="AK319" s="48"/>
      <c r="AL319" s="48"/>
      <c r="AM319" s="48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43"/>
      <c r="AY319" s="43"/>
      <c r="AZ319" s="44"/>
      <c r="BA319" s="43"/>
      <c r="BB319" s="43"/>
      <c r="BC319" s="43"/>
      <c r="BD319" s="43"/>
      <c r="BE319" s="43"/>
      <c r="BF319" s="43"/>
    </row>
    <row r="320" spans="1:59" x14ac:dyDescent="0.25">
      <c r="A320" s="13"/>
      <c r="B320" s="22"/>
      <c r="C320" s="22"/>
      <c r="D320" s="14"/>
      <c r="E320" s="14"/>
      <c r="F320" s="33"/>
      <c r="G320" s="33"/>
      <c r="H320" s="33"/>
      <c r="I320" s="33"/>
      <c r="J320" s="33"/>
      <c r="K320" s="33"/>
      <c r="L320" s="34"/>
      <c r="M320" s="34"/>
      <c r="N320" s="35"/>
      <c r="O320" s="35"/>
      <c r="P320" s="35"/>
      <c r="Q320" s="34"/>
      <c r="R320" s="35"/>
      <c r="S320" s="34"/>
      <c r="T320" s="34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57"/>
      <c r="AF320" s="57"/>
      <c r="AG320" s="48"/>
      <c r="AH320" s="48"/>
      <c r="AI320" s="48"/>
      <c r="AJ320" s="48"/>
      <c r="AK320" s="48"/>
      <c r="AL320" s="48"/>
      <c r="AM320" s="48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43"/>
      <c r="AY320" s="43"/>
      <c r="AZ320" s="44"/>
      <c r="BA320" s="43"/>
      <c r="BB320" s="43"/>
      <c r="BC320" s="43"/>
      <c r="BD320" s="43"/>
      <c r="BE320" s="43"/>
      <c r="BF320" s="43"/>
    </row>
    <row r="321" spans="1:59" x14ac:dyDescent="0.25">
      <c r="A321" s="13"/>
      <c r="B321" s="22"/>
      <c r="C321" s="22"/>
      <c r="D321" s="14"/>
      <c r="E321" s="14"/>
      <c r="F321" s="33"/>
      <c r="G321" s="33"/>
      <c r="H321" s="33"/>
      <c r="I321" s="33"/>
      <c r="J321" s="33"/>
      <c r="K321" s="33"/>
      <c r="L321" s="34"/>
      <c r="M321" s="34"/>
      <c r="N321" s="35"/>
      <c r="O321" s="35"/>
      <c r="P321" s="35"/>
      <c r="Q321" s="34"/>
      <c r="R321" s="35"/>
      <c r="S321" s="34"/>
      <c r="T321" s="34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57"/>
      <c r="AF321" s="57"/>
      <c r="AG321" s="48"/>
      <c r="AH321" s="48"/>
      <c r="AI321" s="48"/>
      <c r="AJ321" s="48"/>
      <c r="AK321" s="48"/>
      <c r="AL321" s="48"/>
      <c r="AM321" s="48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43"/>
      <c r="AY321" s="43"/>
      <c r="AZ321" s="44"/>
      <c r="BA321" s="43"/>
      <c r="BB321" s="43"/>
      <c r="BC321" s="43"/>
      <c r="BD321" s="43"/>
      <c r="BE321" s="43"/>
      <c r="BF321" s="43"/>
    </row>
    <row r="322" spans="1:59" x14ac:dyDescent="0.25">
      <c r="A322" s="13"/>
      <c r="B322" s="22"/>
      <c r="C322" s="22"/>
      <c r="D322" s="14"/>
      <c r="E322" s="14"/>
      <c r="F322" s="33"/>
      <c r="G322" s="33"/>
      <c r="H322" s="33"/>
      <c r="I322" s="33"/>
      <c r="J322" s="33"/>
      <c r="K322" s="33"/>
      <c r="L322" s="34"/>
      <c r="M322" s="34"/>
      <c r="N322" s="35"/>
      <c r="O322" s="35"/>
      <c r="P322" s="35"/>
      <c r="Q322" s="34"/>
      <c r="R322" s="35"/>
      <c r="S322" s="34"/>
      <c r="T322" s="34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57"/>
      <c r="AF322" s="57"/>
      <c r="AG322" s="48"/>
      <c r="AH322" s="48"/>
      <c r="AI322" s="48"/>
      <c r="AJ322" s="48"/>
      <c r="AK322" s="48"/>
      <c r="AL322" s="48"/>
      <c r="AM322" s="48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43"/>
      <c r="AY322" s="43"/>
      <c r="AZ322" s="44"/>
      <c r="BA322" s="43"/>
      <c r="BB322" s="43"/>
      <c r="BC322" s="43"/>
      <c r="BD322" s="43"/>
      <c r="BE322" s="43"/>
      <c r="BF322" s="43"/>
    </row>
    <row r="323" spans="1:59" x14ac:dyDescent="0.25">
      <c r="A323" s="13"/>
      <c r="B323" s="22"/>
      <c r="C323" s="22"/>
      <c r="D323" s="14"/>
      <c r="E323" s="14"/>
      <c r="F323" s="33"/>
      <c r="G323" s="33"/>
      <c r="H323" s="33"/>
      <c r="I323" s="33"/>
      <c r="J323" s="33"/>
      <c r="K323" s="33"/>
      <c r="L323" s="34"/>
      <c r="M323" s="34"/>
      <c r="N323" s="35"/>
      <c r="O323" s="35"/>
      <c r="P323" s="35"/>
      <c r="Q323" s="34"/>
      <c r="R323" s="35"/>
      <c r="S323" s="34"/>
      <c r="T323" s="34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57"/>
      <c r="AF323" s="57"/>
      <c r="AG323" s="48"/>
      <c r="AH323" s="48"/>
      <c r="AI323" s="48"/>
      <c r="AJ323" s="48"/>
      <c r="AK323" s="48"/>
      <c r="AL323" s="48"/>
      <c r="AM323" s="48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43"/>
      <c r="AY323" s="43"/>
      <c r="AZ323" s="44"/>
      <c r="BA323" s="43"/>
      <c r="BB323" s="43"/>
      <c r="BC323" s="43"/>
      <c r="BD323" s="43"/>
      <c r="BE323" s="43"/>
      <c r="BF323" s="43"/>
    </row>
    <row r="324" spans="1:59" x14ac:dyDescent="0.25">
      <c r="A324" s="13"/>
      <c r="B324" s="22"/>
      <c r="C324" s="22"/>
      <c r="D324" s="14"/>
      <c r="E324" s="14"/>
      <c r="F324" s="33"/>
      <c r="G324" s="33"/>
      <c r="H324" s="33"/>
      <c r="I324" s="33"/>
      <c r="J324" s="33"/>
      <c r="K324" s="33"/>
      <c r="L324" s="34"/>
      <c r="M324" s="34"/>
      <c r="N324" s="35"/>
      <c r="O324" s="35"/>
      <c r="P324" s="35"/>
      <c r="Q324" s="34"/>
      <c r="R324" s="35"/>
      <c r="S324" s="34"/>
      <c r="T324" s="34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57"/>
      <c r="AF324" s="57"/>
      <c r="AG324" s="48"/>
      <c r="AH324" s="48"/>
      <c r="AI324" s="48"/>
      <c r="AJ324" s="48"/>
      <c r="AK324" s="48"/>
      <c r="AL324" s="48"/>
      <c r="AM324" s="48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43"/>
      <c r="AY324" s="43"/>
      <c r="AZ324" s="44"/>
      <c r="BA324" s="43"/>
      <c r="BB324" s="43"/>
      <c r="BC324" s="43"/>
      <c r="BD324" s="43"/>
      <c r="BE324" s="43"/>
      <c r="BF324" s="43"/>
    </row>
    <row r="325" spans="1:59" x14ac:dyDescent="0.25">
      <c r="A325" s="13"/>
      <c r="B325" s="22"/>
      <c r="C325" s="22"/>
      <c r="D325" s="14"/>
      <c r="E325" s="14"/>
      <c r="F325" s="33"/>
      <c r="G325" s="33"/>
      <c r="H325" s="33"/>
      <c r="I325" s="33"/>
      <c r="J325" s="33"/>
      <c r="K325" s="33"/>
      <c r="L325" s="34"/>
      <c r="M325" s="34"/>
      <c r="N325" s="35"/>
      <c r="O325" s="35"/>
      <c r="P325" s="35"/>
      <c r="Q325" s="34"/>
      <c r="R325" s="35"/>
      <c r="S325" s="34"/>
      <c r="T325" s="34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57"/>
      <c r="AF325" s="57"/>
      <c r="AG325" s="48"/>
      <c r="AH325" s="48"/>
      <c r="AI325" s="48"/>
      <c r="AJ325" s="48"/>
      <c r="AK325" s="48"/>
      <c r="AL325" s="48"/>
      <c r="AM325" s="48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43"/>
      <c r="AY325" s="43"/>
      <c r="AZ325" s="44"/>
      <c r="BA325" s="43"/>
      <c r="BB325" s="43"/>
      <c r="BC325" s="43"/>
      <c r="BD325" s="43"/>
      <c r="BE325" s="43"/>
      <c r="BF325" s="43"/>
    </row>
    <row r="326" spans="1:59" x14ac:dyDescent="0.25">
      <c r="A326" s="13"/>
      <c r="B326" s="22"/>
      <c r="C326" s="22"/>
      <c r="D326" s="14"/>
      <c r="E326" s="14"/>
      <c r="F326" s="33"/>
      <c r="G326" s="33"/>
      <c r="H326" s="33"/>
      <c r="I326" s="33"/>
      <c r="J326" s="33"/>
      <c r="K326" s="33"/>
      <c r="L326" s="34"/>
      <c r="M326" s="34"/>
      <c r="N326" s="35"/>
      <c r="O326" s="35"/>
      <c r="P326" s="35"/>
      <c r="Q326" s="34"/>
      <c r="R326" s="35"/>
      <c r="S326" s="34"/>
      <c r="T326" s="34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57"/>
      <c r="AF326" s="57"/>
      <c r="AG326" s="48"/>
      <c r="AH326" s="48"/>
      <c r="AI326" s="48"/>
      <c r="AJ326" s="48"/>
      <c r="AK326" s="48"/>
      <c r="AL326" s="48"/>
      <c r="AM326" s="48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43"/>
      <c r="AY326" s="43"/>
      <c r="AZ326" s="44"/>
      <c r="BA326" s="43"/>
      <c r="BB326" s="43"/>
      <c r="BC326" s="43"/>
      <c r="BD326" s="43"/>
      <c r="BE326" s="43"/>
      <c r="BF326" s="43"/>
    </row>
    <row r="327" spans="1:59" x14ac:dyDescent="0.25">
      <c r="A327" s="13"/>
      <c r="B327" s="22"/>
      <c r="C327" s="22"/>
      <c r="D327" s="14"/>
      <c r="E327" s="14"/>
      <c r="F327" s="33"/>
      <c r="G327" s="33"/>
      <c r="H327" s="33"/>
      <c r="I327" s="33"/>
      <c r="J327" s="33"/>
      <c r="K327" s="33"/>
      <c r="L327" s="34"/>
      <c r="M327" s="34"/>
      <c r="N327" s="35"/>
      <c r="O327" s="35"/>
      <c r="P327" s="35"/>
      <c r="Q327" s="34"/>
      <c r="R327" s="35"/>
      <c r="S327" s="34"/>
      <c r="T327" s="34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57"/>
      <c r="AF327" s="57"/>
      <c r="AG327" s="48"/>
      <c r="AH327" s="48"/>
      <c r="AI327" s="48"/>
      <c r="AJ327" s="48"/>
      <c r="AK327" s="48"/>
      <c r="AL327" s="48"/>
      <c r="AM327" s="48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43"/>
      <c r="AY327" s="43"/>
      <c r="AZ327" s="44"/>
      <c r="BA327" s="43"/>
      <c r="BB327" s="43"/>
      <c r="BC327" s="43"/>
      <c r="BD327" s="43"/>
      <c r="BE327" s="43"/>
      <c r="BF327" s="43"/>
    </row>
    <row r="328" spans="1:59" x14ac:dyDescent="0.25">
      <c r="A328" s="13"/>
      <c r="B328" s="22"/>
      <c r="C328" s="22"/>
      <c r="D328" s="14"/>
      <c r="E328" s="14"/>
      <c r="F328" s="33"/>
      <c r="G328" s="33"/>
      <c r="H328" s="33"/>
      <c r="I328" s="33"/>
      <c r="J328" s="33"/>
      <c r="K328" s="33"/>
      <c r="L328" s="34"/>
      <c r="M328" s="34"/>
      <c r="N328" s="35"/>
      <c r="O328" s="35"/>
      <c r="P328" s="35"/>
      <c r="Q328" s="34"/>
      <c r="R328" s="35"/>
      <c r="S328" s="34"/>
      <c r="T328" s="34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57"/>
      <c r="AF328" s="57"/>
      <c r="AG328" s="48"/>
      <c r="AH328" s="48"/>
      <c r="AI328" s="48"/>
      <c r="AJ328" s="48"/>
      <c r="AK328" s="48"/>
      <c r="AL328" s="48"/>
      <c r="AM328" s="48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43"/>
      <c r="AY328" s="43"/>
      <c r="AZ328" s="44"/>
      <c r="BA328" s="43"/>
      <c r="BB328" s="43"/>
      <c r="BC328" s="43"/>
      <c r="BD328" s="43"/>
      <c r="BE328" s="43"/>
      <c r="BF328" s="43"/>
    </row>
    <row r="329" spans="1:59" x14ac:dyDescent="0.25">
      <c r="A329" s="13"/>
      <c r="B329" s="22"/>
      <c r="C329" s="22"/>
      <c r="D329" s="14"/>
      <c r="E329" s="14"/>
      <c r="F329" s="33"/>
      <c r="G329" s="33"/>
      <c r="H329" s="33"/>
      <c r="I329" s="33"/>
      <c r="J329" s="33"/>
      <c r="K329" s="33"/>
      <c r="L329" s="34"/>
      <c r="M329" s="34"/>
      <c r="N329" s="35"/>
      <c r="O329" s="35"/>
      <c r="P329" s="35"/>
      <c r="Q329" s="34"/>
      <c r="R329" s="35"/>
      <c r="S329" s="34"/>
      <c r="T329" s="34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57"/>
      <c r="AF329" s="57"/>
      <c r="AG329" s="48"/>
      <c r="AH329" s="48"/>
      <c r="AI329" s="48"/>
      <c r="AJ329" s="48"/>
      <c r="AK329" s="48"/>
      <c r="AL329" s="48"/>
      <c r="AM329" s="48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43"/>
      <c r="AY329" s="43"/>
      <c r="AZ329" s="44"/>
      <c r="BA329" s="43"/>
      <c r="BB329" s="43"/>
      <c r="BC329" s="43"/>
      <c r="BD329" s="43"/>
      <c r="BE329" s="43"/>
      <c r="BF329" s="43"/>
    </row>
    <row r="330" spans="1:59" x14ac:dyDescent="0.25">
      <c r="A330" s="13"/>
      <c r="B330" s="22"/>
      <c r="C330" s="22"/>
      <c r="D330" s="14"/>
      <c r="E330" s="14"/>
      <c r="F330" s="33"/>
      <c r="G330" s="33"/>
      <c r="H330" s="33"/>
      <c r="I330" s="33"/>
      <c r="J330" s="33"/>
      <c r="K330" s="33"/>
      <c r="L330" s="34"/>
      <c r="M330" s="34"/>
      <c r="N330" s="35"/>
      <c r="O330" s="35"/>
      <c r="P330" s="35"/>
      <c r="Q330" s="34"/>
      <c r="R330" s="35"/>
      <c r="S330" s="34"/>
      <c r="T330" s="34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57"/>
      <c r="AF330" s="57"/>
      <c r="AG330" s="48"/>
      <c r="AH330" s="48"/>
      <c r="AI330" s="48"/>
      <c r="AJ330" s="48"/>
      <c r="AK330" s="48"/>
      <c r="AL330" s="48"/>
      <c r="AM330" s="48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43"/>
      <c r="AY330" s="43"/>
      <c r="AZ330" s="44"/>
      <c r="BA330" s="43"/>
      <c r="BB330" s="43"/>
      <c r="BC330" s="43"/>
      <c r="BD330" s="43"/>
      <c r="BE330" s="43"/>
      <c r="BF330" s="43"/>
    </row>
    <row r="331" spans="1:59" x14ac:dyDescent="0.25">
      <c r="A331" s="13"/>
      <c r="B331" s="22"/>
      <c r="C331" s="22"/>
      <c r="D331" s="14"/>
      <c r="E331" s="14"/>
      <c r="F331" s="33"/>
      <c r="G331" s="33"/>
      <c r="H331" s="33"/>
      <c r="I331" s="33"/>
      <c r="J331" s="33"/>
      <c r="K331" s="33"/>
      <c r="L331" s="34"/>
      <c r="M331" s="34"/>
      <c r="N331" s="35"/>
      <c r="O331" s="35"/>
      <c r="P331" s="35"/>
      <c r="Q331" s="34"/>
      <c r="R331" s="35"/>
      <c r="S331" s="34"/>
      <c r="T331" s="34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57"/>
      <c r="AF331" s="57"/>
      <c r="AG331" s="48"/>
      <c r="AH331" s="48"/>
      <c r="AI331" s="48"/>
      <c r="AJ331" s="48"/>
      <c r="AK331" s="48"/>
      <c r="AL331" s="48"/>
      <c r="AM331" s="48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43"/>
      <c r="AY331" s="43"/>
      <c r="AZ331" s="44"/>
      <c r="BA331" s="43"/>
      <c r="BB331" s="43"/>
      <c r="BC331" s="43"/>
      <c r="BD331" s="43"/>
      <c r="BE331" s="43"/>
      <c r="BF331" s="43"/>
    </row>
    <row r="332" spans="1:59" x14ac:dyDescent="0.25">
      <c r="A332" s="13"/>
      <c r="B332" s="22"/>
      <c r="C332" s="22"/>
      <c r="D332" s="14"/>
      <c r="E332" s="14"/>
      <c r="F332" s="33"/>
      <c r="G332" s="33"/>
      <c r="H332" s="33"/>
      <c r="I332" s="33"/>
      <c r="J332" s="33"/>
      <c r="K332" s="33"/>
      <c r="L332" s="34"/>
      <c r="M332" s="34"/>
      <c r="N332" s="35"/>
      <c r="O332" s="35"/>
      <c r="P332" s="35"/>
      <c r="Q332" s="34"/>
      <c r="R332" s="35"/>
      <c r="S332" s="34"/>
      <c r="T332" s="34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57"/>
      <c r="AF332" s="57"/>
      <c r="AG332" s="48"/>
      <c r="AH332" s="48"/>
      <c r="AI332" s="48"/>
      <c r="AJ332" s="48"/>
      <c r="AK332" s="48"/>
      <c r="AL332" s="48"/>
      <c r="AM332" s="48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43"/>
      <c r="AY332" s="43"/>
      <c r="AZ332" s="44"/>
      <c r="BA332" s="43"/>
      <c r="BB332" s="43"/>
      <c r="BC332" s="43"/>
      <c r="BD332" s="43"/>
      <c r="BE332" s="43"/>
      <c r="BF332" s="43"/>
    </row>
    <row r="333" spans="1:59" x14ac:dyDescent="0.25">
      <c r="A333" s="13"/>
      <c r="B333" s="22"/>
      <c r="C333" s="22"/>
      <c r="D333" s="14"/>
      <c r="E333" s="14"/>
      <c r="F333" s="33"/>
      <c r="G333" s="33"/>
      <c r="H333" s="33"/>
      <c r="I333" s="33"/>
      <c r="J333" s="33"/>
      <c r="K333" s="33"/>
      <c r="L333" s="34"/>
      <c r="M333" s="34"/>
      <c r="N333" s="35"/>
      <c r="O333" s="35"/>
      <c r="P333" s="35"/>
      <c r="Q333" s="34"/>
      <c r="R333" s="35"/>
      <c r="S333" s="34"/>
      <c r="T333" s="34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57"/>
      <c r="AF333" s="57"/>
      <c r="AG333" s="48"/>
      <c r="AH333" s="48"/>
      <c r="AI333" s="48"/>
      <c r="AJ333" s="48"/>
      <c r="AK333" s="48"/>
      <c r="AL333" s="48"/>
      <c r="AM333" s="48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43"/>
      <c r="AY333" s="43"/>
      <c r="AZ333" s="44"/>
      <c r="BA333" s="43"/>
      <c r="BB333" s="43"/>
      <c r="BC333" s="43"/>
      <c r="BD333" s="43"/>
      <c r="BE333" s="43"/>
      <c r="BF333" s="43"/>
    </row>
    <row r="334" spans="1:59" x14ac:dyDescent="0.25">
      <c r="A334" s="13"/>
      <c r="B334" s="22"/>
      <c r="C334" s="22"/>
      <c r="D334" s="14"/>
      <c r="E334" s="14"/>
      <c r="F334" s="33"/>
      <c r="G334" s="33"/>
      <c r="H334" s="33"/>
      <c r="I334" s="33"/>
      <c r="J334" s="33"/>
      <c r="K334" s="33"/>
      <c r="L334" s="34"/>
      <c r="M334" s="34"/>
      <c r="N334" s="35"/>
      <c r="O334" s="35"/>
      <c r="P334" s="35"/>
      <c r="Q334" s="34"/>
      <c r="R334" s="35"/>
      <c r="S334" s="34"/>
      <c r="T334" s="34"/>
      <c r="U334" s="36"/>
      <c r="V334" s="36"/>
      <c r="W334" s="36"/>
      <c r="X334" s="36"/>
      <c r="Y334" s="36"/>
      <c r="Z334" s="36"/>
      <c r="AA334" s="36"/>
      <c r="AB334" s="36"/>
      <c r="AC334" s="33"/>
      <c r="AD334" s="36"/>
      <c r="AE334" s="57"/>
      <c r="AF334" s="57"/>
      <c r="AG334" s="48"/>
      <c r="AH334" s="48"/>
      <c r="AI334" s="48"/>
      <c r="AJ334" s="48"/>
      <c r="AK334" s="48"/>
      <c r="AL334" s="48"/>
      <c r="AM334" s="48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43"/>
      <c r="AY334" s="43"/>
      <c r="AZ334" s="44"/>
      <c r="BA334" s="43"/>
      <c r="BB334" s="43"/>
      <c r="BC334" s="43"/>
      <c r="BD334" s="43"/>
      <c r="BE334" s="43"/>
      <c r="BF334" s="43"/>
      <c r="BG334" s="43"/>
    </row>
    <row r="335" spans="1:59" x14ac:dyDescent="0.25">
      <c r="A335" s="13"/>
      <c r="B335" s="22"/>
      <c r="C335" s="22"/>
      <c r="D335" s="14"/>
      <c r="E335" s="14"/>
      <c r="F335" s="33"/>
      <c r="G335" s="33"/>
      <c r="H335" s="33"/>
      <c r="I335" s="33"/>
      <c r="J335" s="33"/>
      <c r="K335" s="33"/>
      <c r="L335" s="34"/>
      <c r="M335" s="34"/>
      <c r="N335" s="35"/>
      <c r="O335" s="35"/>
      <c r="P335" s="35"/>
      <c r="Q335" s="34"/>
      <c r="R335" s="35"/>
      <c r="S335" s="34"/>
      <c r="T335" s="34"/>
      <c r="U335" s="36"/>
      <c r="V335" s="36"/>
      <c r="W335" s="36"/>
      <c r="X335" s="36"/>
      <c r="Y335" s="36"/>
      <c r="Z335" s="36"/>
      <c r="AA335" s="36"/>
      <c r="AB335" s="36"/>
      <c r="AC335" s="33"/>
      <c r="AD335" s="36"/>
      <c r="AE335" s="57"/>
      <c r="AF335" s="57"/>
      <c r="AG335" s="48"/>
      <c r="AH335" s="48"/>
      <c r="AI335" s="48"/>
      <c r="AJ335" s="48"/>
      <c r="AK335" s="48"/>
      <c r="AL335" s="48"/>
      <c r="AM335" s="48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43"/>
      <c r="AY335" s="43"/>
      <c r="AZ335" s="44"/>
      <c r="BA335" s="43"/>
      <c r="BB335" s="43"/>
      <c r="BC335" s="43"/>
      <c r="BD335" s="43"/>
      <c r="BE335" s="43"/>
      <c r="BF335" s="43"/>
    </row>
    <row r="336" spans="1:59" x14ac:dyDescent="0.25">
      <c r="A336" s="13"/>
      <c r="B336" s="22"/>
      <c r="C336" s="22"/>
      <c r="D336" s="14"/>
      <c r="E336" s="14"/>
    </row>
    <row r="337" spans="1:58" x14ac:dyDescent="0.25">
      <c r="A337" s="13"/>
      <c r="B337" s="22"/>
      <c r="C337" s="22"/>
      <c r="D337" s="14"/>
      <c r="E337" s="14"/>
    </row>
    <row r="338" spans="1:58" x14ac:dyDescent="0.25">
      <c r="A338" s="13"/>
      <c r="B338" s="22"/>
      <c r="C338" s="22"/>
      <c r="D338" s="14"/>
      <c r="E338" s="14"/>
    </row>
    <row r="339" spans="1:58" x14ac:dyDescent="0.25">
      <c r="A339" s="13"/>
      <c r="B339" s="22"/>
      <c r="C339" s="22"/>
      <c r="D339" s="14"/>
      <c r="E339" s="14"/>
    </row>
    <row r="340" spans="1:58" x14ac:dyDescent="0.25">
      <c r="A340" s="13"/>
      <c r="B340" s="22"/>
      <c r="C340" s="22"/>
      <c r="D340" s="14"/>
      <c r="E340" s="14"/>
    </row>
    <row r="341" spans="1:58" x14ac:dyDescent="0.25">
      <c r="A341" s="13"/>
      <c r="B341" s="22"/>
      <c r="C341" s="22"/>
      <c r="D341" s="14"/>
      <c r="E341" s="14"/>
    </row>
    <row r="342" spans="1:58" x14ac:dyDescent="0.25">
      <c r="A342" s="13"/>
      <c r="B342" s="22"/>
      <c r="C342" s="22"/>
      <c r="D342" s="14"/>
      <c r="E342" s="14"/>
    </row>
    <row r="343" spans="1:58" x14ac:dyDescent="0.25">
      <c r="A343" s="13"/>
      <c r="B343" s="22"/>
      <c r="C343" s="22"/>
      <c r="D343" s="14"/>
      <c r="E343" s="14"/>
    </row>
    <row r="344" spans="1:58" x14ac:dyDescent="0.25">
      <c r="A344" s="13"/>
      <c r="B344" s="22"/>
      <c r="C344" s="22"/>
      <c r="D344" s="14"/>
      <c r="E344" s="14"/>
    </row>
    <row r="346" spans="1:58" x14ac:dyDescent="0.25">
      <c r="BF346" s="68"/>
    </row>
    <row r="348" spans="1:58" x14ac:dyDescent="0.25">
      <c r="I348" s="62"/>
      <c r="J348" s="62"/>
    </row>
    <row r="349" spans="1:58" x14ac:dyDescent="0.25">
      <c r="I349" s="62"/>
      <c r="AG349" s="58"/>
      <c r="AN349" s="58"/>
    </row>
    <row r="350" spans="1:58" x14ac:dyDescent="0.25">
      <c r="I350" s="62"/>
      <c r="J350" s="63"/>
      <c r="AN350" s="61"/>
    </row>
    <row r="351" spans="1:58" x14ac:dyDescent="0.25">
      <c r="AN351" s="58"/>
    </row>
  </sheetData>
  <conditionalFormatting sqref="AZ249:AZ335 AZ6:AZ7 AZ14:AZ225 AZ9:AZ12">
    <cfRule type="cellIs" dxfId="39" priority="14" operator="notBetween">
      <formula>0.998</formula>
      <formula>1.002</formula>
    </cfRule>
  </conditionalFormatting>
  <conditionalFormatting sqref="AZ8">
    <cfRule type="cellIs" dxfId="38" priority="1" operator="notBetween">
      <formula>0.998</formula>
      <formula>1.002</formula>
    </cfRule>
  </conditionalFormatting>
  <conditionalFormatting sqref="AZ13">
    <cfRule type="cellIs" dxfId="37" priority="2" operator="notBetween">
      <formula>0.998</formula>
      <formula>1.002</formula>
    </cfRule>
  </conditionalFormatting>
  <pageMargins left="0.7" right="0.7" top="0.75" bottom="0.75" header="0.3" footer="0.3"/>
  <pageSetup scale="57" fitToWidth="5" orientation="landscape" r:id="rId1"/>
  <colBreaks count="3" manualBreakCount="3">
    <brk id="20" max="34" man="1"/>
    <brk id="39" max="34" man="1"/>
    <brk id="49" max="3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5" tint="0.39997558519241921"/>
    <pageSetUpPr fitToPage="1"/>
  </sheetPr>
  <dimension ref="A1:BD62"/>
  <sheetViews>
    <sheetView workbookViewId="0"/>
  </sheetViews>
  <sheetFormatPr defaultRowHeight="15" x14ac:dyDescent="0.25"/>
  <cols>
    <col min="1" max="1" width="45.140625" style="79" customWidth="1"/>
    <col min="2" max="2" width="13.28515625" style="79" customWidth="1"/>
    <col min="3" max="3" width="14.28515625" style="79" customWidth="1"/>
    <col min="4" max="4" width="15.28515625" style="79" customWidth="1"/>
    <col min="5" max="5" width="5.140625" style="79" customWidth="1"/>
    <col min="6" max="6" width="43.5703125" style="79" customWidth="1"/>
    <col min="7" max="23" width="11.7109375" style="79" customWidth="1"/>
    <col min="24" max="24" width="12.85546875" style="79" customWidth="1"/>
    <col min="25" max="27" width="12.85546875" style="495" customWidth="1"/>
    <col min="28" max="28" width="12.42578125" style="495" customWidth="1"/>
    <col min="29" max="29" width="13" style="495" customWidth="1"/>
    <col min="30" max="30" width="11.7109375" style="495" customWidth="1"/>
    <col min="31" max="34" width="11.7109375" style="79" customWidth="1"/>
    <col min="35" max="35" width="14.28515625" style="79" customWidth="1"/>
    <col min="36" max="36" width="13.85546875" style="79" customWidth="1"/>
    <col min="37" max="40" width="13" style="80" customWidth="1"/>
    <col min="41" max="41" width="12.7109375" style="80" customWidth="1"/>
    <col min="42" max="42" width="11.7109375" style="80" customWidth="1"/>
    <col min="43" max="43" width="9.140625" style="73"/>
    <col min="44" max="44" width="14.28515625" bestFit="1" customWidth="1"/>
    <col min="45" max="45" width="16.5703125" customWidth="1"/>
    <col min="46" max="46" width="13.7109375" customWidth="1"/>
    <col min="49" max="49" width="12.140625" bestFit="1" customWidth="1"/>
    <col min="51" max="51" width="11.7109375" customWidth="1"/>
    <col min="53" max="53" width="10.140625" bestFit="1" customWidth="1"/>
    <col min="54" max="54" width="12.42578125" bestFit="1" customWidth="1"/>
    <col min="56" max="56" width="9.140625" style="73"/>
    <col min="57" max="259" width="9.140625" style="79"/>
    <col min="260" max="260" width="31" style="79" customWidth="1"/>
    <col min="261" max="261" width="13.28515625" style="79" customWidth="1"/>
    <col min="262" max="262" width="14.28515625" style="79" customWidth="1"/>
    <col min="263" max="263" width="15.28515625" style="79" customWidth="1"/>
    <col min="264" max="264" width="14.28515625" style="79" customWidth="1"/>
    <col min="265" max="265" width="18.140625" style="79" bestFit="1" customWidth="1"/>
    <col min="266" max="267" width="14.28515625" style="79" customWidth="1"/>
    <col min="268" max="268" width="42.5703125" style="79" customWidth="1"/>
    <col min="269" max="280" width="11.7109375" style="79" customWidth="1"/>
    <col min="281" max="283" width="12.85546875" style="79" bestFit="1" customWidth="1"/>
    <col min="284" max="284" width="12.42578125" style="79" bestFit="1" customWidth="1"/>
    <col min="285" max="285" width="13" style="79" customWidth="1"/>
    <col min="286" max="291" width="11.7109375" style="79" customWidth="1"/>
    <col min="292" max="292" width="12.85546875" style="79" bestFit="1" customWidth="1"/>
    <col min="293" max="296" width="13" style="79" customWidth="1"/>
    <col min="297" max="297" width="12.7109375" style="79" customWidth="1"/>
    <col min="298" max="302" width="11.7109375" style="79" customWidth="1"/>
    <col min="303" max="303" width="14.28515625" style="79" customWidth="1"/>
    <col min="304" max="304" width="11.7109375" style="79" customWidth="1"/>
    <col min="305" max="306" width="9.140625" style="79"/>
    <col min="307" max="307" width="11.7109375" style="79" customWidth="1"/>
    <col min="308" max="308" width="9.140625" style="79"/>
    <col min="309" max="309" width="9.42578125" style="79" bestFit="1" customWidth="1"/>
    <col min="310" max="310" width="11.5703125" style="79" bestFit="1" customWidth="1"/>
    <col min="311" max="515" width="9.140625" style="79"/>
    <col min="516" max="516" width="31" style="79" customWidth="1"/>
    <col min="517" max="517" width="13.28515625" style="79" customWidth="1"/>
    <col min="518" max="518" width="14.28515625" style="79" customWidth="1"/>
    <col min="519" max="519" width="15.28515625" style="79" customWidth="1"/>
    <col min="520" max="520" width="14.28515625" style="79" customWidth="1"/>
    <col min="521" max="521" width="18.140625" style="79" bestFit="1" customWidth="1"/>
    <col min="522" max="523" width="14.28515625" style="79" customWidth="1"/>
    <col min="524" max="524" width="42.5703125" style="79" customWidth="1"/>
    <col min="525" max="536" width="11.7109375" style="79" customWidth="1"/>
    <col min="537" max="539" width="12.85546875" style="79" bestFit="1" customWidth="1"/>
    <col min="540" max="540" width="12.42578125" style="79" bestFit="1" customWidth="1"/>
    <col min="541" max="541" width="13" style="79" customWidth="1"/>
    <col min="542" max="547" width="11.7109375" style="79" customWidth="1"/>
    <col min="548" max="548" width="12.85546875" style="79" bestFit="1" customWidth="1"/>
    <col min="549" max="552" width="13" style="79" customWidth="1"/>
    <col min="553" max="553" width="12.7109375" style="79" customWidth="1"/>
    <col min="554" max="558" width="11.7109375" style="79" customWidth="1"/>
    <col min="559" max="559" width="14.28515625" style="79" customWidth="1"/>
    <col min="560" max="560" width="11.7109375" style="79" customWidth="1"/>
    <col min="561" max="562" width="9.140625" style="79"/>
    <col min="563" max="563" width="11.7109375" style="79" customWidth="1"/>
    <col min="564" max="564" width="9.140625" style="79"/>
    <col min="565" max="565" width="9.42578125" style="79" bestFit="1" customWidth="1"/>
    <col min="566" max="566" width="11.5703125" style="79" bestFit="1" customWidth="1"/>
    <col min="567" max="771" width="9.140625" style="79"/>
    <col min="772" max="772" width="31" style="79" customWidth="1"/>
    <col min="773" max="773" width="13.28515625" style="79" customWidth="1"/>
    <col min="774" max="774" width="14.28515625" style="79" customWidth="1"/>
    <col min="775" max="775" width="15.28515625" style="79" customWidth="1"/>
    <col min="776" max="776" width="14.28515625" style="79" customWidth="1"/>
    <col min="777" max="777" width="18.140625" style="79" bestFit="1" customWidth="1"/>
    <col min="778" max="779" width="14.28515625" style="79" customWidth="1"/>
    <col min="780" max="780" width="42.5703125" style="79" customWidth="1"/>
    <col min="781" max="792" width="11.7109375" style="79" customWidth="1"/>
    <col min="793" max="795" width="12.85546875" style="79" bestFit="1" customWidth="1"/>
    <col min="796" max="796" width="12.42578125" style="79" bestFit="1" customWidth="1"/>
    <col min="797" max="797" width="13" style="79" customWidth="1"/>
    <col min="798" max="803" width="11.7109375" style="79" customWidth="1"/>
    <col min="804" max="804" width="12.85546875" style="79" bestFit="1" customWidth="1"/>
    <col min="805" max="808" width="13" style="79" customWidth="1"/>
    <col min="809" max="809" width="12.7109375" style="79" customWidth="1"/>
    <col min="810" max="814" width="11.7109375" style="79" customWidth="1"/>
    <col min="815" max="815" width="14.28515625" style="79" customWidth="1"/>
    <col min="816" max="816" width="11.7109375" style="79" customWidth="1"/>
    <col min="817" max="818" width="9.140625" style="79"/>
    <col min="819" max="819" width="11.7109375" style="79" customWidth="1"/>
    <col min="820" max="820" width="9.140625" style="79"/>
    <col min="821" max="821" width="9.42578125" style="79" bestFit="1" customWidth="1"/>
    <col min="822" max="822" width="11.5703125" style="79" bestFit="1" customWidth="1"/>
    <col min="823" max="1027" width="9.140625" style="79"/>
    <col min="1028" max="1028" width="31" style="79" customWidth="1"/>
    <col min="1029" max="1029" width="13.28515625" style="79" customWidth="1"/>
    <col min="1030" max="1030" width="14.28515625" style="79" customWidth="1"/>
    <col min="1031" max="1031" width="15.28515625" style="79" customWidth="1"/>
    <col min="1032" max="1032" width="14.28515625" style="79" customWidth="1"/>
    <col min="1033" max="1033" width="18.140625" style="79" bestFit="1" customWidth="1"/>
    <col min="1034" max="1035" width="14.28515625" style="79" customWidth="1"/>
    <col min="1036" max="1036" width="42.5703125" style="79" customWidth="1"/>
    <col min="1037" max="1048" width="11.7109375" style="79" customWidth="1"/>
    <col min="1049" max="1051" width="12.85546875" style="79" bestFit="1" customWidth="1"/>
    <col min="1052" max="1052" width="12.42578125" style="79" bestFit="1" customWidth="1"/>
    <col min="1053" max="1053" width="13" style="79" customWidth="1"/>
    <col min="1054" max="1059" width="11.7109375" style="79" customWidth="1"/>
    <col min="1060" max="1060" width="12.85546875" style="79" bestFit="1" customWidth="1"/>
    <col min="1061" max="1064" width="13" style="79" customWidth="1"/>
    <col min="1065" max="1065" width="12.7109375" style="79" customWidth="1"/>
    <col min="1066" max="1070" width="11.7109375" style="79" customWidth="1"/>
    <col min="1071" max="1071" width="14.28515625" style="79" customWidth="1"/>
    <col min="1072" max="1072" width="11.7109375" style="79" customWidth="1"/>
    <col min="1073" max="1074" width="9.140625" style="79"/>
    <col min="1075" max="1075" width="11.7109375" style="79" customWidth="1"/>
    <col min="1076" max="1076" width="9.140625" style="79"/>
    <col min="1077" max="1077" width="9.42578125" style="79" bestFit="1" customWidth="1"/>
    <col min="1078" max="1078" width="11.5703125" style="79" bestFit="1" customWidth="1"/>
    <col min="1079" max="1283" width="9.140625" style="79"/>
    <col min="1284" max="1284" width="31" style="79" customWidth="1"/>
    <col min="1285" max="1285" width="13.28515625" style="79" customWidth="1"/>
    <col min="1286" max="1286" width="14.28515625" style="79" customWidth="1"/>
    <col min="1287" max="1287" width="15.28515625" style="79" customWidth="1"/>
    <col min="1288" max="1288" width="14.28515625" style="79" customWidth="1"/>
    <col min="1289" max="1289" width="18.140625" style="79" bestFit="1" customWidth="1"/>
    <col min="1290" max="1291" width="14.28515625" style="79" customWidth="1"/>
    <col min="1292" max="1292" width="42.5703125" style="79" customWidth="1"/>
    <col min="1293" max="1304" width="11.7109375" style="79" customWidth="1"/>
    <col min="1305" max="1307" width="12.85546875" style="79" bestFit="1" customWidth="1"/>
    <col min="1308" max="1308" width="12.42578125" style="79" bestFit="1" customWidth="1"/>
    <col min="1309" max="1309" width="13" style="79" customWidth="1"/>
    <col min="1310" max="1315" width="11.7109375" style="79" customWidth="1"/>
    <col min="1316" max="1316" width="12.85546875" style="79" bestFit="1" customWidth="1"/>
    <col min="1317" max="1320" width="13" style="79" customWidth="1"/>
    <col min="1321" max="1321" width="12.7109375" style="79" customWidth="1"/>
    <col min="1322" max="1326" width="11.7109375" style="79" customWidth="1"/>
    <col min="1327" max="1327" width="14.28515625" style="79" customWidth="1"/>
    <col min="1328" max="1328" width="11.7109375" style="79" customWidth="1"/>
    <col min="1329" max="1330" width="9.140625" style="79"/>
    <col min="1331" max="1331" width="11.7109375" style="79" customWidth="1"/>
    <col min="1332" max="1332" width="9.140625" style="79"/>
    <col min="1333" max="1333" width="9.42578125" style="79" bestFit="1" customWidth="1"/>
    <col min="1334" max="1334" width="11.5703125" style="79" bestFit="1" customWidth="1"/>
    <col min="1335" max="1539" width="9.140625" style="79"/>
    <col min="1540" max="1540" width="31" style="79" customWidth="1"/>
    <col min="1541" max="1541" width="13.28515625" style="79" customWidth="1"/>
    <col min="1542" max="1542" width="14.28515625" style="79" customWidth="1"/>
    <col min="1543" max="1543" width="15.28515625" style="79" customWidth="1"/>
    <col min="1544" max="1544" width="14.28515625" style="79" customWidth="1"/>
    <col min="1545" max="1545" width="18.140625" style="79" bestFit="1" customWidth="1"/>
    <col min="1546" max="1547" width="14.28515625" style="79" customWidth="1"/>
    <col min="1548" max="1548" width="42.5703125" style="79" customWidth="1"/>
    <col min="1549" max="1560" width="11.7109375" style="79" customWidth="1"/>
    <col min="1561" max="1563" width="12.85546875" style="79" bestFit="1" customWidth="1"/>
    <col min="1564" max="1564" width="12.42578125" style="79" bestFit="1" customWidth="1"/>
    <col min="1565" max="1565" width="13" style="79" customWidth="1"/>
    <col min="1566" max="1571" width="11.7109375" style="79" customWidth="1"/>
    <col min="1572" max="1572" width="12.85546875" style="79" bestFit="1" customWidth="1"/>
    <col min="1573" max="1576" width="13" style="79" customWidth="1"/>
    <col min="1577" max="1577" width="12.7109375" style="79" customWidth="1"/>
    <col min="1578" max="1582" width="11.7109375" style="79" customWidth="1"/>
    <col min="1583" max="1583" width="14.28515625" style="79" customWidth="1"/>
    <col min="1584" max="1584" width="11.7109375" style="79" customWidth="1"/>
    <col min="1585" max="1586" width="9.140625" style="79"/>
    <col min="1587" max="1587" width="11.7109375" style="79" customWidth="1"/>
    <col min="1588" max="1588" width="9.140625" style="79"/>
    <col min="1589" max="1589" width="9.42578125" style="79" bestFit="1" customWidth="1"/>
    <col min="1590" max="1590" width="11.5703125" style="79" bestFit="1" customWidth="1"/>
    <col min="1591" max="1795" width="9.140625" style="79"/>
    <col min="1796" max="1796" width="31" style="79" customWidth="1"/>
    <col min="1797" max="1797" width="13.28515625" style="79" customWidth="1"/>
    <col min="1798" max="1798" width="14.28515625" style="79" customWidth="1"/>
    <col min="1799" max="1799" width="15.28515625" style="79" customWidth="1"/>
    <col min="1800" max="1800" width="14.28515625" style="79" customWidth="1"/>
    <col min="1801" max="1801" width="18.140625" style="79" bestFit="1" customWidth="1"/>
    <col min="1802" max="1803" width="14.28515625" style="79" customWidth="1"/>
    <col min="1804" max="1804" width="42.5703125" style="79" customWidth="1"/>
    <col min="1805" max="1816" width="11.7109375" style="79" customWidth="1"/>
    <col min="1817" max="1819" width="12.85546875" style="79" bestFit="1" customWidth="1"/>
    <col min="1820" max="1820" width="12.42578125" style="79" bestFit="1" customWidth="1"/>
    <col min="1821" max="1821" width="13" style="79" customWidth="1"/>
    <col min="1822" max="1827" width="11.7109375" style="79" customWidth="1"/>
    <col min="1828" max="1828" width="12.85546875" style="79" bestFit="1" customWidth="1"/>
    <col min="1829" max="1832" width="13" style="79" customWidth="1"/>
    <col min="1833" max="1833" width="12.7109375" style="79" customWidth="1"/>
    <col min="1834" max="1838" width="11.7109375" style="79" customWidth="1"/>
    <col min="1839" max="1839" width="14.28515625" style="79" customWidth="1"/>
    <col min="1840" max="1840" width="11.7109375" style="79" customWidth="1"/>
    <col min="1841" max="1842" width="9.140625" style="79"/>
    <col min="1843" max="1843" width="11.7109375" style="79" customWidth="1"/>
    <col min="1844" max="1844" width="9.140625" style="79"/>
    <col min="1845" max="1845" width="9.42578125" style="79" bestFit="1" customWidth="1"/>
    <col min="1846" max="1846" width="11.5703125" style="79" bestFit="1" customWidth="1"/>
    <col min="1847" max="2051" width="9.140625" style="79"/>
    <col min="2052" max="2052" width="31" style="79" customWidth="1"/>
    <col min="2053" max="2053" width="13.28515625" style="79" customWidth="1"/>
    <col min="2054" max="2054" width="14.28515625" style="79" customWidth="1"/>
    <col min="2055" max="2055" width="15.28515625" style="79" customWidth="1"/>
    <col min="2056" max="2056" width="14.28515625" style="79" customWidth="1"/>
    <col min="2057" max="2057" width="18.140625" style="79" bestFit="1" customWidth="1"/>
    <col min="2058" max="2059" width="14.28515625" style="79" customWidth="1"/>
    <col min="2060" max="2060" width="42.5703125" style="79" customWidth="1"/>
    <col min="2061" max="2072" width="11.7109375" style="79" customWidth="1"/>
    <col min="2073" max="2075" width="12.85546875" style="79" bestFit="1" customWidth="1"/>
    <col min="2076" max="2076" width="12.42578125" style="79" bestFit="1" customWidth="1"/>
    <col min="2077" max="2077" width="13" style="79" customWidth="1"/>
    <col min="2078" max="2083" width="11.7109375" style="79" customWidth="1"/>
    <col min="2084" max="2084" width="12.85546875" style="79" bestFit="1" customWidth="1"/>
    <col min="2085" max="2088" width="13" style="79" customWidth="1"/>
    <col min="2089" max="2089" width="12.7109375" style="79" customWidth="1"/>
    <col min="2090" max="2094" width="11.7109375" style="79" customWidth="1"/>
    <col min="2095" max="2095" width="14.28515625" style="79" customWidth="1"/>
    <col min="2096" max="2096" width="11.7109375" style="79" customWidth="1"/>
    <col min="2097" max="2098" width="9.140625" style="79"/>
    <col min="2099" max="2099" width="11.7109375" style="79" customWidth="1"/>
    <col min="2100" max="2100" width="9.140625" style="79"/>
    <col min="2101" max="2101" width="9.42578125" style="79" bestFit="1" customWidth="1"/>
    <col min="2102" max="2102" width="11.5703125" style="79" bestFit="1" customWidth="1"/>
    <col min="2103" max="2307" width="9.140625" style="79"/>
    <col min="2308" max="2308" width="31" style="79" customWidth="1"/>
    <col min="2309" max="2309" width="13.28515625" style="79" customWidth="1"/>
    <col min="2310" max="2310" width="14.28515625" style="79" customWidth="1"/>
    <col min="2311" max="2311" width="15.28515625" style="79" customWidth="1"/>
    <col min="2312" max="2312" width="14.28515625" style="79" customWidth="1"/>
    <col min="2313" max="2313" width="18.140625" style="79" bestFit="1" customWidth="1"/>
    <col min="2314" max="2315" width="14.28515625" style="79" customWidth="1"/>
    <col min="2316" max="2316" width="42.5703125" style="79" customWidth="1"/>
    <col min="2317" max="2328" width="11.7109375" style="79" customWidth="1"/>
    <col min="2329" max="2331" width="12.85546875" style="79" bestFit="1" customWidth="1"/>
    <col min="2332" max="2332" width="12.42578125" style="79" bestFit="1" customWidth="1"/>
    <col min="2333" max="2333" width="13" style="79" customWidth="1"/>
    <col min="2334" max="2339" width="11.7109375" style="79" customWidth="1"/>
    <col min="2340" max="2340" width="12.85546875" style="79" bestFit="1" customWidth="1"/>
    <col min="2341" max="2344" width="13" style="79" customWidth="1"/>
    <col min="2345" max="2345" width="12.7109375" style="79" customWidth="1"/>
    <col min="2346" max="2350" width="11.7109375" style="79" customWidth="1"/>
    <col min="2351" max="2351" width="14.28515625" style="79" customWidth="1"/>
    <col min="2352" max="2352" width="11.7109375" style="79" customWidth="1"/>
    <col min="2353" max="2354" width="9.140625" style="79"/>
    <col min="2355" max="2355" width="11.7109375" style="79" customWidth="1"/>
    <col min="2356" max="2356" width="9.140625" style="79"/>
    <col min="2357" max="2357" width="9.42578125" style="79" bestFit="1" customWidth="1"/>
    <col min="2358" max="2358" width="11.5703125" style="79" bestFit="1" customWidth="1"/>
    <col min="2359" max="2563" width="9.140625" style="79"/>
    <col min="2564" max="2564" width="31" style="79" customWidth="1"/>
    <col min="2565" max="2565" width="13.28515625" style="79" customWidth="1"/>
    <col min="2566" max="2566" width="14.28515625" style="79" customWidth="1"/>
    <col min="2567" max="2567" width="15.28515625" style="79" customWidth="1"/>
    <col min="2568" max="2568" width="14.28515625" style="79" customWidth="1"/>
    <col min="2569" max="2569" width="18.140625" style="79" bestFit="1" customWidth="1"/>
    <col min="2570" max="2571" width="14.28515625" style="79" customWidth="1"/>
    <col min="2572" max="2572" width="42.5703125" style="79" customWidth="1"/>
    <col min="2573" max="2584" width="11.7109375" style="79" customWidth="1"/>
    <col min="2585" max="2587" width="12.85546875" style="79" bestFit="1" customWidth="1"/>
    <col min="2588" max="2588" width="12.42578125" style="79" bestFit="1" customWidth="1"/>
    <col min="2589" max="2589" width="13" style="79" customWidth="1"/>
    <col min="2590" max="2595" width="11.7109375" style="79" customWidth="1"/>
    <col min="2596" max="2596" width="12.85546875" style="79" bestFit="1" customWidth="1"/>
    <col min="2597" max="2600" width="13" style="79" customWidth="1"/>
    <col min="2601" max="2601" width="12.7109375" style="79" customWidth="1"/>
    <col min="2602" max="2606" width="11.7109375" style="79" customWidth="1"/>
    <col min="2607" max="2607" width="14.28515625" style="79" customWidth="1"/>
    <col min="2608" max="2608" width="11.7109375" style="79" customWidth="1"/>
    <col min="2609" max="2610" width="9.140625" style="79"/>
    <col min="2611" max="2611" width="11.7109375" style="79" customWidth="1"/>
    <col min="2612" max="2612" width="9.140625" style="79"/>
    <col min="2613" max="2613" width="9.42578125" style="79" bestFit="1" customWidth="1"/>
    <col min="2614" max="2614" width="11.5703125" style="79" bestFit="1" customWidth="1"/>
    <col min="2615" max="2819" width="9.140625" style="79"/>
    <col min="2820" max="2820" width="31" style="79" customWidth="1"/>
    <col min="2821" max="2821" width="13.28515625" style="79" customWidth="1"/>
    <col min="2822" max="2822" width="14.28515625" style="79" customWidth="1"/>
    <col min="2823" max="2823" width="15.28515625" style="79" customWidth="1"/>
    <col min="2824" max="2824" width="14.28515625" style="79" customWidth="1"/>
    <col min="2825" max="2825" width="18.140625" style="79" bestFit="1" customWidth="1"/>
    <col min="2826" max="2827" width="14.28515625" style="79" customWidth="1"/>
    <col min="2828" max="2828" width="42.5703125" style="79" customWidth="1"/>
    <col min="2829" max="2840" width="11.7109375" style="79" customWidth="1"/>
    <col min="2841" max="2843" width="12.85546875" style="79" bestFit="1" customWidth="1"/>
    <col min="2844" max="2844" width="12.42578125" style="79" bestFit="1" customWidth="1"/>
    <col min="2845" max="2845" width="13" style="79" customWidth="1"/>
    <col min="2846" max="2851" width="11.7109375" style="79" customWidth="1"/>
    <col min="2852" max="2852" width="12.85546875" style="79" bestFit="1" customWidth="1"/>
    <col min="2853" max="2856" width="13" style="79" customWidth="1"/>
    <col min="2857" max="2857" width="12.7109375" style="79" customWidth="1"/>
    <col min="2858" max="2862" width="11.7109375" style="79" customWidth="1"/>
    <col min="2863" max="2863" width="14.28515625" style="79" customWidth="1"/>
    <col min="2864" max="2864" width="11.7109375" style="79" customWidth="1"/>
    <col min="2865" max="2866" width="9.140625" style="79"/>
    <col min="2867" max="2867" width="11.7109375" style="79" customWidth="1"/>
    <col min="2868" max="2868" width="9.140625" style="79"/>
    <col min="2869" max="2869" width="9.42578125" style="79" bestFit="1" customWidth="1"/>
    <col min="2870" max="2870" width="11.5703125" style="79" bestFit="1" customWidth="1"/>
    <col min="2871" max="3075" width="9.140625" style="79"/>
    <col min="3076" max="3076" width="31" style="79" customWidth="1"/>
    <col min="3077" max="3077" width="13.28515625" style="79" customWidth="1"/>
    <col min="3078" max="3078" width="14.28515625" style="79" customWidth="1"/>
    <col min="3079" max="3079" width="15.28515625" style="79" customWidth="1"/>
    <col min="3080" max="3080" width="14.28515625" style="79" customWidth="1"/>
    <col min="3081" max="3081" width="18.140625" style="79" bestFit="1" customWidth="1"/>
    <col min="3082" max="3083" width="14.28515625" style="79" customWidth="1"/>
    <col min="3084" max="3084" width="42.5703125" style="79" customWidth="1"/>
    <col min="3085" max="3096" width="11.7109375" style="79" customWidth="1"/>
    <col min="3097" max="3099" width="12.85546875" style="79" bestFit="1" customWidth="1"/>
    <col min="3100" max="3100" width="12.42578125" style="79" bestFit="1" customWidth="1"/>
    <col min="3101" max="3101" width="13" style="79" customWidth="1"/>
    <col min="3102" max="3107" width="11.7109375" style="79" customWidth="1"/>
    <col min="3108" max="3108" width="12.85546875" style="79" bestFit="1" customWidth="1"/>
    <col min="3109" max="3112" width="13" style="79" customWidth="1"/>
    <col min="3113" max="3113" width="12.7109375" style="79" customWidth="1"/>
    <col min="3114" max="3118" width="11.7109375" style="79" customWidth="1"/>
    <col min="3119" max="3119" width="14.28515625" style="79" customWidth="1"/>
    <col min="3120" max="3120" width="11.7109375" style="79" customWidth="1"/>
    <col min="3121" max="3122" width="9.140625" style="79"/>
    <col min="3123" max="3123" width="11.7109375" style="79" customWidth="1"/>
    <col min="3124" max="3124" width="9.140625" style="79"/>
    <col min="3125" max="3125" width="9.42578125" style="79" bestFit="1" customWidth="1"/>
    <col min="3126" max="3126" width="11.5703125" style="79" bestFit="1" customWidth="1"/>
    <col min="3127" max="3331" width="9.140625" style="79"/>
    <col min="3332" max="3332" width="31" style="79" customWidth="1"/>
    <col min="3333" max="3333" width="13.28515625" style="79" customWidth="1"/>
    <col min="3334" max="3334" width="14.28515625" style="79" customWidth="1"/>
    <col min="3335" max="3335" width="15.28515625" style="79" customWidth="1"/>
    <col min="3336" max="3336" width="14.28515625" style="79" customWidth="1"/>
    <col min="3337" max="3337" width="18.140625" style="79" bestFit="1" customWidth="1"/>
    <col min="3338" max="3339" width="14.28515625" style="79" customWidth="1"/>
    <col min="3340" max="3340" width="42.5703125" style="79" customWidth="1"/>
    <col min="3341" max="3352" width="11.7109375" style="79" customWidth="1"/>
    <col min="3353" max="3355" width="12.85546875" style="79" bestFit="1" customWidth="1"/>
    <col min="3356" max="3356" width="12.42578125" style="79" bestFit="1" customWidth="1"/>
    <col min="3357" max="3357" width="13" style="79" customWidth="1"/>
    <col min="3358" max="3363" width="11.7109375" style="79" customWidth="1"/>
    <col min="3364" max="3364" width="12.85546875" style="79" bestFit="1" customWidth="1"/>
    <col min="3365" max="3368" width="13" style="79" customWidth="1"/>
    <col min="3369" max="3369" width="12.7109375" style="79" customWidth="1"/>
    <col min="3370" max="3374" width="11.7109375" style="79" customWidth="1"/>
    <col min="3375" max="3375" width="14.28515625" style="79" customWidth="1"/>
    <col min="3376" max="3376" width="11.7109375" style="79" customWidth="1"/>
    <col min="3377" max="3378" width="9.140625" style="79"/>
    <col min="3379" max="3379" width="11.7109375" style="79" customWidth="1"/>
    <col min="3380" max="3380" width="9.140625" style="79"/>
    <col min="3381" max="3381" width="9.42578125" style="79" bestFit="1" customWidth="1"/>
    <col min="3382" max="3382" width="11.5703125" style="79" bestFit="1" customWidth="1"/>
    <col min="3383" max="3587" width="9.140625" style="79"/>
    <col min="3588" max="3588" width="31" style="79" customWidth="1"/>
    <col min="3589" max="3589" width="13.28515625" style="79" customWidth="1"/>
    <col min="3590" max="3590" width="14.28515625" style="79" customWidth="1"/>
    <col min="3591" max="3591" width="15.28515625" style="79" customWidth="1"/>
    <col min="3592" max="3592" width="14.28515625" style="79" customWidth="1"/>
    <col min="3593" max="3593" width="18.140625" style="79" bestFit="1" customWidth="1"/>
    <col min="3594" max="3595" width="14.28515625" style="79" customWidth="1"/>
    <col min="3596" max="3596" width="42.5703125" style="79" customWidth="1"/>
    <col min="3597" max="3608" width="11.7109375" style="79" customWidth="1"/>
    <col min="3609" max="3611" width="12.85546875" style="79" bestFit="1" customWidth="1"/>
    <col min="3612" max="3612" width="12.42578125" style="79" bestFit="1" customWidth="1"/>
    <col min="3613" max="3613" width="13" style="79" customWidth="1"/>
    <col min="3614" max="3619" width="11.7109375" style="79" customWidth="1"/>
    <col min="3620" max="3620" width="12.85546875" style="79" bestFit="1" customWidth="1"/>
    <col min="3621" max="3624" width="13" style="79" customWidth="1"/>
    <col min="3625" max="3625" width="12.7109375" style="79" customWidth="1"/>
    <col min="3626" max="3630" width="11.7109375" style="79" customWidth="1"/>
    <col min="3631" max="3631" width="14.28515625" style="79" customWidth="1"/>
    <col min="3632" max="3632" width="11.7109375" style="79" customWidth="1"/>
    <col min="3633" max="3634" width="9.140625" style="79"/>
    <col min="3635" max="3635" width="11.7109375" style="79" customWidth="1"/>
    <col min="3636" max="3636" width="9.140625" style="79"/>
    <col min="3637" max="3637" width="9.42578125" style="79" bestFit="1" customWidth="1"/>
    <col min="3638" max="3638" width="11.5703125" style="79" bestFit="1" customWidth="1"/>
    <col min="3639" max="3843" width="9.140625" style="79"/>
    <col min="3844" max="3844" width="31" style="79" customWidth="1"/>
    <col min="3845" max="3845" width="13.28515625" style="79" customWidth="1"/>
    <col min="3846" max="3846" width="14.28515625" style="79" customWidth="1"/>
    <col min="3847" max="3847" width="15.28515625" style="79" customWidth="1"/>
    <col min="3848" max="3848" width="14.28515625" style="79" customWidth="1"/>
    <col min="3849" max="3849" width="18.140625" style="79" bestFit="1" customWidth="1"/>
    <col min="3850" max="3851" width="14.28515625" style="79" customWidth="1"/>
    <col min="3852" max="3852" width="42.5703125" style="79" customWidth="1"/>
    <col min="3853" max="3864" width="11.7109375" style="79" customWidth="1"/>
    <col min="3865" max="3867" width="12.85546875" style="79" bestFit="1" customWidth="1"/>
    <col min="3868" max="3868" width="12.42578125" style="79" bestFit="1" customWidth="1"/>
    <col min="3869" max="3869" width="13" style="79" customWidth="1"/>
    <col min="3870" max="3875" width="11.7109375" style="79" customWidth="1"/>
    <col min="3876" max="3876" width="12.85546875" style="79" bestFit="1" customWidth="1"/>
    <col min="3877" max="3880" width="13" style="79" customWidth="1"/>
    <col min="3881" max="3881" width="12.7109375" style="79" customWidth="1"/>
    <col min="3882" max="3886" width="11.7109375" style="79" customWidth="1"/>
    <col min="3887" max="3887" width="14.28515625" style="79" customWidth="1"/>
    <col min="3888" max="3888" width="11.7109375" style="79" customWidth="1"/>
    <col min="3889" max="3890" width="9.140625" style="79"/>
    <col min="3891" max="3891" width="11.7109375" style="79" customWidth="1"/>
    <col min="3892" max="3892" width="9.140625" style="79"/>
    <col min="3893" max="3893" width="9.42578125" style="79" bestFit="1" customWidth="1"/>
    <col min="3894" max="3894" width="11.5703125" style="79" bestFit="1" customWidth="1"/>
    <col min="3895" max="4099" width="9.140625" style="79"/>
    <col min="4100" max="4100" width="31" style="79" customWidth="1"/>
    <col min="4101" max="4101" width="13.28515625" style="79" customWidth="1"/>
    <col min="4102" max="4102" width="14.28515625" style="79" customWidth="1"/>
    <col min="4103" max="4103" width="15.28515625" style="79" customWidth="1"/>
    <col min="4104" max="4104" width="14.28515625" style="79" customWidth="1"/>
    <col min="4105" max="4105" width="18.140625" style="79" bestFit="1" customWidth="1"/>
    <col min="4106" max="4107" width="14.28515625" style="79" customWidth="1"/>
    <col min="4108" max="4108" width="42.5703125" style="79" customWidth="1"/>
    <col min="4109" max="4120" width="11.7109375" style="79" customWidth="1"/>
    <col min="4121" max="4123" width="12.85546875" style="79" bestFit="1" customWidth="1"/>
    <col min="4124" max="4124" width="12.42578125" style="79" bestFit="1" customWidth="1"/>
    <col min="4125" max="4125" width="13" style="79" customWidth="1"/>
    <col min="4126" max="4131" width="11.7109375" style="79" customWidth="1"/>
    <col min="4132" max="4132" width="12.85546875" style="79" bestFit="1" customWidth="1"/>
    <col min="4133" max="4136" width="13" style="79" customWidth="1"/>
    <col min="4137" max="4137" width="12.7109375" style="79" customWidth="1"/>
    <col min="4138" max="4142" width="11.7109375" style="79" customWidth="1"/>
    <col min="4143" max="4143" width="14.28515625" style="79" customWidth="1"/>
    <col min="4144" max="4144" width="11.7109375" style="79" customWidth="1"/>
    <col min="4145" max="4146" width="9.140625" style="79"/>
    <col min="4147" max="4147" width="11.7109375" style="79" customWidth="1"/>
    <col min="4148" max="4148" width="9.140625" style="79"/>
    <col min="4149" max="4149" width="9.42578125" style="79" bestFit="1" customWidth="1"/>
    <col min="4150" max="4150" width="11.5703125" style="79" bestFit="1" customWidth="1"/>
    <col min="4151" max="4355" width="9.140625" style="79"/>
    <col min="4356" max="4356" width="31" style="79" customWidth="1"/>
    <col min="4357" max="4357" width="13.28515625" style="79" customWidth="1"/>
    <col min="4358" max="4358" width="14.28515625" style="79" customWidth="1"/>
    <col min="4359" max="4359" width="15.28515625" style="79" customWidth="1"/>
    <col min="4360" max="4360" width="14.28515625" style="79" customWidth="1"/>
    <col min="4361" max="4361" width="18.140625" style="79" bestFit="1" customWidth="1"/>
    <col min="4362" max="4363" width="14.28515625" style="79" customWidth="1"/>
    <col min="4364" max="4364" width="42.5703125" style="79" customWidth="1"/>
    <col min="4365" max="4376" width="11.7109375" style="79" customWidth="1"/>
    <col min="4377" max="4379" width="12.85546875" style="79" bestFit="1" customWidth="1"/>
    <col min="4380" max="4380" width="12.42578125" style="79" bestFit="1" customWidth="1"/>
    <col min="4381" max="4381" width="13" style="79" customWidth="1"/>
    <col min="4382" max="4387" width="11.7109375" style="79" customWidth="1"/>
    <col min="4388" max="4388" width="12.85546875" style="79" bestFit="1" customWidth="1"/>
    <col min="4389" max="4392" width="13" style="79" customWidth="1"/>
    <col min="4393" max="4393" width="12.7109375" style="79" customWidth="1"/>
    <col min="4394" max="4398" width="11.7109375" style="79" customWidth="1"/>
    <col min="4399" max="4399" width="14.28515625" style="79" customWidth="1"/>
    <col min="4400" max="4400" width="11.7109375" style="79" customWidth="1"/>
    <col min="4401" max="4402" width="9.140625" style="79"/>
    <col min="4403" max="4403" width="11.7109375" style="79" customWidth="1"/>
    <col min="4404" max="4404" width="9.140625" style="79"/>
    <col min="4405" max="4405" width="9.42578125" style="79" bestFit="1" customWidth="1"/>
    <col min="4406" max="4406" width="11.5703125" style="79" bestFit="1" customWidth="1"/>
    <col min="4407" max="4611" width="9.140625" style="79"/>
    <col min="4612" max="4612" width="31" style="79" customWidth="1"/>
    <col min="4613" max="4613" width="13.28515625" style="79" customWidth="1"/>
    <col min="4614" max="4614" width="14.28515625" style="79" customWidth="1"/>
    <col min="4615" max="4615" width="15.28515625" style="79" customWidth="1"/>
    <col min="4616" max="4616" width="14.28515625" style="79" customWidth="1"/>
    <col min="4617" max="4617" width="18.140625" style="79" bestFit="1" customWidth="1"/>
    <col min="4618" max="4619" width="14.28515625" style="79" customWidth="1"/>
    <col min="4620" max="4620" width="42.5703125" style="79" customWidth="1"/>
    <col min="4621" max="4632" width="11.7109375" style="79" customWidth="1"/>
    <col min="4633" max="4635" width="12.85546875" style="79" bestFit="1" customWidth="1"/>
    <col min="4636" max="4636" width="12.42578125" style="79" bestFit="1" customWidth="1"/>
    <col min="4637" max="4637" width="13" style="79" customWidth="1"/>
    <col min="4638" max="4643" width="11.7109375" style="79" customWidth="1"/>
    <col min="4644" max="4644" width="12.85546875" style="79" bestFit="1" customWidth="1"/>
    <col min="4645" max="4648" width="13" style="79" customWidth="1"/>
    <col min="4649" max="4649" width="12.7109375" style="79" customWidth="1"/>
    <col min="4650" max="4654" width="11.7109375" style="79" customWidth="1"/>
    <col min="4655" max="4655" width="14.28515625" style="79" customWidth="1"/>
    <col min="4656" max="4656" width="11.7109375" style="79" customWidth="1"/>
    <col min="4657" max="4658" width="9.140625" style="79"/>
    <col min="4659" max="4659" width="11.7109375" style="79" customWidth="1"/>
    <col min="4660" max="4660" width="9.140625" style="79"/>
    <col min="4661" max="4661" width="9.42578125" style="79" bestFit="1" customWidth="1"/>
    <col min="4662" max="4662" width="11.5703125" style="79" bestFit="1" customWidth="1"/>
    <col min="4663" max="4867" width="9.140625" style="79"/>
    <col min="4868" max="4868" width="31" style="79" customWidth="1"/>
    <col min="4869" max="4869" width="13.28515625" style="79" customWidth="1"/>
    <col min="4870" max="4870" width="14.28515625" style="79" customWidth="1"/>
    <col min="4871" max="4871" width="15.28515625" style="79" customWidth="1"/>
    <col min="4872" max="4872" width="14.28515625" style="79" customWidth="1"/>
    <col min="4873" max="4873" width="18.140625" style="79" bestFit="1" customWidth="1"/>
    <col min="4874" max="4875" width="14.28515625" style="79" customWidth="1"/>
    <col min="4876" max="4876" width="42.5703125" style="79" customWidth="1"/>
    <col min="4877" max="4888" width="11.7109375" style="79" customWidth="1"/>
    <col min="4889" max="4891" width="12.85546875" style="79" bestFit="1" customWidth="1"/>
    <col min="4892" max="4892" width="12.42578125" style="79" bestFit="1" customWidth="1"/>
    <col min="4893" max="4893" width="13" style="79" customWidth="1"/>
    <col min="4894" max="4899" width="11.7109375" style="79" customWidth="1"/>
    <col min="4900" max="4900" width="12.85546875" style="79" bestFit="1" customWidth="1"/>
    <col min="4901" max="4904" width="13" style="79" customWidth="1"/>
    <col min="4905" max="4905" width="12.7109375" style="79" customWidth="1"/>
    <col min="4906" max="4910" width="11.7109375" style="79" customWidth="1"/>
    <col min="4911" max="4911" width="14.28515625" style="79" customWidth="1"/>
    <col min="4912" max="4912" width="11.7109375" style="79" customWidth="1"/>
    <col min="4913" max="4914" width="9.140625" style="79"/>
    <col min="4915" max="4915" width="11.7109375" style="79" customWidth="1"/>
    <col min="4916" max="4916" width="9.140625" style="79"/>
    <col min="4917" max="4917" width="9.42578125" style="79" bestFit="1" customWidth="1"/>
    <col min="4918" max="4918" width="11.5703125" style="79" bestFit="1" customWidth="1"/>
    <col min="4919" max="5123" width="9.140625" style="79"/>
    <col min="5124" max="5124" width="31" style="79" customWidth="1"/>
    <col min="5125" max="5125" width="13.28515625" style="79" customWidth="1"/>
    <col min="5126" max="5126" width="14.28515625" style="79" customWidth="1"/>
    <col min="5127" max="5127" width="15.28515625" style="79" customWidth="1"/>
    <col min="5128" max="5128" width="14.28515625" style="79" customWidth="1"/>
    <col min="5129" max="5129" width="18.140625" style="79" bestFit="1" customWidth="1"/>
    <col min="5130" max="5131" width="14.28515625" style="79" customWidth="1"/>
    <col min="5132" max="5132" width="42.5703125" style="79" customWidth="1"/>
    <col min="5133" max="5144" width="11.7109375" style="79" customWidth="1"/>
    <col min="5145" max="5147" width="12.85546875" style="79" bestFit="1" customWidth="1"/>
    <col min="5148" max="5148" width="12.42578125" style="79" bestFit="1" customWidth="1"/>
    <col min="5149" max="5149" width="13" style="79" customWidth="1"/>
    <col min="5150" max="5155" width="11.7109375" style="79" customWidth="1"/>
    <col min="5156" max="5156" width="12.85546875" style="79" bestFit="1" customWidth="1"/>
    <col min="5157" max="5160" width="13" style="79" customWidth="1"/>
    <col min="5161" max="5161" width="12.7109375" style="79" customWidth="1"/>
    <col min="5162" max="5166" width="11.7109375" style="79" customWidth="1"/>
    <col min="5167" max="5167" width="14.28515625" style="79" customWidth="1"/>
    <col min="5168" max="5168" width="11.7109375" style="79" customWidth="1"/>
    <col min="5169" max="5170" width="9.140625" style="79"/>
    <col min="5171" max="5171" width="11.7109375" style="79" customWidth="1"/>
    <col min="5172" max="5172" width="9.140625" style="79"/>
    <col min="5173" max="5173" width="9.42578125" style="79" bestFit="1" customWidth="1"/>
    <col min="5174" max="5174" width="11.5703125" style="79" bestFit="1" customWidth="1"/>
    <col min="5175" max="5379" width="9.140625" style="79"/>
    <col min="5380" max="5380" width="31" style="79" customWidth="1"/>
    <col min="5381" max="5381" width="13.28515625" style="79" customWidth="1"/>
    <col min="5382" max="5382" width="14.28515625" style="79" customWidth="1"/>
    <col min="5383" max="5383" width="15.28515625" style="79" customWidth="1"/>
    <col min="5384" max="5384" width="14.28515625" style="79" customWidth="1"/>
    <col min="5385" max="5385" width="18.140625" style="79" bestFit="1" customWidth="1"/>
    <col min="5386" max="5387" width="14.28515625" style="79" customWidth="1"/>
    <col min="5388" max="5388" width="42.5703125" style="79" customWidth="1"/>
    <col min="5389" max="5400" width="11.7109375" style="79" customWidth="1"/>
    <col min="5401" max="5403" width="12.85546875" style="79" bestFit="1" customWidth="1"/>
    <col min="5404" max="5404" width="12.42578125" style="79" bestFit="1" customWidth="1"/>
    <col min="5405" max="5405" width="13" style="79" customWidth="1"/>
    <col min="5406" max="5411" width="11.7109375" style="79" customWidth="1"/>
    <col min="5412" max="5412" width="12.85546875" style="79" bestFit="1" customWidth="1"/>
    <col min="5413" max="5416" width="13" style="79" customWidth="1"/>
    <col min="5417" max="5417" width="12.7109375" style="79" customWidth="1"/>
    <col min="5418" max="5422" width="11.7109375" style="79" customWidth="1"/>
    <col min="5423" max="5423" width="14.28515625" style="79" customWidth="1"/>
    <col min="5424" max="5424" width="11.7109375" style="79" customWidth="1"/>
    <col min="5425" max="5426" width="9.140625" style="79"/>
    <col min="5427" max="5427" width="11.7109375" style="79" customWidth="1"/>
    <col min="5428" max="5428" width="9.140625" style="79"/>
    <col min="5429" max="5429" width="9.42578125" style="79" bestFit="1" customWidth="1"/>
    <col min="5430" max="5430" width="11.5703125" style="79" bestFit="1" customWidth="1"/>
    <col min="5431" max="5635" width="9.140625" style="79"/>
    <col min="5636" max="5636" width="31" style="79" customWidth="1"/>
    <col min="5637" max="5637" width="13.28515625" style="79" customWidth="1"/>
    <col min="5638" max="5638" width="14.28515625" style="79" customWidth="1"/>
    <col min="5639" max="5639" width="15.28515625" style="79" customWidth="1"/>
    <col min="5640" max="5640" width="14.28515625" style="79" customWidth="1"/>
    <col min="5641" max="5641" width="18.140625" style="79" bestFit="1" customWidth="1"/>
    <col min="5642" max="5643" width="14.28515625" style="79" customWidth="1"/>
    <col min="5644" max="5644" width="42.5703125" style="79" customWidth="1"/>
    <col min="5645" max="5656" width="11.7109375" style="79" customWidth="1"/>
    <col min="5657" max="5659" width="12.85546875" style="79" bestFit="1" customWidth="1"/>
    <col min="5660" max="5660" width="12.42578125" style="79" bestFit="1" customWidth="1"/>
    <col min="5661" max="5661" width="13" style="79" customWidth="1"/>
    <col min="5662" max="5667" width="11.7109375" style="79" customWidth="1"/>
    <col min="5668" max="5668" width="12.85546875" style="79" bestFit="1" customWidth="1"/>
    <col min="5669" max="5672" width="13" style="79" customWidth="1"/>
    <col min="5673" max="5673" width="12.7109375" style="79" customWidth="1"/>
    <col min="5674" max="5678" width="11.7109375" style="79" customWidth="1"/>
    <col min="5679" max="5679" width="14.28515625" style="79" customWidth="1"/>
    <col min="5680" max="5680" width="11.7109375" style="79" customWidth="1"/>
    <col min="5681" max="5682" width="9.140625" style="79"/>
    <col min="5683" max="5683" width="11.7109375" style="79" customWidth="1"/>
    <col min="5684" max="5684" width="9.140625" style="79"/>
    <col min="5685" max="5685" width="9.42578125" style="79" bestFit="1" customWidth="1"/>
    <col min="5686" max="5686" width="11.5703125" style="79" bestFit="1" customWidth="1"/>
    <col min="5687" max="5891" width="9.140625" style="79"/>
    <col min="5892" max="5892" width="31" style="79" customWidth="1"/>
    <col min="5893" max="5893" width="13.28515625" style="79" customWidth="1"/>
    <col min="5894" max="5894" width="14.28515625" style="79" customWidth="1"/>
    <col min="5895" max="5895" width="15.28515625" style="79" customWidth="1"/>
    <col min="5896" max="5896" width="14.28515625" style="79" customWidth="1"/>
    <col min="5897" max="5897" width="18.140625" style="79" bestFit="1" customWidth="1"/>
    <col min="5898" max="5899" width="14.28515625" style="79" customWidth="1"/>
    <col min="5900" max="5900" width="42.5703125" style="79" customWidth="1"/>
    <col min="5901" max="5912" width="11.7109375" style="79" customWidth="1"/>
    <col min="5913" max="5915" width="12.85546875" style="79" bestFit="1" customWidth="1"/>
    <col min="5916" max="5916" width="12.42578125" style="79" bestFit="1" customWidth="1"/>
    <col min="5917" max="5917" width="13" style="79" customWidth="1"/>
    <col min="5918" max="5923" width="11.7109375" style="79" customWidth="1"/>
    <col min="5924" max="5924" width="12.85546875" style="79" bestFit="1" customWidth="1"/>
    <col min="5925" max="5928" width="13" style="79" customWidth="1"/>
    <col min="5929" max="5929" width="12.7109375" style="79" customWidth="1"/>
    <col min="5930" max="5934" width="11.7109375" style="79" customWidth="1"/>
    <col min="5935" max="5935" width="14.28515625" style="79" customWidth="1"/>
    <col min="5936" max="5936" width="11.7109375" style="79" customWidth="1"/>
    <col min="5937" max="5938" width="9.140625" style="79"/>
    <col min="5939" max="5939" width="11.7109375" style="79" customWidth="1"/>
    <col min="5940" max="5940" width="9.140625" style="79"/>
    <col min="5941" max="5941" width="9.42578125" style="79" bestFit="1" customWidth="1"/>
    <col min="5942" max="5942" width="11.5703125" style="79" bestFit="1" customWidth="1"/>
    <col min="5943" max="6147" width="9.140625" style="79"/>
    <col min="6148" max="6148" width="31" style="79" customWidth="1"/>
    <col min="6149" max="6149" width="13.28515625" style="79" customWidth="1"/>
    <col min="6150" max="6150" width="14.28515625" style="79" customWidth="1"/>
    <col min="6151" max="6151" width="15.28515625" style="79" customWidth="1"/>
    <col min="6152" max="6152" width="14.28515625" style="79" customWidth="1"/>
    <col min="6153" max="6153" width="18.140625" style="79" bestFit="1" customWidth="1"/>
    <col min="6154" max="6155" width="14.28515625" style="79" customWidth="1"/>
    <col min="6156" max="6156" width="42.5703125" style="79" customWidth="1"/>
    <col min="6157" max="6168" width="11.7109375" style="79" customWidth="1"/>
    <col min="6169" max="6171" width="12.85546875" style="79" bestFit="1" customWidth="1"/>
    <col min="6172" max="6172" width="12.42578125" style="79" bestFit="1" customWidth="1"/>
    <col min="6173" max="6173" width="13" style="79" customWidth="1"/>
    <col min="6174" max="6179" width="11.7109375" style="79" customWidth="1"/>
    <col min="6180" max="6180" width="12.85546875" style="79" bestFit="1" customWidth="1"/>
    <col min="6181" max="6184" width="13" style="79" customWidth="1"/>
    <col min="6185" max="6185" width="12.7109375" style="79" customWidth="1"/>
    <col min="6186" max="6190" width="11.7109375" style="79" customWidth="1"/>
    <col min="6191" max="6191" width="14.28515625" style="79" customWidth="1"/>
    <col min="6192" max="6192" width="11.7109375" style="79" customWidth="1"/>
    <col min="6193" max="6194" width="9.140625" style="79"/>
    <col min="6195" max="6195" width="11.7109375" style="79" customWidth="1"/>
    <col min="6196" max="6196" width="9.140625" style="79"/>
    <col min="6197" max="6197" width="9.42578125" style="79" bestFit="1" customWidth="1"/>
    <col min="6198" max="6198" width="11.5703125" style="79" bestFit="1" customWidth="1"/>
    <col min="6199" max="6403" width="9.140625" style="79"/>
    <col min="6404" max="6404" width="31" style="79" customWidth="1"/>
    <col min="6405" max="6405" width="13.28515625" style="79" customWidth="1"/>
    <col min="6406" max="6406" width="14.28515625" style="79" customWidth="1"/>
    <col min="6407" max="6407" width="15.28515625" style="79" customWidth="1"/>
    <col min="6408" max="6408" width="14.28515625" style="79" customWidth="1"/>
    <col min="6409" max="6409" width="18.140625" style="79" bestFit="1" customWidth="1"/>
    <col min="6410" max="6411" width="14.28515625" style="79" customWidth="1"/>
    <col min="6412" max="6412" width="42.5703125" style="79" customWidth="1"/>
    <col min="6413" max="6424" width="11.7109375" style="79" customWidth="1"/>
    <col min="6425" max="6427" width="12.85546875" style="79" bestFit="1" customWidth="1"/>
    <col min="6428" max="6428" width="12.42578125" style="79" bestFit="1" customWidth="1"/>
    <col min="6429" max="6429" width="13" style="79" customWidth="1"/>
    <col min="6430" max="6435" width="11.7109375" style="79" customWidth="1"/>
    <col min="6436" max="6436" width="12.85546875" style="79" bestFit="1" customWidth="1"/>
    <col min="6437" max="6440" width="13" style="79" customWidth="1"/>
    <col min="6441" max="6441" width="12.7109375" style="79" customWidth="1"/>
    <col min="6442" max="6446" width="11.7109375" style="79" customWidth="1"/>
    <col min="6447" max="6447" width="14.28515625" style="79" customWidth="1"/>
    <col min="6448" max="6448" width="11.7109375" style="79" customWidth="1"/>
    <col min="6449" max="6450" width="9.140625" style="79"/>
    <col min="6451" max="6451" width="11.7109375" style="79" customWidth="1"/>
    <col min="6452" max="6452" width="9.140625" style="79"/>
    <col min="6453" max="6453" width="9.42578125" style="79" bestFit="1" customWidth="1"/>
    <col min="6454" max="6454" width="11.5703125" style="79" bestFit="1" customWidth="1"/>
    <col min="6455" max="6659" width="9.140625" style="79"/>
    <col min="6660" max="6660" width="31" style="79" customWidth="1"/>
    <col min="6661" max="6661" width="13.28515625" style="79" customWidth="1"/>
    <col min="6662" max="6662" width="14.28515625" style="79" customWidth="1"/>
    <col min="6663" max="6663" width="15.28515625" style="79" customWidth="1"/>
    <col min="6664" max="6664" width="14.28515625" style="79" customWidth="1"/>
    <col min="6665" max="6665" width="18.140625" style="79" bestFit="1" customWidth="1"/>
    <col min="6666" max="6667" width="14.28515625" style="79" customWidth="1"/>
    <col min="6668" max="6668" width="42.5703125" style="79" customWidth="1"/>
    <col min="6669" max="6680" width="11.7109375" style="79" customWidth="1"/>
    <col min="6681" max="6683" width="12.85546875" style="79" bestFit="1" customWidth="1"/>
    <col min="6684" max="6684" width="12.42578125" style="79" bestFit="1" customWidth="1"/>
    <col min="6685" max="6685" width="13" style="79" customWidth="1"/>
    <col min="6686" max="6691" width="11.7109375" style="79" customWidth="1"/>
    <col min="6692" max="6692" width="12.85546875" style="79" bestFit="1" customWidth="1"/>
    <col min="6693" max="6696" width="13" style="79" customWidth="1"/>
    <col min="6697" max="6697" width="12.7109375" style="79" customWidth="1"/>
    <col min="6698" max="6702" width="11.7109375" style="79" customWidth="1"/>
    <col min="6703" max="6703" width="14.28515625" style="79" customWidth="1"/>
    <col min="6704" max="6704" width="11.7109375" style="79" customWidth="1"/>
    <col min="6705" max="6706" width="9.140625" style="79"/>
    <col min="6707" max="6707" width="11.7109375" style="79" customWidth="1"/>
    <col min="6708" max="6708" width="9.140625" style="79"/>
    <col min="6709" max="6709" width="9.42578125" style="79" bestFit="1" customWidth="1"/>
    <col min="6710" max="6710" width="11.5703125" style="79" bestFit="1" customWidth="1"/>
    <col min="6711" max="6915" width="9.140625" style="79"/>
    <col min="6916" max="6916" width="31" style="79" customWidth="1"/>
    <col min="6917" max="6917" width="13.28515625" style="79" customWidth="1"/>
    <col min="6918" max="6918" width="14.28515625" style="79" customWidth="1"/>
    <col min="6919" max="6919" width="15.28515625" style="79" customWidth="1"/>
    <col min="6920" max="6920" width="14.28515625" style="79" customWidth="1"/>
    <col min="6921" max="6921" width="18.140625" style="79" bestFit="1" customWidth="1"/>
    <col min="6922" max="6923" width="14.28515625" style="79" customWidth="1"/>
    <col min="6924" max="6924" width="42.5703125" style="79" customWidth="1"/>
    <col min="6925" max="6936" width="11.7109375" style="79" customWidth="1"/>
    <col min="6937" max="6939" width="12.85546875" style="79" bestFit="1" customWidth="1"/>
    <col min="6940" max="6940" width="12.42578125" style="79" bestFit="1" customWidth="1"/>
    <col min="6941" max="6941" width="13" style="79" customWidth="1"/>
    <col min="6942" max="6947" width="11.7109375" style="79" customWidth="1"/>
    <col min="6948" max="6948" width="12.85546875" style="79" bestFit="1" customWidth="1"/>
    <col min="6949" max="6952" width="13" style="79" customWidth="1"/>
    <col min="6953" max="6953" width="12.7109375" style="79" customWidth="1"/>
    <col min="6954" max="6958" width="11.7109375" style="79" customWidth="1"/>
    <col min="6959" max="6959" width="14.28515625" style="79" customWidth="1"/>
    <col min="6960" max="6960" width="11.7109375" style="79" customWidth="1"/>
    <col min="6961" max="6962" width="9.140625" style="79"/>
    <col min="6963" max="6963" width="11.7109375" style="79" customWidth="1"/>
    <col min="6964" max="6964" width="9.140625" style="79"/>
    <col min="6965" max="6965" width="9.42578125" style="79" bestFit="1" customWidth="1"/>
    <col min="6966" max="6966" width="11.5703125" style="79" bestFit="1" customWidth="1"/>
    <col min="6967" max="7171" width="9.140625" style="79"/>
    <col min="7172" max="7172" width="31" style="79" customWidth="1"/>
    <col min="7173" max="7173" width="13.28515625" style="79" customWidth="1"/>
    <col min="7174" max="7174" width="14.28515625" style="79" customWidth="1"/>
    <col min="7175" max="7175" width="15.28515625" style="79" customWidth="1"/>
    <col min="7176" max="7176" width="14.28515625" style="79" customWidth="1"/>
    <col min="7177" max="7177" width="18.140625" style="79" bestFit="1" customWidth="1"/>
    <col min="7178" max="7179" width="14.28515625" style="79" customWidth="1"/>
    <col min="7180" max="7180" width="42.5703125" style="79" customWidth="1"/>
    <col min="7181" max="7192" width="11.7109375" style="79" customWidth="1"/>
    <col min="7193" max="7195" width="12.85546875" style="79" bestFit="1" customWidth="1"/>
    <col min="7196" max="7196" width="12.42578125" style="79" bestFit="1" customWidth="1"/>
    <col min="7197" max="7197" width="13" style="79" customWidth="1"/>
    <col min="7198" max="7203" width="11.7109375" style="79" customWidth="1"/>
    <col min="7204" max="7204" width="12.85546875" style="79" bestFit="1" customWidth="1"/>
    <col min="7205" max="7208" width="13" style="79" customWidth="1"/>
    <col min="7209" max="7209" width="12.7109375" style="79" customWidth="1"/>
    <col min="7210" max="7214" width="11.7109375" style="79" customWidth="1"/>
    <col min="7215" max="7215" width="14.28515625" style="79" customWidth="1"/>
    <col min="7216" max="7216" width="11.7109375" style="79" customWidth="1"/>
    <col min="7217" max="7218" width="9.140625" style="79"/>
    <col min="7219" max="7219" width="11.7109375" style="79" customWidth="1"/>
    <col min="7220" max="7220" width="9.140625" style="79"/>
    <col min="7221" max="7221" width="9.42578125" style="79" bestFit="1" customWidth="1"/>
    <col min="7222" max="7222" width="11.5703125" style="79" bestFit="1" customWidth="1"/>
    <col min="7223" max="7427" width="9.140625" style="79"/>
    <col min="7428" max="7428" width="31" style="79" customWidth="1"/>
    <col min="7429" max="7429" width="13.28515625" style="79" customWidth="1"/>
    <col min="7430" max="7430" width="14.28515625" style="79" customWidth="1"/>
    <col min="7431" max="7431" width="15.28515625" style="79" customWidth="1"/>
    <col min="7432" max="7432" width="14.28515625" style="79" customWidth="1"/>
    <col min="7433" max="7433" width="18.140625" style="79" bestFit="1" customWidth="1"/>
    <col min="7434" max="7435" width="14.28515625" style="79" customWidth="1"/>
    <col min="7436" max="7436" width="42.5703125" style="79" customWidth="1"/>
    <col min="7437" max="7448" width="11.7109375" style="79" customWidth="1"/>
    <col min="7449" max="7451" width="12.85546875" style="79" bestFit="1" customWidth="1"/>
    <col min="7452" max="7452" width="12.42578125" style="79" bestFit="1" customWidth="1"/>
    <col min="7453" max="7453" width="13" style="79" customWidth="1"/>
    <col min="7454" max="7459" width="11.7109375" style="79" customWidth="1"/>
    <col min="7460" max="7460" width="12.85546875" style="79" bestFit="1" customWidth="1"/>
    <col min="7461" max="7464" width="13" style="79" customWidth="1"/>
    <col min="7465" max="7465" width="12.7109375" style="79" customWidth="1"/>
    <col min="7466" max="7470" width="11.7109375" style="79" customWidth="1"/>
    <col min="7471" max="7471" width="14.28515625" style="79" customWidth="1"/>
    <col min="7472" max="7472" width="11.7109375" style="79" customWidth="1"/>
    <col min="7473" max="7474" width="9.140625" style="79"/>
    <col min="7475" max="7475" width="11.7109375" style="79" customWidth="1"/>
    <col min="7476" max="7476" width="9.140625" style="79"/>
    <col min="7477" max="7477" width="9.42578125" style="79" bestFit="1" customWidth="1"/>
    <col min="7478" max="7478" width="11.5703125" style="79" bestFit="1" customWidth="1"/>
    <col min="7479" max="7683" width="9.140625" style="79"/>
    <col min="7684" max="7684" width="31" style="79" customWidth="1"/>
    <col min="7685" max="7685" width="13.28515625" style="79" customWidth="1"/>
    <col min="7686" max="7686" width="14.28515625" style="79" customWidth="1"/>
    <col min="7687" max="7687" width="15.28515625" style="79" customWidth="1"/>
    <col min="7688" max="7688" width="14.28515625" style="79" customWidth="1"/>
    <col min="7689" max="7689" width="18.140625" style="79" bestFit="1" customWidth="1"/>
    <col min="7690" max="7691" width="14.28515625" style="79" customWidth="1"/>
    <col min="7692" max="7692" width="42.5703125" style="79" customWidth="1"/>
    <col min="7693" max="7704" width="11.7109375" style="79" customWidth="1"/>
    <col min="7705" max="7707" width="12.85546875" style="79" bestFit="1" customWidth="1"/>
    <col min="7708" max="7708" width="12.42578125" style="79" bestFit="1" customWidth="1"/>
    <col min="7709" max="7709" width="13" style="79" customWidth="1"/>
    <col min="7710" max="7715" width="11.7109375" style="79" customWidth="1"/>
    <col min="7716" max="7716" width="12.85546875" style="79" bestFit="1" customWidth="1"/>
    <col min="7717" max="7720" width="13" style="79" customWidth="1"/>
    <col min="7721" max="7721" width="12.7109375" style="79" customWidth="1"/>
    <col min="7722" max="7726" width="11.7109375" style="79" customWidth="1"/>
    <col min="7727" max="7727" width="14.28515625" style="79" customWidth="1"/>
    <col min="7728" max="7728" width="11.7109375" style="79" customWidth="1"/>
    <col min="7729" max="7730" width="9.140625" style="79"/>
    <col min="7731" max="7731" width="11.7109375" style="79" customWidth="1"/>
    <col min="7732" max="7732" width="9.140625" style="79"/>
    <col min="7733" max="7733" width="9.42578125" style="79" bestFit="1" customWidth="1"/>
    <col min="7734" max="7734" width="11.5703125" style="79" bestFit="1" customWidth="1"/>
    <col min="7735" max="7939" width="9.140625" style="79"/>
    <col min="7940" max="7940" width="31" style="79" customWidth="1"/>
    <col min="7941" max="7941" width="13.28515625" style="79" customWidth="1"/>
    <col min="7942" max="7942" width="14.28515625" style="79" customWidth="1"/>
    <col min="7943" max="7943" width="15.28515625" style="79" customWidth="1"/>
    <col min="7944" max="7944" width="14.28515625" style="79" customWidth="1"/>
    <col min="7945" max="7945" width="18.140625" style="79" bestFit="1" customWidth="1"/>
    <col min="7946" max="7947" width="14.28515625" style="79" customWidth="1"/>
    <col min="7948" max="7948" width="42.5703125" style="79" customWidth="1"/>
    <col min="7949" max="7960" width="11.7109375" style="79" customWidth="1"/>
    <col min="7961" max="7963" width="12.85546875" style="79" bestFit="1" customWidth="1"/>
    <col min="7964" max="7964" width="12.42578125" style="79" bestFit="1" customWidth="1"/>
    <col min="7965" max="7965" width="13" style="79" customWidth="1"/>
    <col min="7966" max="7971" width="11.7109375" style="79" customWidth="1"/>
    <col min="7972" max="7972" width="12.85546875" style="79" bestFit="1" customWidth="1"/>
    <col min="7973" max="7976" width="13" style="79" customWidth="1"/>
    <col min="7977" max="7977" width="12.7109375" style="79" customWidth="1"/>
    <col min="7978" max="7982" width="11.7109375" style="79" customWidth="1"/>
    <col min="7983" max="7983" width="14.28515625" style="79" customWidth="1"/>
    <col min="7984" max="7984" width="11.7109375" style="79" customWidth="1"/>
    <col min="7985" max="7986" width="9.140625" style="79"/>
    <col min="7987" max="7987" width="11.7109375" style="79" customWidth="1"/>
    <col min="7988" max="7988" width="9.140625" style="79"/>
    <col min="7989" max="7989" width="9.42578125" style="79" bestFit="1" customWidth="1"/>
    <col min="7990" max="7990" width="11.5703125" style="79" bestFit="1" customWidth="1"/>
    <col min="7991" max="8195" width="9.140625" style="79"/>
    <col min="8196" max="8196" width="31" style="79" customWidth="1"/>
    <col min="8197" max="8197" width="13.28515625" style="79" customWidth="1"/>
    <col min="8198" max="8198" width="14.28515625" style="79" customWidth="1"/>
    <col min="8199" max="8199" width="15.28515625" style="79" customWidth="1"/>
    <col min="8200" max="8200" width="14.28515625" style="79" customWidth="1"/>
    <col min="8201" max="8201" width="18.140625" style="79" bestFit="1" customWidth="1"/>
    <col min="8202" max="8203" width="14.28515625" style="79" customWidth="1"/>
    <col min="8204" max="8204" width="42.5703125" style="79" customWidth="1"/>
    <col min="8205" max="8216" width="11.7109375" style="79" customWidth="1"/>
    <col min="8217" max="8219" width="12.85546875" style="79" bestFit="1" customWidth="1"/>
    <col min="8220" max="8220" width="12.42578125" style="79" bestFit="1" customWidth="1"/>
    <col min="8221" max="8221" width="13" style="79" customWidth="1"/>
    <col min="8222" max="8227" width="11.7109375" style="79" customWidth="1"/>
    <col min="8228" max="8228" width="12.85546875" style="79" bestFit="1" customWidth="1"/>
    <col min="8229" max="8232" width="13" style="79" customWidth="1"/>
    <col min="8233" max="8233" width="12.7109375" style="79" customWidth="1"/>
    <col min="8234" max="8238" width="11.7109375" style="79" customWidth="1"/>
    <col min="8239" max="8239" width="14.28515625" style="79" customWidth="1"/>
    <col min="8240" max="8240" width="11.7109375" style="79" customWidth="1"/>
    <col min="8241" max="8242" width="9.140625" style="79"/>
    <col min="8243" max="8243" width="11.7109375" style="79" customWidth="1"/>
    <col min="8244" max="8244" width="9.140625" style="79"/>
    <col min="8245" max="8245" width="9.42578125" style="79" bestFit="1" customWidth="1"/>
    <col min="8246" max="8246" width="11.5703125" style="79" bestFit="1" customWidth="1"/>
    <col min="8247" max="8451" width="9.140625" style="79"/>
    <col min="8452" max="8452" width="31" style="79" customWidth="1"/>
    <col min="8453" max="8453" width="13.28515625" style="79" customWidth="1"/>
    <col min="8454" max="8454" width="14.28515625" style="79" customWidth="1"/>
    <col min="8455" max="8455" width="15.28515625" style="79" customWidth="1"/>
    <col min="8456" max="8456" width="14.28515625" style="79" customWidth="1"/>
    <col min="8457" max="8457" width="18.140625" style="79" bestFit="1" customWidth="1"/>
    <col min="8458" max="8459" width="14.28515625" style="79" customWidth="1"/>
    <col min="8460" max="8460" width="42.5703125" style="79" customWidth="1"/>
    <col min="8461" max="8472" width="11.7109375" style="79" customWidth="1"/>
    <col min="8473" max="8475" width="12.85546875" style="79" bestFit="1" customWidth="1"/>
    <col min="8476" max="8476" width="12.42578125" style="79" bestFit="1" customWidth="1"/>
    <col min="8477" max="8477" width="13" style="79" customWidth="1"/>
    <col min="8478" max="8483" width="11.7109375" style="79" customWidth="1"/>
    <col min="8484" max="8484" width="12.85546875" style="79" bestFit="1" customWidth="1"/>
    <col min="8485" max="8488" width="13" style="79" customWidth="1"/>
    <col min="8489" max="8489" width="12.7109375" style="79" customWidth="1"/>
    <col min="8490" max="8494" width="11.7109375" style="79" customWidth="1"/>
    <col min="8495" max="8495" width="14.28515625" style="79" customWidth="1"/>
    <col min="8496" max="8496" width="11.7109375" style="79" customWidth="1"/>
    <col min="8497" max="8498" width="9.140625" style="79"/>
    <col min="8499" max="8499" width="11.7109375" style="79" customWidth="1"/>
    <col min="8500" max="8500" width="9.140625" style="79"/>
    <col min="8501" max="8501" width="9.42578125" style="79" bestFit="1" customWidth="1"/>
    <col min="8502" max="8502" width="11.5703125" style="79" bestFit="1" customWidth="1"/>
    <col min="8503" max="8707" width="9.140625" style="79"/>
    <col min="8708" max="8708" width="31" style="79" customWidth="1"/>
    <col min="8709" max="8709" width="13.28515625" style="79" customWidth="1"/>
    <col min="8710" max="8710" width="14.28515625" style="79" customWidth="1"/>
    <col min="8711" max="8711" width="15.28515625" style="79" customWidth="1"/>
    <col min="8712" max="8712" width="14.28515625" style="79" customWidth="1"/>
    <col min="8713" max="8713" width="18.140625" style="79" bestFit="1" customWidth="1"/>
    <col min="8714" max="8715" width="14.28515625" style="79" customWidth="1"/>
    <col min="8716" max="8716" width="42.5703125" style="79" customWidth="1"/>
    <col min="8717" max="8728" width="11.7109375" style="79" customWidth="1"/>
    <col min="8729" max="8731" width="12.85546875" style="79" bestFit="1" customWidth="1"/>
    <col min="8732" max="8732" width="12.42578125" style="79" bestFit="1" customWidth="1"/>
    <col min="8733" max="8733" width="13" style="79" customWidth="1"/>
    <col min="8734" max="8739" width="11.7109375" style="79" customWidth="1"/>
    <col min="8740" max="8740" width="12.85546875" style="79" bestFit="1" customWidth="1"/>
    <col min="8741" max="8744" width="13" style="79" customWidth="1"/>
    <col min="8745" max="8745" width="12.7109375" style="79" customWidth="1"/>
    <col min="8746" max="8750" width="11.7109375" style="79" customWidth="1"/>
    <col min="8751" max="8751" width="14.28515625" style="79" customWidth="1"/>
    <col min="8752" max="8752" width="11.7109375" style="79" customWidth="1"/>
    <col min="8753" max="8754" width="9.140625" style="79"/>
    <col min="8755" max="8755" width="11.7109375" style="79" customWidth="1"/>
    <col min="8756" max="8756" width="9.140625" style="79"/>
    <col min="8757" max="8757" width="9.42578125" style="79" bestFit="1" customWidth="1"/>
    <col min="8758" max="8758" width="11.5703125" style="79" bestFit="1" customWidth="1"/>
    <col min="8759" max="8963" width="9.140625" style="79"/>
    <col min="8964" max="8964" width="31" style="79" customWidth="1"/>
    <col min="8965" max="8965" width="13.28515625" style="79" customWidth="1"/>
    <col min="8966" max="8966" width="14.28515625" style="79" customWidth="1"/>
    <col min="8967" max="8967" width="15.28515625" style="79" customWidth="1"/>
    <col min="8968" max="8968" width="14.28515625" style="79" customWidth="1"/>
    <col min="8969" max="8969" width="18.140625" style="79" bestFit="1" customWidth="1"/>
    <col min="8970" max="8971" width="14.28515625" style="79" customWidth="1"/>
    <col min="8972" max="8972" width="42.5703125" style="79" customWidth="1"/>
    <col min="8973" max="8984" width="11.7109375" style="79" customWidth="1"/>
    <col min="8985" max="8987" width="12.85546875" style="79" bestFit="1" customWidth="1"/>
    <col min="8988" max="8988" width="12.42578125" style="79" bestFit="1" customWidth="1"/>
    <col min="8989" max="8989" width="13" style="79" customWidth="1"/>
    <col min="8990" max="8995" width="11.7109375" style="79" customWidth="1"/>
    <col min="8996" max="8996" width="12.85546875" style="79" bestFit="1" customWidth="1"/>
    <col min="8997" max="9000" width="13" style="79" customWidth="1"/>
    <col min="9001" max="9001" width="12.7109375" style="79" customWidth="1"/>
    <col min="9002" max="9006" width="11.7109375" style="79" customWidth="1"/>
    <col min="9007" max="9007" width="14.28515625" style="79" customWidth="1"/>
    <col min="9008" max="9008" width="11.7109375" style="79" customWidth="1"/>
    <col min="9009" max="9010" width="9.140625" style="79"/>
    <col min="9011" max="9011" width="11.7109375" style="79" customWidth="1"/>
    <col min="9012" max="9012" width="9.140625" style="79"/>
    <col min="9013" max="9013" width="9.42578125" style="79" bestFit="1" customWidth="1"/>
    <col min="9014" max="9014" width="11.5703125" style="79" bestFit="1" customWidth="1"/>
    <col min="9015" max="9219" width="9.140625" style="79"/>
    <col min="9220" max="9220" width="31" style="79" customWidth="1"/>
    <col min="9221" max="9221" width="13.28515625" style="79" customWidth="1"/>
    <col min="9222" max="9222" width="14.28515625" style="79" customWidth="1"/>
    <col min="9223" max="9223" width="15.28515625" style="79" customWidth="1"/>
    <col min="9224" max="9224" width="14.28515625" style="79" customWidth="1"/>
    <col min="9225" max="9225" width="18.140625" style="79" bestFit="1" customWidth="1"/>
    <col min="9226" max="9227" width="14.28515625" style="79" customWidth="1"/>
    <col min="9228" max="9228" width="42.5703125" style="79" customWidth="1"/>
    <col min="9229" max="9240" width="11.7109375" style="79" customWidth="1"/>
    <col min="9241" max="9243" width="12.85546875" style="79" bestFit="1" customWidth="1"/>
    <col min="9244" max="9244" width="12.42578125" style="79" bestFit="1" customWidth="1"/>
    <col min="9245" max="9245" width="13" style="79" customWidth="1"/>
    <col min="9246" max="9251" width="11.7109375" style="79" customWidth="1"/>
    <col min="9252" max="9252" width="12.85546875" style="79" bestFit="1" customWidth="1"/>
    <col min="9253" max="9256" width="13" style="79" customWidth="1"/>
    <col min="9257" max="9257" width="12.7109375" style="79" customWidth="1"/>
    <col min="9258" max="9262" width="11.7109375" style="79" customWidth="1"/>
    <col min="9263" max="9263" width="14.28515625" style="79" customWidth="1"/>
    <col min="9264" max="9264" width="11.7109375" style="79" customWidth="1"/>
    <col min="9265" max="9266" width="9.140625" style="79"/>
    <col min="9267" max="9267" width="11.7109375" style="79" customWidth="1"/>
    <col min="9268" max="9268" width="9.140625" style="79"/>
    <col min="9269" max="9269" width="9.42578125" style="79" bestFit="1" customWidth="1"/>
    <col min="9270" max="9270" width="11.5703125" style="79" bestFit="1" customWidth="1"/>
    <col min="9271" max="9475" width="9.140625" style="79"/>
    <col min="9476" max="9476" width="31" style="79" customWidth="1"/>
    <col min="9477" max="9477" width="13.28515625" style="79" customWidth="1"/>
    <col min="9478" max="9478" width="14.28515625" style="79" customWidth="1"/>
    <col min="9479" max="9479" width="15.28515625" style="79" customWidth="1"/>
    <col min="9480" max="9480" width="14.28515625" style="79" customWidth="1"/>
    <col min="9481" max="9481" width="18.140625" style="79" bestFit="1" customWidth="1"/>
    <col min="9482" max="9483" width="14.28515625" style="79" customWidth="1"/>
    <col min="9484" max="9484" width="42.5703125" style="79" customWidth="1"/>
    <col min="9485" max="9496" width="11.7109375" style="79" customWidth="1"/>
    <col min="9497" max="9499" width="12.85546875" style="79" bestFit="1" customWidth="1"/>
    <col min="9500" max="9500" width="12.42578125" style="79" bestFit="1" customWidth="1"/>
    <col min="9501" max="9501" width="13" style="79" customWidth="1"/>
    <col min="9502" max="9507" width="11.7109375" style="79" customWidth="1"/>
    <col min="9508" max="9508" width="12.85546875" style="79" bestFit="1" customWidth="1"/>
    <col min="9509" max="9512" width="13" style="79" customWidth="1"/>
    <col min="9513" max="9513" width="12.7109375" style="79" customWidth="1"/>
    <col min="9514" max="9518" width="11.7109375" style="79" customWidth="1"/>
    <col min="9519" max="9519" width="14.28515625" style="79" customWidth="1"/>
    <col min="9520" max="9520" width="11.7109375" style="79" customWidth="1"/>
    <col min="9521" max="9522" width="9.140625" style="79"/>
    <col min="9523" max="9523" width="11.7109375" style="79" customWidth="1"/>
    <col min="9524" max="9524" width="9.140625" style="79"/>
    <col min="9525" max="9525" width="9.42578125" style="79" bestFit="1" customWidth="1"/>
    <col min="9526" max="9526" width="11.5703125" style="79" bestFit="1" customWidth="1"/>
    <col min="9527" max="9731" width="9.140625" style="79"/>
    <col min="9732" max="9732" width="31" style="79" customWidth="1"/>
    <col min="9733" max="9733" width="13.28515625" style="79" customWidth="1"/>
    <col min="9734" max="9734" width="14.28515625" style="79" customWidth="1"/>
    <col min="9735" max="9735" width="15.28515625" style="79" customWidth="1"/>
    <col min="9736" max="9736" width="14.28515625" style="79" customWidth="1"/>
    <col min="9737" max="9737" width="18.140625" style="79" bestFit="1" customWidth="1"/>
    <col min="9738" max="9739" width="14.28515625" style="79" customWidth="1"/>
    <col min="9740" max="9740" width="42.5703125" style="79" customWidth="1"/>
    <col min="9741" max="9752" width="11.7109375" style="79" customWidth="1"/>
    <col min="9753" max="9755" width="12.85546875" style="79" bestFit="1" customWidth="1"/>
    <col min="9756" max="9756" width="12.42578125" style="79" bestFit="1" customWidth="1"/>
    <col min="9757" max="9757" width="13" style="79" customWidth="1"/>
    <col min="9758" max="9763" width="11.7109375" style="79" customWidth="1"/>
    <col min="9764" max="9764" width="12.85546875" style="79" bestFit="1" customWidth="1"/>
    <col min="9765" max="9768" width="13" style="79" customWidth="1"/>
    <col min="9769" max="9769" width="12.7109375" style="79" customWidth="1"/>
    <col min="9770" max="9774" width="11.7109375" style="79" customWidth="1"/>
    <col min="9775" max="9775" width="14.28515625" style="79" customWidth="1"/>
    <col min="9776" max="9776" width="11.7109375" style="79" customWidth="1"/>
    <col min="9777" max="9778" width="9.140625" style="79"/>
    <col min="9779" max="9779" width="11.7109375" style="79" customWidth="1"/>
    <col min="9780" max="9780" width="9.140625" style="79"/>
    <col min="9781" max="9781" width="9.42578125" style="79" bestFit="1" customWidth="1"/>
    <col min="9782" max="9782" width="11.5703125" style="79" bestFit="1" customWidth="1"/>
    <col min="9783" max="9987" width="9.140625" style="79"/>
    <col min="9988" max="9988" width="31" style="79" customWidth="1"/>
    <col min="9989" max="9989" width="13.28515625" style="79" customWidth="1"/>
    <col min="9990" max="9990" width="14.28515625" style="79" customWidth="1"/>
    <col min="9991" max="9991" width="15.28515625" style="79" customWidth="1"/>
    <col min="9992" max="9992" width="14.28515625" style="79" customWidth="1"/>
    <col min="9993" max="9993" width="18.140625" style="79" bestFit="1" customWidth="1"/>
    <col min="9994" max="9995" width="14.28515625" style="79" customWidth="1"/>
    <col min="9996" max="9996" width="42.5703125" style="79" customWidth="1"/>
    <col min="9997" max="10008" width="11.7109375" style="79" customWidth="1"/>
    <col min="10009" max="10011" width="12.85546875" style="79" bestFit="1" customWidth="1"/>
    <col min="10012" max="10012" width="12.42578125" style="79" bestFit="1" customWidth="1"/>
    <col min="10013" max="10013" width="13" style="79" customWidth="1"/>
    <col min="10014" max="10019" width="11.7109375" style="79" customWidth="1"/>
    <col min="10020" max="10020" width="12.85546875" style="79" bestFit="1" customWidth="1"/>
    <col min="10021" max="10024" width="13" style="79" customWidth="1"/>
    <col min="10025" max="10025" width="12.7109375" style="79" customWidth="1"/>
    <col min="10026" max="10030" width="11.7109375" style="79" customWidth="1"/>
    <col min="10031" max="10031" width="14.28515625" style="79" customWidth="1"/>
    <col min="10032" max="10032" width="11.7109375" style="79" customWidth="1"/>
    <col min="10033" max="10034" width="9.140625" style="79"/>
    <col min="10035" max="10035" width="11.7109375" style="79" customWidth="1"/>
    <col min="10036" max="10036" width="9.140625" style="79"/>
    <col min="10037" max="10037" width="9.42578125" style="79" bestFit="1" customWidth="1"/>
    <col min="10038" max="10038" width="11.5703125" style="79" bestFit="1" customWidth="1"/>
    <col min="10039" max="10243" width="9.140625" style="79"/>
    <col min="10244" max="10244" width="31" style="79" customWidth="1"/>
    <col min="10245" max="10245" width="13.28515625" style="79" customWidth="1"/>
    <col min="10246" max="10246" width="14.28515625" style="79" customWidth="1"/>
    <col min="10247" max="10247" width="15.28515625" style="79" customWidth="1"/>
    <col min="10248" max="10248" width="14.28515625" style="79" customWidth="1"/>
    <col min="10249" max="10249" width="18.140625" style="79" bestFit="1" customWidth="1"/>
    <col min="10250" max="10251" width="14.28515625" style="79" customWidth="1"/>
    <col min="10252" max="10252" width="42.5703125" style="79" customWidth="1"/>
    <col min="10253" max="10264" width="11.7109375" style="79" customWidth="1"/>
    <col min="10265" max="10267" width="12.85546875" style="79" bestFit="1" customWidth="1"/>
    <col min="10268" max="10268" width="12.42578125" style="79" bestFit="1" customWidth="1"/>
    <col min="10269" max="10269" width="13" style="79" customWidth="1"/>
    <col min="10270" max="10275" width="11.7109375" style="79" customWidth="1"/>
    <col min="10276" max="10276" width="12.85546875" style="79" bestFit="1" customWidth="1"/>
    <col min="10277" max="10280" width="13" style="79" customWidth="1"/>
    <col min="10281" max="10281" width="12.7109375" style="79" customWidth="1"/>
    <col min="10282" max="10286" width="11.7109375" style="79" customWidth="1"/>
    <col min="10287" max="10287" width="14.28515625" style="79" customWidth="1"/>
    <col min="10288" max="10288" width="11.7109375" style="79" customWidth="1"/>
    <col min="10289" max="10290" width="9.140625" style="79"/>
    <col min="10291" max="10291" width="11.7109375" style="79" customWidth="1"/>
    <col min="10292" max="10292" width="9.140625" style="79"/>
    <col min="10293" max="10293" width="9.42578125" style="79" bestFit="1" customWidth="1"/>
    <col min="10294" max="10294" width="11.5703125" style="79" bestFit="1" customWidth="1"/>
    <col min="10295" max="10499" width="9.140625" style="79"/>
    <col min="10500" max="10500" width="31" style="79" customWidth="1"/>
    <col min="10501" max="10501" width="13.28515625" style="79" customWidth="1"/>
    <col min="10502" max="10502" width="14.28515625" style="79" customWidth="1"/>
    <col min="10503" max="10503" width="15.28515625" style="79" customWidth="1"/>
    <col min="10504" max="10504" width="14.28515625" style="79" customWidth="1"/>
    <col min="10505" max="10505" width="18.140625" style="79" bestFit="1" customWidth="1"/>
    <col min="10506" max="10507" width="14.28515625" style="79" customWidth="1"/>
    <col min="10508" max="10508" width="42.5703125" style="79" customWidth="1"/>
    <col min="10509" max="10520" width="11.7109375" style="79" customWidth="1"/>
    <col min="10521" max="10523" width="12.85546875" style="79" bestFit="1" customWidth="1"/>
    <col min="10524" max="10524" width="12.42578125" style="79" bestFit="1" customWidth="1"/>
    <col min="10525" max="10525" width="13" style="79" customWidth="1"/>
    <col min="10526" max="10531" width="11.7109375" style="79" customWidth="1"/>
    <col min="10532" max="10532" width="12.85546875" style="79" bestFit="1" customWidth="1"/>
    <col min="10533" max="10536" width="13" style="79" customWidth="1"/>
    <col min="10537" max="10537" width="12.7109375" style="79" customWidth="1"/>
    <col min="10538" max="10542" width="11.7109375" style="79" customWidth="1"/>
    <col min="10543" max="10543" width="14.28515625" style="79" customWidth="1"/>
    <col min="10544" max="10544" width="11.7109375" style="79" customWidth="1"/>
    <col min="10545" max="10546" width="9.140625" style="79"/>
    <col min="10547" max="10547" width="11.7109375" style="79" customWidth="1"/>
    <col min="10548" max="10548" width="9.140625" style="79"/>
    <col min="10549" max="10549" width="9.42578125" style="79" bestFit="1" customWidth="1"/>
    <col min="10550" max="10550" width="11.5703125" style="79" bestFit="1" customWidth="1"/>
    <col min="10551" max="10755" width="9.140625" style="79"/>
    <col min="10756" max="10756" width="31" style="79" customWidth="1"/>
    <col min="10757" max="10757" width="13.28515625" style="79" customWidth="1"/>
    <col min="10758" max="10758" width="14.28515625" style="79" customWidth="1"/>
    <col min="10759" max="10759" width="15.28515625" style="79" customWidth="1"/>
    <col min="10760" max="10760" width="14.28515625" style="79" customWidth="1"/>
    <col min="10761" max="10761" width="18.140625" style="79" bestFit="1" customWidth="1"/>
    <col min="10762" max="10763" width="14.28515625" style="79" customWidth="1"/>
    <col min="10764" max="10764" width="42.5703125" style="79" customWidth="1"/>
    <col min="10765" max="10776" width="11.7109375" style="79" customWidth="1"/>
    <col min="10777" max="10779" width="12.85546875" style="79" bestFit="1" customWidth="1"/>
    <col min="10780" max="10780" width="12.42578125" style="79" bestFit="1" customWidth="1"/>
    <col min="10781" max="10781" width="13" style="79" customWidth="1"/>
    <col min="10782" max="10787" width="11.7109375" style="79" customWidth="1"/>
    <col min="10788" max="10788" width="12.85546875" style="79" bestFit="1" customWidth="1"/>
    <col min="10789" max="10792" width="13" style="79" customWidth="1"/>
    <col min="10793" max="10793" width="12.7109375" style="79" customWidth="1"/>
    <col min="10794" max="10798" width="11.7109375" style="79" customWidth="1"/>
    <col min="10799" max="10799" width="14.28515625" style="79" customWidth="1"/>
    <col min="10800" max="10800" width="11.7109375" style="79" customWidth="1"/>
    <col min="10801" max="10802" width="9.140625" style="79"/>
    <col min="10803" max="10803" width="11.7109375" style="79" customWidth="1"/>
    <col min="10804" max="10804" width="9.140625" style="79"/>
    <col min="10805" max="10805" width="9.42578125" style="79" bestFit="1" customWidth="1"/>
    <col min="10806" max="10806" width="11.5703125" style="79" bestFit="1" customWidth="1"/>
    <col min="10807" max="11011" width="9.140625" style="79"/>
    <col min="11012" max="11012" width="31" style="79" customWidth="1"/>
    <col min="11013" max="11013" width="13.28515625" style="79" customWidth="1"/>
    <col min="11014" max="11014" width="14.28515625" style="79" customWidth="1"/>
    <col min="11015" max="11015" width="15.28515625" style="79" customWidth="1"/>
    <col min="11016" max="11016" width="14.28515625" style="79" customWidth="1"/>
    <col min="11017" max="11017" width="18.140625" style="79" bestFit="1" customWidth="1"/>
    <col min="11018" max="11019" width="14.28515625" style="79" customWidth="1"/>
    <col min="11020" max="11020" width="42.5703125" style="79" customWidth="1"/>
    <col min="11021" max="11032" width="11.7109375" style="79" customWidth="1"/>
    <col min="11033" max="11035" width="12.85546875" style="79" bestFit="1" customWidth="1"/>
    <col min="11036" max="11036" width="12.42578125" style="79" bestFit="1" customWidth="1"/>
    <col min="11037" max="11037" width="13" style="79" customWidth="1"/>
    <col min="11038" max="11043" width="11.7109375" style="79" customWidth="1"/>
    <col min="11044" max="11044" width="12.85546875" style="79" bestFit="1" customWidth="1"/>
    <col min="11045" max="11048" width="13" style="79" customWidth="1"/>
    <col min="11049" max="11049" width="12.7109375" style="79" customWidth="1"/>
    <col min="11050" max="11054" width="11.7109375" style="79" customWidth="1"/>
    <col min="11055" max="11055" width="14.28515625" style="79" customWidth="1"/>
    <col min="11056" max="11056" width="11.7109375" style="79" customWidth="1"/>
    <col min="11057" max="11058" width="9.140625" style="79"/>
    <col min="11059" max="11059" width="11.7109375" style="79" customWidth="1"/>
    <col min="11060" max="11060" width="9.140625" style="79"/>
    <col min="11061" max="11061" width="9.42578125" style="79" bestFit="1" customWidth="1"/>
    <col min="11062" max="11062" width="11.5703125" style="79" bestFit="1" customWidth="1"/>
    <col min="11063" max="11267" width="9.140625" style="79"/>
    <col min="11268" max="11268" width="31" style="79" customWidth="1"/>
    <col min="11269" max="11269" width="13.28515625" style="79" customWidth="1"/>
    <col min="11270" max="11270" width="14.28515625" style="79" customWidth="1"/>
    <col min="11271" max="11271" width="15.28515625" style="79" customWidth="1"/>
    <col min="11272" max="11272" width="14.28515625" style="79" customWidth="1"/>
    <col min="11273" max="11273" width="18.140625" style="79" bestFit="1" customWidth="1"/>
    <col min="11274" max="11275" width="14.28515625" style="79" customWidth="1"/>
    <col min="11276" max="11276" width="42.5703125" style="79" customWidth="1"/>
    <col min="11277" max="11288" width="11.7109375" style="79" customWidth="1"/>
    <col min="11289" max="11291" width="12.85546875" style="79" bestFit="1" customWidth="1"/>
    <col min="11292" max="11292" width="12.42578125" style="79" bestFit="1" customWidth="1"/>
    <col min="11293" max="11293" width="13" style="79" customWidth="1"/>
    <col min="11294" max="11299" width="11.7109375" style="79" customWidth="1"/>
    <col min="11300" max="11300" width="12.85546875" style="79" bestFit="1" customWidth="1"/>
    <col min="11301" max="11304" width="13" style="79" customWidth="1"/>
    <col min="11305" max="11305" width="12.7109375" style="79" customWidth="1"/>
    <col min="11306" max="11310" width="11.7109375" style="79" customWidth="1"/>
    <col min="11311" max="11311" width="14.28515625" style="79" customWidth="1"/>
    <col min="11312" max="11312" width="11.7109375" style="79" customWidth="1"/>
    <col min="11313" max="11314" width="9.140625" style="79"/>
    <col min="11315" max="11315" width="11.7109375" style="79" customWidth="1"/>
    <col min="11316" max="11316" width="9.140625" style="79"/>
    <col min="11317" max="11317" width="9.42578125" style="79" bestFit="1" customWidth="1"/>
    <col min="11318" max="11318" width="11.5703125" style="79" bestFit="1" customWidth="1"/>
    <col min="11319" max="11523" width="9.140625" style="79"/>
    <col min="11524" max="11524" width="31" style="79" customWidth="1"/>
    <col min="11525" max="11525" width="13.28515625" style="79" customWidth="1"/>
    <col min="11526" max="11526" width="14.28515625" style="79" customWidth="1"/>
    <col min="11527" max="11527" width="15.28515625" style="79" customWidth="1"/>
    <col min="11528" max="11528" width="14.28515625" style="79" customWidth="1"/>
    <col min="11529" max="11529" width="18.140625" style="79" bestFit="1" customWidth="1"/>
    <col min="11530" max="11531" width="14.28515625" style="79" customWidth="1"/>
    <col min="11532" max="11532" width="42.5703125" style="79" customWidth="1"/>
    <col min="11533" max="11544" width="11.7109375" style="79" customWidth="1"/>
    <col min="11545" max="11547" width="12.85546875" style="79" bestFit="1" customWidth="1"/>
    <col min="11548" max="11548" width="12.42578125" style="79" bestFit="1" customWidth="1"/>
    <col min="11549" max="11549" width="13" style="79" customWidth="1"/>
    <col min="11550" max="11555" width="11.7109375" style="79" customWidth="1"/>
    <col min="11556" max="11556" width="12.85546875" style="79" bestFit="1" customWidth="1"/>
    <col min="11557" max="11560" width="13" style="79" customWidth="1"/>
    <col min="11561" max="11561" width="12.7109375" style="79" customWidth="1"/>
    <col min="11562" max="11566" width="11.7109375" style="79" customWidth="1"/>
    <col min="11567" max="11567" width="14.28515625" style="79" customWidth="1"/>
    <col min="11568" max="11568" width="11.7109375" style="79" customWidth="1"/>
    <col min="11569" max="11570" width="9.140625" style="79"/>
    <col min="11571" max="11571" width="11.7109375" style="79" customWidth="1"/>
    <col min="11572" max="11572" width="9.140625" style="79"/>
    <col min="11573" max="11573" width="9.42578125" style="79" bestFit="1" customWidth="1"/>
    <col min="11574" max="11574" width="11.5703125" style="79" bestFit="1" customWidth="1"/>
    <col min="11575" max="11779" width="9.140625" style="79"/>
    <col min="11780" max="11780" width="31" style="79" customWidth="1"/>
    <col min="11781" max="11781" width="13.28515625" style="79" customWidth="1"/>
    <col min="11782" max="11782" width="14.28515625" style="79" customWidth="1"/>
    <col min="11783" max="11783" width="15.28515625" style="79" customWidth="1"/>
    <col min="11784" max="11784" width="14.28515625" style="79" customWidth="1"/>
    <col min="11785" max="11785" width="18.140625" style="79" bestFit="1" customWidth="1"/>
    <col min="11786" max="11787" width="14.28515625" style="79" customWidth="1"/>
    <col min="11788" max="11788" width="42.5703125" style="79" customWidth="1"/>
    <col min="11789" max="11800" width="11.7109375" style="79" customWidth="1"/>
    <col min="11801" max="11803" width="12.85546875" style="79" bestFit="1" customWidth="1"/>
    <col min="11804" max="11804" width="12.42578125" style="79" bestFit="1" customWidth="1"/>
    <col min="11805" max="11805" width="13" style="79" customWidth="1"/>
    <col min="11806" max="11811" width="11.7109375" style="79" customWidth="1"/>
    <col min="11812" max="11812" width="12.85546875" style="79" bestFit="1" customWidth="1"/>
    <col min="11813" max="11816" width="13" style="79" customWidth="1"/>
    <col min="11817" max="11817" width="12.7109375" style="79" customWidth="1"/>
    <col min="11818" max="11822" width="11.7109375" style="79" customWidth="1"/>
    <col min="11823" max="11823" width="14.28515625" style="79" customWidth="1"/>
    <col min="11824" max="11824" width="11.7109375" style="79" customWidth="1"/>
    <col min="11825" max="11826" width="9.140625" style="79"/>
    <col min="11827" max="11827" width="11.7109375" style="79" customWidth="1"/>
    <col min="11828" max="11828" width="9.140625" style="79"/>
    <col min="11829" max="11829" width="9.42578125" style="79" bestFit="1" customWidth="1"/>
    <col min="11830" max="11830" width="11.5703125" style="79" bestFit="1" customWidth="1"/>
    <col min="11831" max="12035" width="9.140625" style="79"/>
    <col min="12036" max="12036" width="31" style="79" customWidth="1"/>
    <col min="12037" max="12037" width="13.28515625" style="79" customWidth="1"/>
    <col min="12038" max="12038" width="14.28515625" style="79" customWidth="1"/>
    <col min="12039" max="12039" width="15.28515625" style="79" customWidth="1"/>
    <col min="12040" max="12040" width="14.28515625" style="79" customWidth="1"/>
    <col min="12041" max="12041" width="18.140625" style="79" bestFit="1" customWidth="1"/>
    <col min="12042" max="12043" width="14.28515625" style="79" customWidth="1"/>
    <col min="12044" max="12044" width="42.5703125" style="79" customWidth="1"/>
    <col min="12045" max="12056" width="11.7109375" style="79" customWidth="1"/>
    <col min="12057" max="12059" width="12.85546875" style="79" bestFit="1" customWidth="1"/>
    <col min="12060" max="12060" width="12.42578125" style="79" bestFit="1" customWidth="1"/>
    <col min="12061" max="12061" width="13" style="79" customWidth="1"/>
    <col min="12062" max="12067" width="11.7109375" style="79" customWidth="1"/>
    <col min="12068" max="12068" width="12.85546875" style="79" bestFit="1" customWidth="1"/>
    <col min="12069" max="12072" width="13" style="79" customWidth="1"/>
    <col min="12073" max="12073" width="12.7109375" style="79" customWidth="1"/>
    <col min="12074" max="12078" width="11.7109375" style="79" customWidth="1"/>
    <col min="12079" max="12079" width="14.28515625" style="79" customWidth="1"/>
    <col min="12080" max="12080" width="11.7109375" style="79" customWidth="1"/>
    <col min="12081" max="12082" width="9.140625" style="79"/>
    <col min="12083" max="12083" width="11.7109375" style="79" customWidth="1"/>
    <col min="12084" max="12084" width="9.140625" style="79"/>
    <col min="12085" max="12085" width="9.42578125" style="79" bestFit="1" customWidth="1"/>
    <col min="12086" max="12086" width="11.5703125" style="79" bestFit="1" customWidth="1"/>
    <col min="12087" max="12291" width="9.140625" style="79"/>
    <col min="12292" max="12292" width="31" style="79" customWidth="1"/>
    <col min="12293" max="12293" width="13.28515625" style="79" customWidth="1"/>
    <col min="12294" max="12294" width="14.28515625" style="79" customWidth="1"/>
    <col min="12295" max="12295" width="15.28515625" style="79" customWidth="1"/>
    <col min="12296" max="12296" width="14.28515625" style="79" customWidth="1"/>
    <col min="12297" max="12297" width="18.140625" style="79" bestFit="1" customWidth="1"/>
    <col min="12298" max="12299" width="14.28515625" style="79" customWidth="1"/>
    <col min="12300" max="12300" width="42.5703125" style="79" customWidth="1"/>
    <col min="12301" max="12312" width="11.7109375" style="79" customWidth="1"/>
    <col min="12313" max="12315" width="12.85546875" style="79" bestFit="1" customWidth="1"/>
    <col min="12316" max="12316" width="12.42578125" style="79" bestFit="1" customWidth="1"/>
    <col min="12317" max="12317" width="13" style="79" customWidth="1"/>
    <col min="12318" max="12323" width="11.7109375" style="79" customWidth="1"/>
    <col min="12324" max="12324" width="12.85546875" style="79" bestFit="1" customWidth="1"/>
    <col min="12325" max="12328" width="13" style="79" customWidth="1"/>
    <col min="12329" max="12329" width="12.7109375" style="79" customWidth="1"/>
    <col min="12330" max="12334" width="11.7109375" style="79" customWidth="1"/>
    <col min="12335" max="12335" width="14.28515625" style="79" customWidth="1"/>
    <col min="12336" max="12336" width="11.7109375" style="79" customWidth="1"/>
    <col min="12337" max="12338" width="9.140625" style="79"/>
    <col min="12339" max="12339" width="11.7109375" style="79" customWidth="1"/>
    <col min="12340" max="12340" width="9.140625" style="79"/>
    <col min="12341" max="12341" width="9.42578125" style="79" bestFit="1" customWidth="1"/>
    <col min="12342" max="12342" width="11.5703125" style="79" bestFit="1" customWidth="1"/>
    <col min="12343" max="12547" width="9.140625" style="79"/>
    <col min="12548" max="12548" width="31" style="79" customWidth="1"/>
    <col min="12549" max="12549" width="13.28515625" style="79" customWidth="1"/>
    <col min="12550" max="12550" width="14.28515625" style="79" customWidth="1"/>
    <col min="12551" max="12551" width="15.28515625" style="79" customWidth="1"/>
    <col min="12552" max="12552" width="14.28515625" style="79" customWidth="1"/>
    <col min="12553" max="12553" width="18.140625" style="79" bestFit="1" customWidth="1"/>
    <col min="12554" max="12555" width="14.28515625" style="79" customWidth="1"/>
    <col min="12556" max="12556" width="42.5703125" style="79" customWidth="1"/>
    <col min="12557" max="12568" width="11.7109375" style="79" customWidth="1"/>
    <col min="12569" max="12571" width="12.85546875" style="79" bestFit="1" customWidth="1"/>
    <col min="12572" max="12572" width="12.42578125" style="79" bestFit="1" customWidth="1"/>
    <col min="12573" max="12573" width="13" style="79" customWidth="1"/>
    <col min="12574" max="12579" width="11.7109375" style="79" customWidth="1"/>
    <col min="12580" max="12580" width="12.85546875" style="79" bestFit="1" customWidth="1"/>
    <col min="12581" max="12584" width="13" style="79" customWidth="1"/>
    <col min="12585" max="12585" width="12.7109375" style="79" customWidth="1"/>
    <col min="12586" max="12590" width="11.7109375" style="79" customWidth="1"/>
    <col min="12591" max="12591" width="14.28515625" style="79" customWidth="1"/>
    <col min="12592" max="12592" width="11.7109375" style="79" customWidth="1"/>
    <col min="12593" max="12594" width="9.140625" style="79"/>
    <col min="12595" max="12595" width="11.7109375" style="79" customWidth="1"/>
    <col min="12596" max="12596" width="9.140625" style="79"/>
    <col min="12597" max="12597" width="9.42578125" style="79" bestFit="1" customWidth="1"/>
    <col min="12598" max="12598" width="11.5703125" style="79" bestFit="1" customWidth="1"/>
    <col min="12599" max="12803" width="9.140625" style="79"/>
    <col min="12804" max="12804" width="31" style="79" customWidth="1"/>
    <col min="12805" max="12805" width="13.28515625" style="79" customWidth="1"/>
    <col min="12806" max="12806" width="14.28515625" style="79" customWidth="1"/>
    <col min="12807" max="12807" width="15.28515625" style="79" customWidth="1"/>
    <col min="12808" max="12808" width="14.28515625" style="79" customWidth="1"/>
    <col min="12809" max="12809" width="18.140625" style="79" bestFit="1" customWidth="1"/>
    <col min="12810" max="12811" width="14.28515625" style="79" customWidth="1"/>
    <col min="12812" max="12812" width="42.5703125" style="79" customWidth="1"/>
    <col min="12813" max="12824" width="11.7109375" style="79" customWidth="1"/>
    <col min="12825" max="12827" width="12.85546875" style="79" bestFit="1" customWidth="1"/>
    <col min="12828" max="12828" width="12.42578125" style="79" bestFit="1" customWidth="1"/>
    <col min="12829" max="12829" width="13" style="79" customWidth="1"/>
    <col min="12830" max="12835" width="11.7109375" style="79" customWidth="1"/>
    <col min="12836" max="12836" width="12.85546875" style="79" bestFit="1" customWidth="1"/>
    <col min="12837" max="12840" width="13" style="79" customWidth="1"/>
    <col min="12841" max="12841" width="12.7109375" style="79" customWidth="1"/>
    <col min="12842" max="12846" width="11.7109375" style="79" customWidth="1"/>
    <col min="12847" max="12847" width="14.28515625" style="79" customWidth="1"/>
    <col min="12848" max="12848" width="11.7109375" style="79" customWidth="1"/>
    <col min="12849" max="12850" width="9.140625" style="79"/>
    <col min="12851" max="12851" width="11.7109375" style="79" customWidth="1"/>
    <col min="12852" max="12852" width="9.140625" style="79"/>
    <col min="12853" max="12853" width="9.42578125" style="79" bestFit="1" customWidth="1"/>
    <col min="12854" max="12854" width="11.5703125" style="79" bestFit="1" customWidth="1"/>
    <col min="12855" max="13059" width="9.140625" style="79"/>
    <col min="13060" max="13060" width="31" style="79" customWidth="1"/>
    <col min="13061" max="13061" width="13.28515625" style="79" customWidth="1"/>
    <col min="13062" max="13062" width="14.28515625" style="79" customWidth="1"/>
    <col min="13063" max="13063" width="15.28515625" style="79" customWidth="1"/>
    <col min="13064" max="13064" width="14.28515625" style="79" customWidth="1"/>
    <col min="13065" max="13065" width="18.140625" style="79" bestFit="1" customWidth="1"/>
    <col min="13066" max="13067" width="14.28515625" style="79" customWidth="1"/>
    <col min="13068" max="13068" width="42.5703125" style="79" customWidth="1"/>
    <col min="13069" max="13080" width="11.7109375" style="79" customWidth="1"/>
    <col min="13081" max="13083" width="12.85546875" style="79" bestFit="1" customWidth="1"/>
    <col min="13084" max="13084" width="12.42578125" style="79" bestFit="1" customWidth="1"/>
    <col min="13085" max="13085" width="13" style="79" customWidth="1"/>
    <col min="13086" max="13091" width="11.7109375" style="79" customWidth="1"/>
    <col min="13092" max="13092" width="12.85546875" style="79" bestFit="1" customWidth="1"/>
    <col min="13093" max="13096" width="13" style="79" customWidth="1"/>
    <col min="13097" max="13097" width="12.7109375" style="79" customWidth="1"/>
    <col min="13098" max="13102" width="11.7109375" style="79" customWidth="1"/>
    <col min="13103" max="13103" width="14.28515625" style="79" customWidth="1"/>
    <col min="13104" max="13104" width="11.7109375" style="79" customWidth="1"/>
    <col min="13105" max="13106" width="9.140625" style="79"/>
    <col min="13107" max="13107" width="11.7109375" style="79" customWidth="1"/>
    <col min="13108" max="13108" width="9.140625" style="79"/>
    <col min="13109" max="13109" width="9.42578125" style="79" bestFit="1" customWidth="1"/>
    <col min="13110" max="13110" width="11.5703125" style="79" bestFit="1" customWidth="1"/>
    <col min="13111" max="13315" width="9.140625" style="79"/>
    <col min="13316" max="13316" width="31" style="79" customWidth="1"/>
    <col min="13317" max="13317" width="13.28515625" style="79" customWidth="1"/>
    <col min="13318" max="13318" width="14.28515625" style="79" customWidth="1"/>
    <col min="13319" max="13319" width="15.28515625" style="79" customWidth="1"/>
    <col min="13320" max="13320" width="14.28515625" style="79" customWidth="1"/>
    <col min="13321" max="13321" width="18.140625" style="79" bestFit="1" customWidth="1"/>
    <col min="13322" max="13323" width="14.28515625" style="79" customWidth="1"/>
    <col min="13324" max="13324" width="42.5703125" style="79" customWidth="1"/>
    <col min="13325" max="13336" width="11.7109375" style="79" customWidth="1"/>
    <col min="13337" max="13339" width="12.85546875" style="79" bestFit="1" customWidth="1"/>
    <col min="13340" max="13340" width="12.42578125" style="79" bestFit="1" customWidth="1"/>
    <col min="13341" max="13341" width="13" style="79" customWidth="1"/>
    <col min="13342" max="13347" width="11.7109375" style="79" customWidth="1"/>
    <col min="13348" max="13348" width="12.85546875" style="79" bestFit="1" customWidth="1"/>
    <col min="13349" max="13352" width="13" style="79" customWidth="1"/>
    <col min="13353" max="13353" width="12.7109375" style="79" customWidth="1"/>
    <col min="13354" max="13358" width="11.7109375" style="79" customWidth="1"/>
    <col min="13359" max="13359" width="14.28515625" style="79" customWidth="1"/>
    <col min="13360" max="13360" width="11.7109375" style="79" customWidth="1"/>
    <col min="13361" max="13362" width="9.140625" style="79"/>
    <col min="13363" max="13363" width="11.7109375" style="79" customWidth="1"/>
    <col min="13364" max="13364" width="9.140625" style="79"/>
    <col min="13365" max="13365" width="9.42578125" style="79" bestFit="1" customWidth="1"/>
    <col min="13366" max="13366" width="11.5703125" style="79" bestFit="1" customWidth="1"/>
    <col min="13367" max="13571" width="9.140625" style="79"/>
    <col min="13572" max="13572" width="31" style="79" customWidth="1"/>
    <col min="13573" max="13573" width="13.28515625" style="79" customWidth="1"/>
    <col min="13574" max="13574" width="14.28515625" style="79" customWidth="1"/>
    <col min="13575" max="13575" width="15.28515625" style="79" customWidth="1"/>
    <col min="13576" max="13576" width="14.28515625" style="79" customWidth="1"/>
    <col min="13577" max="13577" width="18.140625" style="79" bestFit="1" customWidth="1"/>
    <col min="13578" max="13579" width="14.28515625" style="79" customWidth="1"/>
    <col min="13580" max="13580" width="42.5703125" style="79" customWidth="1"/>
    <col min="13581" max="13592" width="11.7109375" style="79" customWidth="1"/>
    <col min="13593" max="13595" width="12.85546875" style="79" bestFit="1" customWidth="1"/>
    <col min="13596" max="13596" width="12.42578125" style="79" bestFit="1" customWidth="1"/>
    <col min="13597" max="13597" width="13" style="79" customWidth="1"/>
    <col min="13598" max="13603" width="11.7109375" style="79" customWidth="1"/>
    <col min="13604" max="13604" width="12.85546875" style="79" bestFit="1" customWidth="1"/>
    <col min="13605" max="13608" width="13" style="79" customWidth="1"/>
    <col min="13609" max="13609" width="12.7109375" style="79" customWidth="1"/>
    <col min="13610" max="13614" width="11.7109375" style="79" customWidth="1"/>
    <col min="13615" max="13615" width="14.28515625" style="79" customWidth="1"/>
    <col min="13616" max="13616" width="11.7109375" style="79" customWidth="1"/>
    <col min="13617" max="13618" width="9.140625" style="79"/>
    <col min="13619" max="13619" width="11.7109375" style="79" customWidth="1"/>
    <col min="13620" max="13620" width="9.140625" style="79"/>
    <col min="13621" max="13621" width="9.42578125" style="79" bestFit="1" customWidth="1"/>
    <col min="13622" max="13622" width="11.5703125" style="79" bestFit="1" customWidth="1"/>
    <col min="13623" max="13827" width="9.140625" style="79"/>
    <col min="13828" max="13828" width="31" style="79" customWidth="1"/>
    <col min="13829" max="13829" width="13.28515625" style="79" customWidth="1"/>
    <col min="13830" max="13830" width="14.28515625" style="79" customWidth="1"/>
    <col min="13831" max="13831" width="15.28515625" style="79" customWidth="1"/>
    <col min="13832" max="13832" width="14.28515625" style="79" customWidth="1"/>
    <col min="13833" max="13833" width="18.140625" style="79" bestFit="1" customWidth="1"/>
    <col min="13834" max="13835" width="14.28515625" style="79" customWidth="1"/>
    <col min="13836" max="13836" width="42.5703125" style="79" customWidth="1"/>
    <col min="13837" max="13848" width="11.7109375" style="79" customWidth="1"/>
    <col min="13849" max="13851" width="12.85546875" style="79" bestFit="1" customWidth="1"/>
    <col min="13852" max="13852" width="12.42578125" style="79" bestFit="1" customWidth="1"/>
    <col min="13853" max="13853" width="13" style="79" customWidth="1"/>
    <col min="13854" max="13859" width="11.7109375" style="79" customWidth="1"/>
    <col min="13860" max="13860" width="12.85546875" style="79" bestFit="1" customWidth="1"/>
    <col min="13861" max="13864" width="13" style="79" customWidth="1"/>
    <col min="13865" max="13865" width="12.7109375" style="79" customWidth="1"/>
    <col min="13866" max="13870" width="11.7109375" style="79" customWidth="1"/>
    <col min="13871" max="13871" width="14.28515625" style="79" customWidth="1"/>
    <col min="13872" max="13872" width="11.7109375" style="79" customWidth="1"/>
    <col min="13873" max="13874" width="9.140625" style="79"/>
    <col min="13875" max="13875" width="11.7109375" style="79" customWidth="1"/>
    <col min="13876" max="13876" width="9.140625" style="79"/>
    <col min="13877" max="13877" width="9.42578125" style="79" bestFit="1" customWidth="1"/>
    <col min="13878" max="13878" width="11.5703125" style="79" bestFit="1" customWidth="1"/>
    <col min="13879" max="14083" width="9.140625" style="79"/>
    <col min="14084" max="14084" width="31" style="79" customWidth="1"/>
    <col min="14085" max="14085" width="13.28515625" style="79" customWidth="1"/>
    <col min="14086" max="14086" width="14.28515625" style="79" customWidth="1"/>
    <col min="14087" max="14087" width="15.28515625" style="79" customWidth="1"/>
    <col min="14088" max="14088" width="14.28515625" style="79" customWidth="1"/>
    <col min="14089" max="14089" width="18.140625" style="79" bestFit="1" customWidth="1"/>
    <col min="14090" max="14091" width="14.28515625" style="79" customWidth="1"/>
    <col min="14092" max="14092" width="42.5703125" style="79" customWidth="1"/>
    <col min="14093" max="14104" width="11.7109375" style="79" customWidth="1"/>
    <col min="14105" max="14107" width="12.85546875" style="79" bestFit="1" customWidth="1"/>
    <col min="14108" max="14108" width="12.42578125" style="79" bestFit="1" customWidth="1"/>
    <col min="14109" max="14109" width="13" style="79" customWidth="1"/>
    <col min="14110" max="14115" width="11.7109375" style="79" customWidth="1"/>
    <col min="14116" max="14116" width="12.85546875" style="79" bestFit="1" customWidth="1"/>
    <col min="14117" max="14120" width="13" style="79" customWidth="1"/>
    <col min="14121" max="14121" width="12.7109375" style="79" customWidth="1"/>
    <col min="14122" max="14126" width="11.7109375" style="79" customWidth="1"/>
    <col min="14127" max="14127" width="14.28515625" style="79" customWidth="1"/>
    <col min="14128" max="14128" width="11.7109375" style="79" customWidth="1"/>
    <col min="14129" max="14130" width="9.140625" style="79"/>
    <col min="14131" max="14131" width="11.7109375" style="79" customWidth="1"/>
    <col min="14132" max="14132" width="9.140625" style="79"/>
    <col min="14133" max="14133" width="9.42578125" style="79" bestFit="1" customWidth="1"/>
    <col min="14134" max="14134" width="11.5703125" style="79" bestFit="1" customWidth="1"/>
    <col min="14135" max="14339" width="9.140625" style="79"/>
    <col min="14340" max="14340" width="31" style="79" customWidth="1"/>
    <col min="14341" max="14341" width="13.28515625" style="79" customWidth="1"/>
    <col min="14342" max="14342" width="14.28515625" style="79" customWidth="1"/>
    <col min="14343" max="14343" width="15.28515625" style="79" customWidth="1"/>
    <col min="14344" max="14344" width="14.28515625" style="79" customWidth="1"/>
    <col min="14345" max="14345" width="18.140625" style="79" bestFit="1" customWidth="1"/>
    <col min="14346" max="14347" width="14.28515625" style="79" customWidth="1"/>
    <col min="14348" max="14348" width="42.5703125" style="79" customWidth="1"/>
    <col min="14349" max="14360" width="11.7109375" style="79" customWidth="1"/>
    <col min="14361" max="14363" width="12.85546875" style="79" bestFit="1" customWidth="1"/>
    <col min="14364" max="14364" width="12.42578125" style="79" bestFit="1" customWidth="1"/>
    <col min="14365" max="14365" width="13" style="79" customWidth="1"/>
    <col min="14366" max="14371" width="11.7109375" style="79" customWidth="1"/>
    <col min="14372" max="14372" width="12.85546875" style="79" bestFit="1" customWidth="1"/>
    <col min="14373" max="14376" width="13" style="79" customWidth="1"/>
    <col min="14377" max="14377" width="12.7109375" style="79" customWidth="1"/>
    <col min="14378" max="14382" width="11.7109375" style="79" customWidth="1"/>
    <col min="14383" max="14383" width="14.28515625" style="79" customWidth="1"/>
    <col min="14384" max="14384" width="11.7109375" style="79" customWidth="1"/>
    <col min="14385" max="14386" width="9.140625" style="79"/>
    <col min="14387" max="14387" width="11.7109375" style="79" customWidth="1"/>
    <col min="14388" max="14388" width="9.140625" style="79"/>
    <col min="14389" max="14389" width="9.42578125" style="79" bestFit="1" customWidth="1"/>
    <col min="14390" max="14390" width="11.5703125" style="79" bestFit="1" customWidth="1"/>
    <col min="14391" max="14595" width="9.140625" style="79"/>
    <col min="14596" max="14596" width="31" style="79" customWidth="1"/>
    <col min="14597" max="14597" width="13.28515625" style="79" customWidth="1"/>
    <col min="14598" max="14598" width="14.28515625" style="79" customWidth="1"/>
    <col min="14599" max="14599" width="15.28515625" style="79" customWidth="1"/>
    <col min="14600" max="14600" width="14.28515625" style="79" customWidth="1"/>
    <col min="14601" max="14601" width="18.140625" style="79" bestFit="1" customWidth="1"/>
    <col min="14602" max="14603" width="14.28515625" style="79" customWidth="1"/>
    <col min="14604" max="14604" width="42.5703125" style="79" customWidth="1"/>
    <col min="14605" max="14616" width="11.7109375" style="79" customWidth="1"/>
    <col min="14617" max="14619" width="12.85546875" style="79" bestFit="1" customWidth="1"/>
    <col min="14620" max="14620" width="12.42578125" style="79" bestFit="1" customWidth="1"/>
    <col min="14621" max="14621" width="13" style="79" customWidth="1"/>
    <col min="14622" max="14627" width="11.7109375" style="79" customWidth="1"/>
    <col min="14628" max="14628" width="12.85546875" style="79" bestFit="1" customWidth="1"/>
    <col min="14629" max="14632" width="13" style="79" customWidth="1"/>
    <col min="14633" max="14633" width="12.7109375" style="79" customWidth="1"/>
    <col min="14634" max="14638" width="11.7109375" style="79" customWidth="1"/>
    <col min="14639" max="14639" width="14.28515625" style="79" customWidth="1"/>
    <col min="14640" max="14640" width="11.7109375" style="79" customWidth="1"/>
    <col min="14641" max="14642" width="9.140625" style="79"/>
    <col min="14643" max="14643" width="11.7109375" style="79" customWidth="1"/>
    <col min="14644" max="14644" width="9.140625" style="79"/>
    <col min="14645" max="14645" width="9.42578125" style="79" bestFit="1" customWidth="1"/>
    <col min="14646" max="14646" width="11.5703125" style="79" bestFit="1" customWidth="1"/>
    <col min="14647" max="14851" width="9.140625" style="79"/>
    <col min="14852" max="14852" width="31" style="79" customWidth="1"/>
    <col min="14853" max="14853" width="13.28515625" style="79" customWidth="1"/>
    <col min="14854" max="14854" width="14.28515625" style="79" customWidth="1"/>
    <col min="14855" max="14855" width="15.28515625" style="79" customWidth="1"/>
    <col min="14856" max="14856" width="14.28515625" style="79" customWidth="1"/>
    <col min="14857" max="14857" width="18.140625" style="79" bestFit="1" customWidth="1"/>
    <col min="14858" max="14859" width="14.28515625" style="79" customWidth="1"/>
    <col min="14860" max="14860" width="42.5703125" style="79" customWidth="1"/>
    <col min="14861" max="14872" width="11.7109375" style="79" customWidth="1"/>
    <col min="14873" max="14875" width="12.85546875" style="79" bestFit="1" customWidth="1"/>
    <col min="14876" max="14876" width="12.42578125" style="79" bestFit="1" customWidth="1"/>
    <col min="14877" max="14877" width="13" style="79" customWidth="1"/>
    <col min="14878" max="14883" width="11.7109375" style="79" customWidth="1"/>
    <col min="14884" max="14884" width="12.85546875" style="79" bestFit="1" customWidth="1"/>
    <col min="14885" max="14888" width="13" style="79" customWidth="1"/>
    <col min="14889" max="14889" width="12.7109375" style="79" customWidth="1"/>
    <col min="14890" max="14894" width="11.7109375" style="79" customWidth="1"/>
    <col min="14895" max="14895" width="14.28515625" style="79" customWidth="1"/>
    <col min="14896" max="14896" width="11.7109375" style="79" customWidth="1"/>
    <col min="14897" max="14898" width="9.140625" style="79"/>
    <col min="14899" max="14899" width="11.7109375" style="79" customWidth="1"/>
    <col min="14900" max="14900" width="9.140625" style="79"/>
    <col min="14901" max="14901" width="9.42578125" style="79" bestFit="1" customWidth="1"/>
    <col min="14902" max="14902" width="11.5703125" style="79" bestFit="1" customWidth="1"/>
    <col min="14903" max="15107" width="9.140625" style="79"/>
    <col min="15108" max="15108" width="31" style="79" customWidth="1"/>
    <col min="15109" max="15109" width="13.28515625" style="79" customWidth="1"/>
    <col min="15110" max="15110" width="14.28515625" style="79" customWidth="1"/>
    <col min="15111" max="15111" width="15.28515625" style="79" customWidth="1"/>
    <col min="15112" max="15112" width="14.28515625" style="79" customWidth="1"/>
    <col min="15113" max="15113" width="18.140625" style="79" bestFit="1" customWidth="1"/>
    <col min="15114" max="15115" width="14.28515625" style="79" customWidth="1"/>
    <col min="15116" max="15116" width="42.5703125" style="79" customWidth="1"/>
    <col min="15117" max="15128" width="11.7109375" style="79" customWidth="1"/>
    <col min="15129" max="15131" width="12.85546875" style="79" bestFit="1" customWidth="1"/>
    <col min="15132" max="15132" width="12.42578125" style="79" bestFit="1" customWidth="1"/>
    <col min="15133" max="15133" width="13" style="79" customWidth="1"/>
    <col min="15134" max="15139" width="11.7109375" style="79" customWidth="1"/>
    <col min="15140" max="15140" width="12.85546875" style="79" bestFit="1" customWidth="1"/>
    <col min="15141" max="15144" width="13" style="79" customWidth="1"/>
    <col min="15145" max="15145" width="12.7109375" style="79" customWidth="1"/>
    <col min="15146" max="15150" width="11.7109375" style="79" customWidth="1"/>
    <col min="15151" max="15151" width="14.28515625" style="79" customWidth="1"/>
    <col min="15152" max="15152" width="11.7109375" style="79" customWidth="1"/>
    <col min="15153" max="15154" width="9.140625" style="79"/>
    <col min="15155" max="15155" width="11.7109375" style="79" customWidth="1"/>
    <col min="15156" max="15156" width="9.140625" style="79"/>
    <col min="15157" max="15157" width="9.42578125" style="79" bestFit="1" customWidth="1"/>
    <col min="15158" max="15158" width="11.5703125" style="79" bestFit="1" customWidth="1"/>
    <col min="15159" max="15363" width="9.140625" style="79"/>
    <col min="15364" max="15364" width="31" style="79" customWidth="1"/>
    <col min="15365" max="15365" width="13.28515625" style="79" customWidth="1"/>
    <col min="15366" max="15366" width="14.28515625" style="79" customWidth="1"/>
    <col min="15367" max="15367" width="15.28515625" style="79" customWidth="1"/>
    <col min="15368" max="15368" width="14.28515625" style="79" customWidth="1"/>
    <col min="15369" max="15369" width="18.140625" style="79" bestFit="1" customWidth="1"/>
    <col min="15370" max="15371" width="14.28515625" style="79" customWidth="1"/>
    <col min="15372" max="15372" width="42.5703125" style="79" customWidth="1"/>
    <col min="15373" max="15384" width="11.7109375" style="79" customWidth="1"/>
    <col min="15385" max="15387" width="12.85546875" style="79" bestFit="1" customWidth="1"/>
    <col min="15388" max="15388" width="12.42578125" style="79" bestFit="1" customWidth="1"/>
    <col min="15389" max="15389" width="13" style="79" customWidth="1"/>
    <col min="15390" max="15395" width="11.7109375" style="79" customWidth="1"/>
    <col min="15396" max="15396" width="12.85546875" style="79" bestFit="1" customWidth="1"/>
    <col min="15397" max="15400" width="13" style="79" customWidth="1"/>
    <col min="15401" max="15401" width="12.7109375" style="79" customWidth="1"/>
    <col min="15402" max="15406" width="11.7109375" style="79" customWidth="1"/>
    <col min="15407" max="15407" width="14.28515625" style="79" customWidth="1"/>
    <col min="15408" max="15408" width="11.7109375" style="79" customWidth="1"/>
    <col min="15409" max="15410" width="9.140625" style="79"/>
    <col min="15411" max="15411" width="11.7109375" style="79" customWidth="1"/>
    <col min="15412" max="15412" width="9.140625" style="79"/>
    <col min="15413" max="15413" width="9.42578125" style="79" bestFit="1" customWidth="1"/>
    <col min="15414" max="15414" width="11.5703125" style="79" bestFit="1" customWidth="1"/>
    <col min="15415" max="15619" width="9.140625" style="79"/>
    <col min="15620" max="15620" width="31" style="79" customWidth="1"/>
    <col min="15621" max="15621" width="13.28515625" style="79" customWidth="1"/>
    <col min="15622" max="15622" width="14.28515625" style="79" customWidth="1"/>
    <col min="15623" max="15623" width="15.28515625" style="79" customWidth="1"/>
    <col min="15624" max="15624" width="14.28515625" style="79" customWidth="1"/>
    <col min="15625" max="15625" width="18.140625" style="79" bestFit="1" customWidth="1"/>
    <col min="15626" max="15627" width="14.28515625" style="79" customWidth="1"/>
    <col min="15628" max="15628" width="42.5703125" style="79" customWidth="1"/>
    <col min="15629" max="15640" width="11.7109375" style="79" customWidth="1"/>
    <col min="15641" max="15643" width="12.85546875" style="79" bestFit="1" customWidth="1"/>
    <col min="15644" max="15644" width="12.42578125" style="79" bestFit="1" customWidth="1"/>
    <col min="15645" max="15645" width="13" style="79" customWidth="1"/>
    <col min="15646" max="15651" width="11.7109375" style="79" customWidth="1"/>
    <col min="15652" max="15652" width="12.85546875" style="79" bestFit="1" customWidth="1"/>
    <col min="15653" max="15656" width="13" style="79" customWidth="1"/>
    <col min="15657" max="15657" width="12.7109375" style="79" customWidth="1"/>
    <col min="15658" max="15662" width="11.7109375" style="79" customWidth="1"/>
    <col min="15663" max="15663" width="14.28515625" style="79" customWidth="1"/>
    <col min="15664" max="15664" width="11.7109375" style="79" customWidth="1"/>
    <col min="15665" max="15666" width="9.140625" style="79"/>
    <col min="15667" max="15667" width="11.7109375" style="79" customWidth="1"/>
    <col min="15668" max="15668" width="9.140625" style="79"/>
    <col min="15669" max="15669" width="9.42578125" style="79" bestFit="1" customWidth="1"/>
    <col min="15670" max="15670" width="11.5703125" style="79" bestFit="1" customWidth="1"/>
    <col min="15671" max="15875" width="9.140625" style="79"/>
    <col min="15876" max="15876" width="31" style="79" customWidth="1"/>
    <col min="15877" max="15877" width="13.28515625" style="79" customWidth="1"/>
    <col min="15878" max="15878" width="14.28515625" style="79" customWidth="1"/>
    <col min="15879" max="15879" width="15.28515625" style="79" customWidth="1"/>
    <col min="15880" max="15880" width="14.28515625" style="79" customWidth="1"/>
    <col min="15881" max="15881" width="18.140625" style="79" bestFit="1" customWidth="1"/>
    <col min="15882" max="15883" width="14.28515625" style="79" customWidth="1"/>
    <col min="15884" max="15884" width="42.5703125" style="79" customWidth="1"/>
    <col min="15885" max="15896" width="11.7109375" style="79" customWidth="1"/>
    <col min="15897" max="15899" width="12.85546875" style="79" bestFit="1" customWidth="1"/>
    <col min="15900" max="15900" width="12.42578125" style="79" bestFit="1" customWidth="1"/>
    <col min="15901" max="15901" width="13" style="79" customWidth="1"/>
    <col min="15902" max="15907" width="11.7109375" style="79" customWidth="1"/>
    <col min="15908" max="15908" width="12.85546875" style="79" bestFit="1" customWidth="1"/>
    <col min="15909" max="15912" width="13" style="79" customWidth="1"/>
    <col min="15913" max="15913" width="12.7109375" style="79" customWidth="1"/>
    <col min="15914" max="15918" width="11.7109375" style="79" customWidth="1"/>
    <col min="15919" max="15919" width="14.28515625" style="79" customWidth="1"/>
    <col min="15920" max="15920" width="11.7109375" style="79" customWidth="1"/>
    <col min="15921" max="15922" width="9.140625" style="79"/>
    <col min="15923" max="15923" width="11.7109375" style="79" customWidth="1"/>
    <col min="15924" max="15924" width="9.140625" style="79"/>
    <col min="15925" max="15925" width="9.42578125" style="79" bestFit="1" customWidth="1"/>
    <col min="15926" max="15926" width="11.5703125" style="79" bestFit="1" customWidth="1"/>
    <col min="15927" max="16131" width="9.140625" style="79"/>
    <col min="16132" max="16132" width="31" style="79" customWidth="1"/>
    <col min="16133" max="16133" width="13.28515625" style="79" customWidth="1"/>
    <col min="16134" max="16134" width="14.28515625" style="79" customWidth="1"/>
    <col min="16135" max="16135" width="15.28515625" style="79" customWidth="1"/>
    <col min="16136" max="16136" width="14.28515625" style="79" customWidth="1"/>
    <col min="16137" max="16137" width="18.140625" style="79" bestFit="1" customWidth="1"/>
    <col min="16138" max="16139" width="14.28515625" style="79" customWidth="1"/>
    <col min="16140" max="16140" width="42.5703125" style="79" customWidth="1"/>
    <col min="16141" max="16152" width="11.7109375" style="79" customWidth="1"/>
    <col min="16153" max="16155" width="12.85546875" style="79" bestFit="1" customWidth="1"/>
    <col min="16156" max="16156" width="12.42578125" style="79" bestFit="1" customWidth="1"/>
    <col min="16157" max="16157" width="13" style="79" customWidth="1"/>
    <col min="16158" max="16163" width="11.7109375" style="79" customWidth="1"/>
    <col min="16164" max="16164" width="12.85546875" style="79" bestFit="1" customWidth="1"/>
    <col min="16165" max="16168" width="13" style="79" customWidth="1"/>
    <col min="16169" max="16169" width="12.7109375" style="79" customWidth="1"/>
    <col min="16170" max="16174" width="11.7109375" style="79" customWidth="1"/>
    <col min="16175" max="16175" width="14.28515625" style="79" customWidth="1"/>
    <col min="16176" max="16176" width="11.7109375" style="79" customWidth="1"/>
    <col min="16177" max="16178" width="9.140625" style="79"/>
    <col min="16179" max="16179" width="11.7109375" style="79" customWidth="1"/>
    <col min="16180" max="16180" width="9.140625" style="79"/>
    <col min="16181" max="16181" width="9.42578125" style="79" bestFit="1" customWidth="1"/>
    <col min="16182" max="16182" width="11.5703125" style="79" bestFit="1" customWidth="1"/>
    <col min="16183" max="16384" width="9.140625" style="79"/>
  </cols>
  <sheetData>
    <row r="1" spans="1:42" x14ac:dyDescent="0.25">
      <c r="B1" s="79">
        <v>8</v>
      </c>
      <c r="C1" s="1007"/>
      <c r="G1" s="1008" t="s">
        <v>550</v>
      </c>
      <c r="H1" s="1008" t="s">
        <v>551</v>
      </c>
      <c r="I1" s="1008" t="s">
        <v>552</v>
      </c>
      <c r="J1" s="1008" t="s">
        <v>553</v>
      </c>
      <c r="K1" s="1008" t="s">
        <v>554</v>
      </c>
      <c r="L1" s="1008" t="s">
        <v>555</v>
      </c>
      <c r="M1" s="1008" t="s">
        <v>556</v>
      </c>
      <c r="N1" s="1008" t="s">
        <v>557</v>
      </c>
      <c r="O1" s="1008" t="s">
        <v>558</v>
      </c>
      <c r="P1" s="1008" t="s">
        <v>559</v>
      </c>
      <c r="Q1" s="1008" t="s">
        <v>560</v>
      </c>
      <c r="R1" s="1008" t="s">
        <v>561</v>
      </c>
      <c r="S1" s="1008" t="s">
        <v>562</v>
      </c>
      <c r="T1" s="1008" t="s">
        <v>563</v>
      </c>
      <c r="U1" s="1008" t="s">
        <v>564</v>
      </c>
      <c r="V1" s="1008" t="s">
        <v>565</v>
      </c>
      <c r="W1" s="1008" t="s">
        <v>566</v>
      </c>
      <c r="X1" s="1008" t="s">
        <v>567</v>
      </c>
      <c r="Y1" s="1009" t="s">
        <v>568</v>
      </c>
      <c r="Z1" s="1009" t="s">
        <v>569</v>
      </c>
      <c r="AA1" s="1009" t="s">
        <v>570</v>
      </c>
      <c r="AB1" s="1009" t="s">
        <v>571</v>
      </c>
      <c r="AC1" s="1009" t="s">
        <v>572</v>
      </c>
      <c r="AD1" s="1009" t="s">
        <v>573</v>
      </c>
      <c r="AE1" s="1008" t="s">
        <v>574</v>
      </c>
      <c r="AF1" s="1008" t="s">
        <v>575</v>
      </c>
      <c r="AG1" s="1008" t="s">
        <v>576</v>
      </c>
      <c r="AH1" s="1008" t="s">
        <v>577</v>
      </c>
      <c r="AI1" s="1008" t="s">
        <v>578</v>
      </c>
      <c r="AJ1" s="1008" t="s">
        <v>579</v>
      </c>
      <c r="AK1" s="298" t="s">
        <v>580</v>
      </c>
      <c r="AL1" s="298" t="s">
        <v>581</v>
      </c>
      <c r="AM1" s="298" t="s">
        <v>582</v>
      </c>
      <c r="AN1" s="298" t="s">
        <v>583</v>
      </c>
      <c r="AO1" s="298" t="s">
        <v>584</v>
      </c>
      <c r="AP1" s="298" t="s">
        <v>1008</v>
      </c>
    </row>
    <row r="2" spans="1:42" ht="15.75" thickBot="1" x14ac:dyDescent="0.3">
      <c r="B2" s="1153" t="s">
        <v>895</v>
      </c>
      <c r="C2" s="1154"/>
      <c r="D2" s="1154"/>
      <c r="G2" s="1010" t="s">
        <v>268</v>
      </c>
      <c r="H2" s="1010" t="s">
        <v>268</v>
      </c>
      <c r="I2" s="1010" t="s">
        <v>268</v>
      </c>
      <c r="J2" s="1010" t="s">
        <v>268</v>
      </c>
      <c r="K2" s="1010" t="s">
        <v>268</v>
      </c>
      <c r="L2" s="1010" t="s">
        <v>268</v>
      </c>
      <c r="M2" s="1010" t="s">
        <v>268</v>
      </c>
      <c r="N2" s="1010" t="s">
        <v>268</v>
      </c>
      <c r="O2" s="1010" t="s">
        <v>268</v>
      </c>
      <c r="P2" s="1010" t="s">
        <v>268</v>
      </c>
      <c r="Q2" s="1010" t="s">
        <v>268</v>
      </c>
      <c r="R2" s="1010" t="s">
        <v>268</v>
      </c>
      <c r="S2" s="1011" t="s">
        <v>162</v>
      </c>
      <c r="T2" s="1011" t="s">
        <v>162</v>
      </c>
      <c r="U2" s="1011" t="s">
        <v>162</v>
      </c>
      <c r="V2" s="1011" t="s">
        <v>162</v>
      </c>
      <c r="W2" s="1011" t="s">
        <v>162</v>
      </c>
      <c r="X2" s="1011" t="s">
        <v>162</v>
      </c>
      <c r="Y2" s="1011" t="s">
        <v>162</v>
      </c>
      <c r="Z2" s="1011" t="s">
        <v>162</v>
      </c>
      <c r="AA2" s="1011" t="s">
        <v>162</v>
      </c>
      <c r="AB2" s="1011" t="s">
        <v>162</v>
      </c>
      <c r="AC2" s="1011" t="s">
        <v>162</v>
      </c>
      <c r="AD2" s="1011" t="s">
        <v>162</v>
      </c>
      <c r="AE2" s="1012" t="s">
        <v>476</v>
      </c>
      <c r="AF2" s="1012" t="s">
        <v>476</v>
      </c>
      <c r="AG2" s="1012" t="s">
        <v>476</v>
      </c>
      <c r="AH2" s="1012" t="s">
        <v>476</v>
      </c>
      <c r="AI2" s="1012" t="s">
        <v>476</v>
      </c>
      <c r="AJ2" s="1012" t="s">
        <v>476</v>
      </c>
      <c r="AK2" s="1012" t="s">
        <v>476</v>
      </c>
      <c r="AL2" s="1012" t="s">
        <v>476</v>
      </c>
      <c r="AM2" s="1012" t="s">
        <v>476</v>
      </c>
      <c r="AN2" s="1012" t="s">
        <v>476</v>
      </c>
      <c r="AO2" s="1012" t="s">
        <v>476</v>
      </c>
      <c r="AP2" s="1012" t="s">
        <v>476</v>
      </c>
    </row>
    <row r="3" spans="1:42" x14ac:dyDescent="0.25">
      <c r="B3" s="1013" t="s">
        <v>449</v>
      </c>
      <c r="C3" s="1014" t="s">
        <v>477</v>
      </c>
      <c r="D3" s="1013" t="s">
        <v>163</v>
      </c>
      <c r="G3" s="1015">
        <f>SBR!O4</f>
        <v>42430</v>
      </c>
      <c r="H3" s="1015">
        <f>SBR!P4</f>
        <v>42461</v>
      </c>
      <c r="I3" s="1015">
        <f>SBR!Q4</f>
        <v>42491</v>
      </c>
      <c r="J3" s="1015">
        <f>SBR!R4</f>
        <v>42522</v>
      </c>
      <c r="K3" s="1015">
        <f>SBR!S4</f>
        <v>42552</v>
      </c>
      <c r="L3" s="1015">
        <f>SBR!T4</f>
        <v>42583</v>
      </c>
      <c r="M3" s="1015">
        <f>SBR!U4</f>
        <v>42614</v>
      </c>
      <c r="N3" s="1015">
        <f>SBR!V4</f>
        <v>42644</v>
      </c>
      <c r="O3" s="1015">
        <f>SBR!W4</f>
        <v>42675</v>
      </c>
      <c r="P3" s="1015">
        <f>SBR!X4</f>
        <v>42705</v>
      </c>
      <c r="Q3" s="1015">
        <f>SBR!Y4</f>
        <v>42736</v>
      </c>
      <c r="R3" s="1015">
        <f>SBR!Z4</f>
        <v>42767</v>
      </c>
      <c r="S3" s="1015">
        <f t="shared" ref="S3:Y3" si="0">G3</f>
        <v>42430</v>
      </c>
      <c r="T3" s="1015">
        <f t="shared" si="0"/>
        <v>42461</v>
      </c>
      <c r="U3" s="1015">
        <f t="shared" si="0"/>
        <v>42491</v>
      </c>
      <c r="V3" s="1015">
        <f t="shared" si="0"/>
        <v>42522</v>
      </c>
      <c r="W3" s="1015">
        <f t="shared" si="0"/>
        <v>42552</v>
      </c>
      <c r="X3" s="1015">
        <f t="shared" si="0"/>
        <v>42583</v>
      </c>
      <c r="Y3" s="1015">
        <f t="shared" si="0"/>
        <v>42614</v>
      </c>
      <c r="Z3" s="1015">
        <f>N3</f>
        <v>42644</v>
      </c>
      <c r="AA3" s="1015">
        <f>O3</f>
        <v>42675</v>
      </c>
      <c r="AB3" s="1015">
        <f>P3</f>
        <v>42705</v>
      </c>
      <c r="AC3" s="1015">
        <f>Q3</f>
        <v>42736</v>
      </c>
      <c r="AD3" s="1015">
        <f>R3</f>
        <v>42767</v>
      </c>
      <c r="AE3" s="1015">
        <f t="shared" ref="AE3:AK3" si="1">S3</f>
        <v>42430</v>
      </c>
      <c r="AF3" s="1015">
        <f t="shared" si="1"/>
        <v>42461</v>
      </c>
      <c r="AG3" s="1015">
        <f t="shared" si="1"/>
        <v>42491</v>
      </c>
      <c r="AH3" s="1015">
        <f t="shared" si="1"/>
        <v>42522</v>
      </c>
      <c r="AI3" s="1015">
        <f t="shared" si="1"/>
        <v>42552</v>
      </c>
      <c r="AJ3" s="1015">
        <f t="shared" si="1"/>
        <v>42583</v>
      </c>
      <c r="AK3" s="1015">
        <f t="shared" si="1"/>
        <v>42614</v>
      </c>
      <c r="AL3" s="1015">
        <f>Z3</f>
        <v>42644</v>
      </c>
      <c r="AM3" s="1015">
        <f>AA3</f>
        <v>42675</v>
      </c>
      <c r="AN3" s="1015">
        <f>AB3</f>
        <v>42705</v>
      </c>
      <c r="AO3" s="1015">
        <f>AC3</f>
        <v>42736</v>
      </c>
      <c r="AP3" s="1015">
        <f>AD3</f>
        <v>42767</v>
      </c>
    </row>
    <row r="5" spans="1:42" x14ac:dyDescent="0.25">
      <c r="A5" s="79" t="s">
        <v>409</v>
      </c>
      <c r="B5" s="1016">
        <f>SUM(G5:R5)</f>
        <v>3551605</v>
      </c>
      <c r="C5" s="494">
        <f>SUM(S5:AD5)</f>
        <v>20278261.048166733</v>
      </c>
      <c r="D5" s="1017">
        <f>SUM(AE5:AP5)+SBR!BG9</f>
        <v>212693838.55999997</v>
      </c>
      <c r="F5" s="79" t="s">
        <v>409</v>
      </c>
      <c r="G5" s="81">
        <f>SBR!O9</f>
        <v>302897</v>
      </c>
      <c r="H5" s="81">
        <f>SBR!P9</f>
        <v>295507</v>
      </c>
      <c r="I5" s="81">
        <f>SBR!Q9</f>
        <v>295351</v>
      </c>
      <c r="J5" s="81">
        <f>SBR!R9</f>
        <v>295210</v>
      </c>
      <c r="K5" s="81">
        <f>SBR!S9</f>
        <v>293845</v>
      </c>
      <c r="L5" s="81">
        <f>SBR!T9</f>
        <v>295295</v>
      </c>
      <c r="M5" s="81">
        <f>SBR!U9</f>
        <v>294106</v>
      </c>
      <c r="N5" s="81">
        <f>SBR!V9</f>
        <v>294431</v>
      </c>
      <c r="O5" s="81">
        <f>SBR!W9</f>
        <v>295094</v>
      </c>
      <c r="P5" s="81">
        <f>SBR!X9</f>
        <v>296171</v>
      </c>
      <c r="Q5" s="81">
        <f>SBR!Y9</f>
        <v>296728</v>
      </c>
      <c r="R5" s="81">
        <f>SBR!Z9</f>
        <v>296970</v>
      </c>
      <c r="S5" s="1018">
        <f>+SBR!AA9</f>
        <v>2494960.7999999998</v>
      </c>
      <c r="T5" s="1018">
        <f>+SBR!AB9</f>
        <v>1423366.9000000001</v>
      </c>
      <c r="U5" s="1018">
        <f>+SBR!AC9</f>
        <v>731399.20000000007</v>
      </c>
      <c r="V5" s="1018">
        <f>+SBR!AD9</f>
        <v>519534.60000000003</v>
      </c>
      <c r="W5" s="1018">
        <f>+SBR!AE9</f>
        <v>363608.60000000003</v>
      </c>
      <c r="X5" s="1018">
        <f>+SBR!AF9</f>
        <v>331305.90000000002</v>
      </c>
      <c r="Y5" s="1018">
        <f>+SBR!AG9</f>
        <v>363855.45416885562</v>
      </c>
      <c r="Z5" s="1018">
        <f>+SBR!AH9</f>
        <v>722266.42400200339</v>
      </c>
      <c r="AA5" s="1018">
        <f>+SBR!AI9</f>
        <v>1883953.0908036353</v>
      </c>
      <c r="AB5" s="1018">
        <f>+SBR!AJ9</f>
        <v>3470093.0340371616</v>
      </c>
      <c r="AC5" s="1018">
        <f>+SBR!AK9</f>
        <v>4319797.5752255926</v>
      </c>
      <c r="AD5" s="1018">
        <f>+SBR!AL9</f>
        <v>3654119.4699294851</v>
      </c>
      <c r="AE5" s="1018">
        <f>+SBR!AM9</f>
        <v>22312626.180000003</v>
      </c>
      <c r="AF5" s="1018">
        <f>+SBR!AN9</f>
        <v>15232660.639999999</v>
      </c>
      <c r="AG5" s="1018">
        <f>+SBR!AO9</f>
        <v>10104989.109999999</v>
      </c>
      <c r="AH5" s="1018">
        <f>+SBR!AP9</f>
        <v>8874726.7300000004</v>
      </c>
      <c r="AI5" s="1018">
        <f>+SBR!AQ9</f>
        <v>7837487.79</v>
      </c>
      <c r="AJ5" s="1018">
        <f>+SBR!AR9</f>
        <v>7713704.3100000005</v>
      </c>
      <c r="AK5" s="1018">
        <f>+SBR!AS9</f>
        <v>7889594.2199999997</v>
      </c>
      <c r="AL5" s="1018">
        <f>+SBR!AT9</f>
        <v>10612530.07</v>
      </c>
      <c r="AM5" s="1018">
        <f>+SBR!AU9</f>
        <v>19726099.350000001</v>
      </c>
      <c r="AN5" s="1018">
        <f>+SBR!AV9</f>
        <v>32109466.449999999</v>
      </c>
      <c r="AO5" s="1018">
        <f>+SBR!AW9</f>
        <v>36890539.75</v>
      </c>
      <c r="AP5" s="1018">
        <f>+SBR!AX9</f>
        <v>33332630.050000001</v>
      </c>
    </row>
    <row r="6" spans="1:42" x14ac:dyDescent="0.25">
      <c r="A6" s="1019" t="s">
        <v>410</v>
      </c>
      <c r="B6" s="80">
        <f>SUM(B5:B5)</f>
        <v>3551605</v>
      </c>
      <c r="C6" s="495">
        <f>SUM(C5:C5)</f>
        <v>20278261.048166733</v>
      </c>
      <c r="D6" s="1020">
        <f>SUM(D5)</f>
        <v>212693838.55999997</v>
      </c>
      <c r="F6" s="1019" t="s">
        <v>478</v>
      </c>
      <c r="G6" s="80">
        <f>SUM(G5:G5)</f>
        <v>302897</v>
      </c>
      <c r="H6" s="80">
        <f t="shared" ref="H6:R6" si="2">SUM(H5:H5)</f>
        <v>295507</v>
      </c>
      <c r="I6" s="80">
        <f t="shared" si="2"/>
        <v>295351</v>
      </c>
      <c r="J6" s="80">
        <f t="shared" si="2"/>
        <v>295210</v>
      </c>
      <c r="K6" s="80">
        <f t="shared" si="2"/>
        <v>293845</v>
      </c>
      <c r="L6" s="80">
        <f t="shared" si="2"/>
        <v>295295</v>
      </c>
      <c r="M6" s="80">
        <f t="shared" si="2"/>
        <v>294106</v>
      </c>
      <c r="N6" s="80">
        <f t="shared" si="2"/>
        <v>294431</v>
      </c>
      <c r="O6" s="80">
        <f t="shared" si="2"/>
        <v>295094</v>
      </c>
      <c r="P6" s="80">
        <f t="shared" si="2"/>
        <v>296171</v>
      </c>
      <c r="Q6" s="80">
        <f t="shared" si="2"/>
        <v>296728</v>
      </c>
      <c r="R6" s="80">
        <f t="shared" si="2"/>
        <v>296970</v>
      </c>
      <c r="S6" s="495">
        <f>SUM(S5:S5)</f>
        <v>2494960.7999999998</v>
      </c>
      <c r="T6" s="495">
        <f t="shared" ref="T6:AD6" si="3">SUM(T5:T5)</f>
        <v>1423366.9000000001</v>
      </c>
      <c r="U6" s="495">
        <f t="shared" si="3"/>
        <v>731399.20000000007</v>
      </c>
      <c r="V6" s="495">
        <f t="shared" si="3"/>
        <v>519534.60000000003</v>
      </c>
      <c r="W6" s="495">
        <f t="shared" si="3"/>
        <v>363608.60000000003</v>
      </c>
      <c r="X6" s="495">
        <f t="shared" si="3"/>
        <v>331305.90000000002</v>
      </c>
      <c r="Y6" s="495">
        <f t="shared" si="3"/>
        <v>363855.45416885562</v>
      </c>
      <c r="Z6" s="495">
        <f t="shared" si="3"/>
        <v>722266.42400200339</v>
      </c>
      <c r="AA6" s="495">
        <f t="shared" si="3"/>
        <v>1883953.0908036353</v>
      </c>
      <c r="AB6" s="495">
        <f t="shared" si="3"/>
        <v>3470093.0340371616</v>
      </c>
      <c r="AC6" s="495">
        <f t="shared" si="3"/>
        <v>4319797.5752255926</v>
      </c>
      <c r="AD6" s="495">
        <f t="shared" si="3"/>
        <v>3654119.4699294851</v>
      </c>
      <c r="AE6" s="495">
        <f>SUM(AE5:AE5)</f>
        <v>22312626.180000003</v>
      </c>
      <c r="AF6" s="495">
        <f t="shared" ref="AF6:AP6" si="4">SUM(AF5:AF5)</f>
        <v>15232660.639999999</v>
      </c>
      <c r="AG6" s="495">
        <f t="shared" si="4"/>
        <v>10104989.109999999</v>
      </c>
      <c r="AH6" s="495">
        <f t="shared" si="4"/>
        <v>8874726.7300000004</v>
      </c>
      <c r="AI6" s="495">
        <f t="shared" si="4"/>
        <v>7837487.79</v>
      </c>
      <c r="AJ6" s="495">
        <f t="shared" si="4"/>
        <v>7713704.3100000005</v>
      </c>
      <c r="AK6" s="495">
        <f t="shared" si="4"/>
        <v>7889594.2199999997</v>
      </c>
      <c r="AL6" s="495">
        <f t="shared" si="4"/>
        <v>10612530.07</v>
      </c>
      <c r="AM6" s="495">
        <f t="shared" si="4"/>
        <v>19726099.350000001</v>
      </c>
      <c r="AN6" s="495">
        <f t="shared" si="4"/>
        <v>32109466.449999999</v>
      </c>
      <c r="AO6" s="495">
        <f t="shared" si="4"/>
        <v>36890539.75</v>
      </c>
      <c r="AP6" s="495">
        <f t="shared" si="4"/>
        <v>33332630.050000001</v>
      </c>
    </row>
    <row r="7" spans="1:42" x14ac:dyDescent="0.25">
      <c r="S7" s="495"/>
      <c r="T7" s="495"/>
      <c r="U7" s="495"/>
      <c r="V7" s="495"/>
      <c r="W7" s="495"/>
      <c r="X7" s="495"/>
      <c r="AE7" s="80"/>
      <c r="AF7" s="80"/>
    </row>
    <row r="8" spans="1:42" x14ac:dyDescent="0.25">
      <c r="A8" s="79" t="s">
        <v>411</v>
      </c>
      <c r="B8" s="1021">
        <f>SUM(G8:R8)</f>
        <v>304822</v>
      </c>
      <c r="C8" s="496">
        <f>SUM(S8:AD8)</f>
        <v>10450338.021582553</v>
      </c>
      <c r="D8" s="80">
        <f>SUM(AE8:AP8)+SBR!BG11</f>
        <v>88433324.969999999</v>
      </c>
      <c r="F8" s="79" t="s">
        <v>411</v>
      </c>
      <c r="G8" s="1022">
        <f>SUM(SBR!O11:O13)</f>
        <v>26610</v>
      </c>
      <c r="H8" s="1022">
        <f>SUM(SBR!P11:P13)</f>
        <v>25901</v>
      </c>
      <c r="I8" s="1022">
        <f>SUM(SBR!Q11:Q13)</f>
        <v>25789</v>
      </c>
      <c r="J8" s="1022">
        <f>SUM(SBR!R11:R13)</f>
        <v>25449</v>
      </c>
      <c r="K8" s="1022">
        <f>SUM(SBR!S11:S13)</f>
        <v>25096</v>
      </c>
      <c r="L8" s="1022">
        <f>SUM(SBR!T11:T13)</f>
        <v>25494</v>
      </c>
      <c r="M8" s="1022">
        <f>SUM(SBR!U11:U13)</f>
        <v>24768</v>
      </c>
      <c r="N8" s="1022">
        <f>SUM(SBR!V11:V13)</f>
        <v>24842</v>
      </c>
      <c r="O8" s="1022">
        <f>SUM(SBR!W11:W13)</f>
        <v>25028</v>
      </c>
      <c r="P8" s="1022">
        <f>SUM(SBR!X11:X13)</f>
        <v>25221</v>
      </c>
      <c r="Q8" s="1022">
        <f>SUM(SBR!Y11:Y13)</f>
        <v>25307</v>
      </c>
      <c r="R8" s="1022">
        <f>SUM(SBR!Z11:Z13)</f>
        <v>25317</v>
      </c>
      <c r="S8" s="1022">
        <f>SUM(SBR!AA11:AA13)</f>
        <v>1282115.9000000001</v>
      </c>
      <c r="T8" s="1022">
        <f>SUM(SBR!AB11:AB13)</f>
        <v>744156.9</v>
      </c>
      <c r="U8" s="1022">
        <f>SUM(SBR!AC11:AC13)</f>
        <v>449054.10000000003</v>
      </c>
      <c r="V8" s="1022">
        <f>SUM(SBR!AD11:AD13)</f>
        <v>346622.1</v>
      </c>
      <c r="W8" s="1022">
        <f>SUM(SBR!AE11:AE13)</f>
        <v>272996.2</v>
      </c>
      <c r="X8" s="1022">
        <f>SUM(SBR!AF11:AF13)</f>
        <v>267193.3</v>
      </c>
      <c r="Y8" s="1022">
        <f>SUM(SBR!AG11:AG13)</f>
        <v>310402.25138373737</v>
      </c>
      <c r="Z8" s="1022">
        <f>SUM(SBR!AH11:AH13)</f>
        <v>484959.01726457366</v>
      </c>
      <c r="AA8" s="1022">
        <f>SUM(SBR!AI11:AI13)</f>
        <v>876743.95007889124</v>
      </c>
      <c r="AB8" s="1022">
        <f>SUM(SBR!AJ11:AJ13)</f>
        <v>1595633.2951940682</v>
      </c>
      <c r="AC8" s="1022">
        <f>SUM(SBR!AK11:AK13)</f>
        <v>2046212.8491911271</v>
      </c>
      <c r="AD8" s="1022">
        <f>SUM(SBR!AL11:AL13)</f>
        <v>1774248.1584701554</v>
      </c>
      <c r="AE8" s="1022">
        <f>SUM(SBR!AM11:AM13)</f>
        <v>9247749.8200000003</v>
      </c>
      <c r="AF8" s="1022">
        <f>SUM(SBR!AN11:AN13)</f>
        <v>6072385.0499999998</v>
      </c>
      <c r="AG8" s="1022">
        <f>SUM(SBR!AO11:AO13)</f>
        <v>4269011.54</v>
      </c>
      <c r="AH8" s="1022">
        <f>SUM(SBR!AP11:AP13)</f>
        <v>3754371.1199999996</v>
      </c>
      <c r="AI8" s="1022">
        <f>SUM(SBR!AQ11:AQ13)</f>
        <v>3330902.8</v>
      </c>
      <c r="AJ8" s="1022">
        <f>SUM(SBR!AR11:AR13)</f>
        <v>3378265.0300000003</v>
      </c>
      <c r="AK8" s="1022">
        <f>SUM(SBR!AS11:AS13)</f>
        <v>3625838</v>
      </c>
      <c r="AL8" s="1022">
        <f>SUM(SBR!AT11:AT13)</f>
        <v>4868984</v>
      </c>
      <c r="AM8" s="1022">
        <f>SUM(SBR!AU11:AU13)</f>
        <v>7783689.3700000001</v>
      </c>
      <c r="AN8" s="1022">
        <f>SUM(SBR!AV11:AV13)</f>
        <v>12882748.310000001</v>
      </c>
      <c r="AO8" s="1022">
        <f>SUM(SBR!AW11:AW13)</f>
        <v>15178775.23</v>
      </c>
      <c r="AP8" s="1022">
        <f>SUM(SBR!AX11:AX13)</f>
        <v>14016636.16</v>
      </c>
    </row>
    <row r="9" spans="1:42" x14ac:dyDescent="0.25">
      <c r="A9" s="79" t="s">
        <v>412</v>
      </c>
      <c r="B9" s="1021">
        <f>SUM(G9:R9)</f>
        <v>0</v>
      </c>
      <c r="C9" s="496">
        <f>SUM(S9:AD9)</f>
        <v>0</v>
      </c>
      <c r="D9" s="80">
        <f>SUM(AE9:AP9)+SBR!BG57</f>
        <v>0</v>
      </c>
      <c r="E9" s="1023"/>
      <c r="F9" s="1023" t="s">
        <v>479</v>
      </c>
      <c r="G9" s="996">
        <f>SBR!O57</f>
        <v>0</v>
      </c>
      <c r="H9" s="996">
        <f>SBR!P57</f>
        <v>0</v>
      </c>
      <c r="I9" s="996">
        <f>SBR!Q57</f>
        <v>0</v>
      </c>
      <c r="J9" s="996">
        <f>SBR!R57</f>
        <v>0</v>
      </c>
      <c r="K9" s="996">
        <f>SBR!S57</f>
        <v>0</v>
      </c>
      <c r="L9" s="996">
        <f>SBR!T57</f>
        <v>0</v>
      </c>
      <c r="M9" s="996">
        <f>SBR!U57</f>
        <v>0</v>
      </c>
      <c r="N9" s="996">
        <f>SBR!V57</f>
        <v>0</v>
      </c>
      <c r="O9" s="996">
        <f>SBR!W57</f>
        <v>0</v>
      </c>
      <c r="P9" s="996">
        <f>SBR!X57</f>
        <v>0</v>
      </c>
      <c r="Q9" s="996">
        <f>SBR!Y57</f>
        <v>0</v>
      </c>
      <c r="R9" s="996">
        <f>SBR!Z57</f>
        <v>0</v>
      </c>
      <c r="S9" s="996">
        <f>SBR!AA57</f>
        <v>0</v>
      </c>
      <c r="T9" s="996">
        <f>SBR!AB57</f>
        <v>0</v>
      </c>
      <c r="U9" s="996">
        <f>SBR!AC57</f>
        <v>0</v>
      </c>
      <c r="V9" s="996">
        <f>SBR!AD57</f>
        <v>0</v>
      </c>
      <c r="W9" s="996">
        <f>SBR!AE57</f>
        <v>0</v>
      </c>
      <c r="X9" s="996">
        <f>SBR!AF57</f>
        <v>0</v>
      </c>
      <c r="Y9" s="996">
        <f>SBR!AG57</f>
        <v>0</v>
      </c>
      <c r="Z9" s="996">
        <f>SBR!AH57</f>
        <v>0</v>
      </c>
      <c r="AA9" s="996">
        <f>SBR!AI57</f>
        <v>0</v>
      </c>
      <c r="AB9" s="996">
        <f>SBR!AJ57</f>
        <v>0</v>
      </c>
      <c r="AC9" s="996">
        <f>SBR!AK57</f>
        <v>0</v>
      </c>
      <c r="AD9" s="996">
        <f>SBR!AL57</f>
        <v>0</v>
      </c>
      <c r="AE9" s="996">
        <f>SBR!AM57</f>
        <v>0</v>
      </c>
      <c r="AF9" s="996">
        <f>SBR!AN57</f>
        <v>0</v>
      </c>
      <c r="AG9" s="996">
        <f>SBR!AO57</f>
        <v>0</v>
      </c>
      <c r="AH9" s="996">
        <f>SBR!AP57</f>
        <v>0</v>
      </c>
      <c r="AI9" s="996">
        <f>SBR!AQ57</f>
        <v>0</v>
      </c>
      <c r="AJ9" s="996">
        <f>SBR!AR57</f>
        <v>0</v>
      </c>
      <c r="AK9" s="996">
        <f>SBR!AS57</f>
        <v>0</v>
      </c>
      <c r="AL9" s="996">
        <f>SBR!AT57</f>
        <v>0</v>
      </c>
      <c r="AM9" s="996">
        <f>SBR!AU57</f>
        <v>0</v>
      </c>
      <c r="AN9" s="996">
        <f>SBR!AV57</f>
        <v>0</v>
      </c>
      <c r="AO9" s="996">
        <f>SBR!AW57</f>
        <v>0</v>
      </c>
      <c r="AP9" s="996">
        <f>SBR!AX57</f>
        <v>0</v>
      </c>
    </row>
    <row r="10" spans="1:42" x14ac:dyDescent="0.25">
      <c r="A10" s="79" t="s">
        <v>790</v>
      </c>
      <c r="B10" s="1016">
        <f>SUM(G10:R10)</f>
        <v>0</v>
      </c>
      <c r="C10" s="494">
        <f>SUM(S10:AD10)</f>
        <v>0</v>
      </c>
      <c r="D10" s="81">
        <f>SUM(AE10:AP10)+SBR!BG13</f>
        <v>168.52</v>
      </c>
      <c r="G10" s="81">
        <f>SBR!O14</f>
        <v>0</v>
      </c>
      <c r="H10" s="81">
        <f>SBR!P14</f>
        <v>0</v>
      </c>
      <c r="I10" s="81">
        <f>SBR!Q14</f>
        <v>0</v>
      </c>
      <c r="J10" s="81">
        <f>SBR!R14</f>
        <v>0</v>
      </c>
      <c r="K10" s="81">
        <f>SBR!S14</f>
        <v>0</v>
      </c>
      <c r="L10" s="81">
        <f>SBR!T14</f>
        <v>0</v>
      </c>
      <c r="M10" s="81">
        <f>SBR!U14</f>
        <v>0</v>
      </c>
      <c r="N10" s="81">
        <f>SBR!V14</f>
        <v>0</v>
      </c>
      <c r="O10" s="81">
        <f>SBR!W14</f>
        <v>0</v>
      </c>
      <c r="P10" s="81">
        <f>SBR!X14</f>
        <v>0</v>
      </c>
      <c r="Q10" s="81">
        <f>SBR!Y14</f>
        <v>0</v>
      </c>
      <c r="R10" s="81">
        <f>SBR!Z14</f>
        <v>0</v>
      </c>
      <c r="S10" s="81">
        <f>SBR!AA14</f>
        <v>0</v>
      </c>
      <c r="T10" s="81">
        <f>SBR!AB14</f>
        <v>0</v>
      </c>
      <c r="U10" s="81">
        <f>SBR!AC14</f>
        <v>0</v>
      </c>
      <c r="V10" s="81">
        <f>SBR!AD14</f>
        <v>0</v>
      </c>
      <c r="W10" s="81">
        <f>SBR!AE14</f>
        <v>0</v>
      </c>
      <c r="X10" s="81">
        <f>SBR!AF14</f>
        <v>0</v>
      </c>
      <c r="Y10" s="81">
        <f>SBR!AG14</f>
        <v>0</v>
      </c>
      <c r="Z10" s="81">
        <f>SBR!AH14</f>
        <v>0</v>
      </c>
      <c r="AA10" s="81">
        <f>SBR!AI14</f>
        <v>0</v>
      </c>
      <c r="AB10" s="81">
        <f>SBR!AJ14</f>
        <v>0</v>
      </c>
      <c r="AC10" s="81">
        <f>SBR!AK14</f>
        <v>0</v>
      </c>
      <c r="AD10" s="81">
        <f>SBR!AL14</f>
        <v>0</v>
      </c>
      <c r="AE10" s="81">
        <f>SBR!AM14</f>
        <v>0</v>
      </c>
      <c r="AF10" s="81">
        <f>SBR!AN14</f>
        <v>0</v>
      </c>
      <c r="AG10" s="81">
        <f>SBR!AO14</f>
        <v>0</v>
      </c>
      <c r="AH10" s="81">
        <f>SBR!AP14</f>
        <v>0</v>
      </c>
      <c r="AI10" s="81">
        <f>SBR!AQ14</f>
        <v>0</v>
      </c>
      <c r="AJ10" s="81">
        <f>SBR!AR14</f>
        <v>0</v>
      </c>
      <c r="AK10" s="81">
        <f>SBR!AS14</f>
        <v>0</v>
      </c>
      <c r="AL10" s="81">
        <f>SBR!AT14</f>
        <v>0</v>
      </c>
      <c r="AM10" s="81">
        <f>SBR!AU14</f>
        <v>0</v>
      </c>
      <c r="AN10" s="81">
        <f>SBR!AV14</f>
        <v>0</v>
      </c>
      <c r="AO10" s="81">
        <f>SBR!AW14</f>
        <v>0</v>
      </c>
      <c r="AP10" s="81">
        <f>SBR!AX14</f>
        <v>0</v>
      </c>
    </row>
    <row r="11" spans="1:42" x14ac:dyDescent="0.25">
      <c r="A11" s="1019" t="s">
        <v>413</v>
      </c>
      <c r="B11" s="1021">
        <f>SUM(B8:B10)</f>
        <v>304822</v>
      </c>
      <c r="C11" s="496">
        <f>SUM(C8:C10)</f>
        <v>10450338.021582553</v>
      </c>
      <c r="D11" s="1006">
        <f>SUM(D8:D10)</f>
        <v>88433493.489999995</v>
      </c>
      <c r="F11" s="1019" t="s">
        <v>480</v>
      </c>
      <c r="G11" s="80">
        <f t="shared" ref="G11:AP11" si="5">SUM(G8:G10)</f>
        <v>26610</v>
      </c>
      <c r="H11" s="80">
        <f t="shared" si="5"/>
        <v>25901</v>
      </c>
      <c r="I11" s="80">
        <f t="shared" si="5"/>
        <v>25789</v>
      </c>
      <c r="J11" s="80">
        <f t="shared" si="5"/>
        <v>25449</v>
      </c>
      <c r="K11" s="80">
        <f t="shared" si="5"/>
        <v>25096</v>
      </c>
      <c r="L11" s="80">
        <f t="shared" si="5"/>
        <v>25494</v>
      </c>
      <c r="M11" s="80">
        <f t="shared" si="5"/>
        <v>24768</v>
      </c>
      <c r="N11" s="80">
        <f t="shared" si="5"/>
        <v>24842</v>
      </c>
      <c r="O11" s="80">
        <f t="shared" si="5"/>
        <v>25028</v>
      </c>
      <c r="P11" s="80">
        <f t="shared" si="5"/>
        <v>25221</v>
      </c>
      <c r="Q11" s="80">
        <f t="shared" si="5"/>
        <v>25307</v>
      </c>
      <c r="R11" s="80">
        <f t="shared" si="5"/>
        <v>25317</v>
      </c>
      <c r="S11" s="495">
        <f t="shared" si="5"/>
        <v>1282115.9000000001</v>
      </c>
      <c r="T11" s="495">
        <f t="shared" si="5"/>
        <v>744156.9</v>
      </c>
      <c r="U11" s="495">
        <f t="shared" si="5"/>
        <v>449054.10000000003</v>
      </c>
      <c r="V11" s="495">
        <f t="shared" si="5"/>
        <v>346622.1</v>
      </c>
      <c r="W11" s="495">
        <f t="shared" si="5"/>
        <v>272996.2</v>
      </c>
      <c r="X11" s="495">
        <f t="shared" si="5"/>
        <v>267193.3</v>
      </c>
      <c r="Y11" s="495">
        <f t="shared" si="5"/>
        <v>310402.25138373737</v>
      </c>
      <c r="Z11" s="495">
        <f t="shared" si="5"/>
        <v>484959.01726457366</v>
      </c>
      <c r="AA11" s="495">
        <f t="shared" si="5"/>
        <v>876743.95007889124</v>
      </c>
      <c r="AB11" s="495">
        <f t="shared" si="5"/>
        <v>1595633.2951940682</v>
      </c>
      <c r="AC11" s="495">
        <f t="shared" si="5"/>
        <v>2046212.8491911271</v>
      </c>
      <c r="AD11" s="495">
        <f t="shared" si="5"/>
        <v>1774248.1584701554</v>
      </c>
      <c r="AE11" s="495">
        <f t="shared" si="5"/>
        <v>9247749.8200000003</v>
      </c>
      <c r="AF11" s="495">
        <f t="shared" si="5"/>
        <v>6072385.0499999998</v>
      </c>
      <c r="AG11" s="495">
        <f t="shared" si="5"/>
        <v>4269011.54</v>
      </c>
      <c r="AH11" s="495">
        <f t="shared" si="5"/>
        <v>3754371.1199999996</v>
      </c>
      <c r="AI11" s="495">
        <f t="shared" si="5"/>
        <v>3330902.8</v>
      </c>
      <c r="AJ11" s="495">
        <f t="shared" si="5"/>
        <v>3378265.0300000003</v>
      </c>
      <c r="AK11" s="495">
        <f t="shared" si="5"/>
        <v>3625838</v>
      </c>
      <c r="AL11" s="495">
        <f t="shared" si="5"/>
        <v>4868984</v>
      </c>
      <c r="AM11" s="495">
        <f t="shared" si="5"/>
        <v>7783689.3700000001</v>
      </c>
      <c r="AN11" s="495">
        <f t="shared" si="5"/>
        <v>12882748.310000001</v>
      </c>
      <c r="AO11" s="495">
        <f t="shared" si="5"/>
        <v>15178775.23</v>
      </c>
      <c r="AP11" s="495">
        <f t="shared" si="5"/>
        <v>14016636.16</v>
      </c>
    </row>
    <row r="12" spans="1:42" x14ac:dyDescent="0.25">
      <c r="S12" s="495"/>
      <c r="T12" s="495"/>
      <c r="U12" s="495"/>
      <c r="V12" s="495"/>
      <c r="W12" s="495"/>
      <c r="X12" s="495"/>
      <c r="AE12" s="80"/>
      <c r="AF12" s="80"/>
    </row>
    <row r="13" spans="1:42" x14ac:dyDescent="0.25">
      <c r="A13" s="79" t="s">
        <v>414</v>
      </c>
      <c r="B13" s="1021">
        <f>SUM(G13:R13)</f>
        <v>2915</v>
      </c>
      <c r="C13" s="496">
        <f>SUM(S13:AD13)</f>
        <v>1401223.2374288812</v>
      </c>
      <c r="D13" s="80">
        <f>SUM(AE13:AP13)+SBR!BG18+SBR!BG19</f>
        <v>9703516.0600000005</v>
      </c>
      <c r="F13" s="79" t="s">
        <v>414</v>
      </c>
      <c r="G13" s="80">
        <f>SBR!O18+SBR!O19</f>
        <v>247</v>
      </c>
      <c r="H13" s="80">
        <f>SBR!P18+SBR!P19</f>
        <v>245</v>
      </c>
      <c r="I13" s="80">
        <f>SBR!Q18+SBR!Q19</f>
        <v>238</v>
      </c>
      <c r="J13" s="80">
        <f>SBR!R18+SBR!R19</f>
        <v>237</v>
      </c>
      <c r="K13" s="80">
        <f>SBR!S18+SBR!S19</f>
        <v>239</v>
      </c>
      <c r="L13" s="80">
        <f>SBR!T18+SBR!T19</f>
        <v>176</v>
      </c>
      <c r="M13" s="80">
        <f>SBR!U18+SBR!U19</f>
        <v>254</v>
      </c>
      <c r="N13" s="80">
        <f>SBR!V18+SBR!V19</f>
        <v>255</v>
      </c>
      <c r="O13" s="80">
        <f>SBR!W18+SBR!W19</f>
        <v>255</v>
      </c>
      <c r="P13" s="80">
        <f>SBR!X18+SBR!X19</f>
        <v>256</v>
      </c>
      <c r="Q13" s="80">
        <f>SBR!Y18+SBR!Y19</f>
        <v>256</v>
      </c>
      <c r="R13" s="80">
        <f>SBR!Z18+SBR!Z19</f>
        <v>257</v>
      </c>
      <c r="S13" s="80">
        <f>SBR!AA18+SBR!AA19</f>
        <v>115321.70000000001</v>
      </c>
      <c r="T13" s="80">
        <f>SBR!AB18+SBR!AB19</f>
        <v>92450.700000000012</v>
      </c>
      <c r="U13" s="80">
        <f>SBR!AC18+SBR!AC19</f>
        <v>82821.5</v>
      </c>
      <c r="V13" s="80">
        <f>SBR!AD18+SBR!AD19</f>
        <v>82210.500000000015</v>
      </c>
      <c r="W13" s="80">
        <f>SBR!AE18+SBR!AE19</f>
        <v>66693.8</v>
      </c>
      <c r="X13" s="80">
        <f>SBR!AF18+SBR!AF19</f>
        <v>60103.400000000009</v>
      </c>
      <c r="Y13" s="80">
        <f>SBR!AG18+SBR!AG19</f>
        <v>84700.396485151839</v>
      </c>
      <c r="Z13" s="80">
        <f>SBR!AH18+SBR!AH19</f>
        <v>129295.1703744524</v>
      </c>
      <c r="AA13" s="80">
        <f>SBR!AI18+SBR!AI19</f>
        <v>149090.56876971852</v>
      </c>
      <c r="AB13" s="80">
        <f>SBR!AJ18+SBR!AJ19</f>
        <v>179787.34460673365</v>
      </c>
      <c r="AC13" s="80">
        <f>SBR!AK18+SBR!AK19</f>
        <v>186173.45627917501</v>
      </c>
      <c r="AD13" s="80">
        <f>SBR!AL18+SBR!AL19</f>
        <v>172574.70091364998</v>
      </c>
      <c r="AE13" s="80">
        <f>SBR!AM18+SBR!AM19</f>
        <v>722756.13</v>
      </c>
      <c r="AF13" s="80">
        <f>SBR!AN18+SBR!AN19</f>
        <v>558189.80000000005</v>
      </c>
      <c r="AG13" s="80">
        <f>SBR!AO18+SBR!AO19</f>
        <v>517035.98</v>
      </c>
      <c r="AH13" s="80">
        <f>SBR!AP18+SBR!AP19</f>
        <v>528394</v>
      </c>
      <c r="AI13" s="80">
        <f>SBR!AQ18+SBR!AQ19</f>
        <v>444969.05</v>
      </c>
      <c r="AJ13" s="80">
        <f>SBR!AR18+SBR!AR19</f>
        <v>410505.68000000005</v>
      </c>
      <c r="AK13" s="80">
        <f>SBR!AS18+SBR!AS19</f>
        <v>562921.93000000005</v>
      </c>
      <c r="AL13" s="80">
        <f>SBR!AT18+SBR!AT19</f>
        <v>887545.91</v>
      </c>
      <c r="AM13" s="80">
        <f>SBR!AU18+SBR!AU19</f>
        <v>1110356.4099999999</v>
      </c>
      <c r="AN13" s="80">
        <f>SBR!AV18+SBR!AV19</f>
        <v>1344414.47</v>
      </c>
      <c r="AO13" s="80">
        <f>SBR!AW18+SBR!AW19</f>
        <v>1322456.96</v>
      </c>
      <c r="AP13" s="80">
        <f>SBR!AX18+SBR!AX19</f>
        <v>1290610.33</v>
      </c>
    </row>
    <row r="14" spans="1:42" x14ac:dyDescent="0.25">
      <c r="A14" s="79" t="s">
        <v>415</v>
      </c>
      <c r="B14" s="1021">
        <f>SUM(G14:R14)</f>
        <v>60</v>
      </c>
      <c r="C14" s="496">
        <f>SUM(S14:AD14)</f>
        <v>484724.86565011955</v>
      </c>
      <c r="D14" s="80">
        <f>SUM(AE14:AP14)+SBR!BG59+SBR!BG60</f>
        <v>1254738.1717669799</v>
      </c>
      <c r="F14" s="79" t="s">
        <v>481</v>
      </c>
      <c r="G14" s="996">
        <f>SBR!O59+SBR!O60</f>
        <v>5</v>
      </c>
      <c r="H14" s="996">
        <f>SBR!P59+SBR!P60</f>
        <v>5</v>
      </c>
      <c r="I14" s="996">
        <f>SBR!Q59+SBR!Q60</f>
        <v>5</v>
      </c>
      <c r="J14" s="996">
        <f>SBR!R59+SBR!R60</f>
        <v>5</v>
      </c>
      <c r="K14" s="996">
        <f>SBR!S59+SBR!S60</f>
        <v>5</v>
      </c>
      <c r="L14" s="996">
        <f>SBR!T59+SBR!T60</f>
        <v>5</v>
      </c>
      <c r="M14" s="996">
        <f>SBR!U59+SBR!U60</f>
        <v>5</v>
      </c>
      <c r="N14" s="996">
        <f>SBR!V59+SBR!V60</f>
        <v>5</v>
      </c>
      <c r="O14" s="996">
        <f>SBR!W59+SBR!W60</f>
        <v>5</v>
      </c>
      <c r="P14" s="996">
        <f>SBR!X59+SBR!X60</f>
        <v>5</v>
      </c>
      <c r="Q14" s="996">
        <f>SBR!Y59+SBR!Y60</f>
        <v>5</v>
      </c>
      <c r="R14" s="996">
        <f>SBR!Z59+SBR!Z60</f>
        <v>5</v>
      </c>
      <c r="S14" s="996">
        <f>SBR!AA59+SBR!AA60</f>
        <v>33853.800000000003</v>
      </c>
      <c r="T14" s="996">
        <f>SBR!AB59+SBR!AB60</f>
        <v>34903.5</v>
      </c>
      <c r="U14" s="996">
        <f>SBR!AC59+SBR!AC60</f>
        <v>42740.1</v>
      </c>
      <c r="V14" s="996">
        <f>SBR!AD59+SBR!AD60</f>
        <v>46638.2</v>
      </c>
      <c r="W14" s="996">
        <f>SBR!AE59+SBR!AE60</f>
        <v>47032.2</v>
      </c>
      <c r="X14" s="996">
        <f>SBR!AF59+SBR!AF60</f>
        <v>53526</v>
      </c>
      <c r="Y14" s="996">
        <f>SBR!AG59+SBR!AG60</f>
        <v>43051.282079423101</v>
      </c>
      <c r="Z14" s="996">
        <f>SBR!AH59+SBR!AH60</f>
        <v>63688.23171126908</v>
      </c>
      <c r="AA14" s="996">
        <f>SBR!AI59+SBR!AI60</f>
        <v>50328.004329424002</v>
      </c>
      <c r="AB14" s="996">
        <f>SBR!AJ59+SBR!AJ60</f>
        <v>39530.612779496107</v>
      </c>
      <c r="AC14" s="996">
        <f>SBR!AK59+SBR!AK60</f>
        <v>17926.550904581352</v>
      </c>
      <c r="AD14" s="996">
        <f>SBR!AL59+SBR!AL60</f>
        <v>11506.383845925984</v>
      </c>
      <c r="AE14" s="996">
        <f>SBR!AM59+SBR!AM60</f>
        <v>104260.61744999999</v>
      </c>
      <c r="AF14" s="996">
        <f>SBR!AN59+SBR!AN60</f>
        <v>91773.677750000017</v>
      </c>
      <c r="AG14" s="996">
        <f>SBR!AO59+SBR!AO60</f>
        <v>125937.81242</v>
      </c>
      <c r="AH14" s="996">
        <f>SBR!AP59+SBR!AP60</f>
        <v>136971.28844</v>
      </c>
      <c r="AI14" s="996">
        <f>SBR!AQ59+SBR!AQ60</f>
        <v>137710.65323999999</v>
      </c>
      <c r="AJ14" s="996">
        <f>SBR!AR59+SBR!AR60</f>
        <v>139909.03659999999</v>
      </c>
      <c r="AK14" s="996">
        <f>SBR!AS59+SBR!AS60</f>
        <v>89051.18</v>
      </c>
      <c r="AL14" s="996">
        <f>SBR!AT59+SBR!AT60</f>
        <v>125100.77</v>
      </c>
      <c r="AM14" s="996">
        <f>SBR!AU59+SBR!AU60</f>
        <v>124676.46</v>
      </c>
      <c r="AN14" s="996">
        <f>SBR!AV59+SBR!AV60</f>
        <v>98101.54</v>
      </c>
      <c r="AO14" s="996">
        <f>SBR!AW59+SBR!AW60</f>
        <v>47180.99</v>
      </c>
      <c r="AP14" s="996">
        <f>SBR!AX59+SBR!AX60</f>
        <v>31698.75</v>
      </c>
    </row>
    <row r="15" spans="1:42" x14ac:dyDescent="0.25">
      <c r="A15" s="79" t="s">
        <v>1192</v>
      </c>
      <c r="B15" s="1016">
        <f>SUM(G15:R15)</f>
        <v>0</v>
      </c>
      <c r="C15" s="494">
        <f>SUM(S15:AD15)</f>
        <v>2103</v>
      </c>
      <c r="D15" s="81">
        <f>SUM(AE15:AP15)+SBR!BG20+SBR!BG23</f>
        <v>88276.709999999992</v>
      </c>
      <c r="F15" s="79" t="s">
        <v>1192</v>
      </c>
      <c r="G15" s="81">
        <f>SUM(SBR!O20:'SBR'!O21)</f>
        <v>0</v>
      </c>
      <c r="H15" s="81">
        <f>SUM(SBR!P20:'SBR'!P21)</f>
        <v>0</v>
      </c>
      <c r="I15" s="81">
        <f>SUM(SBR!Q20:'SBR'!Q21)</f>
        <v>0</v>
      </c>
      <c r="J15" s="81">
        <f>SUM(SBR!R20:'SBR'!R21)</f>
        <v>0</v>
      </c>
      <c r="K15" s="81">
        <f>SUM(SBR!S20:'SBR'!S21)</f>
        <v>0</v>
      </c>
      <c r="L15" s="81">
        <f>SUM(SBR!T20:'SBR'!T21)</f>
        <v>0</v>
      </c>
      <c r="M15" s="81">
        <f>SUM(SBR!U20:'SBR'!U21)</f>
        <v>0</v>
      </c>
      <c r="N15" s="81">
        <f>SUM(SBR!V20:'SBR'!V21)</f>
        <v>0</v>
      </c>
      <c r="O15" s="81">
        <f>SUM(SBR!W20:'SBR'!W21)</f>
        <v>0</v>
      </c>
      <c r="P15" s="81">
        <f>SUM(SBR!X20:'SBR'!X21)</f>
        <v>0</v>
      </c>
      <c r="Q15" s="81">
        <f>SUM(SBR!Y20:'SBR'!Y21)</f>
        <v>0</v>
      </c>
      <c r="R15" s="81">
        <f>SUM(SBR!Z20:'SBR'!Z21)</f>
        <v>0</v>
      </c>
      <c r="S15" s="81">
        <f>SUM(SBR!AA20:'SBR'!AA23)</f>
        <v>1301.0999999999999</v>
      </c>
      <c r="T15" s="81">
        <f>SUM(SBR!AB20:'SBR'!AB23)</f>
        <v>43.8</v>
      </c>
      <c r="U15" s="81">
        <f>SUM(SBR!AC20:'SBR'!AC23)</f>
        <v>637.9</v>
      </c>
      <c r="V15" s="81">
        <f>SUM(SBR!AD20:'SBR'!AD23)</f>
        <v>41.9</v>
      </c>
      <c r="W15" s="81">
        <f>SUM(SBR!AE20:'SBR'!AE23)</f>
        <v>78.3</v>
      </c>
      <c r="X15" s="81">
        <f>SUM(SBR!AF20:'SBR'!AF23)</f>
        <v>0</v>
      </c>
      <c r="Y15" s="81">
        <f>SUM(SBR!AG20:'SBR'!AG23)</f>
        <v>0</v>
      </c>
      <c r="Z15" s="81">
        <f>SUM(SBR!AH20:'SBR'!AH23)</f>
        <v>0</v>
      </c>
      <c r="AA15" s="81">
        <f>SUM(SBR!AI20:'SBR'!AI23)</f>
        <v>0</v>
      </c>
      <c r="AB15" s="81">
        <f>SUM(SBR!AJ20:'SBR'!AJ23)</f>
        <v>0</v>
      </c>
      <c r="AC15" s="81">
        <f>SUM(SBR!AK20:'SBR'!AK23)</f>
        <v>0</v>
      </c>
      <c r="AD15" s="81">
        <f>SUM(SBR!AL20:'SBR'!AL23)</f>
        <v>0</v>
      </c>
      <c r="AE15" s="81">
        <f>SUM(SBR!AM20:'SBR'!AM23)</f>
        <v>9171.869999999999</v>
      </c>
      <c r="AF15" s="81">
        <f>SUM(SBR!AN20:'SBR'!AN23)</f>
        <v>3768.14</v>
      </c>
      <c r="AG15" s="81">
        <f>SUM(SBR!AO20:'SBR'!AO23)</f>
        <v>15778.7</v>
      </c>
      <c r="AH15" s="81">
        <f>SUM(SBR!AP20:'SBR'!AP23)</f>
        <v>28166.440000000002</v>
      </c>
      <c r="AI15" s="81">
        <f>SUM(SBR!AQ20:'SBR'!AQ23)</f>
        <v>25223.660000000003</v>
      </c>
      <c r="AJ15" s="81">
        <f>SUM(SBR!AR20:'SBR'!AR23)</f>
        <v>5996.26</v>
      </c>
      <c r="AK15" s="81">
        <f>SUM(SBR!AS20:'SBR'!AS21)</f>
        <v>0</v>
      </c>
      <c r="AL15" s="81">
        <f>SUM(SBR!AT20:'SBR'!AT21)</f>
        <v>0</v>
      </c>
      <c r="AM15" s="81">
        <f>SUM(SBR!AU20:'SBR'!AU21)</f>
        <v>0</v>
      </c>
      <c r="AN15" s="81">
        <f>SUM(SBR!AV20:'SBR'!AV21)</f>
        <v>0</v>
      </c>
      <c r="AO15" s="81">
        <f>SUM(SBR!AW20:'SBR'!AW21)</f>
        <v>0</v>
      </c>
      <c r="AP15" s="81">
        <f>SUM(SBR!AX20:'SBR'!AX21)</f>
        <v>0</v>
      </c>
    </row>
    <row r="16" spans="1:42" x14ac:dyDescent="0.25">
      <c r="A16" s="1019" t="s">
        <v>416</v>
      </c>
      <c r="B16" s="80">
        <f>SUM(B13:B15)</f>
        <v>2975</v>
      </c>
      <c r="C16" s="495">
        <f>SUM(C13:C15)</f>
        <v>1888051.1030790007</v>
      </c>
      <c r="D16" s="996">
        <f>SUM(D13:D15)</f>
        <v>11046530.941766981</v>
      </c>
      <c r="F16" s="1019" t="s">
        <v>482</v>
      </c>
      <c r="G16" s="80">
        <f>SUM(G13:G15)</f>
        <v>252</v>
      </c>
      <c r="H16" s="80">
        <f t="shared" ref="H16:R16" si="6">SUM(H13:H15)</f>
        <v>250</v>
      </c>
      <c r="I16" s="80">
        <f t="shared" si="6"/>
        <v>243</v>
      </c>
      <c r="J16" s="80">
        <f t="shared" si="6"/>
        <v>242</v>
      </c>
      <c r="K16" s="80">
        <f t="shared" si="6"/>
        <v>244</v>
      </c>
      <c r="L16" s="80">
        <f t="shared" si="6"/>
        <v>181</v>
      </c>
      <c r="M16" s="80">
        <f t="shared" si="6"/>
        <v>259</v>
      </c>
      <c r="N16" s="80">
        <f t="shared" si="6"/>
        <v>260</v>
      </c>
      <c r="O16" s="80">
        <f t="shared" si="6"/>
        <v>260</v>
      </c>
      <c r="P16" s="80">
        <f t="shared" si="6"/>
        <v>261</v>
      </c>
      <c r="Q16" s="80">
        <f t="shared" si="6"/>
        <v>261</v>
      </c>
      <c r="R16" s="80">
        <f t="shared" si="6"/>
        <v>262</v>
      </c>
      <c r="S16" s="80">
        <f>SUM(S13:S15)</f>
        <v>150476.6</v>
      </c>
      <c r="T16" s="80">
        <f t="shared" ref="T16:AD16" si="7">SUM(T13:T15)</f>
        <v>127398.00000000001</v>
      </c>
      <c r="U16" s="80">
        <f t="shared" si="7"/>
        <v>126199.5</v>
      </c>
      <c r="V16" s="80">
        <f t="shared" si="7"/>
        <v>128890.6</v>
      </c>
      <c r="W16" s="80">
        <f t="shared" si="7"/>
        <v>113804.3</v>
      </c>
      <c r="X16" s="80">
        <f t="shared" si="7"/>
        <v>113629.40000000001</v>
      </c>
      <c r="Y16" s="80">
        <f t="shared" si="7"/>
        <v>127751.67856457495</v>
      </c>
      <c r="Z16" s="80">
        <f t="shared" si="7"/>
        <v>192983.40208572149</v>
      </c>
      <c r="AA16" s="80">
        <f t="shared" si="7"/>
        <v>199418.57309914252</v>
      </c>
      <c r="AB16" s="80">
        <f t="shared" si="7"/>
        <v>219317.95738622977</v>
      </c>
      <c r="AC16" s="80">
        <f t="shared" si="7"/>
        <v>204100.00718375636</v>
      </c>
      <c r="AD16" s="80">
        <f t="shared" si="7"/>
        <v>184081.08475957596</v>
      </c>
      <c r="AE16" s="80">
        <f>SUM(AE13:AE15)</f>
        <v>836188.61745000002</v>
      </c>
      <c r="AF16" s="80">
        <f t="shared" ref="AF16:AP16" si="8">SUM(AF13:AF15)</f>
        <v>653731.61775000009</v>
      </c>
      <c r="AG16" s="80">
        <f t="shared" si="8"/>
        <v>658752.49241999991</v>
      </c>
      <c r="AH16" s="80">
        <f t="shared" si="8"/>
        <v>693531.72843999998</v>
      </c>
      <c r="AI16" s="80">
        <f t="shared" si="8"/>
        <v>607903.36323999998</v>
      </c>
      <c r="AJ16" s="80">
        <f t="shared" si="8"/>
        <v>556410.97660000005</v>
      </c>
      <c r="AK16" s="80">
        <f t="shared" si="8"/>
        <v>651973.1100000001</v>
      </c>
      <c r="AL16" s="80">
        <f t="shared" si="8"/>
        <v>1012646.68</v>
      </c>
      <c r="AM16" s="80">
        <f t="shared" si="8"/>
        <v>1235032.8699999999</v>
      </c>
      <c r="AN16" s="80">
        <f t="shared" si="8"/>
        <v>1442516.01</v>
      </c>
      <c r="AO16" s="80">
        <f t="shared" si="8"/>
        <v>1369637.95</v>
      </c>
      <c r="AP16" s="80">
        <f t="shared" si="8"/>
        <v>1322309.08</v>
      </c>
    </row>
    <row r="17" spans="1:42" x14ac:dyDescent="0.25">
      <c r="A17" s="1019"/>
      <c r="B17" s="80"/>
      <c r="C17" s="495"/>
      <c r="D17" s="996"/>
      <c r="F17" s="1019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</row>
    <row r="18" spans="1:42" x14ac:dyDescent="0.25">
      <c r="A18" s="79" t="s">
        <v>996</v>
      </c>
      <c r="B18" s="1021">
        <f>SUM(G18:R18)</f>
        <v>12</v>
      </c>
      <c r="C18" s="496">
        <f>SUM(S18:AD18)</f>
        <v>7.5</v>
      </c>
      <c r="D18" s="80">
        <f>SUM(AE18:AP18)+SBR!BG26</f>
        <v>7043.91</v>
      </c>
      <c r="F18" s="79" t="s">
        <v>996</v>
      </c>
      <c r="G18" s="1022">
        <f>SBR!O26</f>
        <v>1</v>
      </c>
      <c r="H18" s="1022">
        <f>SBR!P26</f>
        <v>1</v>
      </c>
      <c r="I18" s="1022">
        <f>SBR!Q26</f>
        <v>1</v>
      </c>
      <c r="J18" s="1022">
        <f>SBR!R26</f>
        <v>1</v>
      </c>
      <c r="K18" s="1022">
        <f>SBR!S26</f>
        <v>1</v>
      </c>
      <c r="L18" s="1022">
        <f>SBR!T26</f>
        <v>1</v>
      </c>
      <c r="M18" s="1022">
        <f>SBR!U26</f>
        <v>1</v>
      </c>
      <c r="N18" s="1022">
        <f>SBR!V26</f>
        <v>1</v>
      </c>
      <c r="O18" s="1022">
        <f>SBR!W26</f>
        <v>1</v>
      </c>
      <c r="P18" s="1022">
        <f>SBR!X26</f>
        <v>1</v>
      </c>
      <c r="Q18" s="1022">
        <f>SBR!Y26</f>
        <v>1</v>
      </c>
      <c r="R18" s="1022">
        <f>SBR!Z26</f>
        <v>1</v>
      </c>
      <c r="S18" s="1022">
        <f>SBR!AA26</f>
        <v>0.60000000000000009</v>
      </c>
      <c r="T18" s="1022">
        <f>SBR!AB26</f>
        <v>0.60000000000000009</v>
      </c>
      <c r="U18" s="1022">
        <f>SBR!AC26</f>
        <v>0.60000000000000009</v>
      </c>
      <c r="V18" s="1022">
        <f>SBR!AD26</f>
        <v>0.70000000000000007</v>
      </c>
      <c r="W18" s="1022">
        <f>SBR!AE26</f>
        <v>0.70000000000000007</v>
      </c>
      <c r="X18" s="1022">
        <f>SBR!AF26</f>
        <v>0.70000000000000007</v>
      </c>
      <c r="Y18" s="1022">
        <f>SBR!AG26</f>
        <v>0.60000000000000009</v>
      </c>
      <c r="Z18" s="1022">
        <f>SBR!AH26</f>
        <v>0.60000000000000009</v>
      </c>
      <c r="AA18" s="1022">
        <f>SBR!AI26</f>
        <v>0.60000000000000009</v>
      </c>
      <c r="AB18" s="1022">
        <f>SBR!AJ26</f>
        <v>0.60000000000000009</v>
      </c>
      <c r="AC18" s="1022">
        <f>SBR!AK26</f>
        <v>0.60000000000000009</v>
      </c>
      <c r="AD18" s="1022">
        <f>SBR!AL26</f>
        <v>0.60000000000000009</v>
      </c>
      <c r="AE18" s="1022">
        <f>SBR!AM26</f>
        <v>586.14</v>
      </c>
      <c r="AF18" s="1022">
        <f>SBR!AN26</f>
        <v>586.14</v>
      </c>
      <c r="AG18" s="1022">
        <f>SBR!AO26</f>
        <v>586.26</v>
      </c>
      <c r="AH18" s="1022">
        <f>SBR!AP26</f>
        <v>586.69000000000005</v>
      </c>
      <c r="AI18" s="1022">
        <f>SBR!AQ26</f>
        <v>586.69000000000005</v>
      </c>
      <c r="AJ18" s="1022">
        <f>SBR!AR26</f>
        <v>586.84</v>
      </c>
      <c r="AK18" s="1022">
        <f>SBR!AS26</f>
        <v>586.54</v>
      </c>
      <c r="AL18" s="1022">
        <f>SBR!AT26</f>
        <v>586.75</v>
      </c>
      <c r="AM18" s="1022">
        <f>SBR!AU26</f>
        <v>587.03</v>
      </c>
      <c r="AN18" s="1022">
        <f>SBR!AV26</f>
        <v>587.08000000000004</v>
      </c>
      <c r="AO18" s="1022">
        <f>SBR!AW26</f>
        <v>586.79999999999995</v>
      </c>
      <c r="AP18" s="1022">
        <f>SBR!AX26</f>
        <v>587.01</v>
      </c>
    </row>
    <row r="19" spans="1:42" x14ac:dyDescent="0.25">
      <c r="G19" s="495"/>
      <c r="H19" s="495"/>
      <c r="I19" s="495"/>
      <c r="J19" s="495"/>
      <c r="K19" s="495"/>
      <c r="L19" s="495"/>
      <c r="M19" s="495"/>
      <c r="N19" s="495"/>
      <c r="O19" s="495"/>
      <c r="P19" s="495"/>
      <c r="Q19" s="495"/>
      <c r="R19" s="495"/>
      <c r="S19" s="495"/>
      <c r="T19" s="495"/>
      <c r="U19" s="495"/>
      <c r="V19" s="495"/>
      <c r="W19" s="495"/>
      <c r="X19" s="495"/>
      <c r="AE19" s="80"/>
      <c r="AF19" s="80"/>
    </row>
    <row r="20" spans="1:42" x14ac:dyDescent="0.25">
      <c r="A20" s="79" t="s">
        <v>483</v>
      </c>
      <c r="B20" s="1025">
        <f>SUM(G20:R20)</f>
        <v>24</v>
      </c>
      <c r="C20" s="1024">
        <f>SUM(S20:AD20)</f>
        <v>100502.04992384731</v>
      </c>
      <c r="D20" s="996">
        <f>SUM(AE20:AP20)+SBR!BG29</f>
        <v>614454.35834399052</v>
      </c>
      <c r="E20" s="1023"/>
      <c r="F20" s="1023" t="s">
        <v>483</v>
      </c>
      <c r="G20" s="996">
        <f>SBR!O29</f>
        <v>2</v>
      </c>
      <c r="H20" s="996">
        <f>SBR!P29</f>
        <v>2</v>
      </c>
      <c r="I20" s="996">
        <f>SBR!Q29</f>
        <v>2</v>
      </c>
      <c r="J20" s="996">
        <f>SBR!R29</f>
        <v>2</v>
      </c>
      <c r="K20" s="996">
        <f>SBR!S29</f>
        <v>2</v>
      </c>
      <c r="L20" s="996">
        <f>SBR!T29</f>
        <v>2</v>
      </c>
      <c r="M20" s="996">
        <f>SBR!U29</f>
        <v>2</v>
      </c>
      <c r="N20" s="996">
        <f>SBR!V29</f>
        <v>2</v>
      </c>
      <c r="O20" s="996">
        <f>SBR!W29</f>
        <v>2</v>
      </c>
      <c r="P20" s="996">
        <f>SBR!X29</f>
        <v>2</v>
      </c>
      <c r="Q20" s="996">
        <f>SBR!Y29</f>
        <v>2</v>
      </c>
      <c r="R20" s="996">
        <f>SBR!Z29</f>
        <v>2</v>
      </c>
      <c r="S20" s="996">
        <f>SBR!AA29</f>
        <v>5920.6</v>
      </c>
      <c r="T20" s="996">
        <f>SBR!AB29</f>
        <v>4415.1000000000004</v>
      </c>
      <c r="U20" s="996">
        <f>SBR!AC29</f>
        <v>3522.2000000000003</v>
      </c>
      <c r="V20" s="996">
        <f>SBR!AD29</f>
        <v>2665.3</v>
      </c>
      <c r="W20" s="996">
        <f>SBR!AE29</f>
        <v>2790.9</v>
      </c>
      <c r="X20" s="996">
        <f>SBR!AF29</f>
        <v>2523</v>
      </c>
      <c r="Y20" s="996">
        <f>SBR!AG29</f>
        <v>13316.636065363678</v>
      </c>
      <c r="Z20" s="996">
        <f>SBR!AH29</f>
        <v>16051.496303374703</v>
      </c>
      <c r="AA20" s="996">
        <f>SBR!AI29</f>
        <v>16445.423080806486</v>
      </c>
      <c r="AB20" s="996">
        <f>SBR!AJ29</f>
        <v>12600.718051137785</v>
      </c>
      <c r="AC20" s="996">
        <f>SBR!AK29</f>
        <v>11020.617180533085</v>
      </c>
      <c r="AD20" s="996">
        <f>SBR!AL29</f>
        <v>9230.0592426315852</v>
      </c>
      <c r="AE20" s="996">
        <f>SBR!AM29</f>
        <v>29507.33</v>
      </c>
      <c r="AF20" s="996">
        <f>SBR!AN29</f>
        <v>23576.07</v>
      </c>
      <c r="AG20" s="996">
        <f>SBR!AO29</f>
        <v>20780.41</v>
      </c>
      <c r="AH20" s="996">
        <f>SBR!AP29</f>
        <v>17724.240000000002</v>
      </c>
      <c r="AI20" s="996">
        <f>SBR!AQ29</f>
        <v>18254.21</v>
      </c>
      <c r="AJ20" s="996">
        <f>SBR!AR29</f>
        <v>17598.82</v>
      </c>
      <c r="AK20" s="996">
        <f>SBR!AS29</f>
        <v>71502.229468247446</v>
      </c>
      <c r="AL20" s="996">
        <f>SBR!AT29</f>
        <v>90996.838548870903</v>
      </c>
      <c r="AM20" s="996">
        <f>SBR!AU29</f>
        <v>102386.62055922105</v>
      </c>
      <c r="AN20" s="996">
        <f>SBR!AV29</f>
        <v>83241.339832988568</v>
      </c>
      <c r="AO20" s="996">
        <f>SBR!AW29</f>
        <v>71915.312420194299</v>
      </c>
      <c r="AP20" s="996">
        <f>SBR!AX29</f>
        <v>66852.227514468337</v>
      </c>
    </row>
    <row r="21" spans="1:42" x14ac:dyDescent="0.25">
      <c r="A21" s="79" t="s">
        <v>484</v>
      </c>
      <c r="B21" s="1025">
        <f>SUM(G21:R21)</f>
        <v>25</v>
      </c>
      <c r="C21" s="1024">
        <f>SUM(S21:AD21)</f>
        <v>33940.500000000007</v>
      </c>
      <c r="D21" s="996">
        <f>SUM(AE21:AP21)+SBR!BG30+SBR!BG31</f>
        <v>184232.88999999998</v>
      </c>
      <c r="E21" s="1023"/>
      <c r="F21" s="1023" t="s">
        <v>484</v>
      </c>
      <c r="G21" s="996">
        <f>SBR!O30+SBR!O31</f>
        <v>3</v>
      </c>
      <c r="H21" s="996">
        <f>SBR!P30+SBR!P31</f>
        <v>2</v>
      </c>
      <c r="I21" s="996">
        <f>SBR!Q30+SBR!Q31</f>
        <v>2</v>
      </c>
      <c r="J21" s="996">
        <f>SBR!R30+SBR!R31</f>
        <v>2</v>
      </c>
      <c r="K21" s="996">
        <f>SBR!S30+SBR!S31</f>
        <v>2</v>
      </c>
      <c r="L21" s="996">
        <f>SBR!T30+SBR!T31</f>
        <v>2</v>
      </c>
      <c r="M21" s="996">
        <f>SBR!U30+SBR!U31</f>
        <v>2</v>
      </c>
      <c r="N21" s="996">
        <f>SBR!V30+SBR!V31</f>
        <v>2</v>
      </c>
      <c r="O21" s="996">
        <f>SBR!W30+SBR!W31</f>
        <v>2</v>
      </c>
      <c r="P21" s="996">
        <f>SBR!X30+SBR!X31</f>
        <v>2</v>
      </c>
      <c r="Q21" s="996">
        <f>SBR!Y30+SBR!Y31</f>
        <v>2</v>
      </c>
      <c r="R21" s="996">
        <f>SBR!Z30+SBR!Z31</f>
        <v>2</v>
      </c>
      <c r="S21" s="996">
        <f>SBR!AA30+SBR!AA31</f>
        <v>3907.7000000000003</v>
      </c>
      <c r="T21" s="996">
        <f>SBR!AB30+SBR!AB31</f>
        <v>4873.4000000000005</v>
      </c>
      <c r="U21" s="996">
        <f>SBR!AC30+SBR!AC31</f>
        <v>6194.1</v>
      </c>
      <c r="V21" s="996">
        <f>SBR!AD30+SBR!AD31</f>
        <v>7558.4000000000005</v>
      </c>
      <c r="W21" s="996">
        <f>SBR!AE30+SBR!AE31</f>
        <v>3504.6000000000004</v>
      </c>
      <c r="X21" s="996">
        <f>SBR!AF30+SBR!AF31</f>
        <v>7902.3</v>
      </c>
      <c r="Y21" s="996">
        <f>SBR!AG30+SBR!AG31</f>
        <v>0</v>
      </c>
      <c r="Z21" s="996">
        <f>SBR!AH30+SBR!AH31</f>
        <v>0</v>
      </c>
      <c r="AA21" s="996">
        <f>SBR!AI30+SBR!AI31</f>
        <v>0</v>
      </c>
      <c r="AB21" s="996">
        <f>SBR!AJ30+SBR!AJ31</f>
        <v>0</v>
      </c>
      <c r="AC21" s="996">
        <f>SBR!AK30+SBR!AK31</f>
        <v>0</v>
      </c>
      <c r="AD21" s="996">
        <f>SBR!AL30+SBR!AL31</f>
        <v>0</v>
      </c>
      <c r="AE21" s="996">
        <f>SBR!AM30+SBR!AM31</f>
        <v>24648.25</v>
      </c>
      <c r="AF21" s="996">
        <f>SBR!AN30+SBR!AN31</f>
        <v>25354.43</v>
      </c>
      <c r="AG21" s="996">
        <f>SBR!AO30+SBR!AO31</f>
        <v>32429.9</v>
      </c>
      <c r="AH21" s="996">
        <f>SBR!AP30+SBR!AP31</f>
        <v>38328.080000000002</v>
      </c>
      <c r="AI21" s="996">
        <f>SBR!AQ30+SBR!AQ31</f>
        <v>21245.77</v>
      </c>
      <c r="AJ21" s="996">
        <f>SBR!AR30+SBR!AR31</f>
        <v>41988.6</v>
      </c>
      <c r="AK21" s="996">
        <f>SBR!AS30+SBR!AS31</f>
        <v>0</v>
      </c>
      <c r="AL21" s="996">
        <f>SBR!AT30+SBR!AT31</f>
        <v>0</v>
      </c>
      <c r="AM21" s="996">
        <f>SBR!AU30+SBR!AU31</f>
        <v>0</v>
      </c>
      <c r="AN21" s="996">
        <f>SBR!AV30+SBR!AV31</f>
        <v>0</v>
      </c>
      <c r="AO21" s="996">
        <f>SBR!AW30+SBR!AW31</f>
        <v>0</v>
      </c>
      <c r="AP21" s="996">
        <f>SBR!AX30+SBR!AX31</f>
        <v>0</v>
      </c>
    </row>
    <row r="22" spans="1:42" x14ac:dyDescent="0.25">
      <c r="A22" s="79" t="s">
        <v>807</v>
      </c>
      <c r="B22" s="1025">
        <f>SUM(G22:R22)</f>
        <v>24</v>
      </c>
      <c r="C22" s="1024">
        <f>SUM(S22:AD22)</f>
        <v>264747.73279322498</v>
      </c>
      <c r="D22" s="996">
        <f>SUM(AE22:AP22)+SBR!BG63+SBR!BG64</f>
        <v>331979.13866606075</v>
      </c>
      <c r="E22" s="1023"/>
      <c r="F22" s="1023" t="s">
        <v>807</v>
      </c>
      <c r="G22" s="996">
        <f>SBR!O63+SBR!O64</f>
        <v>2</v>
      </c>
      <c r="H22" s="996">
        <f>SBR!P63+SBR!P64</f>
        <v>2</v>
      </c>
      <c r="I22" s="996">
        <f>SBR!Q63+SBR!Q64</f>
        <v>2</v>
      </c>
      <c r="J22" s="996">
        <f>SBR!R63+SBR!R64</f>
        <v>2</v>
      </c>
      <c r="K22" s="996">
        <f>SBR!S63+SBR!S64</f>
        <v>2</v>
      </c>
      <c r="L22" s="996">
        <f>SBR!T63+SBR!T64</f>
        <v>2</v>
      </c>
      <c r="M22" s="996">
        <f>SBR!U63+SBR!U64</f>
        <v>2</v>
      </c>
      <c r="N22" s="996">
        <f>SBR!V63+SBR!V64</f>
        <v>2</v>
      </c>
      <c r="O22" s="996">
        <f>SBR!W63+SBR!W64</f>
        <v>2</v>
      </c>
      <c r="P22" s="996">
        <f>SBR!X63+SBR!X64</f>
        <v>2</v>
      </c>
      <c r="Q22" s="996">
        <f>SBR!Y63+SBR!Y64</f>
        <v>2</v>
      </c>
      <c r="R22" s="996">
        <f>SBR!Z63+SBR!Z64</f>
        <v>2</v>
      </c>
      <c r="S22" s="996">
        <f>SBR!AA63+SBR!AA64</f>
        <v>27592.9</v>
      </c>
      <c r="T22" s="996">
        <f>SBR!AB63+SBR!AB64</f>
        <v>14570.900000000001</v>
      </c>
      <c r="U22" s="996">
        <f>SBR!AC63+SBR!AC64</f>
        <v>17291.599999999999</v>
      </c>
      <c r="V22" s="996">
        <f>SBR!AD63+SBR!AD64</f>
        <v>16566</v>
      </c>
      <c r="W22" s="996">
        <f>SBR!AE63+SBR!AE64</f>
        <v>19354.7</v>
      </c>
      <c r="X22" s="996">
        <f>SBR!AF63+SBR!AF64</f>
        <v>14588.099999999999</v>
      </c>
      <c r="Y22" s="996">
        <f>SBR!AG63+SBR!AG64</f>
        <v>25334.763577055503</v>
      </c>
      <c r="Z22" s="996">
        <f>SBR!AH63+SBR!AH64</f>
        <v>41140.513964988852</v>
      </c>
      <c r="AA22" s="996">
        <f>SBR!AI63+SBR!AI64</f>
        <v>28318.414948726917</v>
      </c>
      <c r="AB22" s="996">
        <f>SBR!AJ63+SBR!AJ64</f>
        <v>25475.084264502577</v>
      </c>
      <c r="AC22" s="996">
        <f>SBR!AK63+SBR!AK64</f>
        <v>21711.278732859952</v>
      </c>
      <c r="AD22" s="996">
        <f>SBR!AL63+SBR!AL64</f>
        <v>12803.477305091234</v>
      </c>
      <c r="AE22" s="996">
        <f>SBR!AM63+SBR!AM64</f>
        <v>40613.315520000004</v>
      </c>
      <c r="AF22" s="996">
        <f>SBR!AN63+SBR!AN64</f>
        <v>22081.73674</v>
      </c>
      <c r="AG22" s="996">
        <f>SBR!AO63+SBR!AO64</f>
        <v>34467.597820000003</v>
      </c>
      <c r="AH22" s="996">
        <f>SBR!AP63+SBR!AP64</f>
        <v>32236.360479999996</v>
      </c>
      <c r="AI22" s="996">
        <f>SBR!AQ63+SBR!AQ64</f>
        <v>37253.281230000001</v>
      </c>
      <c r="AJ22" s="996">
        <f>SBR!AR63+SBR!AR64</f>
        <v>22074.443180000002</v>
      </c>
      <c r="AK22" s="996">
        <f>SBR!AS63+SBR!AS64</f>
        <v>23556.799999999999</v>
      </c>
      <c r="AL22" s="996">
        <f>SBR!AT63+SBR!AT64</f>
        <v>35231.89</v>
      </c>
      <c r="AM22" s="996">
        <f>SBR!AU63+SBR!AU64</f>
        <v>24830.92</v>
      </c>
      <c r="AN22" s="996">
        <f>SBR!AV63+SBR!AV64</f>
        <v>23290.34</v>
      </c>
      <c r="AO22" s="996">
        <f>SBR!AW63+SBR!AW64</f>
        <v>21627.29</v>
      </c>
      <c r="AP22" s="996">
        <f>SBR!AX63+SBR!AX64</f>
        <v>14221.35</v>
      </c>
    </row>
    <row r="23" spans="1:42" x14ac:dyDescent="0.25">
      <c r="A23" s="79" t="s">
        <v>1009</v>
      </c>
      <c r="B23" s="1016">
        <f>SUM(G23:R23)</f>
        <v>0</v>
      </c>
      <c r="C23" s="494">
        <f>SUM(S23:AD23)</f>
        <v>0</v>
      </c>
      <c r="D23" s="81">
        <f>SUM(AE23:AP23)+SBR!BG32+SBR!BG33</f>
        <v>38026.620000000003</v>
      </c>
      <c r="F23" s="1026" t="s">
        <v>1009</v>
      </c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>
        <f>SBR!AA32+SBR!AA33</f>
        <v>0</v>
      </c>
      <c r="T23" s="81">
        <f>SBR!AB32+SBR!AB33</f>
        <v>0</v>
      </c>
      <c r="U23" s="81">
        <f>SBR!AC32+SBR!AC33</f>
        <v>0</v>
      </c>
      <c r="V23" s="81">
        <f>SBR!AD32+SBR!AD33</f>
        <v>0</v>
      </c>
      <c r="W23" s="81">
        <f>SBR!AE32+SBR!AE33</f>
        <v>0</v>
      </c>
      <c r="X23" s="81">
        <f>SBR!AF32+SBR!AF33</f>
        <v>0</v>
      </c>
      <c r="Y23" s="81">
        <f>SBR!AG32+SBR!AG33</f>
        <v>0</v>
      </c>
      <c r="Z23" s="81">
        <f>SBR!AH32+SBR!AH33</f>
        <v>0</v>
      </c>
      <c r="AA23" s="81">
        <f>SBR!AI32+SBR!AI33</f>
        <v>0</v>
      </c>
      <c r="AB23" s="81">
        <f>SBR!AJ32+SBR!AJ33</f>
        <v>0</v>
      </c>
      <c r="AC23" s="81">
        <f>SBR!AK32+SBR!AK33</f>
        <v>0</v>
      </c>
      <c r="AD23" s="81">
        <f>SBR!AL32+SBR!AL33</f>
        <v>0</v>
      </c>
      <c r="AE23" s="81">
        <f>SBR!AM32+SBR!AM33</f>
        <v>6176.62</v>
      </c>
      <c r="AF23" s="81">
        <f>SBR!AN32+SBR!AN33</f>
        <v>6176.62</v>
      </c>
      <c r="AG23" s="81">
        <f>SBR!AO32+SBR!AO33</f>
        <v>6196.7</v>
      </c>
      <c r="AH23" s="81">
        <f>SBR!AP32+SBR!AP33</f>
        <v>6477.74</v>
      </c>
      <c r="AI23" s="81">
        <f>SBR!AQ32+SBR!AQ33</f>
        <v>6477.74</v>
      </c>
      <c r="AJ23" s="81">
        <f>SBR!AR32+SBR!AR33</f>
        <v>6477.74</v>
      </c>
      <c r="AK23" s="81">
        <f>SBR!AS32+SBR!AS33</f>
        <v>0</v>
      </c>
      <c r="AL23" s="81">
        <f>SBR!AT32+SBR!AT33</f>
        <v>0</v>
      </c>
      <c r="AM23" s="81">
        <f>SBR!AU32+SBR!AU33</f>
        <v>0</v>
      </c>
      <c r="AN23" s="81">
        <f>SBR!AV32+SBR!AV33</f>
        <v>0</v>
      </c>
      <c r="AO23" s="81">
        <f>SBR!AW32+SBR!AW33</f>
        <v>0</v>
      </c>
      <c r="AP23" s="81">
        <f>SBR!AX32+SBR!AX33</f>
        <v>0</v>
      </c>
    </row>
    <row r="24" spans="1:42" x14ac:dyDescent="0.25">
      <c r="A24" s="1019" t="s">
        <v>418</v>
      </c>
      <c r="B24" s="1021">
        <f>SUM(B20:B23)</f>
        <v>73</v>
      </c>
      <c r="C24" s="496">
        <f>SUM(C20:C23)</f>
        <v>399190.28271707229</v>
      </c>
      <c r="D24" s="1021">
        <f>SUM(D20:D23)</f>
        <v>1168693.0070100515</v>
      </c>
      <c r="F24" s="1019" t="s">
        <v>485</v>
      </c>
      <c r="G24" s="80">
        <f>SUM(G20:G23)</f>
        <v>7</v>
      </c>
      <c r="H24" s="80">
        <f t="shared" ref="H24:AP24" si="9">SUM(H20:H23)</f>
        <v>6</v>
      </c>
      <c r="I24" s="80">
        <f t="shared" si="9"/>
        <v>6</v>
      </c>
      <c r="J24" s="80">
        <f t="shared" si="9"/>
        <v>6</v>
      </c>
      <c r="K24" s="80">
        <f t="shared" si="9"/>
        <v>6</v>
      </c>
      <c r="L24" s="80">
        <f t="shared" si="9"/>
        <v>6</v>
      </c>
      <c r="M24" s="80">
        <f t="shared" si="9"/>
        <v>6</v>
      </c>
      <c r="N24" s="80">
        <f t="shared" si="9"/>
        <v>6</v>
      </c>
      <c r="O24" s="80">
        <f t="shared" si="9"/>
        <v>6</v>
      </c>
      <c r="P24" s="80">
        <f t="shared" si="9"/>
        <v>6</v>
      </c>
      <c r="Q24" s="80">
        <f t="shared" si="9"/>
        <v>6</v>
      </c>
      <c r="R24" s="80">
        <f t="shared" si="9"/>
        <v>6</v>
      </c>
      <c r="S24" s="80">
        <f t="shared" si="9"/>
        <v>37421.200000000004</v>
      </c>
      <c r="T24" s="80">
        <f t="shared" si="9"/>
        <v>23859.4</v>
      </c>
      <c r="U24" s="80">
        <f t="shared" si="9"/>
        <v>27007.9</v>
      </c>
      <c r="V24" s="80">
        <f t="shared" si="9"/>
        <v>26789.7</v>
      </c>
      <c r="W24" s="80">
        <f t="shared" si="9"/>
        <v>25650.2</v>
      </c>
      <c r="X24" s="80">
        <f t="shared" si="9"/>
        <v>25013.399999999998</v>
      </c>
      <c r="Y24" s="80">
        <f t="shared" si="9"/>
        <v>38651.399642419179</v>
      </c>
      <c r="Z24" s="80">
        <f t="shared" si="9"/>
        <v>57192.010268363556</v>
      </c>
      <c r="AA24" s="80">
        <f t="shared" si="9"/>
        <v>44763.838029533406</v>
      </c>
      <c r="AB24" s="80">
        <f t="shared" si="9"/>
        <v>38075.802315640365</v>
      </c>
      <c r="AC24" s="80">
        <f t="shared" si="9"/>
        <v>32731.895913393037</v>
      </c>
      <c r="AD24" s="80">
        <f t="shared" si="9"/>
        <v>22033.536547722819</v>
      </c>
      <c r="AE24" s="80">
        <f t="shared" si="9"/>
        <v>100945.51552</v>
      </c>
      <c r="AF24" s="80">
        <f t="shared" si="9"/>
        <v>77188.856739999988</v>
      </c>
      <c r="AG24" s="80">
        <f t="shared" si="9"/>
        <v>93874.60781999999</v>
      </c>
      <c r="AH24" s="80">
        <f t="shared" si="9"/>
        <v>94766.420480000015</v>
      </c>
      <c r="AI24" s="80">
        <f t="shared" si="9"/>
        <v>83231.001230000009</v>
      </c>
      <c r="AJ24" s="80">
        <f t="shared" si="9"/>
        <v>88139.603180000006</v>
      </c>
      <c r="AK24" s="80">
        <f t="shared" si="9"/>
        <v>95059.029468247449</v>
      </c>
      <c r="AL24" s="80">
        <f t="shared" si="9"/>
        <v>126228.7285488709</v>
      </c>
      <c r="AM24" s="80">
        <f t="shared" si="9"/>
        <v>127217.54055922104</v>
      </c>
      <c r="AN24" s="80">
        <f t="shared" si="9"/>
        <v>106531.67983298856</v>
      </c>
      <c r="AO24" s="80">
        <f t="shared" si="9"/>
        <v>93542.602420194307</v>
      </c>
      <c r="AP24" s="80">
        <f t="shared" si="9"/>
        <v>81073.577514468343</v>
      </c>
    </row>
    <row r="25" spans="1:42" x14ac:dyDescent="0.25">
      <c r="G25" s="495"/>
      <c r="H25" s="495"/>
      <c r="I25" s="495"/>
      <c r="J25" s="495"/>
      <c r="K25" s="495"/>
      <c r="L25" s="495"/>
      <c r="M25" s="495"/>
      <c r="N25" s="495"/>
      <c r="O25" s="495"/>
      <c r="P25" s="495"/>
      <c r="Q25" s="495"/>
      <c r="R25" s="495"/>
      <c r="S25" s="495"/>
      <c r="T25" s="495"/>
      <c r="U25" s="495"/>
      <c r="V25" s="495"/>
      <c r="W25" s="495"/>
      <c r="X25" s="495"/>
      <c r="AE25" s="80"/>
      <c r="AF25" s="80"/>
    </row>
    <row r="26" spans="1:42" x14ac:dyDescent="0.25">
      <c r="A26" s="79" t="s">
        <v>486</v>
      </c>
      <c r="B26" s="1021">
        <f>SUM(G26:R26)</f>
        <v>108</v>
      </c>
      <c r="C26" s="496">
        <f>SUM(S26:AD26)</f>
        <v>671272.3177133993</v>
      </c>
      <c r="D26" s="80">
        <f>SUM(AE26:AP26)+SBR!BG67</f>
        <v>4525276.294279607</v>
      </c>
      <c r="F26" s="79" t="s">
        <v>486</v>
      </c>
      <c r="G26" s="80">
        <f>+SBR!O67</f>
        <v>8</v>
      </c>
      <c r="H26" s="80">
        <f>+SBR!P67</f>
        <v>8</v>
      </c>
      <c r="I26" s="80">
        <f>+SBR!Q67</f>
        <v>8</v>
      </c>
      <c r="J26" s="80">
        <f>+SBR!R67</f>
        <v>8</v>
      </c>
      <c r="K26" s="80">
        <f>+SBR!S67</f>
        <v>8</v>
      </c>
      <c r="L26" s="80">
        <f>+SBR!T67</f>
        <v>8</v>
      </c>
      <c r="M26" s="80">
        <f>+SBR!U67</f>
        <v>10</v>
      </c>
      <c r="N26" s="80">
        <f>+SBR!V67</f>
        <v>10</v>
      </c>
      <c r="O26" s="80">
        <f>+SBR!W67</f>
        <v>10</v>
      </c>
      <c r="P26" s="80">
        <f>+SBR!X67</f>
        <v>10</v>
      </c>
      <c r="Q26" s="80">
        <f>+SBR!Y67</f>
        <v>10</v>
      </c>
      <c r="R26" s="80">
        <f>+SBR!Z67</f>
        <v>10</v>
      </c>
      <c r="S26" s="80">
        <f>+SBR!AA67</f>
        <v>48224.7</v>
      </c>
      <c r="T26" s="80">
        <f>+SBR!AB67</f>
        <v>41857.199999999997</v>
      </c>
      <c r="U26" s="80">
        <f>+SBR!AC67</f>
        <v>40950.1</v>
      </c>
      <c r="V26" s="80">
        <f>+SBR!AD67</f>
        <v>32696.7</v>
      </c>
      <c r="W26" s="80">
        <f>+SBR!AE67</f>
        <v>33398.6</v>
      </c>
      <c r="X26" s="80">
        <f>+SBR!AF67</f>
        <v>32664</v>
      </c>
      <c r="Y26" s="80">
        <f>+SBR!AG67</f>
        <v>45164.789085551878</v>
      </c>
      <c r="Z26" s="80">
        <f>+SBR!AH67</f>
        <v>62048.96453575285</v>
      </c>
      <c r="AA26" s="80">
        <f>+SBR!AI67</f>
        <v>84934.23307565409</v>
      </c>
      <c r="AB26" s="80">
        <f>+SBR!AJ67</f>
        <v>86440.695101508158</v>
      </c>
      <c r="AC26" s="80">
        <f>+SBR!AK67</f>
        <v>91427.804860628356</v>
      </c>
      <c r="AD26" s="80">
        <f>+SBR!AL67</f>
        <v>71464.531054303952</v>
      </c>
      <c r="AE26" s="80">
        <f>+SBR!AM67</f>
        <v>25406.670000000002</v>
      </c>
      <c r="AF26" s="80">
        <f>+SBR!AN67</f>
        <v>22645.56</v>
      </c>
      <c r="AG26" s="80">
        <f>+SBR!AO67</f>
        <v>22250.14</v>
      </c>
      <c r="AH26" s="80">
        <f>+SBR!AP67</f>
        <v>18652.510000000002</v>
      </c>
      <c r="AI26" s="80">
        <f>+SBR!AQ67</f>
        <v>18958.440000000002</v>
      </c>
      <c r="AJ26" s="80">
        <f>+SBR!AR67</f>
        <v>18638.219999999998</v>
      </c>
      <c r="AK26" s="80">
        <f>+SBR!AS67</f>
        <v>645860.7567146956</v>
      </c>
      <c r="AL26" s="80">
        <f>+SBR!AT67</f>
        <v>728580.08297965419</v>
      </c>
      <c r="AM26" s="80">
        <f>+SBR!AU67</f>
        <v>788868.17206312681</v>
      </c>
      <c r="AN26" s="80">
        <f>+SBR!AV67</f>
        <v>798273.57971151138</v>
      </c>
      <c r="AO26" s="80">
        <f>+SBR!AW67</f>
        <v>757548.07558784331</v>
      </c>
      <c r="AP26" s="80">
        <f>+SBR!AX67</f>
        <v>679605.64169930434</v>
      </c>
    </row>
    <row r="27" spans="1:42" x14ac:dyDescent="0.25">
      <c r="A27" s="79" t="s">
        <v>487</v>
      </c>
      <c r="B27" s="1021">
        <f>SUM(G27:R27)</f>
        <v>756</v>
      </c>
      <c r="C27" s="496">
        <f>SUM(S27:AD27)</f>
        <v>11980898.796969166</v>
      </c>
      <c r="D27" s="80">
        <f>SUM(AE27:AP27)+SBR!BG68</f>
        <v>2265855.5717016524</v>
      </c>
      <c r="F27" s="79" t="s">
        <v>487</v>
      </c>
      <c r="G27" s="80">
        <f>+SBR!O68</f>
        <v>63</v>
      </c>
      <c r="H27" s="80">
        <f>+SBR!P68</f>
        <v>63</v>
      </c>
      <c r="I27" s="80">
        <f>+SBR!Q68</f>
        <v>63</v>
      </c>
      <c r="J27" s="80">
        <f>+SBR!R68</f>
        <v>65</v>
      </c>
      <c r="K27" s="80">
        <f>+SBR!S68</f>
        <v>61</v>
      </c>
      <c r="L27" s="80">
        <f>+SBR!T68</f>
        <v>63</v>
      </c>
      <c r="M27" s="80">
        <f>+SBR!U68</f>
        <v>63</v>
      </c>
      <c r="N27" s="80">
        <f>+SBR!V68</f>
        <v>63</v>
      </c>
      <c r="O27" s="80">
        <f>+SBR!W68</f>
        <v>63</v>
      </c>
      <c r="P27" s="80">
        <f>+SBR!X68</f>
        <v>63</v>
      </c>
      <c r="Q27" s="80">
        <f>+SBR!Y68</f>
        <v>63</v>
      </c>
      <c r="R27" s="80">
        <f>+SBR!Z68</f>
        <v>63</v>
      </c>
      <c r="S27" s="80">
        <f>+SBR!AA68</f>
        <v>1058278.7</v>
      </c>
      <c r="T27" s="80">
        <f>+SBR!AB68</f>
        <v>853355.8</v>
      </c>
      <c r="U27" s="80">
        <f>+SBR!AC68</f>
        <v>846705.5</v>
      </c>
      <c r="V27" s="80">
        <f>+SBR!AD68</f>
        <v>669116.6</v>
      </c>
      <c r="W27" s="80">
        <f>+SBR!AE68</f>
        <v>625035.30000000005</v>
      </c>
      <c r="X27" s="80">
        <f>+SBR!AF68</f>
        <v>688301.6</v>
      </c>
      <c r="Y27" s="80">
        <f>+SBR!AG68</f>
        <v>732116.47306995734</v>
      </c>
      <c r="Z27" s="80">
        <f>+SBR!AH68</f>
        <v>1086118.9516031013</v>
      </c>
      <c r="AA27" s="80">
        <f>+SBR!AI68</f>
        <v>1343305.606841299</v>
      </c>
      <c r="AB27" s="80">
        <f>+SBR!AJ68</f>
        <v>1402394.3740388455</v>
      </c>
      <c r="AC27" s="80">
        <f>+SBR!AK68</f>
        <v>1425211.5425100958</v>
      </c>
      <c r="AD27" s="80">
        <f>+SBR!AL68</f>
        <v>1250958.3489058677</v>
      </c>
      <c r="AE27" s="80">
        <f>+SBR!AM68</f>
        <v>492494.27</v>
      </c>
      <c r="AF27" s="80">
        <f>+SBR!AN68</f>
        <v>404583.26</v>
      </c>
      <c r="AG27" s="80">
        <f>+SBR!AO68</f>
        <v>403637.36</v>
      </c>
      <c r="AH27" s="80">
        <f>+SBR!AP68</f>
        <v>323906.70999999996</v>
      </c>
      <c r="AI27" s="80">
        <f>+SBR!AQ68</f>
        <v>308400.03999999998</v>
      </c>
      <c r="AJ27" s="80">
        <f>+SBR!AR68</f>
        <v>333525.83</v>
      </c>
      <c r="AK27" s="80">
        <f>+SBR!AS68</f>
        <v>0</v>
      </c>
      <c r="AL27" s="80">
        <f>+SBR!AT68</f>
        <v>0</v>
      </c>
      <c r="AM27" s="80">
        <f>+SBR!AU68</f>
        <v>0</v>
      </c>
      <c r="AN27" s="80">
        <f>+SBR!AV68</f>
        <v>0</v>
      </c>
      <c r="AO27" s="80">
        <f>+SBR!AW68</f>
        <v>0</v>
      </c>
      <c r="AP27" s="80">
        <f>+SBR!AX68</f>
        <v>0</v>
      </c>
    </row>
    <row r="28" spans="1:42" x14ac:dyDescent="0.25">
      <c r="A28" s="1027" t="s">
        <v>488</v>
      </c>
      <c r="B28" s="1021">
        <f>SUM(G28:R28)</f>
        <v>18</v>
      </c>
      <c r="C28" s="496">
        <f>SUM(S28:AD28)</f>
        <v>179932.40000000002</v>
      </c>
      <c r="D28" s="80">
        <f>SUM(AE28:AP28)+SBR!BG69+SBR!BG70</f>
        <v>89106.765073038609</v>
      </c>
      <c r="F28" s="1027" t="s">
        <v>488</v>
      </c>
      <c r="G28" s="80">
        <f>SBR!O69+SBR!O70</f>
        <v>3</v>
      </c>
      <c r="H28" s="80">
        <f>SBR!P69+SBR!P70</f>
        <v>3</v>
      </c>
      <c r="I28" s="80">
        <f>SBR!Q69+SBR!Q70</f>
        <v>3</v>
      </c>
      <c r="J28" s="80">
        <f>SBR!R69+SBR!R70</f>
        <v>3</v>
      </c>
      <c r="K28" s="80">
        <f>SBR!S69+SBR!S70</f>
        <v>3</v>
      </c>
      <c r="L28" s="80">
        <f>SBR!T69+SBR!T70</f>
        <v>3</v>
      </c>
      <c r="M28" s="80">
        <f>SBR!U69+SBR!U70</f>
        <v>0</v>
      </c>
      <c r="N28" s="80">
        <f>SBR!V69+SBR!V70</f>
        <v>0</v>
      </c>
      <c r="O28" s="80">
        <f>SBR!W69+SBR!W70</f>
        <v>0</v>
      </c>
      <c r="P28" s="80">
        <f>SBR!X69+SBR!X70</f>
        <v>0</v>
      </c>
      <c r="Q28" s="80">
        <f>SBR!Y69+SBR!Y70</f>
        <v>0</v>
      </c>
      <c r="R28" s="80">
        <f>SBR!Z69+SBR!Z70</f>
        <v>0</v>
      </c>
      <c r="S28" s="80">
        <f>SBR!AA69+SBR!AA70</f>
        <v>42339.8</v>
      </c>
      <c r="T28" s="80">
        <f>SBR!AB69+SBR!AB70</f>
        <v>32287.100000000002</v>
      </c>
      <c r="U28" s="80">
        <f>SBR!AC69+SBR!AC70</f>
        <v>29420.6</v>
      </c>
      <c r="V28" s="80">
        <f>SBR!AD69+SBR!AD70</f>
        <v>24160.799999999999</v>
      </c>
      <c r="W28" s="80">
        <f>SBR!AE69+SBR!AE70</f>
        <v>26106.400000000001</v>
      </c>
      <c r="X28" s="80">
        <f>SBR!AF69+SBR!AF70</f>
        <v>25617.699999999997</v>
      </c>
      <c r="Y28" s="80">
        <f>SBR!AG69+SBR!AG70</f>
        <v>0</v>
      </c>
      <c r="Z28" s="80">
        <f>SBR!AH69+SBR!AH70</f>
        <v>0</v>
      </c>
      <c r="AA28" s="80">
        <f>SBR!AI69+SBR!AI70</f>
        <v>0</v>
      </c>
      <c r="AB28" s="80">
        <f>SBR!AJ69+SBR!AJ70</f>
        <v>0</v>
      </c>
      <c r="AC28" s="80">
        <f>SBR!AK69+SBR!AK70</f>
        <v>0</v>
      </c>
      <c r="AD28" s="80">
        <f>SBR!AL69+SBR!AL70</f>
        <v>0</v>
      </c>
      <c r="AE28" s="80">
        <f>SBR!AM69+SBR!AM70</f>
        <v>20188.659599999999</v>
      </c>
      <c r="AF28" s="80">
        <f>SBR!AN69+SBR!AN70</f>
        <v>16082.940139999999</v>
      </c>
      <c r="AG28" s="80">
        <f>SBR!AO69+SBR!AO70</f>
        <v>14537.66836</v>
      </c>
      <c r="AH28" s="80">
        <f>SBR!AP69+SBR!AP70</f>
        <v>12373.666590000001</v>
      </c>
      <c r="AI28" s="80">
        <f>SBR!AQ69+SBR!AQ70</f>
        <v>13179.861549999998</v>
      </c>
      <c r="AJ28" s="80">
        <f>SBR!AR69+SBR!AR70</f>
        <v>12778.753070000001</v>
      </c>
      <c r="AK28" s="80">
        <f>SBR!AS69+SBR!AS70</f>
        <v>0</v>
      </c>
      <c r="AL28" s="80">
        <f>SBR!AT69+SBR!AT70</f>
        <v>0</v>
      </c>
      <c r="AM28" s="80">
        <f>SBR!AU69+SBR!AU70</f>
        <v>0</v>
      </c>
      <c r="AN28" s="80">
        <f>SBR!AV69+SBR!AV70</f>
        <v>0</v>
      </c>
      <c r="AO28" s="80">
        <f>SBR!AW69+SBR!AW70</f>
        <v>0</v>
      </c>
      <c r="AP28" s="80">
        <f>SBR!AX69+SBR!AX70</f>
        <v>0</v>
      </c>
    </row>
    <row r="29" spans="1:42" x14ac:dyDescent="0.25">
      <c r="A29" s="79" t="s">
        <v>489</v>
      </c>
      <c r="B29" s="1016">
        <f>SUM(B26:B28)</f>
        <v>882</v>
      </c>
      <c r="C29" s="494">
        <f>SUM(C26:C28)</f>
        <v>12832103.514682565</v>
      </c>
      <c r="D29" s="81">
        <f>SUM(D26:D28)</f>
        <v>6880238.631054298</v>
      </c>
      <c r="F29" s="79" t="s">
        <v>489</v>
      </c>
      <c r="G29" s="81">
        <f>SUM(G26:G28)</f>
        <v>74</v>
      </c>
      <c r="H29" s="81">
        <f t="shared" ref="H29:R29" si="10">SUM(H26:H28)</f>
        <v>74</v>
      </c>
      <c r="I29" s="81">
        <f t="shared" si="10"/>
        <v>74</v>
      </c>
      <c r="J29" s="81">
        <f t="shared" si="10"/>
        <v>76</v>
      </c>
      <c r="K29" s="81">
        <f t="shared" si="10"/>
        <v>72</v>
      </c>
      <c r="L29" s="81">
        <f t="shared" si="10"/>
        <v>74</v>
      </c>
      <c r="M29" s="81">
        <f t="shared" si="10"/>
        <v>73</v>
      </c>
      <c r="N29" s="81">
        <f t="shared" si="10"/>
        <v>73</v>
      </c>
      <c r="O29" s="81">
        <f t="shared" si="10"/>
        <v>73</v>
      </c>
      <c r="P29" s="81">
        <f t="shared" si="10"/>
        <v>73</v>
      </c>
      <c r="Q29" s="81">
        <f t="shared" si="10"/>
        <v>73</v>
      </c>
      <c r="R29" s="81">
        <f t="shared" si="10"/>
        <v>73</v>
      </c>
      <c r="S29" s="81">
        <f>SUM(S26:S28)</f>
        <v>1148843.2</v>
      </c>
      <c r="T29" s="81">
        <f t="shared" ref="T29:AD29" si="11">SUM(T26:T28)</f>
        <v>927500.1</v>
      </c>
      <c r="U29" s="81">
        <f t="shared" si="11"/>
        <v>917076.2</v>
      </c>
      <c r="V29" s="81">
        <f t="shared" si="11"/>
        <v>725974.1</v>
      </c>
      <c r="W29" s="81">
        <f t="shared" si="11"/>
        <v>684540.3</v>
      </c>
      <c r="X29" s="81">
        <f t="shared" si="11"/>
        <v>746583.29999999993</v>
      </c>
      <c r="Y29" s="81">
        <f t="shared" si="11"/>
        <v>777281.2621555092</v>
      </c>
      <c r="Z29" s="81">
        <f t="shared" si="11"/>
        <v>1148167.9161388541</v>
      </c>
      <c r="AA29" s="81">
        <f t="shared" si="11"/>
        <v>1428239.8399169531</v>
      </c>
      <c r="AB29" s="81">
        <f t="shared" si="11"/>
        <v>1488835.0691403537</v>
      </c>
      <c r="AC29" s="81">
        <f t="shared" si="11"/>
        <v>1516639.3473707242</v>
      </c>
      <c r="AD29" s="81">
        <f t="shared" si="11"/>
        <v>1322422.8799601716</v>
      </c>
      <c r="AE29" s="81">
        <f>SUM(AE26:AE28)</f>
        <v>538089.59959999996</v>
      </c>
      <c r="AF29" s="81">
        <f t="shared" ref="AF29:AP29" si="12">SUM(AF26:AF28)</f>
        <v>443311.76014000003</v>
      </c>
      <c r="AG29" s="81">
        <f t="shared" si="12"/>
        <v>440425.16836000001</v>
      </c>
      <c r="AH29" s="81">
        <f t="shared" si="12"/>
        <v>354932.88658999995</v>
      </c>
      <c r="AI29" s="81">
        <f t="shared" si="12"/>
        <v>340538.34154999995</v>
      </c>
      <c r="AJ29" s="81">
        <f t="shared" si="12"/>
        <v>364942.80306999997</v>
      </c>
      <c r="AK29" s="81">
        <f t="shared" si="12"/>
        <v>645860.7567146956</v>
      </c>
      <c r="AL29" s="81">
        <f t="shared" si="12"/>
        <v>728580.08297965419</v>
      </c>
      <c r="AM29" s="81">
        <f t="shared" si="12"/>
        <v>788868.17206312681</v>
      </c>
      <c r="AN29" s="81">
        <f t="shared" si="12"/>
        <v>798273.57971151138</v>
      </c>
      <c r="AO29" s="81">
        <f t="shared" si="12"/>
        <v>757548.07558784331</v>
      </c>
      <c r="AP29" s="81">
        <f t="shared" si="12"/>
        <v>679605.64169930434</v>
      </c>
    </row>
    <row r="30" spans="1:42" x14ac:dyDescent="0.25">
      <c r="A30" s="1019" t="s">
        <v>420</v>
      </c>
      <c r="B30" s="80">
        <f>B29</f>
        <v>882</v>
      </c>
      <c r="C30" s="495">
        <f>C29</f>
        <v>12832103.514682565</v>
      </c>
      <c r="D30" s="80">
        <f>D29</f>
        <v>6880238.631054298</v>
      </c>
      <c r="F30" s="1019" t="s">
        <v>490</v>
      </c>
      <c r="G30" s="80">
        <f>G29</f>
        <v>74</v>
      </c>
      <c r="H30" s="80">
        <f t="shared" ref="H30:AD30" si="13">H29</f>
        <v>74</v>
      </c>
      <c r="I30" s="80">
        <f t="shared" si="13"/>
        <v>74</v>
      </c>
      <c r="J30" s="80">
        <f t="shared" si="13"/>
        <v>76</v>
      </c>
      <c r="K30" s="80">
        <f t="shared" si="13"/>
        <v>72</v>
      </c>
      <c r="L30" s="80">
        <f t="shared" si="13"/>
        <v>74</v>
      </c>
      <c r="M30" s="80">
        <f t="shared" si="13"/>
        <v>73</v>
      </c>
      <c r="N30" s="80">
        <f t="shared" si="13"/>
        <v>73</v>
      </c>
      <c r="O30" s="80">
        <f t="shared" si="13"/>
        <v>73</v>
      </c>
      <c r="P30" s="80">
        <f t="shared" si="13"/>
        <v>73</v>
      </c>
      <c r="Q30" s="80">
        <f t="shared" si="13"/>
        <v>73</v>
      </c>
      <c r="R30" s="80">
        <f t="shared" si="13"/>
        <v>73</v>
      </c>
      <c r="S30" s="80">
        <f t="shared" si="13"/>
        <v>1148843.2</v>
      </c>
      <c r="T30" s="80">
        <f t="shared" si="13"/>
        <v>927500.1</v>
      </c>
      <c r="U30" s="80">
        <f t="shared" si="13"/>
        <v>917076.2</v>
      </c>
      <c r="V30" s="80">
        <f t="shared" si="13"/>
        <v>725974.1</v>
      </c>
      <c r="W30" s="80">
        <f t="shared" si="13"/>
        <v>684540.3</v>
      </c>
      <c r="X30" s="80">
        <f t="shared" si="13"/>
        <v>746583.29999999993</v>
      </c>
      <c r="Y30" s="80">
        <f t="shared" si="13"/>
        <v>777281.2621555092</v>
      </c>
      <c r="Z30" s="80">
        <f t="shared" si="13"/>
        <v>1148167.9161388541</v>
      </c>
      <c r="AA30" s="80">
        <f t="shared" si="13"/>
        <v>1428239.8399169531</v>
      </c>
      <c r="AB30" s="80">
        <f t="shared" si="13"/>
        <v>1488835.0691403537</v>
      </c>
      <c r="AC30" s="80">
        <f t="shared" si="13"/>
        <v>1516639.3473707242</v>
      </c>
      <c r="AD30" s="80">
        <f t="shared" si="13"/>
        <v>1322422.8799601716</v>
      </c>
      <c r="AE30" s="80">
        <f>AE29</f>
        <v>538089.59959999996</v>
      </c>
      <c r="AF30" s="80">
        <f t="shared" ref="AF30:AP30" si="14">AF29</f>
        <v>443311.76014000003</v>
      </c>
      <c r="AG30" s="80">
        <f t="shared" si="14"/>
        <v>440425.16836000001</v>
      </c>
      <c r="AH30" s="80">
        <f t="shared" si="14"/>
        <v>354932.88658999995</v>
      </c>
      <c r="AI30" s="80">
        <f t="shared" si="14"/>
        <v>340538.34154999995</v>
      </c>
      <c r="AJ30" s="80">
        <f t="shared" si="14"/>
        <v>364942.80306999997</v>
      </c>
      <c r="AK30" s="80">
        <f t="shared" si="14"/>
        <v>645860.7567146956</v>
      </c>
      <c r="AL30" s="80">
        <f t="shared" si="14"/>
        <v>728580.08297965419</v>
      </c>
      <c r="AM30" s="80">
        <f t="shared" si="14"/>
        <v>788868.17206312681</v>
      </c>
      <c r="AN30" s="80">
        <f t="shared" si="14"/>
        <v>798273.57971151138</v>
      </c>
      <c r="AO30" s="80">
        <f t="shared" si="14"/>
        <v>757548.07558784331</v>
      </c>
      <c r="AP30" s="80">
        <f t="shared" si="14"/>
        <v>679605.64169930434</v>
      </c>
    </row>
    <row r="31" spans="1:42" x14ac:dyDescent="0.25">
      <c r="A31" s="1019"/>
      <c r="B31" s="1021"/>
      <c r="C31" s="496"/>
      <c r="D31" s="80"/>
      <c r="F31" s="1019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</row>
    <row r="32" spans="1:42" x14ac:dyDescent="0.25">
      <c r="A32" s="1019"/>
      <c r="B32" s="1021"/>
      <c r="C32" s="496"/>
      <c r="D32" s="80"/>
      <c r="F32" s="1019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</row>
    <row r="33" spans="1:42" x14ac:dyDescent="0.25">
      <c r="A33" s="1028" t="s">
        <v>1222</v>
      </c>
      <c r="B33" s="1021">
        <f>SUM(G33:R33)</f>
        <v>12</v>
      </c>
      <c r="C33" s="496">
        <f>SUM(S33:AD33)</f>
        <v>230791.09999999998</v>
      </c>
      <c r="D33" s="80">
        <f>SUM(AE33:AP33)+SBR!BG45</f>
        <v>3188812.4031799999</v>
      </c>
      <c r="F33" s="1028" t="s">
        <v>1222</v>
      </c>
      <c r="G33" s="80">
        <f>+SBR!O45</f>
        <v>1</v>
      </c>
      <c r="H33" s="80">
        <f>+SBR!P45</f>
        <v>1</v>
      </c>
      <c r="I33" s="80">
        <f>+SBR!Q45</f>
        <v>1</v>
      </c>
      <c r="J33" s="80">
        <f>+SBR!R45</f>
        <v>1</v>
      </c>
      <c r="K33" s="80">
        <f>+SBR!S45</f>
        <v>1</v>
      </c>
      <c r="L33" s="80">
        <f>+SBR!T45</f>
        <v>1</v>
      </c>
      <c r="M33" s="80">
        <f>+SBR!U45</f>
        <v>1</v>
      </c>
      <c r="N33" s="80">
        <f>+SBR!V45</f>
        <v>1</v>
      </c>
      <c r="O33" s="80">
        <f>+SBR!W45</f>
        <v>1</v>
      </c>
      <c r="P33" s="80">
        <f>+SBR!X45</f>
        <v>1</v>
      </c>
      <c r="Q33" s="80">
        <f>+SBR!Y45</f>
        <v>1</v>
      </c>
      <c r="R33" s="80">
        <f>+SBR!Z45</f>
        <v>1</v>
      </c>
      <c r="S33" s="80">
        <f>+SBR!AA45</f>
        <v>49614.9</v>
      </c>
      <c r="T33" s="80">
        <f>+SBR!AB45</f>
        <v>14777.2</v>
      </c>
      <c r="U33" s="80">
        <f>+SBR!AC45</f>
        <v>20134.2</v>
      </c>
      <c r="V33" s="80">
        <f>+SBR!AD45</f>
        <v>26813.200000000001</v>
      </c>
      <c r="W33" s="80">
        <f>+SBR!AE45</f>
        <v>23734.799999999999</v>
      </c>
      <c r="X33" s="80">
        <f>+SBR!AF45</f>
        <v>23879.9</v>
      </c>
      <c r="Y33" s="80">
        <f>+SBR!AG45</f>
        <v>12324.299999999996</v>
      </c>
      <c r="Z33" s="80">
        <f>+SBR!AH45</f>
        <v>8240.5999999999985</v>
      </c>
      <c r="AA33" s="80">
        <f>+SBR!AI45</f>
        <v>14564.1</v>
      </c>
      <c r="AB33" s="80">
        <f>+SBR!AJ45</f>
        <v>12191.799999999996</v>
      </c>
      <c r="AC33" s="80">
        <f>+SBR!AK45</f>
        <v>12279.599999999999</v>
      </c>
      <c r="AD33" s="80">
        <f>+SBR!AL45</f>
        <v>12236.5</v>
      </c>
      <c r="AE33" s="80">
        <f>+SBR!AM45</f>
        <v>363924.97021</v>
      </c>
      <c r="AF33" s="80">
        <f>+SBR!AN45</f>
        <v>239652.88988</v>
      </c>
      <c r="AG33" s="80">
        <f>+SBR!AO45</f>
        <v>264387.27518</v>
      </c>
      <c r="AH33" s="80">
        <f>+SBR!AP45</f>
        <v>290074.04427999997</v>
      </c>
      <c r="AI33" s="80">
        <f>+SBR!AQ45</f>
        <v>278234.82491999998</v>
      </c>
      <c r="AJ33" s="80">
        <f>+SBR!AR45</f>
        <v>286162.20870999998</v>
      </c>
      <c r="AK33" s="80">
        <f>+SBR!AS45</f>
        <v>234440.71</v>
      </c>
      <c r="AL33" s="80">
        <f>+SBR!AT45</f>
        <v>223079.61</v>
      </c>
      <c r="AM33" s="80">
        <f>+SBR!AU45</f>
        <v>258757.33</v>
      </c>
      <c r="AN33" s="80">
        <f>+SBR!AV45</f>
        <v>248303.58</v>
      </c>
      <c r="AO33" s="80">
        <f>+SBR!AW45</f>
        <v>243357.94</v>
      </c>
      <c r="AP33" s="80">
        <f>+SBR!AX45</f>
        <v>247272.23</v>
      </c>
    </row>
    <row r="34" spans="1:42" x14ac:dyDescent="0.25">
      <c r="A34" s="79" t="s">
        <v>1223</v>
      </c>
      <c r="B34" s="1021">
        <f>SUM(G34:R34)</f>
        <v>0</v>
      </c>
      <c r="C34" s="496">
        <f>SUM(S34:AD34)</f>
        <v>0</v>
      </c>
      <c r="D34" s="80">
        <f>SUM(AE34:AP34)+SBR!BG46</f>
        <v>4831.54</v>
      </c>
      <c r="F34" s="79" t="s">
        <v>1223</v>
      </c>
      <c r="G34" s="80">
        <f>+SBR!O46</f>
        <v>0</v>
      </c>
      <c r="H34" s="80">
        <f>+SBR!P46</f>
        <v>0</v>
      </c>
      <c r="I34" s="80">
        <f>+SBR!Q46</f>
        <v>0</v>
      </c>
      <c r="J34" s="80">
        <f>+SBR!R46</f>
        <v>0</v>
      </c>
      <c r="K34" s="80">
        <f>+SBR!S46</f>
        <v>0</v>
      </c>
      <c r="L34" s="80">
        <f>+SBR!T46</f>
        <v>0</v>
      </c>
      <c r="M34" s="80">
        <f>+SBR!U46</f>
        <v>0</v>
      </c>
      <c r="N34" s="80">
        <f>+SBR!V46</f>
        <v>0</v>
      </c>
      <c r="O34" s="80">
        <f>+SBR!W46</f>
        <v>0</v>
      </c>
      <c r="P34" s="80">
        <f>+SBR!X46</f>
        <v>0</v>
      </c>
      <c r="Q34" s="80">
        <f>+SBR!Y46</f>
        <v>0</v>
      </c>
      <c r="R34" s="80">
        <f>+SBR!Z46</f>
        <v>0</v>
      </c>
      <c r="S34" s="80">
        <f>+SBR!AA46</f>
        <v>0</v>
      </c>
      <c r="T34" s="80">
        <f>+SBR!AB46</f>
        <v>0</v>
      </c>
      <c r="U34" s="80">
        <f>+SBR!AC46</f>
        <v>0</v>
      </c>
      <c r="V34" s="80">
        <f>+SBR!AD46</f>
        <v>0</v>
      </c>
      <c r="W34" s="80">
        <f>+SBR!AE46</f>
        <v>0</v>
      </c>
      <c r="X34" s="80">
        <f>+SBR!AF46</f>
        <v>0</v>
      </c>
      <c r="Y34" s="80">
        <f>+SBR!AG46</f>
        <v>0</v>
      </c>
      <c r="Z34" s="80">
        <f>+SBR!AH46</f>
        <v>0</v>
      </c>
      <c r="AA34" s="80">
        <f>+SBR!AI46</f>
        <v>0</v>
      </c>
      <c r="AB34" s="80">
        <f>+SBR!AJ46</f>
        <v>0</v>
      </c>
      <c r="AC34" s="80">
        <f>+SBR!AK46</f>
        <v>0</v>
      </c>
      <c r="AD34" s="80">
        <f>+SBR!AL46</f>
        <v>0</v>
      </c>
      <c r="AE34" s="80">
        <f>+SBR!AM46</f>
        <v>800</v>
      </c>
      <c r="AF34" s="80">
        <f>+SBR!AN46</f>
        <v>800</v>
      </c>
      <c r="AG34" s="80">
        <f>+SBR!AO46</f>
        <v>800</v>
      </c>
      <c r="AH34" s="80">
        <f>+SBR!AP46</f>
        <v>800</v>
      </c>
      <c r="AI34" s="80">
        <f>+SBR!AQ46</f>
        <v>800</v>
      </c>
      <c r="AJ34" s="80">
        <f>+SBR!AR46</f>
        <v>800</v>
      </c>
      <c r="AK34" s="80">
        <f>+SBR!AS46</f>
        <v>0</v>
      </c>
      <c r="AL34" s="80">
        <f>+SBR!AT46</f>
        <v>0</v>
      </c>
      <c r="AM34" s="80">
        <f>+SBR!AU46</f>
        <v>0</v>
      </c>
      <c r="AN34" s="80">
        <f>+SBR!AV46</f>
        <v>0</v>
      </c>
      <c r="AO34" s="80">
        <f>+SBR!AW46</f>
        <v>0</v>
      </c>
      <c r="AP34" s="80">
        <f>+SBR!AX46</f>
        <v>0</v>
      </c>
    </row>
    <row r="35" spans="1:42" x14ac:dyDescent="0.25">
      <c r="A35" s="79" t="s">
        <v>1224</v>
      </c>
      <c r="B35" s="1016">
        <f>SUM(G35:R35)</f>
        <v>7</v>
      </c>
      <c r="C35" s="494">
        <f>SUM(S35:AD35)</f>
        <v>835384.6</v>
      </c>
      <c r="D35" s="81">
        <f>SUM(AE35:AP35)+SBR!BG47</f>
        <v>909708.96253000002</v>
      </c>
      <c r="F35" s="79" t="s">
        <v>1224</v>
      </c>
      <c r="G35" s="81">
        <f>+SBR!O47</f>
        <v>1</v>
      </c>
      <c r="H35" s="81">
        <f>+SBR!P47</f>
        <v>1</v>
      </c>
      <c r="I35" s="81">
        <f>+SBR!Q47</f>
        <v>1</v>
      </c>
      <c r="J35" s="81">
        <f>+SBR!R47</f>
        <v>1</v>
      </c>
      <c r="K35" s="81">
        <f>+SBR!S47</f>
        <v>1</v>
      </c>
      <c r="L35" s="81">
        <f>+SBR!T47</f>
        <v>1</v>
      </c>
      <c r="M35" s="81">
        <f>+SBR!U47</f>
        <v>1</v>
      </c>
      <c r="N35" s="81">
        <f>+SBR!V47</f>
        <v>0</v>
      </c>
      <c r="O35" s="81">
        <f>+SBR!W47</f>
        <v>0</v>
      </c>
      <c r="P35" s="81">
        <f>+SBR!X47</f>
        <v>0</v>
      </c>
      <c r="Q35" s="81">
        <f>+SBR!Y47</f>
        <v>0</v>
      </c>
      <c r="R35" s="81">
        <f>+SBR!Z47</f>
        <v>0</v>
      </c>
      <c r="S35" s="81">
        <f>+SBR!AA47</f>
        <v>301.3</v>
      </c>
      <c r="T35" s="81">
        <f>+SBR!AB47</f>
        <v>18660.099999999999</v>
      </c>
      <c r="U35" s="81">
        <f>+SBR!AC47</f>
        <v>95127.8</v>
      </c>
      <c r="V35" s="81">
        <f>+SBR!AD47</f>
        <v>262356.09999999998</v>
      </c>
      <c r="W35" s="81">
        <f>+SBR!AE47</f>
        <v>270529.59999999998</v>
      </c>
      <c r="X35" s="81">
        <f>+SBR!AF47</f>
        <v>129634.8</v>
      </c>
      <c r="Y35" s="81">
        <f>+SBR!AG47</f>
        <v>58774.899999999994</v>
      </c>
      <c r="Z35" s="81">
        <f>+SBR!AH47</f>
        <v>0</v>
      </c>
      <c r="AA35" s="81">
        <f>+SBR!AI47</f>
        <v>0</v>
      </c>
      <c r="AB35" s="81">
        <f>+SBR!AJ47</f>
        <v>0</v>
      </c>
      <c r="AC35" s="81">
        <f>+SBR!AK47</f>
        <v>0</v>
      </c>
      <c r="AD35" s="81">
        <f>+SBR!AL47</f>
        <v>0</v>
      </c>
      <c r="AE35" s="81">
        <f>+SBR!AM47</f>
        <v>110942.16</v>
      </c>
      <c r="AF35" s="81">
        <f>+SBR!AN47</f>
        <v>108359.91000000002</v>
      </c>
      <c r="AG35" s="81">
        <f>+SBR!AO47</f>
        <v>112077.09000000001</v>
      </c>
      <c r="AH35" s="81">
        <f>+SBR!AP47</f>
        <v>121126.85</v>
      </c>
      <c r="AI35" s="81">
        <f>+SBR!AQ47</f>
        <v>120754.87000000001</v>
      </c>
      <c r="AJ35" s="81">
        <f>+SBR!AR47</f>
        <v>113917.47000000002</v>
      </c>
      <c r="AK35" s="81">
        <f>+SBR!AS47</f>
        <v>110861.43253000001</v>
      </c>
      <c r="AL35" s="81">
        <f>+SBR!AT47</f>
        <v>107140.32</v>
      </c>
      <c r="AM35" s="81">
        <f>+SBR!AU47</f>
        <v>0</v>
      </c>
      <c r="AN35" s="81">
        <f>+SBR!AV47</f>
        <v>0</v>
      </c>
      <c r="AO35" s="81">
        <f>+SBR!AW47</f>
        <v>0</v>
      </c>
      <c r="AP35" s="81">
        <f>+SBR!AX47</f>
        <v>0</v>
      </c>
    </row>
    <row r="36" spans="1:42" x14ac:dyDescent="0.25">
      <c r="A36" s="1019" t="s">
        <v>491</v>
      </c>
      <c r="B36" s="1021">
        <f>SUM(B33:B35)</f>
        <v>19</v>
      </c>
      <c r="C36" s="496">
        <f>SUM(C33:C35)</f>
        <v>1066175.7</v>
      </c>
      <c r="D36" s="80">
        <f>SUM(D33:D35)</f>
        <v>4103352.9057100001</v>
      </c>
      <c r="F36" s="1019" t="s">
        <v>491</v>
      </c>
      <c r="G36" s="80">
        <f>+G33+G35+G34</f>
        <v>2</v>
      </c>
      <c r="H36" s="80">
        <f t="shared" ref="H36:R36" si="15">+H33+H35+H34</f>
        <v>2</v>
      </c>
      <c r="I36" s="80">
        <f t="shared" si="15"/>
        <v>2</v>
      </c>
      <c r="J36" s="80">
        <f t="shared" si="15"/>
        <v>2</v>
      </c>
      <c r="K36" s="80">
        <f t="shared" si="15"/>
        <v>2</v>
      </c>
      <c r="L36" s="80">
        <f t="shared" si="15"/>
        <v>2</v>
      </c>
      <c r="M36" s="80">
        <f t="shared" si="15"/>
        <v>2</v>
      </c>
      <c r="N36" s="80">
        <f t="shared" si="15"/>
        <v>1</v>
      </c>
      <c r="O36" s="80">
        <f t="shared" si="15"/>
        <v>1</v>
      </c>
      <c r="P36" s="80">
        <f t="shared" si="15"/>
        <v>1</v>
      </c>
      <c r="Q36" s="80">
        <f t="shared" si="15"/>
        <v>1</v>
      </c>
      <c r="R36" s="80">
        <f t="shared" si="15"/>
        <v>1</v>
      </c>
      <c r="S36" s="80">
        <f>+S33+S35+S34</f>
        <v>49916.200000000004</v>
      </c>
      <c r="T36" s="80">
        <f t="shared" ref="T36:AD36" si="16">+T33+T35+T34</f>
        <v>33437.300000000003</v>
      </c>
      <c r="U36" s="80">
        <f t="shared" si="16"/>
        <v>115262</v>
      </c>
      <c r="V36" s="80">
        <f t="shared" si="16"/>
        <v>289169.3</v>
      </c>
      <c r="W36" s="80">
        <f t="shared" si="16"/>
        <v>294264.39999999997</v>
      </c>
      <c r="X36" s="80">
        <f t="shared" si="16"/>
        <v>153514.70000000001</v>
      </c>
      <c r="Y36" s="80">
        <f t="shared" si="16"/>
        <v>71099.199999999983</v>
      </c>
      <c r="Z36" s="80">
        <f t="shared" si="16"/>
        <v>8240.5999999999985</v>
      </c>
      <c r="AA36" s="80">
        <f t="shared" si="16"/>
        <v>14564.1</v>
      </c>
      <c r="AB36" s="80">
        <f t="shared" si="16"/>
        <v>12191.799999999996</v>
      </c>
      <c r="AC36" s="80">
        <f t="shared" si="16"/>
        <v>12279.599999999999</v>
      </c>
      <c r="AD36" s="80">
        <f t="shared" si="16"/>
        <v>12236.5</v>
      </c>
      <c r="AE36" s="80">
        <f>+AE33+AE35+AE34</f>
        <v>475667.13020999997</v>
      </c>
      <c r="AF36" s="80">
        <f t="shared" ref="AF36:AP36" si="17">+AF33+AF35+AF34</f>
        <v>348812.79988000001</v>
      </c>
      <c r="AG36" s="80">
        <f t="shared" si="17"/>
        <v>377264.36518000002</v>
      </c>
      <c r="AH36" s="80">
        <f t="shared" si="17"/>
        <v>412000.89428000001</v>
      </c>
      <c r="AI36" s="80">
        <f t="shared" si="17"/>
        <v>399789.69491999998</v>
      </c>
      <c r="AJ36" s="80">
        <f t="shared" si="17"/>
        <v>400879.67871000001</v>
      </c>
      <c r="AK36" s="80">
        <f t="shared" si="17"/>
        <v>345302.14253000001</v>
      </c>
      <c r="AL36" s="80">
        <f t="shared" si="17"/>
        <v>330219.93</v>
      </c>
      <c r="AM36" s="80">
        <f t="shared" si="17"/>
        <v>258757.33</v>
      </c>
      <c r="AN36" s="80">
        <f t="shared" si="17"/>
        <v>248303.58</v>
      </c>
      <c r="AO36" s="80">
        <f t="shared" si="17"/>
        <v>243357.94</v>
      </c>
      <c r="AP36" s="80">
        <f t="shared" si="17"/>
        <v>247272.23</v>
      </c>
    </row>
    <row r="37" spans="1:42" x14ac:dyDescent="0.25">
      <c r="A37" s="1019"/>
      <c r="B37" s="1021"/>
      <c r="C37" s="496"/>
      <c r="D37" s="80"/>
      <c r="F37" s="1019"/>
      <c r="G37" s="495"/>
      <c r="H37" s="495"/>
      <c r="I37" s="495"/>
      <c r="J37" s="495"/>
      <c r="K37" s="495"/>
      <c r="L37" s="495"/>
      <c r="M37" s="495"/>
      <c r="N37" s="495"/>
      <c r="O37" s="495"/>
      <c r="P37" s="495"/>
      <c r="Q37" s="495"/>
      <c r="R37" s="495"/>
      <c r="S37" s="495"/>
      <c r="T37" s="495"/>
      <c r="U37" s="495"/>
      <c r="V37" s="495"/>
      <c r="W37" s="495"/>
      <c r="X37" s="495"/>
      <c r="AE37" s="80"/>
      <c r="AF37" s="80"/>
      <c r="AG37" s="80"/>
      <c r="AH37" s="80"/>
      <c r="AI37" s="80"/>
      <c r="AJ37" s="80"/>
    </row>
    <row r="38" spans="1:42" x14ac:dyDescent="0.25">
      <c r="A38" s="1019"/>
      <c r="B38" s="1021"/>
      <c r="C38" s="496"/>
      <c r="D38" s="80"/>
      <c r="F38" s="1019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AE38" s="80"/>
      <c r="AF38" s="80"/>
      <c r="AG38" s="80"/>
      <c r="AH38" s="80"/>
      <c r="AI38" s="80"/>
      <c r="AJ38" s="80"/>
    </row>
    <row r="39" spans="1:42" x14ac:dyDescent="0.25">
      <c r="G39" s="495"/>
      <c r="H39" s="495"/>
      <c r="I39" s="495"/>
      <c r="J39" s="495"/>
      <c r="K39" s="495"/>
      <c r="L39" s="495"/>
      <c r="M39" s="495"/>
      <c r="N39" s="495"/>
      <c r="O39" s="495"/>
      <c r="P39" s="495"/>
      <c r="Q39" s="495"/>
      <c r="R39" s="495"/>
      <c r="S39" s="495"/>
      <c r="T39" s="495"/>
      <c r="U39" s="495"/>
      <c r="V39" s="495"/>
      <c r="W39" s="495"/>
      <c r="X39" s="495"/>
      <c r="AE39" s="80"/>
      <c r="AF39" s="80"/>
    </row>
    <row r="40" spans="1:42" x14ac:dyDescent="0.25">
      <c r="A40" s="1019"/>
      <c r="F40" s="1019"/>
      <c r="G40" s="495"/>
      <c r="H40" s="495"/>
      <c r="I40" s="495"/>
      <c r="J40" s="495"/>
      <c r="K40" s="495"/>
      <c r="L40" s="495"/>
      <c r="M40" s="495"/>
      <c r="N40" s="495"/>
      <c r="O40" s="495"/>
      <c r="P40" s="495"/>
      <c r="Q40" s="495"/>
      <c r="R40" s="495"/>
      <c r="S40" s="495"/>
      <c r="T40" s="495"/>
      <c r="U40" s="495"/>
      <c r="V40" s="495"/>
      <c r="W40" s="495"/>
      <c r="X40" s="495"/>
      <c r="AE40" s="80"/>
      <c r="AF40" s="80"/>
    </row>
    <row r="41" spans="1:42" x14ac:dyDescent="0.25">
      <c r="G41" s="495"/>
      <c r="H41" s="495"/>
      <c r="I41" s="495"/>
      <c r="J41" s="495"/>
      <c r="K41" s="495"/>
      <c r="L41" s="495"/>
      <c r="M41" s="495"/>
      <c r="N41" s="495"/>
      <c r="O41" s="495"/>
      <c r="P41" s="495"/>
      <c r="Q41" s="495"/>
      <c r="R41" s="495"/>
      <c r="S41" s="495"/>
      <c r="T41" s="495"/>
      <c r="U41" s="495"/>
      <c r="V41" s="495"/>
      <c r="W41" s="495"/>
      <c r="X41" s="495"/>
      <c r="AE41" s="80"/>
      <c r="AF41" s="80"/>
    </row>
    <row r="42" spans="1:42" x14ac:dyDescent="0.25">
      <c r="A42" s="1019" t="s">
        <v>791</v>
      </c>
      <c r="B42" s="1025">
        <f>SUM(G42:R42)</f>
        <v>836</v>
      </c>
      <c r="C42" s="1021">
        <f>SUM(S42:AD42)</f>
        <v>0</v>
      </c>
      <c r="D42" s="80">
        <f>ROUND(SUM(AE42:AP42),0)+SBR!BG76</f>
        <v>62459.229682751218</v>
      </c>
      <c r="E42" s="1021"/>
      <c r="F42" s="1019" t="s">
        <v>492</v>
      </c>
      <c r="G42" s="80">
        <f>SBR!O76</f>
        <v>71</v>
      </c>
      <c r="H42" s="80">
        <f>SBR!P76</f>
        <v>71</v>
      </c>
      <c r="I42" s="80">
        <f>SBR!Q76</f>
        <v>70</v>
      </c>
      <c r="J42" s="80">
        <f>SBR!R76</f>
        <v>119</v>
      </c>
      <c r="K42" s="80">
        <f>SBR!S76</f>
        <v>21</v>
      </c>
      <c r="L42" s="80">
        <f>SBR!T76</f>
        <v>70</v>
      </c>
      <c r="M42" s="80">
        <f>SBR!U76</f>
        <v>69</v>
      </c>
      <c r="N42" s="80">
        <f>SBR!V76</f>
        <v>69</v>
      </c>
      <c r="O42" s="80">
        <f>SBR!W76</f>
        <v>69</v>
      </c>
      <c r="P42" s="80">
        <f>SBR!X76</f>
        <v>69</v>
      </c>
      <c r="Q42" s="80">
        <f>SBR!Y76</f>
        <v>69</v>
      </c>
      <c r="R42" s="80">
        <f>SBR!Z76</f>
        <v>69</v>
      </c>
      <c r="S42" s="80">
        <f>SBR!AA76</f>
        <v>0</v>
      </c>
      <c r="T42" s="80">
        <f>SBR!AB76</f>
        <v>0</v>
      </c>
      <c r="U42" s="80">
        <f>SBR!AC76</f>
        <v>0</v>
      </c>
      <c r="V42" s="80">
        <f>SBR!AD76</f>
        <v>0</v>
      </c>
      <c r="W42" s="80">
        <f>SBR!AE76</f>
        <v>0</v>
      </c>
      <c r="X42" s="80">
        <f>SBR!AF76</f>
        <v>0</v>
      </c>
      <c r="Y42" s="80">
        <f>SBR!AG76</f>
        <v>0</v>
      </c>
      <c r="Z42" s="80">
        <f>SBR!AH76</f>
        <v>0</v>
      </c>
      <c r="AA42" s="80">
        <f>SBR!AI76</f>
        <v>0</v>
      </c>
      <c r="AB42" s="80">
        <f>SBR!AJ76</f>
        <v>0</v>
      </c>
      <c r="AC42" s="80">
        <f>SBR!AK76</f>
        <v>0</v>
      </c>
      <c r="AD42" s="80">
        <f>SBR!AL76</f>
        <v>0</v>
      </c>
      <c r="AE42" s="80">
        <f>SBR!AM76</f>
        <v>5325</v>
      </c>
      <c r="AF42" s="80">
        <f>SBR!AN76</f>
        <v>5250</v>
      </c>
      <c r="AG42" s="80">
        <f>SBR!AO76</f>
        <v>8925</v>
      </c>
      <c r="AH42" s="80">
        <f>SBR!AP76</f>
        <v>1575</v>
      </c>
      <c r="AI42" s="80">
        <f>SBR!AQ76</f>
        <v>5250</v>
      </c>
      <c r="AJ42" s="80">
        <f>SBR!AR76</f>
        <v>5250</v>
      </c>
      <c r="AK42" s="80">
        <f>SBR!AS76</f>
        <v>5175</v>
      </c>
      <c r="AL42" s="80">
        <f>SBR!AT76</f>
        <v>5175</v>
      </c>
      <c r="AM42" s="80">
        <f>SBR!AU76</f>
        <v>5175</v>
      </c>
      <c r="AN42" s="80">
        <f>SBR!AV76</f>
        <v>5175</v>
      </c>
      <c r="AO42" s="80">
        <f>SBR!AW76</f>
        <v>5175</v>
      </c>
      <c r="AP42" s="80">
        <f>SBR!AX76</f>
        <v>5175</v>
      </c>
    </row>
    <row r="43" spans="1:42" x14ac:dyDescent="0.25">
      <c r="A43" s="1019" t="s">
        <v>792</v>
      </c>
      <c r="B43" s="1025">
        <f>SUM(G43:R43)</f>
        <v>0</v>
      </c>
      <c r="C43" s="1021">
        <f>SUM(S43:AD43)</f>
        <v>0</v>
      </c>
      <c r="D43" s="80">
        <f>ROUND(SUM(AE43:AP43),0)+SBR!BG77+SBR!BG78+SBR!BG79</f>
        <v>116972.30847461392</v>
      </c>
      <c r="F43" s="1019" t="s">
        <v>792</v>
      </c>
      <c r="G43" s="80">
        <f>SUM(SBR!O77:O79)</f>
        <v>0</v>
      </c>
      <c r="H43" s="80">
        <f>SUM(SBR!P77:P79)</f>
        <v>0</v>
      </c>
      <c r="I43" s="80">
        <f>SUM(SBR!Q77:Q79)</f>
        <v>0</v>
      </c>
      <c r="J43" s="80">
        <f>SUM(SBR!R77:R79)</f>
        <v>0</v>
      </c>
      <c r="K43" s="80">
        <f>SUM(SBR!S77:S79)</f>
        <v>0</v>
      </c>
      <c r="L43" s="80">
        <f>SUM(SBR!T77:T79)</f>
        <v>0</v>
      </c>
      <c r="M43" s="80">
        <f>SUM(SBR!U77:U79)</f>
        <v>0</v>
      </c>
      <c r="N43" s="80">
        <f>SUM(SBR!V77:V79)</f>
        <v>0</v>
      </c>
      <c r="O43" s="80">
        <f>SUM(SBR!W77:W79)</f>
        <v>0</v>
      </c>
      <c r="P43" s="80">
        <f>SUM(SBR!X77:X79)</f>
        <v>0</v>
      </c>
      <c r="Q43" s="80">
        <f>SUM(SBR!Y77:Y79)</f>
        <v>0</v>
      </c>
      <c r="R43" s="80">
        <f>SUM(SBR!Z77:Z79)</f>
        <v>0</v>
      </c>
      <c r="S43" s="80">
        <f>SUM(SBR!AA77:AA79)</f>
        <v>0</v>
      </c>
      <c r="T43" s="80">
        <f>SUM(SBR!AB77:AB79)</f>
        <v>0</v>
      </c>
      <c r="U43" s="80">
        <f>SUM(SBR!AC77:AC79)</f>
        <v>0</v>
      </c>
      <c r="V43" s="80">
        <f>SUM(SBR!AD77:AD79)</f>
        <v>0</v>
      </c>
      <c r="W43" s="80">
        <f>SUM(SBR!AE77:AE79)</f>
        <v>0</v>
      </c>
      <c r="X43" s="80">
        <f>SUM(SBR!AF77:AF79)</f>
        <v>0</v>
      </c>
      <c r="Y43" s="80">
        <f>SUM(SBR!AG77:AG79)</f>
        <v>0</v>
      </c>
      <c r="Z43" s="80">
        <f>SUM(SBR!AH77:AH79)</f>
        <v>0</v>
      </c>
      <c r="AA43" s="80">
        <f>SUM(SBR!AI77:AI79)</f>
        <v>0</v>
      </c>
      <c r="AB43" s="80">
        <f>SUM(SBR!AJ77:AJ79)</f>
        <v>0</v>
      </c>
      <c r="AC43" s="80">
        <f>SUM(SBR!AK77:AK79)</f>
        <v>0</v>
      </c>
      <c r="AD43" s="80">
        <f>SUM(SBR!AL77:AL79)</f>
        <v>0</v>
      </c>
      <c r="AE43" s="80">
        <f>SUM(SBR!AM77:AM79)</f>
        <v>29336.55</v>
      </c>
      <c r="AF43" s="80">
        <f>SUM(SBR!AN77:AN79)</f>
        <v>19264.940000000002</v>
      </c>
      <c r="AG43" s="80">
        <f>SUM(SBR!AO77:AO79)</f>
        <v>36055.979999999996</v>
      </c>
      <c r="AH43" s="80">
        <f>SUM(SBR!AP77:AP79)</f>
        <v>555.71</v>
      </c>
      <c r="AI43" s="80">
        <f>SUM(SBR!AQ77:AQ79)</f>
        <v>21843.809999999998</v>
      </c>
      <c r="AJ43" s="80">
        <f>SUM(SBR!AR77:AR79)</f>
        <v>10793.71</v>
      </c>
      <c r="AK43" s="80">
        <f>SUM(SBR!AS77:AS79)</f>
        <v>0</v>
      </c>
      <c r="AL43" s="80">
        <f>SUM(SBR!AT77:AT79)</f>
        <v>0</v>
      </c>
      <c r="AM43" s="80">
        <f>SUM(SBR!AU77:AU79)</f>
        <v>0</v>
      </c>
      <c r="AN43" s="80">
        <f>SUM(SBR!AV77:AV79)</f>
        <v>0</v>
      </c>
      <c r="AO43" s="80">
        <f>SUM(SBR!AW77:AW79)</f>
        <v>0</v>
      </c>
      <c r="AP43" s="80">
        <f>SUM(SBR!AX77:AX79)</f>
        <v>0</v>
      </c>
    </row>
    <row r="44" spans="1:42" x14ac:dyDescent="0.25">
      <c r="A44" s="1019" t="s">
        <v>793</v>
      </c>
      <c r="B44" s="1016">
        <f>SUM(G44:R44)</f>
        <v>54</v>
      </c>
      <c r="C44" s="1016">
        <f>SUM(S44:AD44)</f>
        <v>0</v>
      </c>
      <c r="D44" s="81">
        <f>ROUND(SUM(AE44:AP44),0)+SBR!BG80+SBR!BG81</f>
        <v>4053.82929143309</v>
      </c>
      <c r="E44" s="1026"/>
      <c r="F44" s="1029" t="s">
        <v>773</v>
      </c>
      <c r="G44" s="81">
        <f>SBR!O80+SBR!O81</f>
        <v>7</v>
      </c>
      <c r="H44" s="81">
        <f>SBR!P80+SBR!P81</f>
        <v>7</v>
      </c>
      <c r="I44" s="81">
        <f>SBR!Q80+SBR!Q81</f>
        <v>7</v>
      </c>
      <c r="J44" s="81">
        <f>SBR!R80+SBR!R81</f>
        <v>7</v>
      </c>
      <c r="K44" s="81">
        <f>SBR!S80+SBR!S81</f>
        <v>7</v>
      </c>
      <c r="L44" s="81">
        <f>SBR!T80+SBR!T81</f>
        <v>7</v>
      </c>
      <c r="M44" s="81">
        <f>SBR!U80+SBR!U81</f>
        <v>2</v>
      </c>
      <c r="N44" s="81">
        <f>SBR!V80+SBR!V81</f>
        <v>2</v>
      </c>
      <c r="O44" s="81">
        <f>SBR!W80+SBR!W81</f>
        <v>2</v>
      </c>
      <c r="P44" s="81">
        <f>SBR!X80+SBR!X81</f>
        <v>2</v>
      </c>
      <c r="Q44" s="81">
        <f>SBR!Y80+SBR!Y81</f>
        <v>2</v>
      </c>
      <c r="R44" s="81">
        <f>SBR!Z80+SBR!Z81</f>
        <v>2</v>
      </c>
      <c r="S44" s="81">
        <f>SBR!AA80+SBR!AA81</f>
        <v>0</v>
      </c>
      <c r="T44" s="81">
        <f>SBR!AB80+SBR!AB81</f>
        <v>0</v>
      </c>
      <c r="U44" s="81">
        <f>SBR!AC80+SBR!AC81</f>
        <v>0</v>
      </c>
      <c r="V44" s="81">
        <f>SBR!AD80+SBR!AD81</f>
        <v>0</v>
      </c>
      <c r="W44" s="81">
        <f>SBR!AE80+SBR!AE81</f>
        <v>0</v>
      </c>
      <c r="X44" s="81">
        <f>SBR!AF80+SBR!AF81</f>
        <v>0</v>
      </c>
      <c r="Y44" s="81">
        <f>SBR!AG80+SBR!AG81</f>
        <v>0</v>
      </c>
      <c r="Z44" s="81">
        <f>SBR!AH80+SBR!AH81</f>
        <v>0</v>
      </c>
      <c r="AA44" s="81">
        <f>SBR!AI80+SBR!AI81</f>
        <v>0</v>
      </c>
      <c r="AB44" s="81">
        <f>SBR!AJ80+SBR!AJ81</f>
        <v>0</v>
      </c>
      <c r="AC44" s="81">
        <f>SBR!AK80+SBR!AK81</f>
        <v>0</v>
      </c>
      <c r="AD44" s="81">
        <f>SBR!AL80+SBR!AL81</f>
        <v>0</v>
      </c>
      <c r="AE44" s="81">
        <f>SBR!AM80+SBR!AM81</f>
        <v>525</v>
      </c>
      <c r="AF44" s="81">
        <f>SBR!AN80+SBR!AN81</f>
        <v>525</v>
      </c>
      <c r="AG44" s="81">
        <f>SBR!AO80+SBR!AO81</f>
        <v>525</v>
      </c>
      <c r="AH44" s="81">
        <f>SBR!AP80+SBR!AP81</f>
        <v>525</v>
      </c>
      <c r="AI44" s="81">
        <f>SBR!AQ80+SBR!AQ81</f>
        <v>525</v>
      </c>
      <c r="AJ44" s="81">
        <f>SBR!AR80+SBR!AR81</f>
        <v>525</v>
      </c>
      <c r="AK44" s="81">
        <f>SBR!AS80+SBR!AS81</f>
        <v>150</v>
      </c>
      <c r="AL44" s="81">
        <f>SBR!AT80+SBR!AT81</f>
        <v>150</v>
      </c>
      <c r="AM44" s="81">
        <f>SBR!AU80+SBR!AU81</f>
        <v>150</v>
      </c>
      <c r="AN44" s="81">
        <f>SBR!AV80+SBR!AV81</f>
        <v>150</v>
      </c>
      <c r="AO44" s="81">
        <f>SBR!AW80+SBR!AW81</f>
        <v>150</v>
      </c>
      <c r="AP44" s="81">
        <f>SBR!AX80+SBR!AX81</f>
        <v>150</v>
      </c>
    </row>
    <row r="45" spans="1:42" x14ac:dyDescent="0.25">
      <c r="A45" s="1019" t="s">
        <v>794</v>
      </c>
      <c r="B45" s="1021">
        <f>SUM(B42:B44)</f>
        <v>890</v>
      </c>
      <c r="C45" s="1021">
        <f>SUM(C42:C44)</f>
        <v>0</v>
      </c>
      <c r="D45" s="80">
        <f>SUM(D42:D44)</f>
        <v>183485.36744879824</v>
      </c>
      <c r="F45" s="1019"/>
      <c r="G45" s="80">
        <f t="shared" ref="G45:AP45" si="18">SUM(G42:G44)</f>
        <v>78</v>
      </c>
      <c r="H45" s="80">
        <f t="shared" si="18"/>
        <v>78</v>
      </c>
      <c r="I45" s="80">
        <f t="shared" si="18"/>
        <v>77</v>
      </c>
      <c r="J45" s="80">
        <f t="shared" si="18"/>
        <v>126</v>
      </c>
      <c r="K45" s="80">
        <f t="shared" si="18"/>
        <v>28</v>
      </c>
      <c r="L45" s="80">
        <f t="shared" si="18"/>
        <v>77</v>
      </c>
      <c r="M45" s="80">
        <f t="shared" si="18"/>
        <v>71</v>
      </c>
      <c r="N45" s="80">
        <f t="shared" si="18"/>
        <v>71</v>
      </c>
      <c r="O45" s="80">
        <f t="shared" si="18"/>
        <v>71</v>
      </c>
      <c r="P45" s="80">
        <f t="shared" si="18"/>
        <v>71</v>
      </c>
      <c r="Q45" s="80">
        <f t="shared" si="18"/>
        <v>71</v>
      </c>
      <c r="R45" s="80">
        <f t="shared" si="18"/>
        <v>71</v>
      </c>
      <c r="S45" s="80">
        <f t="shared" si="18"/>
        <v>0</v>
      </c>
      <c r="T45" s="80">
        <f t="shared" si="18"/>
        <v>0</v>
      </c>
      <c r="U45" s="80">
        <f t="shared" si="18"/>
        <v>0</v>
      </c>
      <c r="V45" s="80">
        <f t="shared" si="18"/>
        <v>0</v>
      </c>
      <c r="W45" s="80">
        <f t="shared" si="18"/>
        <v>0</v>
      </c>
      <c r="X45" s="80">
        <f t="shared" si="18"/>
        <v>0</v>
      </c>
      <c r="Y45" s="80">
        <f t="shared" si="18"/>
        <v>0</v>
      </c>
      <c r="Z45" s="80">
        <f t="shared" si="18"/>
        <v>0</v>
      </c>
      <c r="AA45" s="80">
        <f t="shared" si="18"/>
        <v>0</v>
      </c>
      <c r="AB45" s="80">
        <f t="shared" si="18"/>
        <v>0</v>
      </c>
      <c r="AC45" s="80">
        <f t="shared" si="18"/>
        <v>0</v>
      </c>
      <c r="AD45" s="80">
        <f t="shared" si="18"/>
        <v>0</v>
      </c>
      <c r="AE45" s="80">
        <f t="shared" si="18"/>
        <v>35186.550000000003</v>
      </c>
      <c r="AF45" s="80">
        <f t="shared" si="18"/>
        <v>25039.940000000002</v>
      </c>
      <c r="AG45" s="80">
        <f t="shared" si="18"/>
        <v>45505.979999999996</v>
      </c>
      <c r="AH45" s="80">
        <f t="shared" si="18"/>
        <v>2655.71</v>
      </c>
      <c r="AI45" s="80">
        <f t="shared" si="18"/>
        <v>27618.809999999998</v>
      </c>
      <c r="AJ45" s="80">
        <f t="shared" si="18"/>
        <v>16568.71</v>
      </c>
      <c r="AK45" s="80">
        <f t="shared" si="18"/>
        <v>5325</v>
      </c>
      <c r="AL45" s="80">
        <f t="shared" si="18"/>
        <v>5325</v>
      </c>
      <c r="AM45" s="80">
        <f t="shared" si="18"/>
        <v>5325</v>
      </c>
      <c r="AN45" s="80">
        <f t="shared" si="18"/>
        <v>5325</v>
      </c>
      <c r="AO45" s="80">
        <f t="shared" si="18"/>
        <v>5325</v>
      </c>
      <c r="AP45" s="80">
        <f t="shared" si="18"/>
        <v>5325</v>
      </c>
    </row>
    <row r="46" spans="1:42" x14ac:dyDescent="0.25">
      <c r="Y46" s="79"/>
      <c r="Z46" s="79"/>
      <c r="AA46" s="79"/>
      <c r="AB46" s="79"/>
      <c r="AC46" s="79"/>
      <c r="AD46" s="79"/>
      <c r="AK46" s="79"/>
      <c r="AL46" s="79"/>
      <c r="AM46" s="79"/>
      <c r="AN46" s="79"/>
      <c r="AO46" s="79"/>
      <c r="AP46" s="79"/>
    </row>
    <row r="47" spans="1:42" x14ac:dyDescent="0.25">
      <c r="B47" s="1021"/>
      <c r="C47" s="496"/>
      <c r="D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</row>
    <row r="48" spans="1:42" x14ac:dyDescent="0.25">
      <c r="B48" s="1021"/>
      <c r="C48" s="496"/>
      <c r="D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</row>
    <row r="49" spans="1:42" x14ac:dyDescent="0.25">
      <c r="Y49" s="79"/>
      <c r="Z49" s="79"/>
      <c r="AA49" s="79"/>
      <c r="AB49" s="79"/>
      <c r="AC49" s="79"/>
      <c r="AD49" s="79"/>
      <c r="AK49" s="79"/>
      <c r="AL49" s="79"/>
      <c r="AM49" s="79"/>
      <c r="AN49" s="79"/>
      <c r="AO49" s="79"/>
      <c r="AP49" s="79"/>
    </row>
    <row r="50" spans="1:42" x14ac:dyDescent="0.25">
      <c r="Y50" s="79"/>
      <c r="Z50" s="79"/>
      <c r="AA50" s="79"/>
      <c r="AB50" s="79"/>
      <c r="AC50" s="79"/>
      <c r="AD50" s="79"/>
      <c r="AK50" s="79"/>
      <c r="AL50" s="79"/>
      <c r="AM50" s="79"/>
      <c r="AN50" s="79"/>
      <c r="AO50" s="79"/>
      <c r="AP50" s="79"/>
    </row>
    <row r="51" spans="1:42" x14ac:dyDescent="0.25">
      <c r="A51" s="1019" t="s">
        <v>493</v>
      </c>
      <c r="B51" s="1021">
        <f>SUM(G51:R51)</f>
        <v>3860388</v>
      </c>
      <c r="C51" s="496">
        <f>SUM(S51:AD51)</f>
        <v>46914127.170227922</v>
      </c>
      <c r="D51" s="80">
        <f>SUM(AE51:AP51)+SBR!E37+SBR!E50+SBR!E84</f>
        <v>324516677.1529901</v>
      </c>
      <c r="F51" s="1019" t="s">
        <v>494</v>
      </c>
      <c r="G51" s="1038">
        <f t="shared" ref="G51:AD51" si="19">G6+G11+G16+G24+G30+G18+G36</f>
        <v>329843</v>
      </c>
      <c r="H51" s="1038">
        <f t="shared" si="19"/>
        <v>321741</v>
      </c>
      <c r="I51" s="1038">
        <f t="shared" si="19"/>
        <v>321466</v>
      </c>
      <c r="J51" s="1038">
        <f t="shared" si="19"/>
        <v>320986</v>
      </c>
      <c r="K51" s="1038">
        <f t="shared" si="19"/>
        <v>319266</v>
      </c>
      <c r="L51" s="1038">
        <f t="shared" si="19"/>
        <v>321053</v>
      </c>
      <c r="M51" s="1038">
        <f t="shared" si="19"/>
        <v>319215</v>
      </c>
      <c r="N51" s="1038">
        <f t="shared" si="19"/>
        <v>319614</v>
      </c>
      <c r="O51" s="1038">
        <f t="shared" si="19"/>
        <v>320463</v>
      </c>
      <c r="P51" s="1038">
        <f t="shared" si="19"/>
        <v>321734</v>
      </c>
      <c r="Q51" s="1038">
        <f t="shared" si="19"/>
        <v>322377</v>
      </c>
      <c r="R51" s="1038">
        <f t="shared" si="19"/>
        <v>322630</v>
      </c>
      <c r="S51" s="80">
        <f t="shared" si="19"/>
        <v>5163734.5</v>
      </c>
      <c r="T51" s="80">
        <f t="shared" si="19"/>
        <v>3279719.2</v>
      </c>
      <c r="U51" s="80">
        <f t="shared" si="19"/>
        <v>2365999.5</v>
      </c>
      <c r="V51" s="80">
        <f t="shared" si="19"/>
        <v>2036981.0999999999</v>
      </c>
      <c r="W51" s="80">
        <f t="shared" si="19"/>
        <v>1754864.7</v>
      </c>
      <c r="X51" s="80">
        <f t="shared" si="19"/>
        <v>1637240.6999999997</v>
      </c>
      <c r="Y51" s="80">
        <f t="shared" si="19"/>
        <v>1689041.8459150963</v>
      </c>
      <c r="Z51" s="80">
        <f t="shared" si="19"/>
        <v>2613809.9697595164</v>
      </c>
      <c r="AA51" s="80">
        <f t="shared" si="19"/>
        <v>4447683.9919281546</v>
      </c>
      <c r="AB51" s="80">
        <f t="shared" si="19"/>
        <v>6824147.5580734527</v>
      </c>
      <c r="AC51" s="80">
        <f t="shared" si="19"/>
        <v>8131761.8748845933</v>
      </c>
      <c r="AD51" s="80">
        <f t="shared" si="19"/>
        <v>6969142.2296671113</v>
      </c>
      <c r="AE51" s="80">
        <f t="shared" ref="AE51:AP51" si="20">AE6+AE11+AE16+AE24+AE30+AE45+AE36+AE18</f>
        <v>33547039.552780002</v>
      </c>
      <c r="AF51" s="80">
        <f t="shared" si="20"/>
        <v>22853716.804510005</v>
      </c>
      <c r="AG51" s="80">
        <f t="shared" si="20"/>
        <v>15990409.523779999</v>
      </c>
      <c r="AH51" s="80">
        <f t="shared" si="20"/>
        <v>14187572.179789999</v>
      </c>
      <c r="AI51" s="80">
        <f t="shared" si="20"/>
        <v>12628058.490939999</v>
      </c>
      <c r="AJ51" s="80">
        <f t="shared" si="20"/>
        <v>12519497.951560002</v>
      </c>
      <c r="AK51" s="80">
        <f t="shared" si="20"/>
        <v>13259538.798712941</v>
      </c>
      <c r="AL51" s="80">
        <f t="shared" si="20"/>
        <v>17685101.241528526</v>
      </c>
      <c r="AM51" s="80">
        <f t="shared" si="20"/>
        <v>29925576.662622351</v>
      </c>
      <c r="AN51" s="80">
        <f t="shared" si="20"/>
        <v>47593751.689544491</v>
      </c>
      <c r="AO51" s="80">
        <f t="shared" si="20"/>
        <v>54539313.348008044</v>
      </c>
      <c r="AP51" s="80">
        <f t="shared" si="20"/>
        <v>49685438.74921377</v>
      </c>
    </row>
    <row r="52" spans="1:42" x14ac:dyDescent="0.25">
      <c r="B52" s="1021">
        <f>B6+B11+B16+B24+B30+B36+B18</f>
        <v>3860388</v>
      </c>
      <c r="C52" s="496">
        <f>C6+C11+C16+C24+C30+C45+C36+C18</f>
        <v>46914127.17022793</v>
      </c>
      <c r="D52" s="1021">
        <f>D6+D11+D16+D24+D30+D45+D18+D36</f>
        <v>324516676.81299007</v>
      </c>
      <c r="F52" s="79" t="s">
        <v>1193</v>
      </c>
      <c r="G52" s="1038">
        <f>SBR!O9+SBR!O16+SBR!O24+SBR!O26+SBR!O34+SBR!O48+SBR!O65+SBR!O73</f>
        <v>329843</v>
      </c>
      <c r="H52" s="1038">
        <f>SBR!P9+SBR!P16+SBR!P24+SBR!P26+SBR!P34+SBR!P48+SBR!P65+SBR!P73</f>
        <v>321741</v>
      </c>
      <c r="I52" s="1038">
        <f>SBR!Q9+SBR!Q16+SBR!Q24+SBR!Q26+SBR!Q34+SBR!Q48+SBR!Q65+SBR!Q73</f>
        <v>321466</v>
      </c>
      <c r="J52" s="1038">
        <f>SBR!R9+SBR!R16+SBR!R24+SBR!R26+SBR!R34+SBR!R48+SBR!R65+SBR!R73</f>
        <v>320986</v>
      </c>
      <c r="K52" s="1038">
        <f>SBR!S9+SBR!S16+SBR!S24+SBR!S26+SBR!S34+SBR!S48+SBR!S65+SBR!S73</f>
        <v>319266</v>
      </c>
      <c r="L52" s="1038">
        <f>SBR!T9+SBR!T16+SBR!T24+SBR!T26+SBR!T34+SBR!T48+SBR!T65+SBR!T73</f>
        <v>321053</v>
      </c>
      <c r="M52" s="1038">
        <f>SBR!U9+SBR!U16+SBR!U24+SBR!U26+SBR!U34+SBR!U48+SBR!U65+SBR!U73</f>
        <v>319215</v>
      </c>
      <c r="N52" s="1038">
        <f>SBR!V9+SBR!V16+SBR!V24+SBR!V26+SBR!V34+SBR!V48+SBR!V65+SBR!V73</f>
        <v>319614</v>
      </c>
      <c r="O52" s="1038">
        <f>SBR!W9+SBR!W16+SBR!W24+SBR!W26+SBR!W34+SBR!W48+SBR!W65+SBR!W73</f>
        <v>320463</v>
      </c>
      <c r="P52" s="1038">
        <f>SBR!X9+SBR!X16+SBR!X24+SBR!X26+SBR!X34+SBR!X48+SBR!X65+SBR!X73</f>
        <v>321734</v>
      </c>
      <c r="Q52" s="1038">
        <f>SBR!Y9+SBR!Y16+SBR!Y24+SBR!Y26+SBR!Y34+SBR!Y48+SBR!Y65+SBR!Y73</f>
        <v>322377</v>
      </c>
      <c r="R52" s="1038">
        <f>SBR!Z9+SBR!Z16+SBR!Z24+SBR!Z26+SBR!Z34+SBR!Z48+SBR!Z65+SBR!Z73</f>
        <v>322630</v>
      </c>
      <c r="S52" s="80">
        <f>SBR!AA9+SBR!AA16+SBR!AA24+SBR!AA26+SBR!AA34+SBR!AA48+SBR!AA65+SBR!AA73</f>
        <v>5163734.5</v>
      </c>
      <c r="T52" s="80">
        <f>SBR!AB9+SBR!AB16+SBR!AB24+SBR!AB26+SBR!AB34+SBR!AB48+SBR!AB65+SBR!AB73</f>
        <v>3279719.2</v>
      </c>
      <c r="U52" s="80">
        <f>SBR!AC9+SBR!AC16+SBR!AC24+SBR!AC26+SBR!AC34+SBR!AC48+SBR!AC65+SBR!AC73</f>
        <v>2365999.5</v>
      </c>
      <c r="V52" s="80">
        <f>SBR!AD9+SBR!AD16+SBR!AD24+SBR!AD26+SBR!AD34+SBR!AD48+SBR!AD65+SBR!AD73</f>
        <v>2036981.0999999996</v>
      </c>
      <c r="W52" s="80">
        <f>SBR!AE9+SBR!AE16+SBR!AE24+SBR!AE26+SBR!AE34+SBR!AE48+SBR!AE65+SBR!AE73</f>
        <v>1754864.7</v>
      </c>
      <c r="X52" s="80">
        <f>SBR!AF9+SBR!AF16+SBR!AF24+SBR!AF26+SBR!AF34+SBR!AF48+SBR!AF65+SBR!AF73</f>
        <v>1637240.7</v>
      </c>
      <c r="Y52" s="80">
        <f>SBR!AG9+SBR!AG16+SBR!AG24+SBR!AG26+SBR!AG34+SBR!AG48+SBR!AG65+SBR!AG73</f>
        <v>1689041.8459150963</v>
      </c>
      <c r="Z52" s="80">
        <f>SBR!AH9+SBR!AH16+SBR!AH24+SBR!AH26+SBR!AH34+SBR!AH48+SBR!AH65+SBR!AH73</f>
        <v>2613809.9697595164</v>
      </c>
      <c r="AA52" s="80">
        <f>SBR!AI9+SBR!AI16+SBR!AI24+SBR!AI26+SBR!AI34+SBR!AI48+SBR!AI65+SBR!AI73</f>
        <v>4447683.9919281555</v>
      </c>
      <c r="AB52" s="80">
        <f>SBR!AJ9+SBR!AJ16+SBR!AJ24+SBR!AJ26+SBR!AJ34+SBR!AJ48+SBR!AJ65+SBR!AJ73</f>
        <v>6824147.5580734536</v>
      </c>
      <c r="AC52" s="80">
        <f>SBR!AK9+SBR!AK16+SBR!AK24+SBR!AK26+SBR!AK34+SBR!AK48+SBR!AK65+SBR!AK73</f>
        <v>8131761.8748845924</v>
      </c>
      <c r="AD52" s="80">
        <f>SBR!AL9+SBR!AL16+SBR!AL24+SBR!AL26+SBR!AL34+SBR!AL48+SBR!AL65+SBR!AL73</f>
        <v>6969142.2296671104</v>
      </c>
      <c r="AE52" s="1021">
        <f>SBR!AM93</f>
        <v>33546773.882780004</v>
      </c>
      <c r="AF52" s="1021">
        <f>SBR!AN93</f>
        <v>22835915.34451</v>
      </c>
      <c r="AG52" s="1021">
        <f>SBR!AO93</f>
        <v>15984184.053779999</v>
      </c>
      <c r="AH52" s="1021">
        <f>SBR!AP93</f>
        <v>14276835.239789998</v>
      </c>
      <c r="AI52" s="1021">
        <f>SBR!AQ93</f>
        <v>12645992.19094</v>
      </c>
      <c r="AJ52" s="1021">
        <f>SBR!AR93</f>
        <v>12538255.95156</v>
      </c>
      <c r="AK52" s="1021">
        <f>SBR!AS93</f>
        <v>13259538.798712939</v>
      </c>
      <c r="AL52" s="1021">
        <f>SBR!AT93</f>
        <v>17685101.241528526</v>
      </c>
      <c r="AM52" s="1021">
        <f>SBR!AU93</f>
        <v>29925576.662622347</v>
      </c>
      <c r="AN52" s="1021">
        <f>SBR!AV93</f>
        <v>47593751.689544499</v>
      </c>
      <c r="AO52" s="1021">
        <f>SBR!AW93</f>
        <v>54539313.348008037</v>
      </c>
      <c r="AP52" s="1021">
        <f>SBR!AX93</f>
        <v>49685438.749213763</v>
      </c>
    </row>
    <row r="53" spans="1:42" x14ac:dyDescent="0.25">
      <c r="A53" s="1008"/>
      <c r="B53" s="80">
        <f>B51-B52</f>
        <v>0</v>
      </c>
      <c r="C53" s="80">
        <f>C51-C52</f>
        <v>0</v>
      </c>
      <c r="D53" s="80">
        <f>D51-D52</f>
        <v>0.34000003337860107</v>
      </c>
      <c r="G53" s="1021">
        <f>G51-G52</f>
        <v>0</v>
      </c>
      <c r="H53" s="1021">
        <f t="shared" ref="H53:P53" si="21">H51-H52</f>
        <v>0</v>
      </c>
      <c r="I53" s="1021">
        <f t="shared" si="21"/>
        <v>0</v>
      </c>
      <c r="J53" s="1021">
        <f t="shared" si="21"/>
        <v>0</v>
      </c>
      <c r="K53" s="1021">
        <f t="shared" si="21"/>
        <v>0</v>
      </c>
      <c r="L53" s="1021">
        <f t="shared" si="21"/>
        <v>0</v>
      </c>
      <c r="M53" s="1021">
        <f t="shared" si="21"/>
        <v>0</v>
      </c>
      <c r="N53" s="1021">
        <f t="shared" si="21"/>
        <v>0</v>
      </c>
      <c r="O53" s="1021">
        <f t="shared" si="21"/>
        <v>0</v>
      </c>
      <c r="P53" s="1021">
        <f t="shared" si="21"/>
        <v>0</v>
      </c>
      <c r="Q53" s="1021">
        <f>Q51-Q52</f>
        <v>0</v>
      </c>
      <c r="R53" s="1021">
        <f>R51-R52</f>
        <v>0</v>
      </c>
      <c r="S53" s="1021">
        <f>S51-S52</f>
        <v>0</v>
      </c>
      <c r="T53" s="1021">
        <f t="shared" ref="T53:AD53" si="22">T51-T52</f>
        <v>0</v>
      </c>
      <c r="U53" s="1021">
        <f t="shared" si="22"/>
        <v>0</v>
      </c>
      <c r="V53" s="1021">
        <f t="shared" si="22"/>
        <v>0</v>
      </c>
      <c r="W53" s="1021">
        <f t="shared" si="22"/>
        <v>0</v>
      </c>
      <c r="X53" s="1021">
        <f t="shared" si="22"/>
        <v>0</v>
      </c>
      <c r="Y53" s="1021">
        <f t="shared" si="22"/>
        <v>0</v>
      </c>
      <c r="Z53" s="1021">
        <f t="shared" si="22"/>
        <v>0</v>
      </c>
      <c r="AA53" s="1021">
        <f t="shared" si="22"/>
        <v>0</v>
      </c>
      <c r="AB53" s="1021">
        <f t="shared" si="22"/>
        <v>0</v>
      </c>
      <c r="AC53" s="1021">
        <f t="shared" si="22"/>
        <v>0</v>
      </c>
      <c r="AD53" s="1021">
        <f t="shared" si="22"/>
        <v>0</v>
      </c>
      <c r="AE53" s="1021">
        <f>AE51-AE52</f>
        <v>265.66999999806285</v>
      </c>
      <c r="AF53" s="1021">
        <f t="shared" ref="AF53:AP53" si="23">AF51-AF52</f>
        <v>17801.460000004619</v>
      </c>
      <c r="AG53" s="1021">
        <f t="shared" si="23"/>
        <v>6225.4700000006706</v>
      </c>
      <c r="AH53" s="1021">
        <f t="shared" si="23"/>
        <v>-89263.059999998659</v>
      </c>
      <c r="AI53" s="1021">
        <f t="shared" si="23"/>
        <v>-17933.700000001118</v>
      </c>
      <c r="AJ53" s="1021">
        <f t="shared" si="23"/>
        <v>-18757.999999998137</v>
      </c>
      <c r="AK53" s="1021">
        <f t="shared" si="23"/>
        <v>0</v>
      </c>
      <c r="AL53" s="1021">
        <f t="shared" si="23"/>
        <v>0</v>
      </c>
      <c r="AM53" s="1021">
        <f t="shared" si="23"/>
        <v>0</v>
      </c>
      <c r="AN53" s="1021">
        <f t="shared" si="23"/>
        <v>0</v>
      </c>
      <c r="AO53" s="1021">
        <f t="shared" si="23"/>
        <v>0</v>
      </c>
      <c r="AP53" s="1021">
        <f t="shared" si="23"/>
        <v>0</v>
      </c>
    </row>
    <row r="54" spans="1:42" x14ac:dyDescent="0.25">
      <c r="B54" s="1021"/>
      <c r="D54" s="1021"/>
      <c r="F54" s="79" t="s">
        <v>426</v>
      </c>
      <c r="AE54" s="1037">
        <f>SBR!AM37+SBR!AM50+SBR!AM84</f>
        <v>-265.67</v>
      </c>
      <c r="AF54" s="1037">
        <f>SBR!AN37+SBR!AN50+SBR!AN84</f>
        <v>-17801.46</v>
      </c>
      <c r="AG54" s="1037">
        <f>SBR!AO37+SBR!AO50+SBR!AO84</f>
        <v>-6225.4699999999993</v>
      </c>
      <c r="AH54" s="1037">
        <f>SBR!AP37+SBR!AP50+SBR!AP84</f>
        <v>89263.06</v>
      </c>
      <c r="AI54" s="1037">
        <f>SBR!AQ37+SBR!AQ50+SBR!AQ84</f>
        <v>17933.699999999997</v>
      </c>
      <c r="AJ54" s="1037">
        <f>SBR!AR37+SBR!AR50+SBR!AR84</f>
        <v>18758</v>
      </c>
    </row>
    <row r="55" spans="1:42" x14ac:dyDescent="0.25">
      <c r="A55" s="1143" t="s">
        <v>789</v>
      </c>
      <c r="B55" s="73"/>
      <c r="C55" s="495">
        <f>SBR!D93</f>
        <v>46914126.570227921</v>
      </c>
      <c r="D55" s="80">
        <f>SBR!E93</f>
        <v>324516677.1529901</v>
      </c>
      <c r="F55" s="79" t="s">
        <v>775</v>
      </c>
      <c r="AE55" s="1021">
        <f t="shared" ref="AE55:AJ55" si="24">AE53+AE54</f>
        <v>-1.9371668713574763E-9</v>
      </c>
      <c r="AF55" s="1021">
        <f t="shared" si="24"/>
        <v>4.6202330850064754E-9</v>
      </c>
      <c r="AG55" s="1021">
        <f t="shared" si="24"/>
        <v>6.7120708990842104E-10</v>
      </c>
      <c r="AH55" s="1021">
        <f t="shared" si="24"/>
        <v>1.3387762010097504E-9</v>
      </c>
      <c r="AI55" s="1021">
        <f t="shared" si="24"/>
        <v>-1.1204974725842476E-9</v>
      </c>
      <c r="AJ55" s="1021">
        <f t="shared" si="24"/>
        <v>1.862645149230957E-9</v>
      </c>
    </row>
    <row r="56" spans="1:42" x14ac:dyDescent="0.25">
      <c r="A56" s="511" t="s">
        <v>262</v>
      </c>
      <c r="C56" s="495">
        <f>C52-C55</f>
        <v>0.60000000894069672</v>
      </c>
      <c r="D56" s="495">
        <f>D52-D55</f>
        <v>-0.34000003337860107</v>
      </c>
    </row>
    <row r="59" spans="1:42" x14ac:dyDescent="0.25">
      <c r="A59" s="511"/>
      <c r="B59" s="73"/>
      <c r="C59" s="495"/>
    </row>
    <row r="60" spans="1:42" x14ac:dyDescent="0.25">
      <c r="A60" s="1030"/>
      <c r="C60" s="495"/>
    </row>
    <row r="61" spans="1:42" x14ac:dyDescent="0.25">
      <c r="A61" s="1030"/>
      <c r="B61" s="73"/>
      <c r="C61" s="495"/>
    </row>
    <row r="62" spans="1:42" x14ac:dyDescent="0.25">
      <c r="C62" s="1031"/>
    </row>
  </sheetData>
  <mergeCells count="1">
    <mergeCell ref="B2:D2"/>
  </mergeCells>
  <pageMargins left="0.25" right="0.25" top="1.04" bottom="0.5" header="0.56999999999999995" footer="0.2"/>
  <pageSetup scale="16" pageOrder="overThenDown" orientation="portrait" r:id="rId1"/>
  <headerFooter alignWithMargins="0">
    <oddHeader>&amp;L&amp;12LOUISVILLE GAS AND ELECTRIC COMPANY
SUMMARY OF GAS SALES AND TRANSPORTATION BILLING DETERMINANTS AND REVENUES
12 MONTHS ENDED SEPTEMBER 30, 2003</oddHeader>
    <oddFooter>&amp;C&amp;12Gas Sales and Transportation Billing Determinants and Revenues
12 Mos. Ended September 30, 2003&amp;R&amp;12
Page &amp;P of 4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5" tint="0.39997558519241921"/>
    <pageSetUpPr fitToPage="1"/>
  </sheetPr>
  <dimension ref="A1:CE100"/>
  <sheetViews>
    <sheetView zoomScale="90" zoomScaleNormal="90" workbookViewId="0"/>
  </sheetViews>
  <sheetFormatPr defaultColWidth="14.28515625" defaultRowHeight="15" x14ac:dyDescent="0.25"/>
  <cols>
    <col min="1" max="1" width="16.28515625" style="99" customWidth="1"/>
    <col min="2" max="2" width="48.140625" style="99" customWidth="1"/>
    <col min="3" max="3" width="15.85546875" style="100" customWidth="1"/>
    <col min="4" max="4" width="14.85546875" style="101" customWidth="1"/>
    <col min="5" max="5" width="14.7109375" style="100" customWidth="1"/>
    <col min="6" max="6" width="2.7109375" style="100" customWidth="1"/>
    <col min="7" max="7" width="15.7109375" style="100" customWidth="1"/>
    <col min="8" max="8" width="13.7109375" style="101" customWidth="1"/>
    <col min="9" max="9" width="13.42578125" style="100" customWidth="1"/>
    <col min="10" max="10" width="2.7109375" style="100" customWidth="1"/>
    <col min="11" max="11" width="15.7109375" style="100" customWidth="1"/>
    <col min="12" max="12" width="13.7109375" style="101" customWidth="1"/>
    <col min="13" max="13" width="13.42578125" style="100" customWidth="1"/>
    <col min="14" max="14" width="4.140625" customWidth="1"/>
    <col min="15" max="20" width="10.5703125" style="102" customWidth="1"/>
    <col min="21" max="26" width="13.42578125" style="100" customWidth="1"/>
    <col min="27" max="27" width="10.28515625" style="103" customWidth="1"/>
    <col min="28" max="28" width="13.42578125" style="103" customWidth="1"/>
    <col min="29" max="29" width="13" style="103" customWidth="1"/>
    <col min="30" max="32" width="11.5703125" style="103" customWidth="1"/>
    <col min="33" max="38" width="10.5703125" style="102" customWidth="1"/>
    <col min="39" max="39" width="12.140625" style="102" customWidth="1"/>
    <col min="40" max="40" width="13" style="100" customWidth="1"/>
    <col min="41" max="41" width="11.28515625" style="100" customWidth="1"/>
    <col min="42" max="42" width="13" style="100" customWidth="1"/>
    <col min="43" max="43" width="17.140625" style="100" customWidth="1"/>
    <col min="44" max="44" width="15.42578125" style="100" customWidth="1"/>
    <col min="45" max="45" width="14.7109375" style="103" customWidth="1"/>
    <col min="46" max="47" width="13.85546875" style="103" customWidth="1"/>
    <col min="48" max="48" width="14.7109375" style="103" customWidth="1"/>
    <col min="49" max="50" width="13.85546875" style="103" customWidth="1"/>
    <col min="51" max="51" width="14.85546875" style="99" bestFit="1" customWidth="1"/>
    <col min="52" max="52" width="15.7109375" style="99" customWidth="1"/>
    <col min="53" max="58" width="11.85546875" style="99" customWidth="1"/>
    <col min="59" max="59" width="12.85546875" style="99" customWidth="1"/>
    <col min="60" max="69" width="8.85546875" style="99" customWidth="1"/>
    <col min="70" max="70" width="30.28515625" style="99" bestFit="1" customWidth="1"/>
    <col min="71" max="71" width="20.7109375" style="99" customWidth="1"/>
    <col min="72" max="72" width="13.42578125" style="99" customWidth="1"/>
    <col min="73" max="73" width="8.85546875" style="99" customWidth="1"/>
    <col min="74" max="74" width="11.7109375" style="99" bestFit="1" customWidth="1"/>
    <col min="75" max="242" width="8.85546875" style="99" customWidth="1"/>
    <col min="243" max="243" width="29.7109375" style="99" customWidth="1"/>
    <col min="244" max="246" width="14.28515625" style="99" customWidth="1"/>
    <col min="247" max="247" width="2.7109375" style="99" customWidth="1"/>
    <col min="248" max="251" width="14.28515625" style="99"/>
    <col min="252" max="252" width="9.28515625" style="99" bestFit="1" customWidth="1"/>
    <col min="253" max="253" width="48.140625" style="99" customWidth="1"/>
    <col min="254" max="254" width="15.85546875" style="99" bestFit="1" customWidth="1"/>
    <col min="255" max="255" width="14.85546875" style="99" bestFit="1" customWidth="1"/>
    <col min="256" max="256" width="14.7109375" style="99" bestFit="1" customWidth="1"/>
    <col min="257" max="257" width="2.7109375" style="99" customWidth="1"/>
    <col min="258" max="258" width="15.85546875" style="99" bestFit="1" customWidth="1"/>
    <col min="259" max="260" width="14.5703125" style="99" bestFit="1" customWidth="1"/>
    <col min="261" max="261" width="2.7109375" style="99" customWidth="1"/>
    <col min="262" max="262" width="15.7109375" style="99" bestFit="1" customWidth="1"/>
    <col min="263" max="263" width="13.7109375" style="99" bestFit="1" customWidth="1"/>
    <col min="264" max="264" width="13.42578125" style="99" bestFit="1" customWidth="1"/>
    <col min="265" max="275" width="10.5703125" style="99" bestFit="1" customWidth="1"/>
    <col min="276" max="276" width="13.5703125" style="99" customWidth="1"/>
    <col min="277" max="277" width="16.5703125" style="99" customWidth="1"/>
    <col min="278" max="278" width="14.42578125" style="99" customWidth="1"/>
    <col min="279" max="279" width="13.28515625" style="99" bestFit="1" customWidth="1"/>
    <col min="280" max="280" width="13.42578125" style="99" bestFit="1" customWidth="1"/>
    <col min="281" max="281" width="13" style="99" customWidth="1"/>
    <col min="282" max="282" width="11.5703125" style="99" customWidth="1"/>
    <col min="283" max="283" width="13.140625" style="99" customWidth="1"/>
    <col min="284" max="285" width="11.5703125" style="99" customWidth="1"/>
    <col min="286" max="286" width="12.42578125" style="99" customWidth="1"/>
    <col min="287" max="287" width="13.5703125" style="99" customWidth="1"/>
    <col min="288" max="288" width="13.140625" style="99" bestFit="1" customWidth="1"/>
    <col min="289" max="289" width="18.85546875" style="99" customWidth="1"/>
    <col min="290" max="291" width="14.140625" style="99" customWidth="1"/>
    <col min="292" max="292" width="13.85546875" style="99" customWidth="1"/>
    <col min="293" max="293" width="14.140625" style="99" customWidth="1"/>
    <col min="294" max="294" width="13.7109375" style="99" customWidth="1"/>
    <col min="295" max="295" width="17.140625" style="99" customWidth="1"/>
    <col min="296" max="296" width="15.42578125" style="99" customWidth="1"/>
    <col min="297" max="297" width="18" style="99" customWidth="1"/>
    <col min="298" max="298" width="13.7109375" style="99" bestFit="1" customWidth="1"/>
    <col min="299" max="299" width="14.140625" style="99" bestFit="1" customWidth="1"/>
    <col min="300" max="300" width="14" style="99" bestFit="1" customWidth="1"/>
    <col min="301" max="301" width="14.85546875" style="99" bestFit="1" customWidth="1"/>
    <col min="302" max="302" width="15.7109375" style="99" customWidth="1"/>
    <col min="303" max="303" width="5.85546875" style="99" customWidth="1"/>
    <col min="304" max="304" width="9.28515625" style="99" customWidth="1"/>
    <col min="305" max="305" width="14.85546875" style="99" customWidth="1"/>
    <col min="306" max="306" width="12.85546875" style="99" bestFit="1" customWidth="1"/>
    <col min="307" max="307" width="12.85546875" style="99" customWidth="1"/>
    <col min="308" max="325" width="8.85546875" style="99" customWidth="1"/>
    <col min="326" max="326" width="30.28515625" style="99" bestFit="1" customWidth="1"/>
    <col min="327" max="327" width="20.7109375" style="99" customWidth="1"/>
    <col min="328" max="328" width="13.42578125" style="99" customWidth="1"/>
    <col min="329" max="329" width="8.85546875" style="99" customWidth="1"/>
    <col min="330" max="330" width="11.7109375" style="99" bestFit="1" customWidth="1"/>
    <col min="331" max="498" width="8.85546875" style="99" customWidth="1"/>
    <col min="499" max="499" width="29.7109375" style="99" customWidth="1"/>
    <col min="500" max="502" width="14.28515625" style="99" customWidth="1"/>
    <col min="503" max="503" width="2.7109375" style="99" customWidth="1"/>
    <col min="504" max="507" width="14.28515625" style="99"/>
    <col min="508" max="508" width="9.28515625" style="99" bestFit="1" customWidth="1"/>
    <col min="509" max="509" width="48.140625" style="99" customWidth="1"/>
    <col min="510" max="510" width="15.85546875" style="99" bestFit="1" customWidth="1"/>
    <col min="511" max="511" width="14.85546875" style="99" bestFit="1" customWidth="1"/>
    <col min="512" max="512" width="14.7109375" style="99" bestFit="1" customWidth="1"/>
    <col min="513" max="513" width="2.7109375" style="99" customWidth="1"/>
    <col min="514" max="514" width="15.85546875" style="99" bestFit="1" customWidth="1"/>
    <col min="515" max="516" width="14.5703125" style="99" bestFit="1" customWidth="1"/>
    <col min="517" max="517" width="2.7109375" style="99" customWidth="1"/>
    <col min="518" max="518" width="15.7109375" style="99" bestFit="1" customWidth="1"/>
    <col min="519" max="519" width="13.7109375" style="99" bestFit="1" customWidth="1"/>
    <col min="520" max="520" width="13.42578125" style="99" bestFit="1" customWidth="1"/>
    <col min="521" max="531" width="10.5703125" style="99" bestFit="1" customWidth="1"/>
    <col min="532" max="532" width="13.5703125" style="99" customWidth="1"/>
    <col min="533" max="533" width="16.5703125" style="99" customWidth="1"/>
    <col min="534" max="534" width="14.42578125" style="99" customWidth="1"/>
    <col min="535" max="535" width="13.28515625" style="99" bestFit="1" customWidth="1"/>
    <col min="536" max="536" width="13.42578125" style="99" bestFit="1" customWidth="1"/>
    <col min="537" max="537" width="13" style="99" customWidth="1"/>
    <col min="538" max="538" width="11.5703125" style="99" customWidth="1"/>
    <col min="539" max="539" width="13.140625" style="99" customWidth="1"/>
    <col min="540" max="541" width="11.5703125" style="99" customWidth="1"/>
    <col min="542" max="542" width="12.42578125" style="99" customWidth="1"/>
    <col min="543" max="543" width="13.5703125" style="99" customWidth="1"/>
    <col min="544" max="544" width="13.140625" style="99" bestFit="1" customWidth="1"/>
    <col min="545" max="545" width="18.85546875" style="99" customWidth="1"/>
    <col min="546" max="547" width="14.140625" style="99" customWidth="1"/>
    <col min="548" max="548" width="13.85546875" style="99" customWidth="1"/>
    <col min="549" max="549" width="14.140625" style="99" customWidth="1"/>
    <col min="550" max="550" width="13.7109375" style="99" customWidth="1"/>
    <col min="551" max="551" width="17.140625" style="99" customWidth="1"/>
    <col min="552" max="552" width="15.42578125" style="99" customWidth="1"/>
    <col min="553" max="553" width="18" style="99" customWidth="1"/>
    <col min="554" max="554" width="13.7109375" style="99" bestFit="1" customWidth="1"/>
    <col min="555" max="555" width="14.140625" style="99" bestFit="1" customWidth="1"/>
    <col min="556" max="556" width="14" style="99" bestFit="1" customWidth="1"/>
    <col min="557" max="557" width="14.85546875" style="99" bestFit="1" customWidth="1"/>
    <col min="558" max="558" width="15.7109375" style="99" customWidth="1"/>
    <col min="559" max="559" width="5.85546875" style="99" customWidth="1"/>
    <col min="560" max="560" width="9.28515625" style="99" customWidth="1"/>
    <col min="561" max="561" width="14.85546875" style="99" customWidth="1"/>
    <col min="562" max="562" width="12.85546875" style="99" bestFit="1" customWidth="1"/>
    <col min="563" max="563" width="12.85546875" style="99" customWidth="1"/>
    <col min="564" max="581" width="8.85546875" style="99" customWidth="1"/>
    <col min="582" max="582" width="30.28515625" style="99" bestFit="1" customWidth="1"/>
    <col min="583" max="583" width="20.7109375" style="99" customWidth="1"/>
    <col min="584" max="584" width="13.42578125" style="99" customWidth="1"/>
    <col min="585" max="585" width="8.85546875" style="99" customWidth="1"/>
    <col min="586" max="586" width="11.7109375" style="99" bestFit="1" customWidth="1"/>
    <col min="587" max="754" width="8.85546875" style="99" customWidth="1"/>
    <col min="755" max="755" width="29.7109375" style="99" customWidth="1"/>
    <col min="756" max="758" width="14.28515625" style="99" customWidth="1"/>
    <col min="759" max="759" width="2.7109375" style="99" customWidth="1"/>
    <col min="760" max="763" width="14.28515625" style="99"/>
    <col min="764" max="764" width="9.28515625" style="99" bestFit="1" customWidth="1"/>
    <col min="765" max="765" width="48.140625" style="99" customWidth="1"/>
    <col min="766" max="766" width="15.85546875" style="99" bestFit="1" customWidth="1"/>
    <col min="767" max="767" width="14.85546875" style="99" bestFit="1" customWidth="1"/>
    <col min="768" max="768" width="14.7109375" style="99" bestFit="1" customWidth="1"/>
    <col min="769" max="769" width="2.7109375" style="99" customWidth="1"/>
    <col min="770" max="770" width="15.85546875" style="99" bestFit="1" customWidth="1"/>
    <col min="771" max="772" width="14.5703125" style="99" bestFit="1" customWidth="1"/>
    <col min="773" max="773" width="2.7109375" style="99" customWidth="1"/>
    <col min="774" max="774" width="15.7109375" style="99" bestFit="1" customWidth="1"/>
    <col min="775" max="775" width="13.7109375" style="99" bestFit="1" customWidth="1"/>
    <col min="776" max="776" width="13.42578125" style="99" bestFit="1" customWidth="1"/>
    <col min="777" max="787" width="10.5703125" style="99" bestFit="1" customWidth="1"/>
    <col min="788" max="788" width="13.5703125" style="99" customWidth="1"/>
    <col min="789" max="789" width="16.5703125" style="99" customWidth="1"/>
    <col min="790" max="790" width="14.42578125" style="99" customWidth="1"/>
    <col min="791" max="791" width="13.28515625" style="99" bestFit="1" customWidth="1"/>
    <col min="792" max="792" width="13.42578125" style="99" bestFit="1" customWidth="1"/>
    <col min="793" max="793" width="13" style="99" customWidth="1"/>
    <col min="794" max="794" width="11.5703125" style="99" customWidth="1"/>
    <col min="795" max="795" width="13.140625" style="99" customWidth="1"/>
    <col min="796" max="797" width="11.5703125" style="99" customWidth="1"/>
    <col min="798" max="798" width="12.42578125" style="99" customWidth="1"/>
    <col min="799" max="799" width="13.5703125" style="99" customWidth="1"/>
    <col min="800" max="800" width="13.140625" style="99" bestFit="1" customWidth="1"/>
    <col min="801" max="801" width="18.85546875" style="99" customWidth="1"/>
    <col min="802" max="803" width="14.140625" style="99" customWidth="1"/>
    <col min="804" max="804" width="13.85546875" style="99" customWidth="1"/>
    <col min="805" max="805" width="14.140625" style="99" customWidth="1"/>
    <col min="806" max="806" width="13.7109375" style="99" customWidth="1"/>
    <col min="807" max="807" width="17.140625" style="99" customWidth="1"/>
    <col min="808" max="808" width="15.42578125" style="99" customWidth="1"/>
    <col min="809" max="809" width="18" style="99" customWidth="1"/>
    <col min="810" max="810" width="13.7109375" style="99" bestFit="1" customWidth="1"/>
    <col min="811" max="811" width="14.140625" style="99" bestFit="1" customWidth="1"/>
    <col min="812" max="812" width="14" style="99" bestFit="1" customWidth="1"/>
    <col min="813" max="813" width="14.85546875" style="99" bestFit="1" customWidth="1"/>
    <col min="814" max="814" width="15.7109375" style="99" customWidth="1"/>
    <col min="815" max="815" width="5.85546875" style="99" customWidth="1"/>
    <col min="816" max="816" width="9.28515625" style="99" customWidth="1"/>
    <col min="817" max="817" width="14.85546875" style="99" customWidth="1"/>
    <col min="818" max="818" width="12.85546875" style="99" bestFit="1" customWidth="1"/>
    <col min="819" max="819" width="12.85546875" style="99" customWidth="1"/>
    <col min="820" max="837" width="8.85546875" style="99" customWidth="1"/>
    <col min="838" max="838" width="30.28515625" style="99" bestFit="1" customWidth="1"/>
    <col min="839" max="839" width="20.7109375" style="99" customWidth="1"/>
    <col min="840" max="840" width="13.42578125" style="99" customWidth="1"/>
    <col min="841" max="841" width="8.85546875" style="99" customWidth="1"/>
    <col min="842" max="842" width="11.7109375" style="99" bestFit="1" customWidth="1"/>
    <col min="843" max="1010" width="8.85546875" style="99" customWidth="1"/>
    <col min="1011" max="1011" width="29.7109375" style="99" customWidth="1"/>
    <col min="1012" max="1014" width="14.28515625" style="99" customWidth="1"/>
    <col min="1015" max="1015" width="2.7109375" style="99" customWidth="1"/>
    <col min="1016" max="1019" width="14.28515625" style="99"/>
    <col min="1020" max="1020" width="9.28515625" style="99" bestFit="1" customWidth="1"/>
    <col min="1021" max="1021" width="48.140625" style="99" customWidth="1"/>
    <col min="1022" max="1022" width="15.85546875" style="99" bestFit="1" customWidth="1"/>
    <col min="1023" max="1023" width="14.85546875" style="99" bestFit="1" customWidth="1"/>
    <col min="1024" max="1024" width="14.7109375" style="99" bestFit="1" customWidth="1"/>
    <col min="1025" max="1025" width="2.7109375" style="99" customWidth="1"/>
    <col min="1026" max="1026" width="15.85546875" style="99" bestFit="1" customWidth="1"/>
    <col min="1027" max="1028" width="14.5703125" style="99" bestFit="1" customWidth="1"/>
    <col min="1029" max="1029" width="2.7109375" style="99" customWidth="1"/>
    <col min="1030" max="1030" width="15.7109375" style="99" bestFit="1" customWidth="1"/>
    <col min="1031" max="1031" width="13.7109375" style="99" bestFit="1" customWidth="1"/>
    <col min="1032" max="1032" width="13.42578125" style="99" bestFit="1" customWidth="1"/>
    <col min="1033" max="1043" width="10.5703125" style="99" bestFit="1" customWidth="1"/>
    <col min="1044" max="1044" width="13.5703125" style="99" customWidth="1"/>
    <col min="1045" max="1045" width="16.5703125" style="99" customWidth="1"/>
    <col min="1046" max="1046" width="14.42578125" style="99" customWidth="1"/>
    <col min="1047" max="1047" width="13.28515625" style="99" bestFit="1" customWidth="1"/>
    <col min="1048" max="1048" width="13.42578125" style="99" bestFit="1" customWidth="1"/>
    <col min="1049" max="1049" width="13" style="99" customWidth="1"/>
    <col min="1050" max="1050" width="11.5703125" style="99" customWidth="1"/>
    <col min="1051" max="1051" width="13.140625" style="99" customWidth="1"/>
    <col min="1052" max="1053" width="11.5703125" style="99" customWidth="1"/>
    <col min="1054" max="1054" width="12.42578125" style="99" customWidth="1"/>
    <col min="1055" max="1055" width="13.5703125" style="99" customWidth="1"/>
    <col min="1056" max="1056" width="13.140625" style="99" bestFit="1" customWidth="1"/>
    <col min="1057" max="1057" width="18.85546875" style="99" customWidth="1"/>
    <col min="1058" max="1059" width="14.140625" style="99" customWidth="1"/>
    <col min="1060" max="1060" width="13.85546875" style="99" customWidth="1"/>
    <col min="1061" max="1061" width="14.140625" style="99" customWidth="1"/>
    <col min="1062" max="1062" width="13.7109375" style="99" customWidth="1"/>
    <col min="1063" max="1063" width="17.140625" style="99" customWidth="1"/>
    <col min="1064" max="1064" width="15.42578125" style="99" customWidth="1"/>
    <col min="1065" max="1065" width="18" style="99" customWidth="1"/>
    <col min="1066" max="1066" width="13.7109375" style="99" bestFit="1" customWidth="1"/>
    <col min="1067" max="1067" width="14.140625" style="99" bestFit="1" customWidth="1"/>
    <col min="1068" max="1068" width="14" style="99" bestFit="1" customWidth="1"/>
    <col min="1069" max="1069" width="14.85546875" style="99" bestFit="1" customWidth="1"/>
    <col min="1070" max="1070" width="15.7109375" style="99" customWidth="1"/>
    <col min="1071" max="1071" width="5.85546875" style="99" customWidth="1"/>
    <col min="1072" max="1072" width="9.28515625" style="99" customWidth="1"/>
    <col min="1073" max="1073" width="14.85546875" style="99" customWidth="1"/>
    <col min="1074" max="1074" width="12.85546875" style="99" bestFit="1" customWidth="1"/>
    <col min="1075" max="1075" width="12.85546875" style="99" customWidth="1"/>
    <col min="1076" max="1093" width="8.85546875" style="99" customWidth="1"/>
    <col min="1094" max="1094" width="30.28515625" style="99" bestFit="1" customWidth="1"/>
    <col min="1095" max="1095" width="20.7109375" style="99" customWidth="1"/>
    <col min="1096" max="1096" width="13.42578125" style="99" customWidth="1"/>
    <col min="1097" max="1097" width="8.85546875" style="99" customWidth="1"/>
    <col min="1098" max="1098" width="11.7109375" style="99" bestFit="1" customWidth="1"/>
    <col min="1099" max="1266" width="8.85546875" style="99" customWidth="1"/>
    <col min="1267" max="1267" width="29.7109375" style="99" customWidth="1"/>
    <col min="1268" max="1270" width="14.28515625" style="99" customWidth="1"/>
    <col min="1271" max="1271" width="2.7109375" style="99" customWidth="1"/>
    <col min="1272" max="1275" width="14.28515625" style="99"/>
    <col min="1276" max="1276" width="9.28515625" style="99" bestFit="1" customWidth="1"/>
    <col min="1277" max="1277" width="48.140625" style="99" customWidth="1"/>
    <col min="1278" max="1278" width="15.85546875" style="99" bestFit="1" customWidth="1"/>
    <col min="1279" max="1279" width="14.85546875" style="99" bestFit="1" customWidth="1"/>
    <col min="1280" max="1280" width="14.7109375" style="99" bestFit="1" customWidth="1"/>
    <col min="1281" max="1281" width="2.7109375" style="99" customWidth="1"/>
    <col min="1282" max="1282" width="15.85546875" style="99" bestFit="1" customWidth="1"/>
    <col min="1283" max="1284" width="14.5703125" style="99" bestFit="1" customWidth="1"/>
    <col min="1285" max="1285" width="2.7109375" style="99" customWidth="1"/>
    <col min="1286" max="1286" width="15.7109375" style="99" bestFit="1" customWidth="1"/>
    <col min="1287" max="1287" width="13.7109375" style="99" bestFit="1" customWidth="1"/>
    <col min="1288" max="1288" width="13.42578125" style="99" bestFit="1" customWidth="1"/>
    <col min="1289" max="1299" width="10.5703125" style="99" bestFit="1" customWidth="1"/>
    <col min="1300" max="1300" width="13.5703125" style="99" customWidth="1"/>
    <col min="1301" max="1301" width="16.5703125" style="99" customWidth="1"/>
    <col min="1302" max="1302" width="14.42578125" style="99" customWidth="1"/>
    <col min="1303" max="1303" width="13.28515625" style="99" bestFit="1" customWidth="1"/>
    <col min="1304" max="1304" width="13.42578125" style="99" bestFit="1" customWidth="1"/>
    <col min="1305" max="1305" width="13" style="99" customWidth="1"/>
    <col min="1306" max="1306" width="11.5703125" style="99" customWidth="1"/>
    <col min="1307" max="1307" width="13.140625" style="99" customWidth="1"/>
    <col min="1308" max="1309" width="11.5703125" style="99" customWidth="1"/>
    <col min="1310" max="1310" width="12.42578125" style="99" customWidth="1"/>
    <col min="1311" max="1311" width="13.5703125" style="99" customWidth="1"/>
    <col min="1312" max="1312" width="13.140625" style="99" bestFit="1" customWidth="1"/>
    <col min="1313" max="1313" width="18.85546875" style="99" customWidth="1"/>
    <col min="1314" max="1315" width="14.140625" style="99" customWidth="1"/>
    <col min="1316" max="1316" width="13.85546875" style="99" customWidth="1"/>
    <col min="1317" max="1317" width="14.140625" style="99" customWidth="1"/>
    <col min="1318" max="1318" width="13.7109375" style="99" customWidth="1"/>
    <col min="1319" max="1319" width="17.140625" style="99" customWidth="1"/>
    <col min="1320" max="1320" width="15.42578125" style="99" customWidth="1"/>
    <col min="1321" max="1321" width="18" style="99" customWidth="1"/>
    <col min="1322" max="1322" width="13.7109375" style="99" bestFit="1" customWidth="1"/>
    <col min="1323" max="1323" width="14.140625" style="99" bestFit="1" customWidth="1"/>
    <col min="1324" max="1324" width="14" style="99" bestFit="1" customWidth="1"/>
    <col min="1325" max="1325" width="14.85546875" style="99" bestFit="1" customWidth="1"/>
    <col min="1326" max="1326" width="15.7109375" style="99" customWidth="1"/>
    <col min="1327" max="1327" width="5.85546875" style="99" customWidth="1"/>
    <col min="1328" max="1328" width="9.28515625" style="99" customWidth="1"/>
    <col min="1329" max="1329" width="14.85546875" style="99" customWidth="1"/>
    <col min="1330" max="1330" width="12.85546875" style="99" bestFit="1" customWidth="1"/>
    <col min="1331" max="1331" width="12.85546875" style="99" customWidth="1"/>
    <col min="1332" max="1349" width="8.85546875" style="99" customWidth="1"/>
    <col min="1350" max="1350" width="30.28515625" style="99" bestFit="1" customWidth="1"/>
    <col min="1351" max="1351" width="20.7109375" style="99" customWidth="1"/>
    <col min="1352" max="1352" width="13.42578125" style="99" customWidth="1"/>
    <col min="1353" max="1353" width="8.85546875" style="99" customWidth="1"/>
    <col min="1354" max="1354" width="11.7109375" style="99" bestFit="1" customWidth="1"/>
    <col min="1355" max="1522" width="8.85546875" style="99" customWidth="1"/>
    <col min="1523" max="1523" width="29.7109375" style="99" customWidth="1"/>
    <col min="1524" max="1526" width="14.28515625" style="99" customWidth="1"/>
    <col min="1527" max="1527" width="2.7109375" style="99" customWidth="1"/>
    <col min="1528" max="1531" width="14.28515625" style="99"/>
    <col min="1532" max="1532" width="9.28515625" style="99" bestFit="1" customWidth="1"/>
    <col min="1533" max="1533" width="48.140625" style="99" customWidth="1"/>
    <col min="1534" max="1534" width="15.85546875" style="99" bestFit="1" customWidth="1"/>
    <col min="1535" max="1535" width="14.85546875" style="99" bestFit="1" customWidth="1"/>
    <col min="1536" max="1536" width="14.7109375" style="99" bestFit="1" customWidth="1"/>
    <col min="1537" max="1537" width="2.7109375" style="99" customWidth="1"/>
    <col min="1538" max="1538" width="15.85546875" style="99" bestFit="1" customWidth="1"/>
    <col min="1539" max="1540" width="14.5703125" style="99" bestFit="1" customWidth="1"/>
    <col min="1541" max="1541" width="2.7109375" style="99" customWidth="1"/>
    <col min="1542" max="1542" width="15.7109375" style="99" bestFit="1" customWidth="1"/>
    <col min="1543" max="1543" width="13.7109375" style="99" bestFit="1" customWidth="1"/>
    <col min="1544" max="1544" width="13.42578125" style="99" bestFit="1" customWidth="1"/>
    <col min="1545" max="1555" width="10.5703125" style="99" bestFit="1" customWidth="1"/>
    <col min="1556" max="1556" width="13.5703125" style="99" customWidth="1"/>
    <col min="1557" max="1557" width="16.5703125" style="99" customWidth="1"/>
    <col min="1558" max="1558" width="14.42578125" style="99" customWidth="1"/>
    <col min="1559" max="1559" width="13.28515625" style="99" bestFit="1" customWidth="1"/>
    <col min="1560" max="1560" width="13.42578125" style="99" bestFit="1" customWidth="1"/>
    <col min="1561" max="1561" width="13" style="99" customWidth="1"/>
    <col min="1562" max="1562" width="11.5703125" style="99" customWidth="1"/>
    <col min="1563" max="1563" width="13.140625" style="99" customWidth="1"/>
    <col min="1564" max="1565" width="11.5703125" style="99" customWidth="1"/>
    <col min="1566" max="1566" width="12.42578125" style="99" customWidth="1"/>
    <col min="1567" max="1567" width="13.5703125" style="99" customWidth="1"/>
    <col min="1568" max="1568" width="13.140625" style="99" bestFit="1" customWidth="1"/>
    <col min="1569" max="1569" width="18.85546875" style="99" customWidth="1"/>
    <col min="1570" max="1571" width="14.140625" style="99" customWidth="1"/>
    <col min="1572" max="1572" width="13.85546875" style="99" customWidth="1"/>
    <col min="1573" max="1573" width="14.140625" style="99" customWidth="1"/>
    <col min="1574" max="1574" width="13.7109375" style="99" customWidth="1"/>
    <col min="1575" max="1575" width="17.140625" style="99" customWidth="1"/>
    <col min="1576" max="1576" width="15.42578125" style="99" customWidth="1"/>
    <col min="1577" max="1577" width="18" style="99" customWidth="1"/>
    <col min="1578" max="1578" width="13.7109375" style="99" bestFit="1" customWidth="1"/>
    <col min="1579" max="1579" width="14.140625" style="99" bestFit="1" customWidth="1"/>
    <col min="1580" max="1580" width="14" style="99" bestFit="1" customWidth="1"/>
    <col min="1581" max="1581" width="14.85546875" style="99" bestFit="1" customWidth="1"/>
    <col min="1582" max="1582" width="15.7109375" style="99" customWidth="1"/>
    <col min="1583" max="1583" width="5.85546875" style="99" customWidth="1"/>
    <col min="1584" max="1584" width="9.28515625" style="99" customWidth="1"/>
    <col min="1585" max="1585" width="14.85546875" style="99" customWidth="1"/>
    <col min="1586" max="1586" width="12.85546875" style="99" bestFit="1" customWidth="1"/>
    <col min="1587" max="1587" width="12.85546875" style="99" customWidth="1"/>
    <col min="1588" max="1605" width="8.85546875" style="99" customWidth="1"/>
    <col min="1606" max="1606" width="30.28515625" style="99" bestFit="1" customWidth="1"/>
    <col min="1607" max="1607" width="20.7109375" style="99" customWidth="1"/>
    <col min="1608" max="1608" width="13.42578125" style="99" customWidth="1"/>
    <col min="1609" max="1609" width="8.85546875" style="99" customWidth="1"/>
    <col min="1610" max="1610" width="11.7109375" style="99" bestFit="1" customWidth="1"/>
    <col min="1611" max="1778" width="8.85546875" style="99" customWidth="1"/>
    <col min="1779" max="1779" width="29.7109375" style="99" customWidth="1"/>
    <col min="1780" max="1782" width="14.28515625" style="99" customWidth="1"/>
    <col min="1783" max="1783" width="2.7109375" style="99" customWidth="1"/>
    <col min="1784" max="1787" width="14.28515625" style="99"/>
    <col min="1788" max="1788" width="9.28515625" style="99" bestFit="1" customWidth="1"/>
    <col min="1789" max="1789" width="48.140625" style="99" customWidth="1"/>
    <col min="1790" max="1790" width="15.85546875" style="99" bestFit="1" customWidth="1"/>
    <col min="1791" max="1791" width="14.85546875" style="99" bestFit="1" customWidth="1"/>
    <col min="1792" max="1792" width="14.7109375" style="99" bestFit="1" customWidth="1"/>
    <col min="1793" max="1793" width="2.7109375" style="99" customWidth="1"/>
    <col min="1794" max="1794" width="15.85546875" style="99" bestFit="1" customWidth="1"/>
    <col min="1795" max="1796" width="14.5703125" style="99" bestFit="1" customWidth="1"/>
    <col min="1797" max="1797" width="2.7109375" style="99" customWidth="1"/>
    <col min="1798" max="1798" width="15.7109375" style="99" bestFit="1" customWidth="1"/>
    <col min="1799" max="1799" width="13.7109375" style="99" bestFit="1" customWidth="1"/>
    <col min="1800" max="1800" width="13.42578125" style="99" bestFit="1" customWidth="1"/>
    <col min="1801" max="1811" width="10.5703125" style="99" bestFit="1" customWidth="1"/>
    <col min="1812" max="1812" width="13.5703125" style="99" customWidth="1"/>
    <col min="1813" max="1813" width="16.5703125" style="99" customWidth="1"/>
    <col min="1814" max="1814" width="14.42578125" style="99" customWidth="1"/>
    <col min="1815" max="1815" width="13.28515625" style="99" bestFit="1" customWidth="1"/>
    <col min="1816" max="1816" width="13.42578125" style="99" bestFit="1" customWidth="1"/>
    <col min="1817" max="1817" width="13" style="99" customWidth="1"/>
    <col min="1818" max="1818" width="11.5703125" style="99" customWidth="1"/>
    <col min="1819" max="1819" width="13.140625" style="99" customWidth="1"/>
    <col min="1820" max="1821" width="11.5703125" style="99" customWidth="1"/>
    <col min="1822" max="1822" width="12.42578125" style="99" customWidth="1"/>
    <col min="1823" max="1823" width="13.5703125" style="99" customWidth="1"/>
    <col min="1824" max="1824" width="13.140625" style="99" bestFit="1" customWidth="1"/>
    <col min="1825" max="1825" width="18.85546875" style="99" customWidth="1"/>
    <col min="1826" max="1827" width="14.140625" style="99" customWidth="1"/>
    <col min="1828" max="1828" width="13.85546875" style="99" customWidth="1"/>
    <col min="1829" max="1829" width="14.140625" style="99" customWidth="1"/>
    <col min="1830" max="1830" width="13.7109375" style="99" customWidth="1"/>
    <col min="1831" max="1831" width="17.140625" style="99" customWidth="1"/>
    <col min="1832" max="1832" width="15.42578125" style="99" customWidth="1"/>
    <col min="1833" max="1833" width="18" style="99" customWidth="1"/>
    <col min="1834" max="1834" width="13.7109375" style="99" bestFit="1" customWidth="1"/>
    <col min="1835" max="1835" width="14.140625" style="99" bestFit="1" customWidth="1"/>
    <col min="1836" max="1836" width="14" style="99" bestFit="1" customWidth="1"/>
    <col min="1837" max="1837" width="14.85546875" style="99" bestFit="1" customWidth="1"/>
    <col min="1838" max="1838" width="15.7109375" style="99" customWidth="1"/>
    <col min="1839" max="1839" width="5.85546875" style="99" customWidth="1"/>
    <col min="1840" max="1840" width="9.28515625" style="99" customWidth="1"/>
    <col min="1841" max="1841" width="14.85546875" style="99" customWidth="1"/>
    <col min="1842" max="1842" width="12.85546875" style="99" bestFit="1" customWidth="1"/>
    <col min="1843" max="1843" width="12.85546875" style="99" customWidth="1"/>
    <col min="1844" max="1861" width="8.85546875" style="99" customWidth="1"/>
    <col min="1862" max="1862" width="30.28515625" style="99" bestFit="1" customWidth="1"/>
    <col min="1863" max="1863" width="20.7109375" style="99" customWidth="1"/>
    <col min="1864" max="1864" width="13.42578125" style="99" customWidth="1"/>
    <col min="1865" max="1865" width="8.85546875" style="99" customWidth="1"/>
    <col min="1866" max="1866" width="11.7109375" style="99" bestFit="1" customWidth="1"/>
    <col min="1867" max="2034" width="8.85546875" style="99" customWidth="1"/>
    <col min="2035" max="2035" width="29.7109375" style="99" customWidth="1"/>
    <col min="2036" max="2038" width="14.28515625" style="99" customWidth="1"/>
    <col min="2039" max="2039" width="2.7109375" style="99" customWidth="1"/>
    <col min="2040" max="2043" width="14.28515625" style="99"/>
    <col min="2044" max="2044" width="9.28515625" style="99" bestFit="1" customWidth="1"/>
    <col min="2045" max="2045" width="48.140625" style="99" customWidth="1"/>
    <col min="2046" max="2046" width="15.85546875" style="99" bestFit="1" customWidth="1"/>
    <col min="2047" max="2047" width="14.85546875" style="99" bestFit="1" customWidth="1"/>
    <col min="2048" max="2048" width="14.7109375" style="99" bestFit="1" customWidth="1"/>
    <col min="2049" max="2049" width="2.7109375" style="99" customWidth="1"/>
    <col min="2050" max="2050" width="15.85546875" style="99" bestFit="1" customWidth="1"/>
    <col min="2051" max="2052" width="14.5703125" style="99" bestFit="1" customWidth="1"/>
    <col min="2053" max="2053" width="2.7109375" style="99" customWidth="1"/>
    <col min="2054" max="2054" width="15.7109375" style="99" bestFit="1" customWidth="1"/>
    <col min="2055" max="2055" width="13.7109375" style="99" bestFit="1" customWidth="1"/>
    <col min="2056" max="2056" width="13.42578125" style="99" bestFit="1" customWidth="1"/>
    <col min="2057" max="2067" width="10.5703125" style="99" bestFit="1" customWidth="1"/>
    <col min="2068" max="2068" width="13.5703125" style="99" customWidth="1"/>
    <col min="2069" max="2069" width="16.5703125" style="99" customWidth="1"/>
    <col min="2070" max="2070" width="14.42578125" style="99" customWidth="1"/>
    <col min="2071" max="2071" width="13.28515625" style="99" bestFit="1" customWidth="1"/>
    <col min="2072" max="2072" width="13.42578125" style="99" bestFit="1" customWidth="1"/>
    <col min="2073" max="2073" width="13" style="99" customWidth="1"/>
    <col min="2074" max="2074" width="11.5703125" style="99" customWidth="1"/>
    <col min="2075" max="2075" width="13.140625" style="99" customWidth="1"/>
    <col min="2076" max="2077" width="11.5703125" style="99" customWidth="1"/>
    <col min="2078" max="2078" width="12.42578125" style="99" customWidth="1"/>
    <col min="2079" max="2079" width="13.5703125" style="99" customWidth="1"/>
    <col min="2080" max="2080" width="13.140625" style="99" bestFit="1" customWidth="1"/>
    <col min="2081" max="2081" width="18.85546875" style="99" customWidth="1"/>
    <col min="2082" max="2083" width="14.140625" style="99" customWidth="1"/>
    <col min="2084" max="2084" width="13.85546875" style="99" customWidth="1"/>
    <col min="2085" max="2085" width="14.140625" style="99" customWidth="1"/>
    <col min="2086" max="2086" width="13.7109375" style="99" customWidth="1"/>
    <col min="2087" max="2087" width="17.140625" style="99" customWidth="1"/>
    <col min="2088" max="2088" width="15.42578125" style="99" customWidth="1"/>
    <col min="2089" max="2089" width="18" style="99" customWidth="1"/>
    <col min="2090" max="2090" width="13.7109375" style="99" bestFit="1" customWidth="1"/>
    <col min="2091" max="2091" width="14.140625" style="99" bestFit="1" customWidth="1"/>
    <col min="2092" max="2092" width="14" style="99" bestFit="1" customWidth="1"/>
    <col min="2093" max="2093" width="14.85546875" style="99" bestFit="1" customWidth="1"/>
    <col min="2094" max="2094" width="15.7109375" style="99" customWidth="1"/>
    <col min="2095" max="2095" width="5.85546875" style="99" customWidth="1"/>
    <col min="2096" max="2096" width="9.28515625" style="99" customWidth="1"/>
    <col min="2097" max="2097" width="14.85546875" style="99" customWidth="1"/>
    <col min="2098" max="2098" width="12.85546875" style="99" bestFit="1" customWidth="1"/>
    <col min="2099" max="2099" width="12.85546875" style="99" customWidth="1"/>
    <col min="2100" max="2117" width="8.85546875" style="99" customWidth="1"/>
    <col min="2118" max="2118" width="30.28515625" style="99" bestFit="1" customWidth="1"/>
    <col min="2119" max="2119" width="20.7109375" style="99" customWidth="1"/>
    <col min="2120" max="2120" width="13.42578125" style="99" customWidth="1"/>
    <col min="2121" max="2121" width="8.85546875" style="99" customWidth="1"/>
    <col min="2122" max="2122" width="11.7109375" style="99" bestFit="1" customWidth="1"/>
    <col min="2123" max="2290" width="8.85546875" style="99" customWidth="1"/>
    <col min="2291" max="2291" width="29.7109375" style="99" customWidth="1"/>
    <col min="2292" max="2294" width="14.28515625" style="99" customWidth="1"/>
    <col min="2295" max="2295" width="2.7109375" style="99" customWidth="1"/>
    <col min="2296" max="2299" width="14.28515625" style="99"/>
    <col min="2300" max="2300" width="9.28515625" style="99" bestFit="1" customWidth="1"/>
    <col min="2301" max="2301" width="48.140625" style="99" customWidth="1"/>
    <col min="2302" max="2302" width="15.85546875" style="99" bestFit="1" customWidth="1"/>
    <col min="2303" max="2303" width="14.85546875" style="99" bestFit="1" customWidth="1"/>
    <col min="2304" max="2304" width="14.7109375" style="99" bestFit="1" customWidth="1"/>
    <col min="2305" max="2305" width="2.7109375" style="99" customWidth="1"/>
    <col min="2306" max="2306" width="15.85546875" style="99" bestFit="1" customWidth="1"/>
    <col min="2307" max="2308" width="14.5703125" style="99" bestFit="1" customWidth="1"/>
    <col min="2309" max="2309" width="2.7109375" style="99" customWidth="1"/>
    <col min="2310" max="2310" width="15.7109375" style="99" bestFit="1" customWidth="1"/>
    <col min="2311" max="2311" width="13.7109375" style="99" bestFit="1" customWidth="1"/>
    <col min="2312" max="2312" width="13.42578125" style="99" bestFit="1" customWidth="1"/>
    <col min="2313" max="2323" width="10.5703125" style="99" bestFit="1" customWidth="1"/>
    <col min="2324" max="2324" width="13.5703125" style="99" customWidth="1"/>
    <col min="2325" max="2325" width="16.5703125" style="99" customWidth="1"/>
    <col min="2326" max="2326" width="14.42578125" style="99" customWidth="1"/>
    <col min="2327" max="2327" width="13.28515625" style="99" bestFit="1" customWidth="1"/>
    <col min="2328" max="2328" width="13.42578125" style="99" bestFit="1" customWidth="1"/>
    <col min="2329" max="2329" width="13" style="99" customWidth="1"/>
    <col min="2330" max="2330" width="11.5703125" style="99" customWidth="1"/>
    <col min="2331" max="2331" width="13.140625" style="99" customWidth="1"/>
    <col min="2332" max="2333" width="11.5703125" style="99" customWidth="1"/>
    <col min="2334" max="2334" width="12.42578125" style="99" customWidth="1"/>
    <col min="2335" max="2335" width="13.5703125" style="99" customWidth="1"/>
    <col min="2336" max="2336" width="13.140625" style="99" bestFit="1" customWidth="1"/>
    <col min="2337" max="2337" width="18.85546875" style="99" customWidth="1"/>
    <col min="2338" max="2339" width="14.140625" style="99" customWidth="1"/>
    <col min="2340" max="2340" width="13.85546875" style="99" customWidth="1"/>
    <col min="2341" max="2341" width="14.140625" style="99" customWidth="1"/>
    <col min="2342" max="2342" width="13.7109375" style="99" customWidth="1"/>
    <col min="2343" max="2343" width="17.140625" style="99" customWidth="1"/>
    <col min="2344" max="2344" width="15.42578125" style="99" customWidth="1"/>
    <col min="2345" max="2345" width="18" style="99" customWidth="1"/>
    <col min="2346" max="2346" width="13.7109375" style="99" bestFit="1" customWidth="1"/>
    <col min="2347" max="2347" width="14.140625" style="99" bestFit="1" customWidth="1"/>
    <col min="2348" max="2348" width="14" style="99" bestFit="1" customWidth="1"/>
    <col min="2349" max="2349" width="14.85546875" style="99" bestFit="1" customWidth="1"/>
    <col min="2350" max="2350" width="15.7109375" style="99" customWidth="1"/>
    <col min="2351" max="2351" width="5.85546875" style="99" customWidth="1"/>
    <col min="2352" max="2352" width="9.28515625" style="99" customWidth="1"/>
    <col min="2353" max="2353" width="14.85546875" style="99" customWidth="1"/>
    <col min="2354" max="2354" width="12.85546875" style="99" bestFit="1" customWidth="1"/>
    <col min="2355" max="2355" width="12.85546875" style="99" customWidth="1"/>
    <col min="2356" max="2373" width="8.85546875" style="99" customWidth="1"/>
    <col min="2374" max="2374" width="30.28515625" style="99" bestFit="1" customWidth="1"/>
    <col min="2375" max="2375" width="20.7109375" style="99" customWidth="1"/>
    <col min="2376" max="2376" width="13.42578125" style="99" customWidth="1"/>
    <col min="2377" max="2377" width="8.85546875" style="99" customWidth="1"/>
    <col min="2378" max="2378" width="11.7109375" style="99" bestFit="1" customWidth="1"/>
    <col min="2379" max="2546" width="8.85546875" style="99" customWidth="1"/>
    <col min="2547" max="2547" width="29.7109375" style="99" customWidth="1"/>
    <col min="2548" max="2550" width="14.28515625" style="99" customWidth="1"/>
    <col min="2551" max="2551" width="2.7109375" style="99" customWidth="1"/>
    <col min="2552" max="2555" width="14.28515625" style="99"/>
    <col min="2556" max="2556" width="9.28515625" style="99" bestFit="1" customWidth="1"/>
    <col min="2557" max="2557" width="48.140625" style="99" customWidth="1"/>
    <col min="2558" max="2558" width="15.85546875" style="99" bestFit="1" customWidth="1"/>
    <col min="2559" max="2559" width="14.85546875" style="99" bestFit="1" customWidth="1"/>
    <col min="2560" max="2560" width="14.7109375" style="99" bestFit="1" customWidth="1"/>
    <col min="2561" max="2561" width="2.7109375" style="99" customWidth="1"/>
    <col min="2562" max="2562" width="15.85546875" style="99" bestFit="1" customWidth="1"/>
    <col min="2563" max="2564" width="14.5703125" style="99" bestFit="1" customWidth="1"/>
    <col min="2565" max="2565" width="2.7109375" style="99" customWidth="1"/>
    <col min="2566" max="2566" width="15.7109375" style="99" bestFit="1" customWidth="1"/>
    <col min="2567" max="2567" width="13.7109375" style="99" bestFit="1" customWidth="1"/>
    <col min="2568" max="2568" width="13.42578125" style="99" bestFit="1" customWidth="1"/>
    <col min="2569" max="2579" width="10.5703125" style="99" bestFit="1" customWidth="1"/>
    <col min="2580" max="2580" width="13.5703125" style="99" customWidth="1"/>
    <col min="2581" max="2581" width="16.5703125" style="99" customWidth="1"/>
    <col min="2582" max="2582" width="14.42578125" style="99" customWidth="1"/>
    <col min="2583" max="2583" width="13.28515625" style="99" bestFit="1" customWidth="1"/>
    <col min="2584" max="2584" width="13.42578125" style="99" bestFit="1" customWidth="1"/>
    <col min="2585" max="2585" width="13" style="99" customWidth="1"/>
    <col min="2586" max="2586" width="11.5703125" style="99" customWidth="1"/>
    <col min="2587" max="2587" width="13.140625" style="99" customWidth="1"/>
    <col min="2588" max="2589" width="11.5703125" style="99" customWidth="1"/>
    <col min="2590" max="2590" width="12.42578125" style="99" customWidth="1"/>
    <col min="2591" max="2591" width="13.5703125" style="99" customWidth="1"/>
    <col min="2592" max="2592" width="13.140625" style="99" bestFit="1" customWidth="1"/>
    <col min="2593" max="2593" width="18.85546875" style="99" customWidth="1"/>
    <col min="2594" max="2595" width="14.140625" style="99" customWidth="1"/>
    <col min="2596" max="2596" width="13.85546875" style="99" customWidth="1"/>
    <col min="2597" max="2597" width="14.140625" style="99" customWidth="1"/>
    <col min="2598" max="2598" width="13.7109375" style="99" customWidth="1"/>
    <col min="2599" max="2599" width="17.140625" style="99" customWidth="1"/>
    <col min="2600" max="2600" width="15.42578125" style="99" customWidth="1"/>
    <col min="2601" max="2601" width="18" style="99" customWidth="1"/>
    <col min="2602" max="2602" width="13.7109375" style="99" bestFit="1" customWidth="1"/>
    <col min="2603" max="2603" width="14.140625" style="99" bestFit="1" customWidth="1"/>
    <col min="2604" max="2604" width="14" style="99" bestFit="1" customWidth="1"/>
    <col min="2605" max="2605" width="14.85546875" style="99" bestFit="1" customWidth="1"/>
    <col min="2606" max="2606" width="15.7109375" style="99" customWidth="1"/>
    <col min="2607" max="2607" width="5.85546875" style="99" customWidth="1"/>
    <col min="2608" max="2608" width="9.28515625" style="99" customWidth="1"/>
    <col min="2609" max="2609" width="14.85546875" style="99" customWidth="1"/>
    <col min="2610" max="2610" width="12.85546875" style="99" bestFit="1" customWidth="1"/>
    <col min="2611" max="2611" width="12.85546875" style="99" customWidth="1"/>
    <col min="2612" max="2629" width="8.85546875" style="99" customWidth="1"/>
    <col min="2630" max="2630" width="30.28515625" style="99" bestFit="1" customWidth="1"/>
    <col min="2631" max="2631" width="20.7109375" style="99" customWidth="1"/>
    <col min="2632" max="2632" width="13.42578125" style="99" customWidth="1"/>
    <col min="2633" max="2633" width="8.85546875" style="99" customWidth="1"/>
    <col min="2634" max="2634" width="11.7109375" style="99" bestFit="1" customWidth="1"/>
    <col min="2635" max="2802" width="8.85546875" style="99" customWidth="1"/>
    <col min="2803" max="2803" width="29.7109375" style="99" customWidth="1"/>
    <col min="2804" max="2806" width="14.28515625" style="99" customWidth="1"/>
    <col min="2807" max="2807" width="2.7109375" style="99" customWidth="1"/>
    <col min="2808" max="2811" width="14.28515625" style="99"/>
    <col min="2812" max="2812" width="9.28515625" style="99" bestFit="1" customWidth="1"/>
    <col min="2813" max="2813" width="48.140625" style="99" customWidth="1"/>
    <col min="2814" max="2814" width="15.85546875" style="99" bestFit="1" customWidth="1"/>
    <col min="2815" max="2815" width="14.85546875" style="99" bestFit="1" customWidth="1"/>
    <col min="2816" max="2816" width="14.7109375" style="99" bestFit="1" customWidth="1"/>
    <col min="2817" max="2817" width="2.7109375" style="99" customWidth="1"/>
    <col min="2818" max="2818" width="15.85546875" style="99" bestFit="1" customWidth="1"/>
    <col min="2819" max="2820" width="14.5703125" style="99" bestFit="1" customWidth="1"/>
    <col min="2821" max="2821" width="2.7109375" style="99" customWidth="1"/>
    <col min="2822" max="2822" width="15.7109375" style="99" bestFit="1" customWidth="1"/>
    <col min="2823" max="2823" width="13.7109375" style="99" bestFit="1" customWidth="1"/>
    <col min="2824" max="2824" width="13.42578125" style="99" bestFit="1" customWidth="1"/>
    <col min="2825" max="2835" width="10.5703125" style="99" bestFit="1" customWidth="1"/>
    <col min="2836" max="2836" width="13.5703125" style="99" customWidth="1"/>
    <col min="2837" max="2837" width="16.5703125" style="99" customWidth="1"/>
    <col min="2838" max="2838" width="14.42578125" style="99" customWidth="1"/>
    <col min="2839" max="2839" width="13.28515625" style="99" bestFit="1" customWidth="1"/>
    <col min="2840" max="2840" width="13.42578125" style="99" bestFit="1" customWidth="1"/>
    <col min="2841" max="2841" width="13" style="99" customWidth="1"/>
    <col min="2842" max="2842" width="11.5703125" style="99" customWidth="1"/>
    <col min="2843" max="2843" width="13.140625" style="99" customWidth="1"/>
    <col min="2844" max="2845" width="11.5703125" style="99" customWidth="1"/>
    <col min="2846" max="2846" width="12.42578125" style="99" customWidth="1"/>
    <col min="2847" max="2847" width="13.5703125" style="99" customWidth="1"/>
    <col min="2848" max="2848" width="13.140625" style="99" bestFit="1" customWidth="1"/>
    <col min="2849" max="2849" width="18.85546875" style="99" customWidth="1"/>
    <col min="2850" max="2851" width="14.140625" style="99" customWidth="1"/>
    <col min="2852" max="2852" width="13.85546875" style="99" customWidth="1"/>
    <col min="2853" max="2853" width="14.140625" style="99" customWidth="1"/>
    <col min="2854" max="2854" width="13.7109375" style="99" customWidth="1"/>
    <col min="2855" max="2855" width="17.140625" style="99" customWidth="1"/>
    <col min="2856" max="2856" width="15.42578125" style="99" customWidth="1"/>
    <col min="2857" max="2857" width="18" style="99" customWidth="1"/>
    <col min="2858" max="2858" width="13.7109375" style="99" bestFit="1" customWidth="1"/>
    <col min="2859" max="2859" width="14.140625" style="99" bestFit="1" customWidth="1"/>
    <col min="2860" max="2860" width="14" style="99" bestFit="1" customWidth="1"/>
    <col min="2861" max="2861" width="14.85546875" style="99" bestFit="1" customWidth="1"/>
    <col min="2862" max="2862" width="15.7109375" style="99" customWidth="1"/>
    <col min="2863" max="2863" width="5.85546875" style="99" customWidth="1"/>
    <col min="2864" max="2864" width="9.28515625" style="99" customWidth="1"/>
    <col min="2865" max="2865" width="14.85546875" style="99" customWidth="1"/>
    <col min="2866" max="2866" width="12.85546875" style="99" bestFit="1" customWidth="1"/>
    <col min="2867" max="2867" width="12.85546875" style="99" customWidth="1"/>
    <col min="2868" max="2885" width="8.85546875" style="99" customWidth="1"/>
    <col min="2886" max="2886" width="30.28515625" style="99" bestFit="1" customWidth="1"/>
    <col min="2887" max="2887" width="20.7109375" style="99" customWidth="1"/>
    <col min="2888" max="2888" width="13.42578125" style="99" customWidth="1"/>
    <col min="2889" max="2889" width="8.85546875" style="99" customWidth="1"/>
    <col min="2890" max="2890" width="11.7109375" style="99" bestFit="1" customWidth="1"/>
    <col min="2891" max="3058" width="8.85546875" style="99" customWidth="1"/>
    <col min="3059" max="3059" width="29.7109375" style="99" customWidth="1"/>
    <col min="3060" max="3062" width="14.28515625" style="99" customWidth="1"/>
    <col min="3063" max="3063" width="2.7109375" style="99" customWidth="1"/>
    <col min="3064" max="3067" width="14.28515625" style="99"/>
    <col min="3068" max="3068" width="9.28515625" style="99" bestFit="1" customWidth="1"/>
    <col min="3069" max="3069" width="48.140625" style="99" customWidth="1"/>
    <col min="3070" max="3070" width="15.85546875" style="99" bestFit="1" customWidth="1"/>
    <col min="3071" max="3071" width="14.85546875" style="99" bestFit="1" customWidth="1"/>
    <col min="3072" max="3072" width="14.7109375" style="99" bestFit="1" customWidth="1"/>
    <col min="3073" max="3073" width="2.7109375" style="99" customWidth="1"/>
    <col min="3074" max="3074" width="15.85546875" style="99" bestFit="1" customWidth="1"/>
    <col min="3075" max="3076" width="14.5703125" style="99" bestFit="1" customWidth="1"/>
    <col min="3077" max="3077" width="2.7109375" style="99" customWidth="1"/>
    <col min="3078" max="3078" width="15.7109375" style="99" bestFit="1" customWidth="1"/>
    <col min="3079" max="3079" width="13.7109375" style="99" bestFit="1" customWidth="1"/>
    <col min="3080" max="3080" width="13.42578125" style="99" bestFit="1" customWidth="1"/>
    <col min="3081" max="3091" width="10.5703125" style="99" bestFit="1" customWidth="1"/>
    <col min="3092" max="3092" width="13.5703125" style="99" customWidth="1"/>
    <col min="3093" max="3093" width="16.5703125" style="99" customWidth="1"/>
    <col min="3094" max="3094" width="14.42578125" style="99" customWidth="1"/>
    <col min="3095" max="3095" width="13.28515625" style="99" bestFit="1" customWidth="1"/>
    <col min="3096" max="3096" width="13.42578125" style="99" bestFit="1" customWidth="1"/>
    <col min="3097" max="3097" width="13" style="99" customWidth="1"/>
    <col min="3098" max="3098" width="11.5703125" style="99" customWidth="1"/>
    <col min="3099" max="3099" width="13.140625" style="99" customWidth="1"/>
    <col min="3100" max="3101" width="11.5703125" style="99" customWidth="1"/>
    <col min="3102" max="3102" width="12.42578125" style="99" customWidth="1"/>
    <col min="3103" max="3103" width="13.5703125" style="99" customWidth="1"/>
    <col min="3104" max="3104" width="13.140625" style="99" bestFit="1" customWidth="1"/>
    <col min="3105" max="3105" width="18.85546875" style="99" customWidth="1"/>
    <col min="3106" max="3107" width="14.140625" style="99" customWidth="1"/>
    <col min="3108" max="3108" width="13.85546875" style="99" customWidth="1"/>
    <col min="3109" max="3109" width="14.140625" style="99" customWidth="1"/>
    <col min="3110" max="3110" width="13.7109375" style="99" customWidth="1"/>
    <col min="3111" max="3111" width="17.140625" style="99" customWidth="1"/>
    <col min="3112" max="3112" width="15.42578125" style="99" customWidth="1"/>
    <col min="3113" max="3113" width="18" style="99" customWidth="1"/>
    <col min="3114" max="3114" width="13.7109375" style="99" bestFit="1" customWidth="1"/>
    <col min="3115" max="3115" width="14.140625" style="99" bestFit="1" customWidth="1"/>
    <col min="3116" max="3116" width="14" style="99" bestFit="1" customWidth="1"/>
    <col min="3117" max="3117" width="14.85546875" style="99" bestFit="1" customWidth="1"/>
    <col min="3118" max="3118" width="15.7109375" style="99" customWidth="1"/>
    <col min="3119" max="3119" width="5.85546875" style="99" customWidth="1"/>
    <col min="3120" max="3120" width="9.28515625" style="99" customWidth="1"/>
    <col min="3121" max="3121" width="14.85546875" style="99" customWidth="1"/>
    <col min="3122" max="3122" width="12.85546875" style="99" bestFit="1" customWidth="1"/>
    <col min="3123" max="3123" width="12.85546875" style="99" customWidth="1"/>
    <col min="3124" max="3141" width="8.85546875" style="99" customWidth="1"/>
    <col min="3142" max="3142" width="30.28515625" style="99" bestFit="1" customWidth="1"/>
    <col min="3143" max="3143" width="20.7109375" style="99" customWidth="1"/>
    <col min="3144" max="3144" width="13.42578125" style="99" customWidth="1"/>
    <col min="3145" max="3145" width="8.85546875" style="99" customWidth="1"/>
    <col min="3146" max="3146" width="11.7109375" style="99" bestFit="1" customWidth="1"/>
    <col min="3147" max="3314" width="8.85546875" style="99" customWidth="1"/>
    <col min="3315" max="3315" width="29.7109375" style="99" customWidth="1"/>
    <col min="3316" max="3318" width="14.28515625" style="99" customWidth="1"/>
    <col min="3319" max="3319" width="2.7109375" style="99" customWidth="1"/>
    <col min="3320" max="3323" width="14.28515625" style="99"/>
    <col min="3324" max="3324" width="9.28515625" style="99" bestFit="1" customWidth="1"/>
    <col min="3325" max="3325" width="48.140625" style="99" customWidth="1"/>
    <col min="3326" max="3326" width="15.85546875" style="99" bestFit="1" customWidth="1"/>
    <col min="3327" max="3327" width="14.85546875" style="99" bestFit="1" customWidth="1"/>
    <col min="3328" max="3328" width="14.7109375" style="99" bestFit="1" customWidth="1"/>
    <col min="3329" max="3329" width="2.7109375" style="99" customWidth="1"/>
    <col min="3330" max="3330" width="15.85546875" style="99" bestFit="1" customWidth="1"/>
    <col min="3331" max="3332" width="14.5703125" style="99" bestFit="1" customWidth="1"/>
    <col min="3333" max="3333" width="2.7109375" style="99" customWidth="1"/>
    <col min="3334" max="3334" width="15.7109375" style="99" bestFit="1" customWidth="1"/>
    <col min="3335" max="3335" width="13.7109375" style="99" bestFit="1" customWidth="1"/>
    <col min="3336" max="3336" width="13.42578125" style="99" bestFit="1" customWidth="1"/>
    <col min="3337" max="3347" width="10.5703125" style="99" bestFit="1" customWidth="1"/>
    <col min="3348" max="3348" width="13.5703125" style="99" customWidth="1"/>
    <col min="3349" max="3349" width="16.5703125" style="99" customWidth="1"/>
    <col min="3350" max="3350" width="14.42578125" style="99" customWidth="1"/>
    <col min="3351" max="3351" width="13.28515625" style="99" bestFit="1" customWidth="1"/>
    <col min="3352" max="3352" width="13.42578125" style="99" bestFit="1" customWidth="1"/>
    <col min="3353" max="3353" width="13" style="99" customWidth="1"/>
    <col min="3354" max="3354" width="11.5703125" style="99" customWidth="1"/>
    <col min="3355" max="3355" width="13.140625" style="99" customWidth="1"/>
    <col min="3356" max="3357" width="11.5703125" style="99" customWidth="1"/>
    <col min="3358" max="3358" width="12.42578125" style="99" customWidth="1"/>
    <col min="3359" max="3359" width="13.5703125" style="99" customWidth="1"/>
    <col min="3360" max="3360" width="13.140625" style="99" bestFit="1" customWidth="1"/>
    <col min="3361" max="3361" width="18.85546875" style="99" customWidth="1"/>
    <col min="3362" max="3363" width="14.140625" style="99" customWidth="1"/>
    <col min="3364" max="3364" width="13.85546875" style="99" customWidth="1"/>
    <col min="3365" max="3365" width="14.140625" style="99" customWidth="1"/>
    <col min="3366" max="3366" width="13.7109375" style="99" customWidth="1"/>
    <col min="3367" max="3367" width="17.140625" style="99" customWidth="1"/>
    <col min="3368" max="3368" width="15.42578125" style="99" customWidth="1"/>
    <col min="3369" max="3369" width="18" style="99" customWidth="1"/>
    <col min="3370" max="3370" width="13.7109375" style="99" bestFit="1" customWidth="1"/>
    <col min="3371" max="3371" width="14.140625" style="99" bestFit="1" customWidth="1"/>
    <col min="3372" max="3372" width="14" style="99" bestFit="1" customWidth="1"/>
    <col min="3373" max="3373" width="14.85546875" style="99" bestFit="1" customWidth="1"/>
    <col min="3374" max="3374" width="15.7109375" style="99" customWidth="1"/>
    <col min="3375" max="3375" width="5.85546875" style="99" customWidth="1"/>
    <col min="3376" max="3376" width="9.28515625" style="99" customWidth="1"/>
    <col min="3377" max="3377" width="14.85546875" style="99" customWidth="1"/>
    <col min="3378" max="3378" width="12.85546875" style="99" bestFit="1" customWidth="1"/>
    <col min="3379" max="3379" width="12.85546875" style="99" customWidth="1"/>
    <col min="3380" max="3397" width="8.85546875" style="99" customWidth="1"/>
    <col min="3398" max="3398" width="30.28515625" style="99" bestFit="1" customWidth="1"/>
    <col min="3399" max="3399" width="20.7109375" style="99" customWidth="1"/>
    <col min="3400" max="3400" width="13.42578125" style="99" customWidth="1"/>
    <col min="3401" max="3401" width="8.85546875" style="99" customWidth="1"/>
    <col min="3402" max="3402" width="11.7109375" style="99" bestFit="1" customWidth="1"/>
    <col min="3403" max="3570" width="8.85546875" style="99" customWidth="1"/>
    <col min="3571" max="3571" width="29.7109375" style="99" customWidth="1"/>
    <col min="3572" max="3574" width="14.28515625" style="99" customWidth="1"/>
    <col min="3575" max="3575" width="2.7109375" style="99" customWidth="1"/>
    <col min="3576" max="3579" width="14.28515625" style="99"/>
    <col min="3580" max="3580" width="9.28515625" style="99" bestFit="1" customWidth="1"/>
    <col min="3581" max="3581" width="48.140625" style="99" customWidth="1"/>
    <col min="3582" max="3582" width="15.85546875" style="99" bestFit="1" customWidth="1"/>
    <col min="3583" max="3583" width="14.85546875" style="99" bestFit="1" customWidth="1"/>
    <col min="3584" max="3584" width="14.7109375" style="99" bestFit="1" customWidth="1"/>
    <col min="3585" max="3585" width="2.7109375" style="99" customWidth="1"/>
    <col min="3586" max="3586" width="15.85546875" style="99" bestFit="1" customWidth="1"/>
    <col min="3587" max="3588" width="14.5703125" style="99" bestFit="1" customWidth="1"/>
    <col min="3589" max="3589" width="2.7109375" style="99" customWidth="1"/>
    <col min="3590" max="3590" width="15.7109375" style="99" bestFit="1" customWidth="1"/>
    <col min="3591" max="3591" width="13.7109375" style="99" bestFit="1" customWidth="1"/>
    <col min="3592" max="3592" width="13.42578125" style="99" bestFit="1" customWidth="1"/>
    <col min="3593" max="3603" width="10.5703125" style="99" bestFit="1" customWidth="1"/>
    <col min="3604" max="3604" width="13.5703125" style="99" customWidth="1"/>
    <col min="3605" max="3605" width="16.5703125" style="99" customWidth="1"/>
    <col min="3606" max="3606" width="14.42578125" style="99" customWidth="1"/>
    <col min="3607" max="3607" width="13.28515625" style="99" bestFit="1" customWidth="1"/>
    <col min="3608" max="3608" width="13.42578125" style="99" bestFit="1" customWidth="1"/>
    <col min="3609" max="3609" width="13" style="99" customWidth="1"/>
    <col min="3610" max="3610" width="11.5703125" style="99" customWidth="1"/>
    <col min="3611" max="3611" width="13.140625" style="99" customWidth="1"/>
    <col min="3612" max="3613" width="11.5703125" style="99" customWidth="1"/>
    <col min="3614" max="3614" width="12.42578125" style="99" customWidth="1"/>
    <col min="3615" max="3615" width="13.5703125" style="99" customWidth="1"/>
    <col min="3616" max="3616" width="13.140625" style="99" bestFit="1" customWidth="1"/>
    <col min="3617" max="3617" width="18.85546875" style="99" customWidth="1"/>
    <col min="3618" max="3619" width="14.140625" style="99" customWidth="1"/>
    <col min="3620" max="3620" width="13.85546875" style="99" customWidth="1"/>
    <col min="3621" max="3621" width="14.140625" style="99" customWidth="1"/>
    <col min="3622" max="3622" width="13.7109375" style="99" customWidth="1"/>
    <col min="3623" max="3623" width="17.140625" style="99" customWidth="1"/>
    <col min="3624" max="3624" width="15.42578125" style="99" customWidth="1"/>
    <col min="3625" max="3625" width="18" style="99" customWidth="1"/>
    <col min="3626" max="3626" width="13.7109375" style="99" bestFit="1" customWidth="1"/>
    <col min="3627" max="3627" width="14.140625" style="99" bestFit="1" customWidth="1"/>
    <col min="3628" max="3628" width="14" style="99" bestFit="1" customWidth="1"/>
    <col min="3629" max="3629" width="14.85546875" style="99" bestFit="1" customWidth="1"/>
    <col min="3630" max="3630" width="15.7109375" style="99" customWidth="1"/>
    <col min="3631" max="3631" width="5.85546875" style="99" customWidth="1"/>
    <col min="3632" max="3632" width="9.28515625" style="99" customWidth="1"/>
    <col min="3633" max="3633" width="14.85546875" style="99" customWidth="1"/>
    <col min="3634" max="3634" width="12.85546875" style="99" bestFit="1" customWidth="1"/>
    <col min="3635" max="3635" width="12.85546875" style="99" customWidth="1"/>
    <col min="3636" max="3653" width="8.85546875" style="99" customWidth="1"/>
    <col min="3654" max="3654" width="30.28515625" style="99" bestFit="1" customWidth="1"/>
    <col min="3655" max="3655" width="20.7109375" style="99" customWidth="1"/>
    <col min="3656" max="3656" width="13.42578125" style="99" customWidth="1"/>
    <col min="3657" max="3657" width="8.85546875" style="99" customWidth="1"/>
    <col min="3658" max="3658" width="11.7109375" style="99" bestFit="1" customWidth="1"/>
    <col min="3659" max="3826" width="8.85546875" style="99" customWidth="1"/>
    <col min="3827" max="3827" width="29.7109375" style="99" customWidth="1"/>
    <col min="3828" max="3830" width="14.28515625" style="99" customWidth="1"/>
    <col min="3831" max="3831" width="2.7109375" style="99" customWidth="1"/>
    <col min="3832" max="3835" width="14.28515625" style="99"/>
    <col min="3836" max="3836" width="9.28515625" style="99" bestFit="1" customWidth="1"/>
    <col min="3837" max="3837" width="48.140625" style="99" customWidth="1"/>
    <col min="3838" max="3838" width="15.85546875" style="99" bestFit="1" customWidth="1"/>
    <col min="3839" max="3839" width="14.85546875" style="99" bestFit="1" customWidth="1"/>
    <col min="3840" max="3840" width="14.7109375" style="99" bestFit="1" customWidth="1"/>
    <col min="3841" max="3841" width="2.7109375" style="99" customWidth="1"/>
    <col min="3842" max="3842" width="15.85546875" style="99" bestFit="1" customWidth="1"/>
    <col min="3843" max="3844" width="14.5703125" style="99" bestFit="1" customWidth="1"/>
    <col min="3845" max="3845" width="2.7109375" style="99" customWidth="1"/>
    <col min="3846" max="3846" width="15.7109375" style="99" bestFit="1" customWidth="1"/>
    <col min="3847" max="3847" width="13.7109375" style="99" bestFit="1" customWidth="1"/>
    <col min="3848" max="3848" width="13.42578125" style="99" bestFit="1" customWidth="1"/>
    <col min="3849" max="3859" width="10.5703125" style="99" bestFit="1" customWidth="1"/>
    <col min="3860" max="3860" width="13.5703125" style="99" customWidth="1"/>
    <col min="3861" max="3861" width="16.5703125" style="99" customWidth="1"/>
    <col min="3862" max="3862" width="14.42578125" style="99" customWidth="1"/>
    <col min="3863" max="3863" width="13.28515625" style="99" bestFit="1" customWidth="1"/>
    <col min="3864" max="3864" width="13.42578125" style="99" bestFit="1" customWidth="1"/>
    <col min="3865" max="3865" width="13" style="99" customWidth="1"/>
    <col min="3866" max="3866" width="11.5703125" style="99" customWidth="1"/>
    <col min="3867" max="3867" width="13.140625" style="99" customWidth="1"/>
    <col min="3868" max="3869" width="11.5703125" style="99" customWidth="1"/>
    <col min="3870" max="3870" width="12.42578125" style="99" customWidth="1"/>
    <col min="3871" max="3871" width="13.5703125" style="99" customWidth="1"/>
    <col min="3872" max="3872" width="13.140625" style="99" bestFit="1" customWidth="1"/>
    <col min="3873" max="3873" width="18.85546875" style="99" customWidth="1"/>
    <col min="3874" max="3875" width="14.140625" style="99" customWidth="1"/>
    <col min="3876" max="3876" width="13.85546875" style="99" customWidth="1"/>
    <col min="3877" max="3877" width="14.140625" style="99" customWidth="1"/>
    <col min="3878" max="3878" width="13.7109375" style="99" customWidth="1"/>
    <col min="3879" max="3879" width="17.140625" style="99" customWidth="1"/>
    <col min="3880" max="3880" width="15.42578125" style="99" customWidth="1"/>
    <col min="3881" max="3881" width="18" style="99" customWidth="1"/>
    <col min="3882" max="3882" width="13.7109375" style="99" bestFit="1" customWidth="1"/>
    <col min="3883" max="3883" width="14.140625" style="99" bestFit="1" customWidth="1"/>
    <col min="3884" max="3884" width="14" style="99" bestFit="1" customWidth="1"/>
    <col min="3885" max="3885" width="14.85546875" style="99" bestFit="1" customWidth="1"/>
    <col min="3886" max="3886" width="15.7109375" style="99" customWidth="1"/>
    <col min="3887" max="3887" width="5.85546875" style="99" customWidth="1"/>
    <col min="3888" max="3888" width="9.28515625" style="99" customWidth="1"/>
    <col min="3889" max="3889" width="14.85546875" style="99" customWidth="1"/>
    <col min="3890" max="3890" width="12.85546875" style="99" bestFit="1" customWidth="1"/>
    <col min="3891" max="3891" width="12.85546875" style="99" customWidth="1"/>
    <col min="3892" max="3909" width="8.85546875" style="99" customWidth="1"/>
    <col min="3910" max="3910" width="30.28515625" style="99" bestFit="1" customWidth="1"/>
    <col min="3911" max="3911" width="20.7109375" style="99" customWidth="1"/>
    <col min="3912" max="3912" width="13.42578125" style="99" customWidth="1"/>
    <col min="3913" max="3913" width="8.85546875" style="99" customWidth="1"/>
    <col min="3914" max="3914" width="11.7109375" style="99" bestFit="1" customWidth="1"/>
    <col min="3915" max="4082" width="8.85546875" style="99" customWidth="1"/>
    <col min="4083" max="4083" width="29.7109375" style="99" customWidth="1"/>
    <col min="4084" max="4086" width="14.28515625" style="99" customWidth="1"/>
    <col min="4087" max="4087" width="2.7109375" style="99" customWidth="1"/>
    <col min="4088" max="4091" width="14.28515625" style="99"/>
    <col min="4092" max="4092" width="9.28515625" style="99" bestFit="1" customWidth="1"/>
    <col min="4093" max="4093" width="48.140625" style="99" customWidth="1"/>
    <col min="4094" max="4094" width="15.85546875" style="99" bestFit="1" customWidth="1"/>
    <col min="4095" max="4095" width="14.85546875" style="99" bestFit="1" customWidth="1"/>
    <col min="4096" max="4096" width="14.7109375" style="99" bestFit="1" customWidth="1"/>
    <col min="4097" max="4097" width="2.7109375" style="99" customWidth="1"/>
    <col min="4098" max="4098" width="15.85546875" style="99" bestFit="1" customWidth="1"/>
    <col min="4099" max="4100" width="14.5703125" style="99" bestFit="1" customWidth="1"/>
    <col min="4101" max="4101" width="2.7109375" style="99" customWidth="1"/>
    <col min="4102" max="4102" width="15.7109375" style="99" bestFit="1" customWidth="1"/>
    <col min="4103" max="4103" width="13.7109375" style="99" bestFit="1" customWidth="1"/>
    <col min="4104" max="4104" width="13.42578125" style="99" bestFit="1" customWidth="1"/>
    <col min="4105" max="4115" width="10.5703125" style="99" bestFit="1" customWidth="1"/>
    <col min="4116" max="4116" width="13.5703125" style="99" customWidth="1"/>
    <col min="4117" max="4117" width="16.5703125" style="99" customWidth="1"/>
    <col min="4118" max="4118" width="14.42578125" style="99" customWidth="1"/>
    <col min="4119" max="4119" width="13.28515625" style="99" bestFit="1" customWidth="1"/>
    <col min="4120" max="4120" width="13.42578125" style="99" bestFit="1" customWidth="1"/>
    <col min="4121" max="4121" width="13" style="99" customWidth="1"/>
    <col min="4122" max="4122" width="11.5703125" style="99" customWidth="1"/>
    <col min="4123" max="4123" width="13.140625" style="99" customWidth="1"/>
    <col min="4124" max="4125" width="11.5703125" style="99" customWidth="1"/>
    <col min="4126" max="4126" width="12.42578125" style="99" customWidth="1"/>
    <col min="4127" max="4127" width="13.5703125" style="99" customWidth="1"/>
    <col min="4128" max="4128" width="13.140625" style="99" bestFit="1" customWidth="1"/>
    <col min="4129" max="4129" width="18.85546875" style="99" customWidth="1"/>
    <col min="4130" max="4131" width="14.140625" style="99" customWidth="1"/>
    <col min="4132" max="4132" width="13.85546875" style="99" customWidth="1"/>
    <col min="4133" max="4133" width="14.140625" style="99" customWidth="1"/>
    <col min="4134" max="4134" width="13.7109375" style="99" customWidth="1"/>
    <col min="4135" max="4135" width="17.140625" style="99" customWidth="1"/>
    <col min="4136" max="4136" width="15.42578125" style="99" customWidth="1"/>
    <col min="4137" max="4137" width="18" style="99" customWidth="1"/>
    <col min="4138" max="4138" width="13.7109375" style="99" bestFit="1" customWidth="1"/>
    <col min="4139" max="4139" width="14.140625" style="99" bestFit="1" customWidth="1"/>
    <col min="4140" max="4140" width="14" style="99" bestFit="1" customWidth="1"/>
    <col min="4141" max="4141" width="14.85546875" style="99" bestFit="1" customWidth="1"/>
    <col min="4142" max="4142" width="15.7109375" style="99" customWidth="1"/>
    <col min="4143" max="4143" width="5.85546875" style="99" customWidth="1"/>
    <col min="4144" max="4144" width="9.28515625" style="99" customWidth="1"/>
    <col min="4145" max="4145" width="14.85546875" style="99" customWidth="1"/>
    <col min="4146" max="4146" width="12.85546875" style="99" bestFit="1" customWidth="1"/>
    <col min="4147" max="4147" width="12.85546875" style="99" customWidth="1"/>
    <col min="4148" max="4165" width="8.85546875" style="99" customWidth="1"/>
    <col min="4166" max="4166" width="30.28515625" style="99" bestFit="1" customWidth="1"/>
    <col min="4167" max="4167" width="20.7109375" style="99" customWidth="1"/>
    <col min="4168" max="4168" width="13.42578125" style="99" customWidth="1"/>
    <col min="4169" max="4169" width="8.85546875" style="99" customWidth="1"/>
    <col min="4170" max="4170" width="11.7109375" style="99" bestFit="1" customWidth="1"/>
    <col min="4171" max="4338" width="8.85546875" style="99" customWidth="1"/>
    <col min="4339" max="4339" width="29.7109375" style="99" customWidth="1"/>
    <col min="4340" max="4342" width="14.28515625" style="99" customWidth="1"/>
    <col min="4343" max="4343" width="2.7109375" style="99" customWidth="1"/>
    <col min="4344" max="4347" width="14.28515625" style="99"/>
    <col min="4348" max="4348" width="9.28515625" style="99" bestFit="1" customWidth="1"/>
    <col min="4349" max="4349" width="48.140625" style="99" customWidth="1"/>
    <col min="4350" max="4350" width="15.85546875" style="99" bestFit="1" customWidth="1"/>
    <col min="4351" max="4351" width="14.85546875" style="99" bestFit="1" customWidth="1"/>
    <col min="4352" max="4352" width="14.7109375" style="99" bestFit="1" customWidth="1"/>
    <col min="4353" max="4353" width="2.7109375" style="99" customWidth="1"/>
    <col min="4354" max="4354" width="15.85546875" style="99" bestFit="1" customWidth="1"/>
    <col min="4355" max="4356" width="14.5703125" style="99" bestFit="1" customWidth="1"/>
    <col min="4357" max="4357" width="2.7109375" style="99" customWidth="1"/>
    <col min="4358" max="4358" width="15.7109375" style="99" bestFit="1" customWidth="1"/>
    <col min="4359" max="4359" width="13.7109375" style="99" bestFit="1" customWidth="1"/>
    <col min="4360" max="4360" width="13.42578125" style="99" bestFit="1" customWidth="1"/>
    <col min="4361" max="4371" width="10.5703125" style="99" bestFit="1" customWidth="1"/>
    <col min="4372" max="4372" width="13.5703125" style="99" customWidth="1"/>
    <col min="4373" max="4373" width="16.5703125" style="99" customWidth="1"/>
    <col min="4374" max="4374" width="14.42578125" style="99" customWidth="1"/>
    <col min="4375" max="4375" width="13.28515625" style="99" bestFit="1" customWidth="1"/>
    <col min="4376" max="4376" width="13.42578125" style="99" bestFit="1" customWidth="1"/>
    <col min="4377" max="4377" width="13" style="99" customWidth="1"/>
    <col min="4378" max="4378" width="11.5703125" style="99" customWidth="1"/>
    <col min="4379" max="4379" width="13.140625" style="99" customWidth="1"/>
    <col min="4380" max="4381" width="11.5703125" style="99" customWidth="1"/>
    <col min="4382" max="4382" width="12.42578125" style="99" customWidth="1"/>
    <col min="4383" max="4383" width="13.5703125" style="99" customWidth="1"/>
    <col min="4384" max="4384" width="13.140625" style="99" bestFit="1" customWidth="1"/>
    <col min="4385" max="4385" width="18.85546875" style="99" customWidth="1"/>
    <col min="4386" max="4387" width="14.140625" style="99" customWidth="1"/>
    <col min="4388" max="4388" width="13.85546875" style="99" customWidth="1"/>
    <col min="4389" max="4389" width="14.140625" style="99" customWidth="1"/>
    <col min="4390" max="4390" width="13.7109375" style="99" customWidth="1"/>
    <col min="4391" max="4391" width="17.140625" style="99" customWidth="1"/>
    <col min="4392" max="4392" width="15.42578125" style="99" customWidth="1"/>
    <col min="4393" max="4393" width="18" style="99" customWidth="1"/>
    <col min="4394" max="4394" width="13.7109375" style="99" bestFit="1" customWidth="1"/>
    <col min="4395" max="4395" width="14.140625" style="99" bestFit="1" customWidth="1"/>
    <col min="4396" max="4396" width="14" style="99" bestFit="1" customWidth="1"/>
    <col min="4397" max="4397" width="14.85546875" style="99" bestFit="1" customWidth="1"/>
    <col min="4398" max="4398" width="15.7109375" style="99" customWidth="1"/>
    <col min="4399" max="4399" width="5.85546875" style="99" customWidth="1"/>
    <col min="4400" max="4400" width="9.28515625" style="99" customWidth="1"/>
    <col min="4401" max="4401" width="14.85546875" style="99" customWidth="1"/>
    <col min="4402" max="4402" width="12.85546875" style="99" bestFit="1" customWidth="1"/>
    <col min="4403" max="4403" width="12.85546875" style="99" customWidth="1"/>
    <col min="4404" max="4421" width="8.85546875" style="99" customWidth="1"/>
    <col min="4422" max="4422" width="30.28515625" style="99" bestFit="1" customWidth="1"/>
    <col min="4423" max="4423" width="20.7109375" style="99" customWidth="1"/>
    <col min="4424" max="4424" width="13.42578125" style="99" customWidth="1"/>
    <col min="4425" max="4425" width="8.85546875" style="99" customWidth="1"/>
    <col min="4426" max="4426" width="11.7109375" style="99" bestFit="1" customWidth="1"/>
    <col min="4427" max="4594" width="8.85546875" style="99" customWidth="1"/>
    <col min="4595" max="4595" width="29.7109375" style="99" customWidth="1"/>
    <col min="4596" max="4598" width="14.28515625" style="99" customWidth="1"/>
    <col min="4599" max="4599" width="2.7109375" style="99" customWidth="1"/>
    <col min="4600" max="4603" width="14.28515625" style="99"/>
    <col min="4604" max="4604" width="9.28515625" style="99" bestFit="1" customWidth="1"/>
    <col min="4605" max="4605" width="48.140625" style="99" customWidth="1"/>
    <col min="4606" max="4606" width="15.85546875" style="99" bestFit="1" customWidth="1"/>
    <col min="4607" max="4607" width="14.85546875" style="99" bestFit="1" customWidth="1"/>
    <col min="4608" max="4608" width="14.7109375" style="99" bestFit="1" customWidth="1"/>
    <col min="4609" max="4609" width="2.7109375" style="99" customWidth="1"/>
    <col min="4610" max="4610" width="15.85546875" style="99" bestFit="1" customWidth="1"/>
    <col min="4611" max="4612" width="14.5703125" style="99" bestFit="1" customWidth="1"/>
    <col min="4613" max="4613" width="2.7109375" style="99" customWidth="1"/>
    <col min="4614" max="4614" width="15.7109375" style="99" bestFit="1" customWidth="1"/>
    <col min="4615" max="4615" width="13.7109375" style="99" bestFit="1" customWidth="1"/>
    <col min="4616" max="4616" width="13.42578125" style="99" bestFit="1" customWidth="1"/>
    <col min="4617" max="4627" width="10.5703125" style="99" bestFit="1" customWidth="1"/>
    <col min="4628" max="4628" width="13.5703125" style="99" customWidth="1"/>
    <col min="4629" max="4629" width="16.5703125" style="99" customWidth="1"/>
    <col min="4630" max="4630" width="14.42578125" style="99" customWidth="1"/>
    <col min="4631" max="4631" width="13.28515625" style="99" bestFit="1" customWidth="1"/>
    <col min="4632" max="4632" width="13.42578125" style="99" bestFit="1" customWidth="1"/>
    <col min="4633" max="4633" width="13" style="99" customWidth="1"/>
    <col min="4634" max="4634" width="11.5703125" style="99" customWidth="1"/>
    <col min="4635" max="4635" width="13.140625" style="99" customWidth="1"/>
    <col min="4636" max="4637" width="11.5703125" style="99" customWidth="1"/>
    <col min="4638" max="4638" width="12.42578125" style="99" customWidth="1"/>
    <col min="4639" max="4639" width="13.5703125" style="99" customWidth="1"/>
    <col min="4640" max="4640" width="13.140625" style="99" bestFit="1" customWidth="1"/>
    <col min="4641" max="4641" width="18.85546875" style="99" customWidth="1"/>
    <col min="4642" max="4643" width="14.140625" style="99" customWidth="1"/>
    <col min="4644" max="4644" width="13.85546875" style="99" customWidth="1"/>
    <col min="4645" max="4645" width="14.140625" style="99" customWidth="1"/>
    <col min="4646" max="4646" width="13.7109375" style="99" customWidth="1"/>
    <col min="4647" max="4647" width="17.140625" style="99" customWidth="1"/>
    <col min="4648" max="4648" width="15.42578125" style="99" customWidth="1"/>
    <col min="4649" max="4649" width="18" style="99" customWidth="1"/>
    <col min="4650" max="4650" width="13.7109375" style="99" bestFit="1" customWidth="1"/>
    <col min="4651" max="4651" width="14.140625" style="99" bestFit="1" customWidth="1"/>
    <col min="4652" max="4652" width="14" style="99" bestFit="1" customWidth="1"/>
    <col min="4653" max="4653" width="14.85546875" style="99" bestFit="1" customWidth="1"/>
    <col min="4654" max="4654" width="15.7109375" style="99" customWidth="1"/>
    <col min="4655" max="4655" width="5.85546875" style="99" customWidth="1"/>
    <col min="4656" max="4656" width="9.28515625" style="99" customWidth="1"/>
    <col min="4657" max="4657" width="14.85546875" style="99" customWidth="1"/>
    <col min="4658" max="4658" width="12.85546875" style="99" bestFit="1" customWidth="1"/>
    <col min="4659" max="4659" width="12.85546875" style="99" customWidth="1"/>
    <col min="4660" max="4677" width="8.85546875" style="99" customWidth="1"/>
    <col min="4678" max="4678" width="30.28515625" style="99" bestFit="1" customWidth="1"/>
    <col min="4679" max="4679" width="20.7109375" style="99" customWidth="1"/>
    <col min="4680" max="4680" width="13.42578125" style="99" customWidth="1"/>
    <col min="4681" max="4681" width="8.85546875" style="99" customWidth="1"/>
    <col min="4682" max="4682" width="11.7109375" style="99" bestFit="1" customWidth="1"/>
    <col min="4683" max="4850" width="8.85546875" style="99" customWidth="1"/>
    <col min="4851" max="4851" width="29.7109375" style="99" customWidth="1"/>
    <col min="4852" max="4854" width="14.28515625" style="99" customWidth="1"/>
    <col min="4855" max="4855" width="2.7109375" style="99" customWidth="1"/>
    <col min="4856" max="4859" width="14.28515625" style="99"/>
    <col min="4860" max="4860" width="9.28515625" style="99" bestFit="1" customWidth="1"/>
    <col min="4861" max="4861" width="48.140625" style="99" customWidth="1"/>
    <col min="4862" max="4862" width="15.85546875" style="99" bestFit="1" customWidth="1"/>
    <col min="4863" max="4863" width="14.85546875" style="99" bestFit="1" customWidth="1"/>
    <col min="4864" max="4864" width="14.7109375" style="99" bestFit="1" customWidth="1"/>
    <col min="4865" max="4865" width="2.7109375" style="99" customWidth="1"/>
    <col min="4866" max="4866" width="15.85546875" style="99" bestFit="1" customWidth="1"/>
    <col min="4867" max="4868" width="14.5703125" style="99" bestFit="1" customWidth="1"/>
    <col min="4869" max="4869" width="2.7109375" style="99" customWidth="1"/>
    <col min="4870" max="4870" width="15.7109375" style="99" bestFit="1" customWidth="1"/>
    <col min="4871" max="4871" width="13.7109375" style="99" bestFit="1" customWidth="1"/>
    <col min="4872" max="4872" width="13.42578125" style="99" bestFit="1" customWidth="1"/>
    <col min="4873" max="4883" width="10.5703125" style="99" bestFit="1" customWidth="1"/>
    <col min="4884" max="4884" width="13.5703125" style="99" customWidth="1"/>
    <col min="4885" max="4885" width="16.5703125" style="99" customWidth="1"/>
    <col min="4886" max="4886" width="14.42578125" style="99" customWidth="1"/>
    <col min="4887" max="4887" width="13.28515625" style="99" bestFit="1" customWidth="1"/>
    <col min="4888" max="4888" width="13.42578125" style="99" bestFit="1" customWidth="1"/>
    <col min="4889" max="4889" width="13" style="99" customWidth="1"/>
    <col min="4890" max="4890" width="11.5703125" style="99" customWidth="1"/>
    <col min="4891" max="4891" width="13.140625" style="99" customWidth="1"/>
    <col min="4892" max="4893" width="11.5703125" style="99" customWidth="1"/>
    <col min="4894" max="4894" width="12.42578125" style="99" customWidth="1"/>
    <col min="4895" max="4895" width="13.5703125" style="99" customWidth="1"/>
    <col min="4896" max="4896" width="13.140625" style="99" bestFit="1" customWidth="1"/>
    <col min="4897" max="4897" width="18.85546875" style="99" customWidth="1"/>
    <col min="4898" max="4899" width="14.140625" style="99" customWidth="1"/>
    <col min="4900" max="4900" width="13.85546875" style="99" customWidth="1"/>
    <col min="4901" max="4901" width="14.140625" style="99" customWidth="1"/>
    <col min="4902" max="4902" width="13.7109375" style="99" customWidth="1"/>
    <col min="4903" max="4903" width="17.140625" style="99" customWidth="1"/>
    <col min="4904" max="4904" width="15.42578125" style="99" customWidth="1"/>
    <col min="4905" max="4905" width="18" style="99" customWidth="1"/>
    <col min="4906" max="4906" width="13.7109375" style="99" bestFit="1" customWidth="1"/>
    <col min="4907" max="4907" width="14.140625" style="99" bestFit="1" customWidth="1"/>
    <col min="4908" max="4908" width="14" style="99" bestFit="1" customWidth="1"/>
    <col min="4909" max="4909" width="14.85546875" style="99" bestFit="1" customWidth="1"/>
    <col min="4910" max="4910" width="15.7109375" style="99" customWidth="1"/>
    <col min="4911" max="4911" width="5.85546875" style="99" customWidth="1"/>
    <col min="4912" max="4912" width="9.28515625" style="99" customWidth="1"/>
    <col min="4913" max="4913" width="14.85546875" style="99" customWidth="1"/>
    <col min="4914" max="4914" width="12.85546875" style="99" bestFit="1" customWidth="1"/>
    <col min="4915" max="4915" width="12.85546875" style="99" customWidth="1"/>
    <col min="4916" max="4933" width="8.85546875" style="99" customWidth="1"/>
    <col min="4934" max="4934" width="30.28515625" style="99" bestFit="1" customWidth="1"/>
    <col min="4935" max="4935" width="20.7109375" style="99" customWidth="1"/>
    <col min="4936" max="4936" width="13.42578125" style="99" customWidth="1"/>
    <col min="4937" max="4937" width="8.85546875" style="99" customWidth="1"/>
    <col min="4938" max="4938" width="11.7109375" style="99" bestFit="1" customWidth="1"/>
    <col min="4939" max="5106" width="8.85546875" style="99" customWidth="1"/>
    <col min="5107" max="5107" width="29.7109375" style="99" customWidth="1"/>
    <col min="5108" max="5110" width="14.28515625" style="99" customWidth="1"/>
    <col min="5111" max="5111" width="2.7109375" style="99" customWidth="1"/>
    <col min="5112" max="5115" width="14.28515625" style="99"/>
    <col min="5116" max="5116" width="9.28515625" style="99" bestFit="1" customWidth="1"/>
    <col min="5117" max="5117" width="48.140625" style="99" customWidth="1"/>
    <col min="5118" max="5118" width="15.85546875" style="99" bestFit="1" customWidth="1"/>
    <col min="5119" max="5119" width="14.85546875" style="99" bestFit="1" customWidth="1"/>
    <col min="5120" max="5120" width="14.7109375" style="99" bestFit="1" customWidth="1"/>
    <col min="5121" max="5121" width="2.7109375" style="99" customWidth="1"/>
    <col min="5122" max="5122" width="15.85546875" style="99" bestFit="1" customWidth="1"/>
    <col min="5123" max="5124" width="14.5703125" style="99" bestFit="1" customWidth="1"/>
    <col min="5125" max="5125" width="2.7109375" style="99" customWidth="1"/>
    <col min="5126" max="5126" width="15.7109375" style="99" bestFit="1" customWidth="1"/>
    <col min="5127" max="5127" width="13.7109375" style="99" bestFit="1" customWidth="1"/>
    <col min="5128" max="5128" width="13.42578125" style="99" bestFit="1" customWidth="1"/>
    <col min="5129" max="5139" width="10.5703125" style="99" bestFit="1" customWidth="1"/>
    <col min="5140" max="5140" width="13.5703125" style="99" customWidth="1"/>
    <col min="5141" max="5141" width="16.5703125" style="99" customWidth="1"/>
    <col min="5142" max="5142" width="14.42578125" style="99" customWidth="1"/>
    <col min="5143" max="5143" width="13.28515625" style="99" bestFit="1" customWidth="1"/>
    <col min="5144" max="5144" width="13.42578125" style="99" bestFit="1" customWidth="1"/>
    <col min="5145" max="5145" width="13" style="99" customWidth="1"/>
    <col min="5146" max="5146" width="11.5703125" style="99" customWidth="1"/>
    <col min="5147" max="5147" width="13.140625" style="99" customWidth="1"/>
    <col min="5148" max="5149" width="11.5703125" style="99" customWidth="1"/>
    <col min="5150" max="5150" width="12.42578125" style="99" customWidth="1"/>
    <col min="5151" max="5151" width="13.5703125" style="99" customWidth="1"/>
    <col min="5152" max="5152" width="13.140625" style="99" bestFit="1" customWidth="1"/>
    <col min="5153" max="5153" width="18.85546875" style="99" customWidth="1"/>
    <col min="5154" max="5155" width="14.140625" style="99" customWidth="1"/>
    <col min="5156" max="5156" width="13.85546875" style="99" customWidth="1"/>
    <col min="5157" max="5157" width="14.140625" style="99" customWidth="1"/>
    <col min="5158" max="5158" width="13.7109375" style="99" customWidth="1"/>
    <col min="5159" max="5159" width="17.140625" style="99" customWidth="1"/>
    <col min="5160" max="5160" width="15.42578125" style="99" customWidth="1"/>
    <col min="5161" max="5161" width="18" style="99" customWidth="1"/>
    <col min="5162" max="5162" width="13.7109375" style="99" bestFit="1" customWidth="1"/>
    <col min="5163" max="5163" width="14.140625" style="99" bestFit="1" customWidth="1"/>
    <col min="5164" max="5164" width="14" style="99" bestFit="1" customWidth="1"/>
    <col min="5165" max="5165" width="14.85546875" style="99" bestFit="1" customWidth="1"/>
    <col min="5166" max="5166" width="15.7109375" style="99" customWidth="1"/>
    <col min="5167" max="5167" width="5.85546875" style="99" customWidth="1"/>
    <col min="5168" max="5168" width="9.28515625" style="99" customWidth="1"/>
    <col min="5169" max="5169" width="14.85546875" style="99" customWidth="1"/>
    <col min="5170" max="5170" width="12.85546875" style="99" bestFit="1" customWidth="1"/>
    <col min="5171" max="5171" width="12.85546875" style="99" customWidth="1"/>
    <col min="5172" max="5189" width="8.85546875" style="99" customWidth="1"/>
    <col min="5190" max="5190" width="30.28515625" style="99" bestFit="1" customWidth="1"/>
    <col min="5191" max="5191" width="20.7109375" style="99" customWidth="1"/>
    <col min="5192" max="5192" width="13.42578125" style="99" customWidth="1"/>
    <col min="5193" max="5193" width="8.85546875" style="99" customWidth="1"/>
    <col min="5194" max="5194" width="11.7109375" style="99" bestFit="1" customWidth="1"/>
    <col min="5195" max="5362" width="8.85546875" style="99" customWidth="1"/>
    <col min="5363" max="5363" width="29.7109375" style="99" customWidth="1"/>
    <col min="5364" max="5366" width="14.28515625" style="99" customWidth="1"/>
    <col min="5367" max="5367" width="2.7109375" style="99" customWidth="1"/>
    <col min="5368" max="5371" width="14.28515625" style="99"/>
    <col min="5372" max="5372" width="9.28515625" style="99" bestFit="1" customWidth="1"/>
    <col min="5373" max="5373" width="48.140625" style="99" customWidth="1"/>
    <col min="5374" max="5374" width="15.85546875" style="99" bestFit="1" customWidth="1"/>
    <col min="5375" max="5375" width="14.85546875" style="99" bestFit="1" customWidth="1"/>
    <col min="5376" max="5376" width="14.7109375" style="99" bestFit="1" customWidth="1"/>
    <col min="5377" max="5377" width="2.7109375" style="99" customWidth="1"/>
    <col min="5378" max="5378" width="15.85546875" style="99" bestFit="1" customWidth="1"/>
    <col min="5379" max="5380" width="14.5703125" style="99" bestFit="1" customWidth="1"/>
    <col min="5381" max="5381" width="2.7109375" style="99" customWidth="1"/>
    <col min="5382" max="5382" width="15.7109375" style="99" bestFit="1" customWidth="1"/>
    <col min="5383" max="5383" width="13.7109375" style="99" bestFit="1" customWidth="1"/>
    <col min="5384" max="5384" width="13.42578125" style="99" bestFit="1" customWidth="1"/>
    <col min="5385" max="5395" width="10.5703125" style="99" bestFit="1" customWidth="1"/>
    <col min="5396" max="5396" width="13.5703125" style="99" customWidth="1"/>
    <col min="5397" max="5397" width="16.5703125" style="99" customWidth="1"/>
    <col min="5398" max="5398" width="14.42578125" style="99" customWidth="1"/>
    <col min="5399" max="5399" width="13.28515625" style="99" bestFit="1" customWidth="1"/>
    <col min="5400" max="5400" width="13.42578125" style="99" bestFit="1" customWidth="1"/>
    <col min="5401" max="5401" width="13" style="99" customWidth="1"/>
    <col min="5402" max="5402" width="11.5703125" style="99" customWidth="1"/>
    <col min="5403" max="5403" width="13.140625" style="99" customWidth="1"/>
    <col min="5404" max="5405" width="11.5703125" style="99" customWidth="1"/>
    <col min="5406" max="5406" width="12.42578125" style="99" customWidth="1"/>
    <col min="5407" max="5407" width="13.5703125" style="99" customWidth="1"/>
    <col min="5408" max="5408" width="13.140625" style="99" bestFit="1" customWidth="1"/>
    <col min="5409" max="5409" width="18.85546875" style="99" customWidth="1"/>
    <col min="5410" max="5411" width="14.140625" style="99" customWidth="1"/>
    <col min="5412" max="5412" width="13.85546875" style="99" customWidth="1"/>
    <col min="5413" max="5413" width="14.140625" style="99" customWidth="1"/>
    <col min="5414" max="5414" width="13.7109375" style="99" customWidth="1"/>
    <col min="5415" max="5415" width="17.140625" style="99" customWidth="1"/>
    <col min="5416" max="5416" width="15.42578125" style="99" customWidth="1"/>
    <col min="5417" max="5417" width="18" style="99" customWidth="1"/>
    <col min="5418" max="5418" width="13.7109375" style="99" bestFit="1" customWidth="1"/>
    <col min="5419" max="5419" width="14.140625" style="99" bestFit="1" customWidth="1"/>
    <col min="5420" max="5420" width="14" style="99" bestFit="1" customWidth="1"/>
    <col min="5421" max="5421" width="14.85546875" style="99" bestFit="1" customWidth="1"/>
    <col min="5422" max="5422" width="15.7109375" style="99" customWidth="1"/>
    <col min="5423" max="5423" width="5.85546875" style="99" customWidth="1"/>
    <col min="5424" max="5424" width="9.28515625" style="99" customWidth="1"/>
    <col min="5425" max="5425" width="14.85546875" style="99" customWidth="1"/>
    <col min="5426" max="5426" width="12.85546875" style="99" bestFit="1" customWidth="1"/>
    <col min="5427" max="5427" width="12.85546875" style="99" customWidth="1"/>
    <col min="5428" max="5445" width="8.85546875" style="99" customWidth="1"/>
    <col min="5446" max="5446" width="30.28515625" style="99" bestFit="1" customWidth="1"/>
    <col min="5447" max="5447" width="20.7109375" style="99" customWidth="1"/>
    <col min="5448" max="5448" width="13.42578125" style="99" customWidth="1"/>
    <col min="5449" max="5449" width="8.85546875" style="99" customWidth="1"/>
    <col min="5450" max="5450" width="11.7109375" style="99" bestFit="1" customWidth="1"/>
    <col min="5451" max="5618" width="8.85546875" style="99" customWidth="1"/>
    <col min="5619" max="5619" width="29.7109375" style="99" customWidth="1"/>
    <col min="5620" max="5622" width="14.28515625" style="99" customWidth="1"/>
    <col min="5623" max="5623" width="2.7109375" style="99" customWidth="1"/>
    <col min="5624" max="5627" width="14.28515625" style="99"/>
    <col min="5628" max="5628" width="9.28515625" style="99" bestFit="1" customWidth="1"/>
    <col min="5629" max="5629" width="48.140625" style="99" customWidth="1"/>
    <col min="5630" max="5630" width="15.85546875" style="99" bestFit="1" customWidth="1"/>
    <col min="5631" max="5631" width="14.85546875" style="99" bestFit="1" customWidth="1"/>
    <col min="5632" max="5632" width="14.7109375" style="99" bestFit="1" customWidth="1"/>
    <col min="5633" max="5633" width="2.7109375" style="99" customWidth="1"/>
    <col min="5634" max="5634" width="15.85546875" style="99" bestFit="1" customWidth="1"/>
    <col min="5635" max="5636" width="14.5703125" style="99" bestFit="1" customWidth="1"/>
    <col min="5637" max="5637" width="2.7109375" style="99" customWidth="1"/>
    <col min="5638" max="5638" width="15.7109375" style="99" bestFit="1" customWidth="1"/>
    <col min="5639" max="5639" width="13.7109375" style="99" bestFit="1" customWidth="1"/>
    <col min="5640" max="5640" width="13.42578125" style="99" bestFit="1" customWidth="1"/>
    <col min="5641" max="5651" width="10.5703125" style="99" bestFit="1" customWidth="1"/>
    <col min="5652" max="5652" width="13.5703125" style="99" customWidth="1"/>
    <col min="5653" max="5653" width="16.5703125" style="99" customWidth="1"/>
    <col min="5654" max="5654" width="14.42578125" style="99" customWidth="1"/>
    <col min="5655" max="5655" width="13.28515625" style="99" bestFit="1" customWidth="1"/>
    <col min="5656" max="5656" width="13.42578125" style="99" bestFit="1" customWidth="1"/>
    <col min="5657" max="5657" width="13" style="99" customWidth="1"/>
    <col min="5658" max="5658" width="11.5703125" style="99" customWidth="1"/>
    <col min="5659" max="5659" width="13.140625" style="99" customWidth="1"/>
    <col min="5660" max="5661" width="11.5703125" style="99" customWidth="1"/>
    <col min="5662" max="5662" width="12.42578125" style="99" customWidth="1"/>
    <col min="5663" max="5663" width="13.5703125" style="99" customWidth="1"/>
    <col min="5664" max="5664" width="13.140625" style="99" bestFit="1" customWidth="1"/>
    <col min="5665" max="5665" width="18.85546875" style="99" customWidth="1"/>
    <col min="5666" max="5667" width="14.140625" style="99" customWidth="1"/>
    <col min="5668" max="5668" width="13.85546875" style="99" customWidth="1"/>
    <col min="5669" max="5669" width="14.140625" style="99" customWidth="1"/>
    <col min="5670" max="5670" width="13.7109375" style="99" customWidth="1"/>
    <col min="5671" max="5671" width="17.140625" style="99" customWidth="1"/>
    <col min="5672" max="5672" width="15.42578125" style="99" customWidth="1"/>
    <col min="5673" max="5673" width="18" style="99" customWidth="1"/>
    <col min="5674" max="5674" width="13.7109375" style="99" bestFit="1" customWidth="1"/>
    <col min="5675" max="5675" width="14.140625" style="99" bestFit="1" customWidth="1"/>
    <col min="5676" max="5676" width="14" style="99" bestFit="1" customWidth="1"/>
    <col min="5677" max="5677" width="14.85546875" style="99" bestFit="1" customWidth="1"/>
    <col min="5678" max="5678" width="15.7109375" style="99" customWidth="1"/>
    <col min="5679" max="5679" width="5.85546875" style="99" customWidth="1"/>
    <col min="5680" max="5680" width="9.28515625" style="99" customWidth="1"/>
    <col min="5681" max="5681" width="14.85546875" style="99" customWidth="1"/>
    <col min="5682" max="5682" width="12.85546875" style="99" bestFit="1" customWidth="1"/>
    <col min="5683" max="5683" width="12.85546875" style="99" customWidth="1"/>
    <col min="5684" max="5701" width="8.85546875" style="99" customWidth="1"/>
    <col min="5702" max="5702" width="30.28515625" style="99" bestFit="1" customWidth="1"/>
    <col min="5703" max="5703" width="20.7109375" style="99" customWidth="1"/>
    <col min="5704" max="5704" width="13.42578125" style="99" customWidth="1"/>
    <col min="5705" max="5705" width="8.85546875" style="99" customWidth="1"/>
    <col min="5706" max="5706" width="11.7109375" style="99" bestFit="1" customWidth="1"/>
    <col min="5707" max="5874" width="8.85546875" style="99" customWidth="1"/>
    <col min="5875" max="5875" width="29.7109375" style="99" customWidth="1"/>
    <col min="5876" max="5878" width="14.28515625" style="99" customWidth="1"/>
    <col min="5879" max="5879" width="2.7109375" style="99" customWidth="1"/>
    <col min="5880" max="5883" width="14.28515625" style="99"/>
    <col min="5884" max="5884" width="9.28515625" style="99" bestFit="1" customWidth="1"/>
    <col min="5885" max="5885" width="48.140625" style="99" customWidth="1"/>
    <col min="5886" max="5886" width="15.85546875" style="99" bestFit="1" customWidth="1"/>
    <col min="5887" max="5887" width="14.85546875" style="99" bestFit="1" customWidth="1"/>
    <col min="5888" max="5888" width="14.7109375" style="99" bestFit="1" customWidth="1"/>
    <col min="5889" max="5889" width="2.7109375" style="99" customWidth="1"/>
    <col min="5890" max="5890" width="15.85546875" style="99" bestFit="1" customWidth="1"/>
    <col min="5891" max="5892" width="14.5703125" style="99" bestFit="1" customWidth="1"/>
    <col min="5893" max="5893" width="2.7109375" style="99" customWidth="1"/>
    <col min="5894" max="5894" width="15.7109375" style="99" bestFit="1" customWidth="1"/>
    <col min="5895" max="5895" width="13.7109375" style="99" bestFit="1" customWidth="1"/>
    <col min="5896" max="5896" width="13.42578125" style="99" bestFit="1" customWidth="1"/>
    <col min="5897" max="5907" width="10.5703125" style="99" bestFit="1" customWidth="1"/>
    <col min="5908" max="5908" width="13.5703125" style="99" customWidth="1"/>
    <col min="5909" max="5909" width="16.5703125" style="99" customWidth="1"/>
    <col min="5910" max="5910" width="14.42578125" style="99" customWidth="1"/>
    <col min="5911" max="5911" width="13.28515625" style="99" bestFit="1" customWidth="1"/>
    <col min="5912" max="5912" width="13.42578125" style="99" bestFit="1" customWidth="1"/>
    <col min="5913" max="5913" width="13" style="99" customWidth="1"/>
    <col min="5914" max="5914" width="11.5703125" style="99" customWidth="1"/>
    <col min="5915" max="5915" width="13.140625" style="99" customWidth="1"/>
    <col min="5916" max="5917" width="11.5703125" style="99" customWidth="1"/>
    <col min="5918" max="5918" width="12.42578125" style="99" customWidth="1"/>
    <col min="5919" max="5919" width="13.5703125" style="99" customWidth="1"/>
    <col min="5920" max="5920" width="13.140625" style="99" bestFit="1" customWidth="1"/>
    <col min="5921" max="5921" width="18.85546875" style="99" customWidth="1"/>
    <col min="5922" max="5923" width="14.140625" style="99" customWidth="1"/>
    <col min="5924" max="5924" width="13.85546875" style="99" customWidth="1"/>
    <col min="5925" max="5925" width="14.140625" style="99" customWidth="1"/>
    <col min="5926" max="5926" width="13.7109375" style="99" customWidth="1"/>
    <col min="5927" max="5927" width="17.140625" style="99" customWidth="1"/>
    <col min="5928" max="5928" width="15.42578125" style="99" customWidth="1"/>
    <col min="5929" max="5929" width="18" style="99" customWidth="1"/>
    <col min="5930" max="5930" width="13.7109375" style="99" bestFit="1" customWidth="1"/>
    <col min="5931" max="5931" width="14.140625" style="99" bestFit="1" customWidth="1"/>
    <col min="5932" max="5932" width="14" style="99" bestFit="1" customWidth="1"/>
    <col min="5933" max="5933" width="14.85546875" style="99" bestFit="1" customWidth="1"/>
    <col min="5934" max="5934" width="15.7109375" style="99" customWidth="1"/>
    <col min="5935" max="5935" width="5.85546875" style="99" customWidth="1"/>
    <col min="5936" max="5936" width="9.28515625" style="99" customWidth="1"/>
    <col min="5937" max="5937" width="14.85546875" style="99" customWidth="1"/>
    <col min="5938" max="5938" width="12.85546875" style="99" bestFit="1" customWidth="1"/>
    <col min="5939" max="5939" width="12.85546875" style="99" customWidth="1"/>
    <col min="5940" max="5957" width="8.85546875" style="99" customWidth="1"/>
    <col min="5958" max="5958" width="30.28515625" style="99" bestFit="1" customWidth="1"/>
    <col min="5959" max="5959" width="20.7109375" style="99" customWidth="1"/>
    <col min="5960" max="5960" width="13.42578125" style="99" customWidth="1"/>
    <col min="5961" max="5961" width="8.85546875" style="99" customWidth="1"/>
    <col min="5962" max="5962" width="11.7109375" style="99" bestFit="1" customWidth="1"/>
    <col min="5963" max="6130" width="8.85546875" style="99" customWidth="1"/>
    <col min="6131" max="6131" width="29.7109375" style="99" customWidth="1"/>
    <col min="6132" max="6134" width="14.28515625" style="99" customWidth="1"/>
    <col min="6135" max="6135" width="2.7109375" style="99" customWidth="1"/>
    <col min="6136" max="6139" width="14.28515625" style="99"/>
    <col min="6140" max="6140" width="9.28515625" style="99" bestFit="1" customWidth="1"/>
    <col min="6141" max="6141" width="48.140625" style="99" customWidth="1"/>
    <col min="6142" max="6142" width="15.85546875" style="99" bestFit="1" customWidth="1"/>
    <col min="6143" max="6143" width="14.85546875" style="99" bestFit="1" customWidth="1"/>
    <col min="6144" max="6144" width="14.7109375" style="99" bestFit="1" customWidth="1"/>
    <col min="6145" max="6145" width="2.7109375" style="99" customWidth="1"/>
    <col min="6146" max="6146" width="15.85546875" style="99" bestFit="1" customWidth="1"/>
    <col min="6147" max="6148" width="14.5703125" style="99" bestFit="1" customWidth="1"/>
    <col min="6149" max="6149" width="2.7109375" style="99" customWidth="1"/>
    <col min="6150" max="6150" width="15.7109375" style="99" bestFit="1" customWidth="1"/>
    <col min="6151" max="6151" width="13.7109375" style="99" bestFit="1" customWidth="1"/>
    <col min="6152" max="6152" width="13.42578125" style="99" bestFit="1" customWidth="1"/>
    <col min="6153" max="6163" width="10.5703125" style="99" bestFit="1" customWidth="1"/>
    <col min="6164" max="6164" width="13.5703125" style="99" customWidth="1"/>
    <col min="6165" max="6165" width="16.5703125" style="99" customWidth="1"/>
    <col min="6166" max="6166" width="14.42578125" style="99" customWidth="1"/>
    <col min="6167" max="6167" width="13.28515625" style="99" bestFit="1" customWidth="1"/>
    <col min="6168" max="6168" width="13.42578125" style="99" bestFit="1" customWidth="1"/>
    <col min="6169" max="6169" width="13" style="99" customWidth="1"/>
    <col min="6170" max="6170" width="11.5703125" style="99" customWidth="1"/>
    <col min="6171" max="6171" width="13.140625" style="99" customWidth="1"/>
    <col min="6172" max="6173" width="11.5703125" style="99" customWidth="1"/>
    <col min="6174" max="6174" width="12.42578125" style="99" customWidth="1"/>
    <col min="6175" max="6175" width="13.5703125" style="99" customWidth="1"/>
    <col min="6176" max="6176" width="13.140625" style="99" bestFit="1" customWidth="1"/>
    <col min="6177" max="6177" width="18.85546875" style="99" customWidth="1"/>
    <col min="6178" max="6179" width="14.140625" style="99" customWidth="1"/>
    <col min="6180" max="6180" width="13.85546875" style="99" customWidth="1"/>
    <col min="6181" max="6181" width="14.140625" style="99" customWidth="1"/>
    <col min="6182" max="6182" width="13.7109375" style="99" customWidth="1"/>
    <col min="6183" max="6183" width="17.140625" style="99" customWidth="1"/>
    <col min="6184" max="6184" width="15.42578125" style="99" customWidth="1"/>
    <col min="6185" max="6185" width="18" style="99" customWidth="1"/>
    <col min="6186" max="6186" width="13.7109375" style="99" bestFit="1" customWidth="1"/>
    <col min="6187" max="6187" width="14.140625" style="99" bestFit="1" customWidth="1"/>
    <col min="6188" max="6188" width="14" style="99" bestFit="1" customWidth="1"/>
    <col min="6189" max="6189" width="14.85546875" style="99" bestFit="1" customWidth="1"/>
    <col min="6190" max="6190" width="15.7109375" style="99" customWidth="1"/>
    <col min="6191" max="6191" width="5.85546875" style="99" customWidth="1"/>
    <col min="6192" max="6192" width="9.28515625" style="99" customWidth="1"/>
    <col min="6193" max="6193" width="14.85546875" style="99" customWidth="1"/>
    <col min="6194" max="6194" width="12.85546875" style="99" bestFit="1" customWidth="1"/>
    <col min="6195" max="6195" width="12.85546875" style="99" customWidth="1"/>
    <col min="6196" max="6213" width="8.85546875" style="99" customWidth="1"/>
    <col min="6214" max="6214" width="30.28515625" style="99" bestFit="1" customWidth="1"/>
    <col min="6215" max="6215" width="20.7109375" style="99" customWidth="1"/>
    <col min="6216" max="6216" width="13.42578125" style="99" customWidth="1"/>
    <col min="6217" max="6217" width="8.85546875" style="99" customWidth="1"/>
    <col min="6218" max="6218" width="11.7109375" style="99" bestFit="1" customWidth="1"/>
    <col min="6219" max="6386" width="8.85546875" style="99" customWidth="1"/>
    <col min="6387" max="6387" width="29.7109375" style="99" customWidth="1"/>
    <col min="6388" max="6390" width="14.28515625" style="99" customWidth="1"/>
    <col min="6391" max="6391" width="2.7109375" style="99" customWidth="1"/>
    <col min="6392" max="6395" width="14.28515625" style="99"/>
    <col min="6396" max="6396" width="9.28515625" style="99" bestFit="1" customWidth="1"/>
    <col min="6397" max="6397" width="48.140625" style="99" customWidth="1"/>
    <col min="6398" max="6398" width="15.85546875" style="99" bestFit="1" customWidth="1"/>
    <col min="6399" max="6399" width="14.85546875" style="99" bestFit="1" customWidth="1"/>
    <col min="6400" max="6400" width="14.7109375" style="99" bestFit="1" customWidth="1"/>
    <col min="6401" max="6401" width="2.7109375" style="99" customWidth="1"/>
    <col min="6402" max="6402" width="15.85546875" style="99" bestFit="1" customWidth="1"/>
    <col min="6403" max="6404" width="14.5703125" style="99" bestFit="1" customWidth="1"/>
    <col min="6405" max="6405" width="2.7109375" style="99" customWidth="1"/>
    <col min="6406" max="6406" width="15.7109375" style="99" bestFit="1" customWidth="1"/>
    <col min="6407" max="6407" width="13.7109375" style="99" bestFit="1" customWidth="1"/>
    <col min="6408" max="6408" width="13.42578125" style="99" bestFit="1" customWidth="1"/>
    <col min="6409" max="6419" width="10.5703125" style="99" bestFit="1" customWidth="1"/>
    <col min="6420" max="6420" width="13.5703125" style="99" customWidth="1"/>
    <col min="6421" max="6421" width="16.5703125" style="99" customWidth="1"/>
    <col min="6422" max="6422" width="14.42578125" style="99" customWidth="1"/>
    <col min="6423" max="6423" width="13.28515625" style="99" bestFit="1" customWidth="1"/>
    <col min="6424" max="6424" width="13.42578125" style="99" bestFit="1" customWidth="1"/>
    <col min="6425" max="6425" width="13" style="99" customWidth="1"/>
    <col min="6426" max="6426" width="11.5703125" style="99" customWidth="1"/>
    <col min="6427" max="6427" width="13.140625" style="99" customWidth="1"/>
    <col min="6428" max="6429" width="11.5703125" style="99" customWidth="1"/>
    <col min="6430" max="6430" width="12.42578125" style="99" customWidth="1"/>
    <col min="6431" max="6431" width="13.5703125" style="99" customWidth="1"/>
    <col min="6432" max="6432" width="13.140625" style="99" bestFit="1" customWidth="1"/>
    <col min="6433" max="6433" width="18.85546875" style="99" customWidth="1"/>
    <col min="6434" max="6435" width="14.140625" style="99" customWidth="1"/>
    <col min="6436" max="6436" width="13.85546875" style="99" customWidth="1"/>
    <col min="6437" max="6437" width="14.140625" style="99" customWidth="1"/>
    <col min="6438" max="6438" width="13.7109375" style="99" customWidth="1"/>
    <col min="6439" max="6439" width="17.140625" style="99" customWidth="1"/>
    <col min="6440" max="6440" width="15.42578125" style="99" customWidth="1"/>
    <col min="6441" max="6441" width="18" style="99" customWidth="1"/>
    <col min="6442" max="6442" width="13.7109375" style="99" bestFit="1" customWidth="1"/>
    <col min="6443" max="6443" width="14.140625" style="99" bestFit="1" customWidth="1"/>
    <col min="6444" max="6444" width="14" style="99" bestFit="1" customWidth="1"/>
    <col min="6445" max="6445" width="14.85546875" style="99" bestFit="1" customWidth="1"/>
    <col min="6446" max="6446" width="15.7109375" style="99" customWidth="1"/>
    <col min="6447" max="6447" width="5.85546875" style="99" customWidth="1"/>
    <col min="6448" max="6448" width="9.28515625" style="99" customWidth="1"/>
    <col min="6449" max="6449" width="14.85546875" style="99" customWidth="1"/>
    <col min="6450" max="6450" width="12.85546875" style="99" bestFit="1" customWidth="1"/>
    <col min="6451" max="6451" width="12.85546875" style="99" customWidth="1"/>
    <col min="6452" max="6469" width="8.85546875" style="99" customWidth="1"/>
    <col min="6470" max="6470" width="30.28515625" style="99" bestFit="1" customWidth="1"/>
    <col min="6471" max="6471" width="20.7109375" style="99" customWidth="1"/>
    <col min="6472" max="6472" width="13.42578125" style="99" customWidth="1"/>
    <col min="6473" max="6473" width="8.85546875" style="99" customWidth="1"/>
    <col min="6474" max="6474" width="11.7109375" style="99" bestFit="1" customWidth="1"/>
    <col min="6475" max="6642" width="8.85546875" style="99" customWidth="1"/>
    <col min="6643" max="6643" width="29.7109375" style="99" customWidth="1"/>
    <col min="6644" max="6646" width="14.28515625" style="99" customWidth="1"/>
    <col min="6647" max="6647" width="2.7109375" style="99" customWidth="1"/>
    <col min="6648" max="6651" width="14.28515625" style="99"/>
    <col min="6652" max="6652" width="9.28515625" style="99" bestFit="1" customWidth="1"/>
    <col min="6653" max="6653" width="48.140625" style="99" customWidth="1"/>
    <col min="6654" max="6654" width="15.85546875" style="99" bestFit="1" customWidth="1"/>
    <col min="6655" max="6655" width="14.85546875" style="99" bestFit="1" customWidth="1"/>
    <col min="6656" max="6656" width="14.7109375" style="99" bestFit="1" customWidth="1"/>
    <col min="6657" max="6657" width="2.7109375" style="99" customWidth="1"/>
    <col min="6658" max="6658" width="15.85546875" style="99" bestFit="1" customWidth="1"/>
    <col min="6659" max="6660" width="14.5703125" style="99" bestFit="1" customWidth="1"/>
    <col min="6661" max="6661" width="2.7109375" style="99" customWidth="1"/>
    <col min="6662" max="6662" width="15.7109375" style="99" bestFit="1" customWidth="1"/>
    <col min="6663" max="6663" width="13.7109375" style="99" bestFit="1" customWidth="1"/>
    <col min="6664" max="6664" width="13.42578125" style="99" bestFit="1" customWidth="1"/>
    <col min="6665" max="6675" width="10.5703125" style="99" bestFit="1" customWidth="1"/>
    <col min="6676" max="6676" width="13.5703125" style="99" customWidth="1"/>
    <col min="6677" max="6677" width="16.5703125" style="99" customWidth="1"/>
    <col min="6678" max="6678" width="14.42578125" style="99" customWidth="1"/>
    <col min="6679" max="6679" width="13.28515625" style="99" bestFit="1" customWidth="1"/>
    <col min="6680" max="6680" width="13.42578125" style="99" bestFit="1" customWidth="1"/>
    <col min="6681" max="6681" width="13" style="99" customWidth="1"/>
    <col min="6682" max="6682" width="11.5703125" style="99" customWidth="1"/>
    <col min="6683" max="6683" width="13.140625" style="99" customWidth="1"/>
    <col min="6684" max="6685" width="11.5703125" style="99" customWidth="1"/>
    <col min="6686" max="6686" width="12.42578125" style="99" customWidth="1"/>
    <col min="6687" max="6687" width="13.5703125" style="99" customWidth="1"/>
    <col min="6688" max="6688" width="13.140625" style="99" bestFit="1" customWidth="1"/>
    <col min="6689" max="6689" width="18.85546875" style="99" customWidth="1"/>
    <col min="6690" max="6691" width="14.140625" style="99" customWidth="1"/>
    <col min="6692" max="6692" width="13.85546875" style="99" customWidth="1"/>
    <col min="6693" max="6693" width="14.140625" style="99" customWidth="1"/>
    <col min="6694" max="6694" width="13.7109375" style="99" customWidth="1"/>
    <col min="6695" max="6695" width="17.140625" style="99" customWidth="1"/>
    <col min="6696" max="6696" width="15.42578125" style="99" customWidth="1"/>
    <col min="6697" max="6697" width="18" style="99" customWidth="1"/>
    <col min="6698" max="6698" width="13.7109375" style="99" bestFit="1" customWidth="1"/>
    <col min="6699" max="6699" width="14.140625" style="99" bestFit="1" customWidth="1"/>
    <col min="6700" max="6700" width="14" style="99" bestFit="1" customWidth="1"/>
    <col min="6701" max="6701" width="14.85546875" style="99" bestFit="1" customWidth="1"/>
    <col min="6702" max="6702" width="15.7109375" style="99" customWidth="1"/>
    <col min="6703" max="6703" width="5.85546875" style="99" customWidth="1"/>
    <col min="6704" max="6704" width="9.28515625" style="99" customWidth="1"/>
    <col min="6705" max="6705" width="14.85546875" style="99" customWidth="1"/>
    <col min="6706" max="6706" width="12.85546875" style="99" bestFit="1" customWidth="1"/>
    <col min="6707" max="6707" width="12.85546875" style="99" customWidth="1"/>
    <col min="6708" max="6725" width="8.85546875" style="99" customWidth="1"/>
    <col min="6726" max="6726" width="30.28515625" style="99" bestFit="1" customWidth="1"/>
    <col min="6727" max="6727" width="20.7109375" style="99" customWidth="1"/>
    <col min="6728" max="6728" width="13.42578125" style="99" customWidth="1"/>
    <col min="6729" max="6729" width="8.85546875" style="99" customWidth="1"/>
    <col min="6730" max="6730" width="11.7109375" style="99" bestFit="1" customWidth="1"/>
    <col min="6731" max="6898" width="8.85546875" style="99" customWidth="1"/>
    <col min="6899" max="6899" width="29.7109375" style="99" customWidth="1"/>
    <col min="6900" max="6902" width="14.28515625" style="99" customWidth="1"/>
    <col min="6903" max="6903" width="2.7109375" style="99" customWidth="1"/>
    <col min="6904" max="6907" width="14.28515625" style="99"/>
    <col min="6908" max="6908" width="9.28515625" style="99" bestFit="1" customWidth="1"/>
    <col min="6909" max="6909" width="48.140625" style="99" customWidth="1"/>
    <col min="6910" max="6910" width="15.85546875" style="99" bestFit="1" customWidth="1"/>
    <col min="6911" max="6911" width="14.85546875" style="99" bestFit="1" customWidth="1"/>
    <col min="6912" max="6912" width="14.7109375" style="99" bestFit="1" customWidth="1"/>
    <col min="6913" max="6913" width="2.7109375" style="99" customWidth="1"/>
    <col min="6914" max="6914" width="15.85546875" style="99" bestFit="1" customWidth="1"/>
    <col min="6915" max="6916" width="14.5703125" style="99" bestFit="1" customWidth="1"/>
    <col min="6917" max="6917" width="2.7109375" style="99" customWidth="1"/>
    <col min="6918" max="6918" width="15.7109375" style="99" bestFit="1" customWidth="1"/>
    <col min="6919" max="6919" width="13.7109375" style="99" bestFit="1" customWidth="1"/>
    <col min="6920" max="6920" width="13.42578125" style="99" bestFit="1" customWidth="1"/>
    <col min="6921" max="6931" width="10.5703125" style="99" bestFit="1" customWidth="1"/>
    <col min="6932" max="6932" width="13.5703125" style="99" customWidth="1"/>
    <col min="6933" max="6933" width="16.5703125" style="99" customWidth="1"/>
    <col min="6934" max="6934" width="14.42578125" style="99" customWidth="1"/>
    <col min="6935" max="6935" width="13.28515625" style="99" bestFit="1" customWidth="1"/>
    <col min="6936" max="6936" width="13.42578125" style="99" bestFit="1" customWidth="1"/>
    <col min="6937" max="6937" width="13" style="99" customWidth="1"/>
    <col min="6938" max="6938" width="11.5703125" style="99" customWidth="1"/>
    <col min="6939" max="6939" width="13.140625" style="99" customWidth="1"/>
    <col min="6940" max="6941" width="11.5703125" style="99" customWidth="1"/>
    <col min="6942" max="6942" width="12.42578125" style="99" customWidth="1"/>
    <col min="6943" max="6943" width="13.5703125" style="99" customWidth="1"/>
    <col min="6944" max="6944" width="13.140625" style="99" bestFit="1" customWidth="1"/>
    <col min="6945" max="6945" width="18.85546875" style="99" customWidth="1"/>
    <col min="6946" max="6947" width="14.140625" style="99" customWidth="1"/>
    <col min="6948" max="6948" width="13.85546875" style="99" customWidth="1"/>
    <col min="6949" max="6949" width="14.140625" style="99" customWidth="1"/>
    <col min="6950" max="6950" width="13.7109375" style="99" customWidth="1"/>
    <col min="6951" max="6951" width="17.140625" style="99" customWidth="1"/>
    <col min="6952" max="6952" width="15.42578125" style="99" customWidth="1"/>
    <col min="6953" max="6953" width="18" style="99" customWidth="1"/>
    <col min="6954" max="6954" width="13.7109375" style="99" bestFit="1" customWidth="1"/>
    <col min="6955" max="6955" width="14.140625" style="99" bestFit="1" customWidth="1"/>
    <col min="6956" max="6956" width="14" style="99" bestFit="1" customWidth="1"/>
    <col min="6957" max="6957" width="14.85546875" style="99" bestFit="1" customWidth="1"/>
    <col min="6958" max="6958" width="15.7109375" style="99" customWidth="1"/>
    <col min="6959" max="6959" width="5.85546875" style="99" customWidth="1"/>
    <col min="6960" max="6960" width="9.28515625" style="99" customWidth="1"/>
    <col min="6961" max="6961" width="14.85546875" style="99" customWidth="1"/>
    <col min="6962" max="6962" width="12.85546875" style="99" bestFit="1" customWidth="1"/>
    <col min="6963" max="6963" width="12.85546875" style="99" customWidth="1"/>
    <col min="6964" max="6981" width="8.85546875" style="99" customWidth="1"/>
    <col min="6982" max="6982" width="30.28515625" style="99" bestFit="1" customWidth="1"/>
    <col min="6983" max="6983" width="20.7109375" style="99" customWidth="1"/>
    <col min="6984" max="6984" width="13.42578125" style="99" customWidth="1"/>
    <col min="6985" max="6985" width="8.85546875" style="99" customWidth="1"/>
    <col min="6986" max="6986" width="11.7109375" style="99" bestFit="1" customWidth="1"/>
    <col min="6987" max="7154" width="8.85546875" style="99" customWidth="1"/>
    <col min="7155" max="7155" width="29.7109375" style="99" customWidth="1"/>
    <col min="7156" max="7158" width="14.28515625" style="99" customWidth="1"/>
    <col min="7159" max="7159" width="2.7109375" style="99" customWidth="1"/>
    <col min="7160" max="7163" width="14.28515625" style="99"/>
    <col min="7164" max="7164" width="9.28515625" style="99" bestFit="1" customWidth="1"/>
    <col min="7165" max="7165" width="48.140625" style="99" customWidth="1"/>
    <col min="7166" max="7166" width="15.85546875" style="99" bestFit="1" customWidth="1"/>
    <col min="7167" max="7167" width="14.85546875" style="99" bestFit="1" customWidth="1"/>
    <col min="7168" max="7168" width="14.7109375" style="99" bestFit="1" customWidth="1"/>
    <col min="7169" max="7169" width="2.7109375" style="99" customWidth="1"/>
    <col min="7170" max="7170" width="15.85546875" style="99" bestFit="1" customWidth="1"/>
    <col min="7171" max="7172" width="14.5703125" style="99" bestFit="1" customWidth="1"/>
    <col min="7173" max="7173" width="2.7109375" style="99" customWidth="1"/>
    <col min="7174" max="7174" width="15.7109375" style="99" bestFit="1" customWidth="1"/>
    <col min="7175" max="7175" width="13.7109375" style="99" bestFit="1" customWidth="1"/>
    <col min="7176" max="7176" width="13.42578125" style="99" bestFit="1" customWidth="1"/>
    <col min="7177" max="7187" width="10.5703125" style="99" bestFit="1" customWidth="1"/>
    <col min="7188" max="7188" width="13.5703125" style="99" customWidth="1"/>
    <col min="7189" max="7189" width="16.5703125" style="99" customWidth="1"/>
    <col min="7190" max="7190" width="14.42578125" style="99" customWidth="1"/>
    <col min="7191" max="7191" width="13.28515625" style="99" bestFit="1" customWidth="1"/>
    <col min="7192" max="7192" width="13.42578125" style="99" bestFit="1" customWidth="1"/>
    <col min="7193" max="7193" width="13" style="99" customWidth="1"/>
    <col min="7194" max="7194" width="11.5703125" style="99" customWidth="1"/>
    <col min="7195" max="7195" width="13.140625" style="99" customWidth="1"/>
    <col min="7196" max="7197" width="11.5703125" style="99" customWidth="1"/>
    <col min="7198" max="7198" width="12.42578125" style="99" customWidth="1"/>
    <col min="7199" max="7199" width="13.5703125" style="99" customWidth="1"/>
    <col min="7200" max="7200" width="13.140625" style="99" bestFit="1" customWidth="1"/>
    <col min="7201" max="7201" width="18.85546875" style="99" customWidth="1"/>
    <col min="7202" max="7203" width="14.140625" style="99" customWidth="1"/>
    <col min="7204" max="7204" width="13.85546875" style="99" customWidth="1"/>
    <col min="7205" max="7205" width="14.140625" style="99" customWidth="1"/>
    <col min="7206" max="7206" width="13.7109375" style="99" customWidth="1"/>
    <col min="7207" max="7207" width="17.140625" style="99" customWidth="1"/>
    <col min="7208" max="7208" width="15.42578125" style="99" customWidth="1"/>
    <col min="7209" max="7209" width="18" style="99" customWidth="1"/>
    <col min="7210" max="7210" width="13.7109375" style="99" bestFit="1" customWidth="1"/>
    <col min="7211" max="7211" width="14.140625" style="99" bestFit="1" customWidth="1"/>
    <col min="7212" max="7212" width="14" style="99" bestFit="1" customWidth="1"/>
    <col min="7213" max="7213" width="14.85546875" style="99" bestFit="1" customWidth="1"/>
    <col min="7214" max="7214" width="15.7109375" style="99" customWidth="1"/>
    <col min="7215" max="7215" width="5.85546875" style="99" customWidth="1"/>
    <col min="7216" max="7216" width="9.28515625" style="99" customWidth="1"/>
    <col min="7217" max="7217" width="14.85546875" style="99" customWidth="1"/>
    <col min="7218" max="7218" width="12.85546875" style="99" bestFit="1" customWidth="1"/>
    <col min="7219" max="7219" width="12.85546875" style="99" customWidth="1"/>
    <col min="7220" max="7237" width="8.85546875" style="99" customWidth="1"/>
    <col min="7238" max="7238" width="30.28515625" style="99" bestFit="1" customWidth="1"/>
    <col min="7239" max="7239" width="20.7109375" style="99" customWidth="1"/>
    <col min="7240" max="7240" width="13.42578125" style="99" customWidth="1"/>
    <col min="7241" max="7241" width="8.85546875" style="99" customWidth="1"/>
    <col min="7242" max="7242" width="11.7109375" style="99" bestFit="1" customWidth="1"/>
    <col min="7243" max="7410" width="8.85546875" style="99" customWidth="1"/>
    <col min="7411" max="7411" width="29.7109375" style="99" customWidth="1"/>
    <col min="7412" max="7414" width="14.28515625" style="99" customWidth="1"/>
    <col min="7415" max="7415" width="2.7109375" style="99" customWidth="1"/>
    <col min="7416" max="7419" width="14.28515625" style="99"/>
    <col min="7420" max="7420" width="9.28515625" style="99" bestFit="1" customWidth="1"/>
    <col min="7421" max="7421" width="48.140625" style="99" customWidth="1"/>
    <col min="7422" max="7422" width="15.85546875" style="99" bestFit="1" customWidth="1"/>
    <col min="7423" max="7423" width="14.85546875" style="99" bestFit="1" customWidth="1"/>
    <col min="7424" max="7424" width="14.7109375" style="99" bestFit="1" customWidth="1"/>
    <col min="7425" max="7425" width="2.7109375" style="99" customWidth="1"/>
    <col min="7426" max="7426" width="15.85546875" style="99" bestFit="1" customWidth="1"/>
    <col min="7427" max="7428" width="14.5703125" style="99" bestFit="1" customWidth="1"/>
    <col min="7429" max="7429" width="2.7109375" style="99" customWidth="1"/>
    <col min="7430" max="7430" width="15.7109375" style="99" bestFit="1" customWidth="1"/>
    <col min="7431" max="7431" width="13.7109375" style="99" bestFit="1" customWidth="1"/>
    <col min="7432" max="7432" width="13.42578125" style="99" bestFit="1" customWidth="1"/>
    <col min="7433" max="7443" width="10.5703125" style="99" bestFit="1" customWidth="1"/>
    <col min="7444" max="7444" width="13.5703125" style="99" customWidth="1"/>
    <col min="7445" max="7445" width="16.5703125" style="99" customWidth="1"/>
    <col min="7446" max="7446" width="14.42578125" style="99" customWidth="1"/>
    <col min="7447" max="7447" width="13.28515625" style="99" bestFit="1" customWidth="1"/>
    <col min="7448" max="7448" width="13.42578125" style="99" bestFit="1" customWidth="1"/>
    <col min="7449" max="7449" width="13" style="99" customWidth="1"/>
    <col min="7450" max="7450" width="11.5703125" style="99" customWidth="1"/>
    <col min="7451" max="7451" width="13.140625" style="99" customWidth="1"/>
    <col min="7452" max="7453" width="11.5703125" style="99" customWidth="1"/>
    <col min="7454" max="7454" width="12.42578125" style="99" customWidth="1"/>
    <col min="7455" max="7455" width="13.5703125" style="99" customWidth="1"/>
    <col min="7456" max="7456" width="13.140625" style="99" bestFit="1" customWidth="1"/>
    <col min="7457" max="7457" width="18.85546875" style="99" customWidth="1"/>
    <col min="7458" max="7459" width="14.140625" style="99" customWidth="1"/>
    <col min="7460" max="7460" width="13.85546875" style="99" customWidth="1"/>
    <col min="7461" max="7461" width="14.140625" style="99" customWidth="1"/>
    <col min="7462" max="7462" width="13.7109375" style="99" customWidth="1"/>
    <col min="7463" max="7463" width="17.140625" style="99" customWidth="1"/>
    <col min="7464" max="7464" width="15.42578125" style="99" customWidth="1"/>
    <col min="7465" max="7465" width="18" style="99" customWidth="1"/>
    <col min="7466" max="7466" width="13.7109375" style="99" bestFit="1" customWidth="1"/>
    <col min="7467" max="7467" width="14.140625" style="99" bestFit="1" customWidth="1"/>
    <col min="7468" max="7468" width="14" style="99" bestFit="1" customWidth="1"/>
    <col min="7469" max="7469" width="14.85546875" style="99" bestFit="1" customWidth="1"/>
    <col min="7470" max="7470" width="15.7109375" style="99" customWidth="1"/>
    <col min="7471" max="7471" width="5.85546875" style="99" customWidth="1"/>
    <col min="7472" max="7472" width="9.28515625" style="99" customWidth="1"/>
    <col min="7473" max="7473" width="14.85546875" style="99" customWidth="1"/>
    <col min="7474" max="7474" width="12.85546875" style="99" bestFit="1" customWidth="1"/>
    <col min="7475" max="7475" width="12.85546875" style="99" customWidth="1"/>
    <col min="7476" max="7493" width="8.85546875" style="99" customWidth="1"/>
    <col min="7494" max="7494" width="30.28515625" style="99" bestFit="1" customWidth="1"/>
    <col min="7495" max="7495" width="20.7109375" style="99" customWidth="1"/>
    <col min="7496" max="7496" width="13.42578125" style="99" customWidth="1"/>
    <col min="7497" max="7497" width="8.85546875" style="99" customWidth="1"/>
    <col min="7498" max="7498" width="11.7109375" style="99" bestFit="1" customWidth="1"/>
    <col min="7499" max="7666" width="8.85546875" style="99" customWidth="1"/>
    <col min="7667" max="7667" width="29.7109375" style="99" customWidth="1"/>
    <col min="7668" max="7670" width="14.28515625" style="99" customWidth="1"/>
    <col min="7671" max="7671" width="2.7109375" style="99" customWidth="1"/>
    <col min="7672" max="7675" width="14.28515625" style="99"/>
    <col min="7676" max="7676" width="9.28515625" style="99" bestFit="1" customWidth="1"/>
    <col min="7677" max="7677" width="48.140625" style="99" customWidth="1"/>
    <col min="7678" max="7678" width="15.85546875" style="99" bestFit="1" customWidth="1"/>
    <col min="7679" max="7679" width="14.85546875" style="99" bestFit="1" customWidth="1"/>
    <col min="7680" max="7680" width="14.7109375" style="99" bestFit="1" customWidth="1"/>
    <col min="7681" max="7681" width="2.7109375" style="99" customWidth="1"/>
    <col min="7682" max="7682" width="15.85546875" style="99" bestFit="1" customWidth="1"/>
    <col min="7683" max="7684" width="14.5703125" style="99" bestFit="1" customWidth="1"/>
    <col min="7685" max="7685" width="2.7109375" style="99" customWidth="1"/>
    <col min="7686" max="7686" width="15.7109375" style="99" bestFit="1" customWidth="1"/>
    <col min="7687" max="7687" width="13.7109375" style="99" bestFit="1" customWidth="1"/>
    <col min="7688" max="7688" width="13.42578125" style="99" bestFit="1" customWidth="1"/>
    <col min="7689" max="7699" width="10.5703125" style="99" bestFit="1" customWidth="1"/>
    <col min="7700" max="7700" width="13.5703125" style="99" customWidth="1"/>
    <col min="7701" max="7701" width="16.5703125" style="99" customWidth="1"/>
    <col min="7702" max="7702" width="14.42578125" style="99" customWidth="1"/>
    <col min="7703" max="7703" width="13.28515625" style="99" bestFit="1" customWidth="1"/>
    <col min="7704" max="7704" width="13.42578125" style="99" bestFit="1" customWidth="1"/>
    <col min="7705" max="7705" width="13" style="99" customWidth="1"/>
    <col min="7706" max="7706" width="11.5703125" style="99" customWidth="1"/>
    <col min="7707" max="7707" width="13.140625" style="99" customWidth="1"/>
    <col min="7708" max="7709" width="11.5703125" style="99" customWidth="1"/>
    <col min="7710" max="7710" width="12.42578125" style="99" customWidth="1"/>
    <col min="7711" max="7711" width="13.5703125" style="99" customWidth="1"/>
    <col min="7712" max="7712" width="13.140625" style="99" bestFit="1" customWidth="1"/>
    <col min="7713" max="7713" width="18.85546875" style="99" customWidth="1"/>
    <col min="7714" max="7715" width="14.140625" style="99" customWidth="1"/>
    <col min="7716" max="7716" width="13.85546875" style="99" customWidth="1"/>
    <col min="7717" max="7717" width="14.140625" style="99" customWidth="1"/>
    <col min="7718" max="7718" width="13.7109375" style="99" customWidth="1"/>
    <col min="7719" max="7719" width="17.140625" style="99" customWidth="1"/>
    <col min="7720" max="7720" width="15.42578125" style="99" customWidth="1"/>
    <col min="7721" max="7721" width="18" style="99" customWidth="1"/>
    <col min="7722" max="7722" width="13.7109375" style="99" bestFit="1" customWidth="1"/>
    <col min="7723" max="7723" width="14.140625" style="99" bestFit="1" customWidth="1"/>
    <col min="7724" max="7724" width="14" style="99" bestFit="1" customWidth="1"/>
    <col min="7725" max="7725" width="14.85546875" style="99" bestFit="1" customWidth="1"/>
    <col min="7726" max="7726" width="15.7109375" style="99" customWidth="1"/>
    <col min="7727" max="7727" width="5.85546875" style="99" customWidth="1"/>
    <col min="7728" max="7728" width="9.28515625" style="99" customWidth="1"/>
    <col min="7729" max="7729" width="14.85546875" style="99" customWidth="1"/>
    <col min="7730" max="7730" width="12.85546875" style="99" bestFit="1" customWidth="1"/>
    <col min="7731" max="7731" width="12.85546875" style="99" customWidth="1"/>
    <col min="7732" max="7749" width="8.85546875" style="99" customWidth="1"/>
    <col min="7750" max="7750" width="30.28515625" style="99" bestFit="1" customWidth="1"/>
    <col min="7751" max="7751" width="20.7109375" style="99" customWidth="1"/>
    <col min="7752" max="7752" width="13.42578125" style="99" customWidth="1"/>
    <col min="7753" max="7753" width="8.85546875" style="99" customWidth="1"/>
    <col min="7754" max="7754" width="11.7109375" style="99" bestFit="1" customWidth="1"/>
    <col min="7755" max="7922" width="8.85546875" style="99" customWidth="1"/>
    <col min="7923" max="7923" width="29.7109375" style="99" customWidth="1"/>
    <col min="7924" max="7926" width="14.28515625" style="99" customWidth="1"/>
    <col min="7927" max="7927" width="2.7109375" style="99" customWidth="1"/>
    <col min="7928" max="7931" width="14.28515625" style="99"/>
    <col min="7932" max="7932" width="9.28515625" style="99" bestFit="1" customWidth="1"/>
    <col min="7933" max="7933" width="48.140625" style="99" customWidth="1"/>
    <col min="7934" max="7934" width="15.85546875" style="99" bestFit="1" customWidth="1"/>
    <col min="7935" max="7935" width="14.85546875" style="99" bestFit="1" customWidth="1"/>
    <col min="7936" max="7936" width="14.7109375" style="99" bestFit="1" customWidth="1"/>
    <col min="7937" max="7937" width="2.7109375" style="99" customWidth="1"/>
    <col min="7938" max="7938" width="15.85546875" style="99" bestFit="1" customWidth="1"/>
    <col min="7939" max="7940" width="14.5703125" style="99" bestFit="1" customWidth="1"/>
    <col min="7941" max="7941" width="2.7109375" style="99" customWidth="1"/>
    <col min="7942" max="7942" width="15.7109375" style="99" bestFit="1" customWidth="1"/>
    <col min="7943" max="7943" width="13.7109375" style="99" bestFit="1" customWidth="1"/>
    <col min="7944" max="7944" width="13.42578125" style="99" bestFit="1" customWidth="1"/>
    <col min="7945" max="7955" width="10.5703125" style="99" bestFit="1" customWidth="1"/>
    <col min="7956" max="7956" width="13.5703125" style="99" customWidth="1"/>
    <col min="7957" max="7957" width="16.5703125" style="99" customWidth="1"/>
    <col min="7958" max="7958" width="14.42578125" style="99" customWidth="1"/>
    <col min="7959" max="7959" width="13.28515625" style="99" bestFit="1" customWidth="1"/>
    <col min="7960" max="7960" width="13.42578125" style="99" bestFit="1" customWidth="1"/>
    <col min="7961" max="7961" width="13" style="99" customWidth="1"/>
    <col min="7962" max="7962" width="11.5703125" style="99" customWidth="1"/>
    <col min="7963" max="7963" width="13.140625" style="99" customWidth="1"/>
    <col min="7964" max="7965" width="11.5703125" style="99" customWidth="1"/>
    <col min="7966" max="7966" width="12.42578125" style="99" customWidth="1"/>
    <col min="7967" max="7967" width="13.5703125" style="99" customWidth="1"/>
    <col min="7968" max="7968" width="13.140625" style="99" bestFit="1" customWidth="1"/>
    <col min="7969" max="7969" width="18.85546875" style="99" customWidth="1"/>
    <col min="7970" max="7971" width="14.140625" style="99" customWidth="1"/>
    <col min="7972" max="7972" width="13.85546875" style="99" customWidth="1"/>
    <col min="7973" max="7973" width="14.140625" style="99" customWidth="1"/>
    <col min="7974" max="7974" width="13.7109375" style="99" customWidth="1"/>
    <col min="7975" max="7975" width="17.140625" style="99" customWidth="1"/>
    <col min="7976" max="7976" width="15.42578125" style="99" customWidth="1"/>
    <col min="7977" max="7977" width="18" style="99" customWidth="1"/>
    <col min="7978" max="7978" width="13.7109375" style="99" bestFit="1" customWidth="1"/>
    <col min="7979" max="7979" width="14.140625" style="99" bestFit="1" customWidth="1"/>
    <col min="7980" max="7980" width="14" style="99" bestFit="1" customWidth="1"/>
    <col min="7981" max="7981" width="14.85546875" style="99" bestFit="1" customWidth="1"/>
    <col min="7982" max="7982" width="15.7109375" style="99" customWidth="1"/>
    <col min="7983" max="7983" width="5.85546875" style="99" customWidth="1"/>
    <col min="7984" max="7984" width="9.28515625" style="99" customWidth="1"/>
    <col min="7985" max="7985" width="14.85546875" style="99" customWidth="1"/>
    <col min="7986" max="7986" width="12.85546875" style="99" bestFit="1" customWidth="1"/>
    <col min="7987" max="7987" width="12.85546875" style="99" customWidth="1"/>
    <col min="7988" max="8005" width="8.85546875" style="99" customWidth="1"/>
    <col min="8006" max="8006" width="30.28515625" style="99" bestFit="1" customWidth="1"/>
    <col min="8007" max="8007" width="20.7109375" style="99" customWidth="1"/>
    <col min="8008" max="8008" width="13.42578125" style="99" customWidth="1"/>
    <col min="8009" max="8009" width="8.85546875" style="99" customWidth="1"/>
    <col min="8010" max="8010" width="11.7109375" style="99" bestFit="1" customWidth="1"/>
    <col min="8011" max="8178" width="8.85546875" style="99" customWidth="1"/>
    <col min="8179" max="8179" width="29.7109375" style="99" customWidth="1"/>
    <col min="8180" max="8182" width="14.28515625" style="99" customWidth="1"/>
    <col min="8183" max="8183" width="2.7109375" style="99" customWidth="1"/>
    <col min="8184" max="8187" width="14.28515625" style="99"/>
    <col min="8188" max="8188" width="9.28515625" style="99" bestFit="1" customWidth="1"/>
    <col min="8189" max="8189" width="48.140625" style="99" customWidth="1"/>
    <col min="8190" max="8190" width="15.85546875" style="99" bestFit="1" customWidth="1"/>
    <col min="8191" max="8191" width="14.85546875" style="99" bestFit="1" customWidth="1"/>
    <col min="8192" max="8192" width="14.7109375" style="99" bestFit="1" customWidth="1"/>
    <col min="8193" max="8193" width="2.7109375" style="99" customWidth="1"/>
    <col min="8194" max="8194" width="15.85546875" style="99" bestFit="1" customWidth="1"/>
    <col min="8195" max="8196" width="14.5703125" style="99" bestFit="1" customWidth="1"/>
    <col min="8197" max="8197" width="2.7109375" style="99" customWidth="1"/>
    <col min="8198" max="8198" width="15.7109375" style="99" bestFit="1" customWidth="1"/>
    <col min="8199" max="8199" width="13.7109375" style="99" bestFit="1" customWidth="1"/>
    <col min="8200" max="8200" width="13.42578125" style="99" bestFit="1" customWidth="1"/>
    <col min="8201" max="8211" width="10.5703125" style="99" bestFit="1" customWidth="1"/>
    <col min="8212" max="8212" width="13.5703125" style="99" customWidth="1"/>
    <col min="8213" max="8213" width="16.5703125" style="99" customWidth="1"/>
    <col min="8214" max="8214" width="14.42578125" style="99" customWidth="1"/>
    <col min="8215" max="8215" width="13.28515625" style="99" bestFit="1" customWidth="1"/>
    <col min="8216" max="8216" width="13.42578125" style="99" bestFit="1" customWidth="1"/>
    <col min="8217" max="8217" width="13" style="99" customWidth="1"/>
    <col min="8218" max="8218" width="11.5703125" style="99" customWidth="1"/>
    <col min="8219" max="8219" width="13.140625" style="99" customWidth="1"/>
    <col min="8220" max="8221" width="11.5703125" style="99" customWidth="1"/>
    <col min="8222" max="8222" width="12.42578125" style="99" customWidth="1"/>
    <col min="8223" max="8223" width="13.5703125" style="99" customWidth="1"/>
    <col min="8224" max="8224" width="13.140625" style="99" bestFit="1" customWidth="1"/>
    <col min="8225" max="8225" width="18.85546875" style="99" customWidth="1"/>
    <col min="8226" max="8227" width="14.140625" style="99" customWidth="1"/>
    <col min="8228" max="8228" width="13.85546875" style="99" customWidth="1"/>
    <col min="8229" max="8229" width="14.140625" style="99" customWidth="1"/>
    <col min="8230" max="8230" width="13.7109375" style="99" customWidth="1"/>
    <col min="8231" max="8231" width="17.140625" style="99" customWidth="1"/>
    <col min="8232" max="8232" width="15.42578125" style="99" customWidth="1"/>
    <col min="8233" max="8233" width="18" style="99" customWidth="1"/>
    <col min="8234" max="8234" width="13.7109375" style="99" bestFit="1" customWidth="1"/>
    <col min="8235" max="8235" width="14.140625" style="99" bestFit="1" customWidth="1"/>
    <col min="8236" max="8236" width="14" style="99" bestFit="1" customWidth="1"/>
    <col min="8237" max="8237" width="14.85546875" style="99" bestFit="1" customWidth="1"/>
    <col min="8238" max="8238" width="15.7109375" style="99" customWidth="1"/>
    <col min="8239" max="8239" width="5.85546875" style="99" customWidth="1"/>
    <col min="8240" max="8240" width="9.28515625" style="99" customWidth="1"/>
    <col min="8241" max="8241" width="14.85546875" style="99" customWidth="1"/>
    <col min="8242" max="8242" width="12.85546875" style="99" bestFit="1" customWidth="1"/>
    <col min="8243" max="8243" width="12.85546875" style="99" customWidth="1"/>
    <col min="8244" max="8261" width="8.85546875" style="99" customWidth="1"/>
    <col min="8262" max="8262" width="30.28515625" style="99" bestFit="1" customWidth="1"/>
    <col min="8263" max="8263" width="20.7109375" style="99" customWidth="1"/>
    <col min="8264" max="8264" width="13.42578125" style="99" customWidth="1"/>
    <col min="8265" max="8265" width="8.85546875" style="99" customWidth="1"/>
    <col min="8266" max="8266" width="11.7109375" style="99" bestFit="1" customWidth="1"/>
    <col min="8267" max="8434" width="8.85546875" style="99" customWidth="1"/>
    <col min="8435" max="8435" width="29.7109375" style="99" customWidth="1"/>
    <col min="8436" max="8438" width="14.28515625" style="99" customWidth="1"/>
    <col min="8439" max="8439" width="2.7109375" style="99" customWidth="1"/>
    <col min="8440" max="8443" width="14.28515625" style="99"/>
    <col min="8444" max="8444" width="9.28515625" style="99" bestFit="1" customWidth="1"/>
    <col min="8445" max="8445" width="48.140625" style="99" customWidth="1"/>
    <col min="8446" max="8446" width="15.85546875" style="99" bestFit="1" customWidth="1"/>
    <col min="8447" max="8447" width="14.85546875" style="99" bestFit="1" customWidth="1"/>
    <col min="8448" max="8448" width="14.7109375" style="99" bestFit="1" customWidth="1"/>
    <col min="8449" max="8449" width="2.7109375" style="99" customWidth="1"/>
    <col min="8450" max="8450" width="15.85546875" style="99" bestFit="1" customWidth="1"/>
    <col min="8451" max="8452" width="14.5703125" style="99" bestFit="1" customWidth="1"/>
    <col min="8453" max="8453" width="2.7109375" style="99" customWidth="1"/>
    <col min="8454" max="8454" width="15.7109375" style="99" bestFit="1" customWidth="1"/>
    <col min="8455" max="8455" width="13.7109375" style="99" bestFit="1" customWidth="1"/>
    <col min="8456" max="8456" width="13.42578125" style="99" bestFit="1" customWidth="1"/>
    <col min="8457" max="8467" width="10.5703125" style="99" bestFit="1" customWidth="1"/>
    <col min="8468" max="8468" width="13.5703125" style="99" customWidth="1"/>
    <col min="8469" max="8469" width="16.5703125" style="99" customWidth="1"/>
    <col min="8470" max="8470" width="14.42578125" style="99" customWidth="1"/>
    <col min="8471" max="8471" width="13.28515625" style="99" bestFit="1" customWidth="1"/>
    <col min="8472" max="8472" width="13.42578125" style="99" bestFit="1" customWidth="1"/>
    <col min="8473" max="8473" width="13" style="99" customWidth="1"/>
    <col min="8474" max="8474" width="11.5703125" style="99" customWidth="1"/>
    <col min="8475" max="8475" width="13.140625" style="99" customWidth="1"/>
    <col min="8476" max="8477" width="11.5703125" style="99" customWidth="1"/>
    <col min="8478" max="8478" width="12.42578125" style="99" customWidth="1"/>
    <col min="8479" max="8479" width="13.5703125" style="99" customWidth="1"/>
    <col min="8480" max="8480" width="13.140625" style="99" bestFit="1" customWidth="1"/>
    <col min="8481" max="8481" width="18.85546875" style="99" customWidth="1"/>
    <col min="8482" max="8483" width="14.140625" style="99" customWidth="1"/>
    <col min="8484" max="8484" width="13.85546875" style="99" customWidth="1"/>
    <col min="8485" max="8485" width="14.140625" style="99" customWidth="1"/>
    <col min="8486" max="8486" width="13.7109375" style="99" customWidth="1"/>
    <col min="8487" max="8487" width="17.140625" style="99" customWidth="1"/>
    <col min="8488" max="8488" width="15.42578125" style="99" customWidth="1"/>
    <col min="8489" max="8489" width="18" style="99" customWidth="1"/>
    <col min="8490" max="8490" width="13.7109375" style="99" bestFit="1" customWidth="1"/>
    <col min="8491" max="8491" width="14.140625" style="99" bestFit="1" customWidth="1"/>
    <col min="8492" max="8492" width="14" style="99" bestFit="1" customWidth="1"/>
    <col min="8493" max="8493" width="14.85546875" style="99" bestFit="1" customWidth="1"/>
    <col min="8494" max="8494" width="15.7109375" style="99" customWidth="1"/>
    <col min="8495" max="8495" width="5.85546875" style="99" customWidth="1"/>
    <col min="8496" max="8496" width="9.28515625" style="99" customWidth="1"/>
    <col min="8497" max="8497" width="14.85546875" style="99" customWidth="1"/>
    <col min="8498" max="8498" width="12.85546875" style="99" bestFit="1" customWidth="1"/>
    <col min="8499" max="8499" width="12.85546875" style="99" customWidth="1"/>
    <col min="8500" max="8517" width="8.85546875" style="99" customWidth="1"/>
    <col min="8518" max="8518" width="30.28515625" style="99" bestFit="1" customWidth="1"/>
    <col min="8519" max="8519" width="20.7109375" style="99" customWidth="1"/>
    <col min="8520" max="8520" width="13.42578125" style="99" customWidth="1"/>
    <col min="8521" max="8521" width="8.85546875" style="99" customWidth="1"/>
    <col min="8522" max="8522" width="11.7109375" style="99" bestFit="1" customWidth="1"/>
    <col min="8523" max="8690" width="8.85546875" style="99" customWidth="1"/>
    <col min="8691" max="8691" width="29.7109375" style="99" customWidth="1"/>
    <col min="8692" max="8694" width="14.28515625" style="99" customWidth="1"/>
    <col min="8695" max="8695" width="2.7109375" style="99" customWidth="1"/>
    <col min="8696" max="8699" width="14.28515625" style="99"/>
    <col min="8700" max="8700" width="9.28515625" style="99" bestFit="1" customWidth="1"/>
    <col min="8701" max="8701" width="48.140625" style="99" customWidth="1"/>
    <col min="8702" max="8702" width="15.85546875" style="99" bestFit="1" customWidth="1"/>
    <col min="8703" max="8703" width="14.85546875" style="99" bestFit="1" customWidth="1"/>
    <col min="8704" max="8704" width="14.7109375" style="99" bestFit="1" customWidth="1"/>
    <col min="8705" max="8705" width="2.7109375" style="99" customWidth="1"/>
    <col min="8706" max="8706" width="15.85546875" style="99" bestFit="1" customWidth="1"/>
    <col min="8707" max="8708" width="14.5703125" style="99" bestFit="1" customWidth="1"/>
    <col min="8709" max="8709" width="2.7109375" style="99" customWidth="1"/>
    <col min="8710" max="8710" width="15.7109375" style="99" bestFit="1" customWidth="1"/>
    <col min="8711" max="8711" width="13.7109375" style="99" bestFit="1" customWidth="1"/>
    <col min="8712" max="8712" width="13.42578125" style="99" bestFit="1" customWidth="1"/>
    <col min="8713" max="8723" width="10.5703125" style="99" bestFit="1" customWidth="1"/>
    <col min="8724" max="8724" width="13.5703125" style="99" customWidth="1"/>
    <col min="8725" max="8725" width="16.5703125" style="99" customWidth="1"/>
    <col min="8726" max="8726" width="14.42578125" style="99" customWidth="1"/>
    <col min="8727" max="8727" width="13.28515625" style="99" bestFit="1" customWidth="1"/>
    <col min="8728" max="8728" width="13.42578125" style="99" bestFit="1" customWidth="1"/>
    <col min="8729" max="8729" width="13" style="99" customWidth="1"/>
    <col min="8730" max="8730" width="11.5703125" style="99" customWidth="1"/>
    <col min="8731" max="8731" width="13.140625" style="99" customWidth="1"/>
    <col min="8732" max="8733" width="11.5703125" style="99" customWidth="1"/>
    <col min="8734" max="8734" width="12.42578125" style="99" customWidth="1"/>
    <col min="8735" max="8735" width="13.5703125" style="99" customWidth="1"/>
    <col min="8736" max="8736" width="13.140625" style="99" bestFit="1" customWidth="1"/>
    <col min="8737" max="8737" width="18.85546875" style="99" customWidth="1"/>
    <col min="8738" max="8739" width="14.140625" style="99" customWidth="1"/>
    <col min="8740" max="8740" width="13.85546875" style="99" customWidth="1"/>
    <col min="8741" max="8741" width="14.140625" style="99" customWidth="1"/>
    <col min="8742" max="8742" width="13.7109375" style="99" customWidth="1"/>
    <col min="8743" max="8743" width="17.140625" style="99" customWidth="1"/>
    <col min="8744" max="8744" width="15.42578125" style="99" customWidth="1"/>
    <col min="8745" max="8745" width="18" style="99" customWidth="1"/>
    <col min="8746" max="8746" width="13.7109375" style="99" bestFit="1" customWidth="1"/>
    <col min="8747" max="8747" width="14.140625" style="99" bestFit="1" customWidth="1"/>
    <col min="8748" max="8748" width="14" style="99" bestFit="1" customWidth="1"/>
    <col min="8749" max="8749" width="14.85546875" style="99" bestFit="1" customWidth="1"/>
    <col min="8750" max="8750" width="15.7109375" style="99" customWidth="1"/>
    <col min="8751" max="8751" width="5.85546875" style="99" customWidth="1"/>
    <col min="8752" max="8752" width="9.28515625" style="99" customWidth="1"/>
    <col min="8753" max="8753" width="14.85546875" style="99" customWidth="1"/>
    <col min="8754" max="8754" width="12.85546875" style="99" bestFit="1" customWidth="1"/>
    <col min="8755" max="8755" width="12.85546875" style="99" customWidth="1"/>
    <col min="8756" max="8773" width="8.85546875" style="99" customWidth="1"/>
    <col min="8774" max="8774" width="30.28515625" style="99" bestFit="1" customWidth="1"/>
    <col min="8775" max="8775" width="20.7109375" style="99" customWidth="1"/>
    <col min="8776" max="8776" width="13.42578125" style="99" customWidth="1"/>
    <col min="8777" max="8777" width="8.85546875" style="99" customWidth="1"/>
    <col min="8778" max="8778" width="11.7109375" style="99" bestFit="1" customWidth="1"/>
    <col min="8779" max="8946" width="8.85546875" style="99" customWidth="1"/>
    <col min="8947" max="8947" width="29.7109375" style="99" customWidth="1"/>
    <col min="8948" max="8950" width="14.28515625" style="99" customWidth="1"/>
    <col min="8951" max="8951" width="2.7109375" style="99" customWidth="1"/>
    <col min="8952" max="8955" width="14.28515625" style="99"/>
    <col min="8956" max="8956" width="9.28515625" style="99" bestFit="1" customWidth="1"/>
    <col min="8957" max="8957" width="48.140625" style="99" customWidth="1"/>
    <col min="8958" max="8958" width="15.85546875" style="99" bestFit="1" customWidth="1"/>
    <col min="8959" max="8959" width="14.85546875" style="99" bestFit="1" customWidth="1"/>
    <col min="8960" max="8960" width="14.7109375" style="99" bestFit="1" customWidth="1"/>
    <col min="8961" max="8961" width="2.7109375" style="99" customWidth="1"/>
    <col min="8962" max="8962" width="15.85546875" style="99" bestFit="1" customWidth="1"/>
    <col min="8963" max="8964" width="14.5703125" style="99" bestFit="1" customWidth="1"/>
    <col min="8965" max="8965" width="2.7109375" style="99" customWidth="1"/>
    <col min="8966" max="8966" width="15.7109375" style="99" bestFit="1" customWidth="1"/>
    <col min="8967" max="8967" width="13.7109375" style="99" bestFit="1" customWidth="1"/>
    <col min="8968" max="8968" width="13.42578125" style="99" bestFit="1" customWidth="1"/>
    <col min="8969" max="8979" width="10.5703125" style="99" bestFit="1" customWidth="1"/>
    <col min="8980" max="8980" width="13.5703125" style="99" customWidth="1"/>
    <col min="8981" max="8981" width="16.5703125" style="99" customWidth="1"/>
    <col min="8982" max="8982" width="14.42578125" style="99" customWidth="1"/>
    <col min="8983" max="8983" width="13.28515625" style="99" bestFit="1" customWidth="1"/>
    <col min="8984" max="8984" width="13.42578125" style="99" bestFit="1" customWidth="1"/>
    <col min="8985" max="8985" width="13" style="99" customWidth="1"/>
    <col min="8986" max="8986" width="11.5703125" style="99" customWidth="1"/>
    <col min="8987" max="8987" width="13.140625" style="99" customWidth="1"/>
    <col min="8988" max="8989" width="11.5703125" style="99" customWidth="1"/>
    <col min="8990" max="8990" width="12.42578125" style="99" customWidth="1"/>
    <col min="8991" max="8991" width="13.5703125" style="99" customWidth="1"/>
    <col min="8992" max="8992" width="13.140625" style="99" bestFit="1" customWidth="1"/>
    <col min="8993" max="8993" width="18.85546875" style="99" customWidth="1"/>
    <col min="8994" max="8995" width="14.140625" style="99" customWidth="1"/>
    <col min="8996" max="8996" width="13.85546875" style="99" customWidth="1"/>
    <col min="8997" max="8997" width="14.140625" style="99" customWidth="1"/>
    <col min="8998" max="8998" width="13.7109375" style="99" customWidth="1"/>
    <col min="8999" max="8999" width="17.140625" style="99" customWidth="1"/>
    <col min="9000" max="9000" width="15.42578125" style="99" customWidth="1"/>
    <col min="9001" max="9001" width="18" style="99" customWidth="1"/>
    <col min="9002" max="9002" width="13.7109375" style="99" bestFit="1" customWidth="1"/>
    <col min="9003" max="9003" width="14.140625" style="99" bestFit="1" customWidth="1"/>
    <col min="9004" max="9004" width="14" style="99" bestFit="1" customWidth="1"/>
    <col min="9005" max="9005" width="14.85546875" style="99" bestFit="1" customWidth="1"/>
    <col min="9006" max="9006" width="15.7109375" style="99" customWidth="1"/>
    <col min="9007" max="9007" width="5.85546875" style="99" customWidth="1"/>
    <col min="9008" max="9008" width="9.28515625" style="99" customWidth="1"/>
    <col min="9009" max="9009" width="14.85546875" style="99" customWidth="1"/>
    <col min="9010" max="9010" width="12.85546875" style="99" bestFit="1" customWidth="1"/>
    <col min="9011" max="9011" width="12.85546875" style="99" customWidth="1"/>
    <col min="9012" max="9029" width="8.85546875" style="99" customWidth="1"/>
    <col min="9030" max="9030" width="30.28515625" style="99" bestFit="1" customWidth="1"/>
    <col min="9031" max="9031" width="20.7109375" style="99" customWidth="1"/>
    <col min="9032" max="9032" width="13.42578125" style="99" customWidth="1"/>
    <col min="9033" max="9033" width="8.85546875" style="99" customWidth="1"/>
    <col min="9034" max="9034" width="11.7109375" style="99" bestFit="1" customWidth="1"/>
    <col min="9035" max="9202" width="8.85546875" style="99" customWidth="1"/>
    <col min="9203" max="9203" width="29.7109375" style="99" customWidth="1"/>
    <col min="9204" max="9206" width="14.28515625" style="99" customWidth="1"/>
    <col min="9207" max="9207" width="2.7109375" style="99" customWidth="1"/>
    <col min="9208" max="9211" width="14.28515625" style="99"/>
    <col min="9212" max="9212" width="9.28515625" style="99" bestFit="1" customWidth="1"/>
    <col min="9213" max="9213" width="48.140625" style="99" customWidth="1"/>
    <col min="9214" max="9214" width="15.85546875" style="99" bestFit="1" customWidth="1"/>
    <col min="9215" max="9215" width="14.85546875" style="99" bestFit="1" customWidth="1"/>
    <col min="9216" max="9216" width="14.7109375" style="99" bestFit="1" customWidth="1"/>
    <col min="9217" max="9217" width="2.7109375" style="99" customWidth="1"/>
    <col min="9218" max="9218" width="15.85546875" style="99" bestFit="1" customWidth="1"/>
    <col min="9219" max="9220" width="14.5703125" style="99" bestFit="1" customWidth="1"/>
    <col min="9221" max="9221" width="2.7109375" style="99" customWidth="1"/>
    <col min="9222" max="9222" width="15.7109375" style="99" bestFit="1" customWidth="1"/>
    <col min="9223" max="9223" width="13.7109375" style="99" bestFit="1" customWidth="1"/>
    <col min="9224" max="9224" width="13.42578125" style="99" bestFit="1" customWidth="1"/>
    <col min="9225" max="9235" width="10.5703125" style="99" bestFit="1" customWidth="1"/>
    <col min="9236" max="9236" width="13.5703125" style="99" customWidth="1"/>
    <col min="9237" max="9237" width="16.5703125" style="99" customWidth="1"/>
    <col min="9238" max="9238" width="14.42578125" style="99" customWidth="1"/>
    <col min="9239" max="9239" width="13.28515625" style="99" bestFit="1" customWidth="1"/>
    <col min="9240" max="9240" width="13.42578125" style="99" bestFit="1" customWidth="1"/>
    <col min="9241" max="9241" width="13" style="99" customWidth="1"/>
    <col min="9242" max="9242" width="11.5703125" style="99" customWidth="1"/>
    <col min="9243" max="9243" width="13.140625" style="99" customWidth="1"/>
    <col min="9244" max="9245" width="11.5703125" style="99" customWidth="1"/>
    <col min="9246" max="9246" width="12.42578125" style="99" customWidth="1"/>
    <col min="9247" max="9247" width="13.5703125" style="99" customWidth="1"/>
    <col min="9248" max="9248" width="13.140625" style="99" bestFit="1" customWidth="1"/>
    <col min="9249" max="9249" width="18.85546875" style="99" customWidth="1"/>
    <col min="9250" max="9251" width="14.140625" style="99" customWidth="1"/>
    <col min="9252" max="9252" width="13.85546875" style="99" customWidth="1"/>
    <col min="9253" max="9253" width="14.140625" style="99" customWidth="1"/>
    <col min="9254" max="9254" width="13.7109375" style="99" customWidth="1"/>
    <col min="9255" max="9255" width="17.140625" style="99" customWidth="1"/>
    <col min="9256" max="9256" width="15.42578125" style="99" customWidth="1"/>
    <col min="9257" max="9257" width="18" style="99" customWidth="1"/>
    <col min="9258" max="9258" width="13.7109375" style="99" bestFit="1" customWidth="1"/>
    <col min="9259" max="9259" width="14.140625" style="99" bestFit="1" customWidth="1"/>
    <col min="9260" max="9260" width="14" style="99" bestFit="1" customWidth="1"/>
    <col min="9261" max="9261" width="14.85546875" style="99" bestFit="1" customWidth="1"/>
    <col min="9262" max="9262" width="15.7109375" style="99" customWidth="1"/>
    <col min="9263" max="9263" width="5.85546875" style="99" customWidth="1"/>
    <col min="9264" max="9264" width="9.28515625" style="99" customWidth="1"/>
    <col min="9265" max="9265" width="14.85546875" style="99" customWidth="1"/>
    <col min="9266" max="9266" width="12.85546875" style="99" bestFit="1" customWidth="1"/>
    <col min="9267" max="9267" width="12.85546875" style="99" customWidth="1"/>
    <col min="9268" max="9285" width="8.85546875" style="99" customWidth="1"/>
    <col min="9286" max="9286" width="30.28515625" style="99" bestFit="1" customWidth="1"/>
    <col min="9287" max="9287" width="20.7109375" style="99" customWidth="1"/>
    <col min="9288" max="9288" width="13.42578125" style="99" customWidth="1"/>
    <col min="9289" max="9289" width="8.85546875" style="99" customWidth="1"/>
    <col min="9290" max="9290" width="11.7109375" style="99" bestFit="1" customWidth="1"/>
    <col min="9291" max="9458" width="8.85546875" style="99" customWidth="1"/>
    <col min="9459" max="9459" width="29.7109375" style="99" customWidth="1"/>
    <col min="9460" max="9462" width="14.28515625" style="99" customWidth="1"/>
    <col min="9463" max="9463" width="2.7109375" style="99" customWidth="1"/>
    <col min="9464" max="9467" width="14.28515625" style="99"/>
    <col min="9468" max="9468" width="9.28515625" style="99" bestFit="1" customWidth="1"/>
    <col min="9469" max="9469" width="48.140625" style="99" customWidth="1"/>
    <col min="9470" max="9470" width="15.85546875" style="99" bestFit="1" customWidth="1"/>
    <col min="9471" max="9471" width="14.85546875" style="99" bestFit="1" customWidth="1"/>
    <col min="9472" max="9472" width="14.7109375" style="99" bestFit="1" customWidth="1"/>
    <col min="9473" max="9473" width="2.7109375" style="99" customWidth="1"/>
    <col min="9474" max="9474" width="15.85546875" style="99" bestFit="1" customWidth="1"/>
    <col min="9475" max="9476" width="14.5703125" style="99" bestFit="1" customWidth="1"/>
    <col min="9477" max="9477" width="2.7109375" style="99" customWidth="1"/>
    <col min="9478" max="9478" width="15.7109375" style="99" bestFit="1" customWidth="1"/>
    <col min="9479" max="9479" width="13.7109375" style="99" bestFit="1" customWidth="1"/>
    <col min="9480" max="9480" width="13.42578125" style="99" bestFit="1" customWidth="1"/>
    <col min="9481" max="9491" width="10.5703125" style="99" bestFit="1" customWidth="1"/>
    <col min="9492" max="9492" width="13.5703125" style="99" customWidth="1"/>
    <col min="9493" max="9493" width="16.5703125" style="99" customWidth="1"/>
    <col min="9494" max="9494" width="14.42578125" style="99" customWidth="1"/>
    <col min="9495" max="9495" width="13.28515625" style="99" bestFit="1" customWidth="1"/>
    <col min="9496" max="9496" width="13.42578125" style="99" bestFit="1" customWidth="1"/>
    <col min="9497" max="9497" width="13" style="99" customWidth="1"/>
    <col min="9498" max="9498" width="11.5703125" style="99" customWidth="1"/>
    <col min="9499" max="9499" width="13.140625" style="99" customWidth="1"/>
    <col min="9500" max="9501" width="11.5703125" style="99" customWidth="1"/>
    <col min="9502" max="9502" width="12.42578125" style="99" customWidth="1"/>
    <col min="9503" max="9503" width="13.5703125" style="99" customWidth="1"/>
    <col min="9504" max="9504" width="13.140625" style="99" bestFit="1" customWidth="1"/>
    <col min="9505" max="9505" width="18.85546875" style="99" customWidth="1"/>
    <col min="9506" max="9507" width="14.140625" style="99" customWidth="1"/>
    <col min="9508" max="9508" width="13.85546875" style="99" customWidth="1"/>
    <col min="9509" max="9509" width="14.140625" style="99" customWidth="1"/>
    <col min="9510" max="9510" width="13.7109375" style="99" customWidth="1"/>
    <col min="9511" max="9511" width="17.140625" style="99" customWidth="1"/>
    <col min="9512" max="9512" width="15.42578125" style="99" customWidth="1"/>
    <col min="9513" max="9513" width="18" style="99" customWidth="1"/>
    <col min="9514" max="9514" width="13.7109375" style="99" bestFit="1" customWidth="1"/>
    <col min="9515" max="9515" width="14.140625" style="99" bestFit="1" customWidth="1"/>
    <col min="9516" max="9516" width="14" style="99" bestFit="1" customWidth="1"/>
    <col min="9517" max="9517" width="14.85546875" style="99" bestFit="1" customWidth="1"/>
    <col min="9518" max="9518" width="15.7109375" style="99" customWidth="1"/>
    <col min="9519" max="9519" width="5.85546875" style="99" customWidth="1"/>
    <col min="9520" max="9520" width="9.28515625" style="99" customWidth="1"/>
    <col min="9521" max="9521" width="14.85546875" style="99" customWidth="1"/>
    <col min="9522" max="9522" width="12.85546875" style="99" bestFit="1" customWidth="1"/>
    <col min="9523" max="9523" width="12.85546875" style="99" customWidth="1"/>
    <col min="9524" max="9541" width="8.85546875" style="99" customWidth="1"/>
    <col min="9542" max="9542" width="30.28515625" style="99" bestFit="1" customWidth="1"/>
    <col min="9543" max="9543" width="20.7109375" style="99" customWidth="1"/>
    <col min="9544" max="9544" width="13.42578125" style="99" customWidth="1"/>
    <col min="9545" max="9545" width="8.85546875" style="99" customWidth="1"/>
    <col min="9546" max="9546" width="11.7109375" style="99" bestFit="1" customWidth="1"/>
    <col min="9547" max="9714" width="8.85546875" style="99" customWidth="1"/>
    <col min="9715" max="9715" width="29.7109375" style="99" customWidth="1"/>
    <col min="9716" max="9718" width="14.28515625" style="99" customWidth="1"/>
    <col min="9719" max="9719" width="2.7109375" style="99" customWidth="1"/>
    <col min="9720" max="9723" width="14.28515625" style="99"/>
    <col min="9724" max="9724" width="9.28515625" style="99" bestFit="1" customWidth="1"/>
    <col min="9725" max="9725" width="48.140625" style="99" customWidth="1"/>
    <col min="9726" max="9726" width="15.85546875" style="99" bestFit="1" customWidth="1"/>
    <col min="9727" max="9727" width="14.85546875" style="99" bestFit="1" customWidth="1"/>
    <col min="9728" max="9728" width="14.7109375" style="99" bestFit="1" customWidth="1"/>
    <col min="9729" max="9729" width="2.7109375" style="99" customWidth="1"/>
    <col min="9730" max="9730" width="15.85546875" style="99" bestFit="1" customWidth="1"/>
    <col min="9731" max="9732" width="14.5703125" style="99" bestFit="1" customWidth="1"/>
    <col min="9733" max="9733" width="2.7109375" style="99" customWidth="1"/>
    <col min="9734" max="9734" width="15.7109375" style="99" bestFit="1" customWidth="1"/>
    <col min="9735" max="9735" width="13.7109375" style="99" bestFit="1" customWidth="1"/>
    <col min="9736" max="9736" width="13.42578125" style="99" bestFit="1" customWidth="1"/>
    <col min="9737" max="9747" width="10.5703125" style="99" bestFit="1" customWidth="1"/>
    <col min="9748" max="9748" width="13.5703125" style="99" customWidth="1"/>
    <col min="9749" max="9749" width="16.5703125" style="99" customWidth="1"/>
    <col min="9750" max="9750" width="14.42578125" style="99" customWidth="1"/>
    <col min="9751" max="9751" width="13.28515625" style="99" bestFit="1" customWidth="1"/>
    <col min="9752" max="9752" width="13.42578125" style="99" bestFit="1" customWidth="1"/>
    <col min="9753" max="9753" width="13" style="99" customWidth="1"/>
    <col min="9754" max="9754" width="11.5703125" style="99" customWidth="1"/>
    <col min="9755" max="9755" width="13.140625" style="99" customWidth="1"/>
    <col min="9756" max="9757" width="11.5703125" style="99" customWidth="1"/>
    <col min="9758" max="9758" width="12.42578125" style="99" customWidth="1"/>
    <col min="9759" max="9759" width="13.5703125" style="99" customWidth="1"/>
    <col min="9760" max="9760" width="13.140625" style="99" bestFit="1" customWidth="1"/>
    <col min="9761" max="9761" width="18.85546875" style="99" customWidth="1"/>
    <col min="9762" max="9763" width="14.140625" style="99" customWidth="1"/>
    <col min="9764" max="9764" width="13.85546875" style="99" customWidth="1"/>
    <col min="9765" max="9765" width="14.140625" style="99" customWidth="1"/>
    <col min="9766" max="9766" width="13.7109375" style="99" customWidth="1"/>
    <col min="9767" max="9767" width="17.140625" style="99" customWidth="1"/>
    <col min="9768" max="9768" width="15.42578125" style="99" customWidth="1"/>
    <col min="9769" max="9769" width="18" style="99" customWidth="1"/>
    <col min="9770" max="9770" width="13.7109375" style="99" bestFit="1" customWidth="1"/>
    <col min="9771" max="9771" width="14.140625" style="99" bestFit="1" customWidth="1"/>
    <col min="9772" max="9772" width="14" style="99" bestFit="1" customWidth="1"/>
    <col min="9773" max="9773" width="14.85546875" style="99" bestFit="1" customWidth="1"/>
    <col min="9774" max="9774" width="15.7109375" style="99" customWidth="1"/>
    <col min="9775" max="9775" width="5.85546875" style="99" customWidth="1"/>
    <col min="9776" max="9776" width="9.28515625" style="99" customWidth="1"/>
    <col min="9777" max="9777" width="14.85546875" style="99" customWidth="1"/>
    <col min="9778" max="9778" width="12.85546875" style="99" bestFit="1" customWidth="1"/>
    <col min="9779" max="9779" width="12.85546875" style="99" customWidth="1"/>
    <col min="9780" max="9797" width="8.85546875" style="99" customWidth="1"/>
    <col min="9798" max="9798" width="30.28515625" style="99" bestFit="1" customWidth="1"/>
    <col min="9799" max="9799" width="20.7109375" style="99" customWidth="1"/>
    <col min="9800" max="9800" width="13.42578125" style="99" customWidth="1"/>
    <col min="9801" max="9801" width="8.85546875" style="99" customWidth="1"/>
    <col min="9802" max="9802" width="11.7109375" style="99" bestFit="1" customWidth="1"/>
    <col min="9803" max="9970" width="8.85546875" style="99" customWidth="1"/>
    <col min="9971" max="9971" width="29.7109375" style="99" customWidth="1"/>
    <col min="9972" max="9974" width="14.28515625" style="99" customWidth="1"/>
    <col min="9975" max="9975" width="2.7109375" style="99" customWidth="1"/>
    <col min="9976" max="9979" width="14.28515625" style="99"/>
    <col min="9980" max="9980" width="9.28515625" style="99" bestFit="1" customWidth="1"/>
    <col min="9981" max="9981" width="48.140625" style="99" customWidth="1"/>
    <col min="9982" max="9982" width="15.85546875" style="99" bestFit="1" customWidth="1"/>
    <col min="9983" max="9983" width="14.85546875" style="99" bestFit="1" customWidth="1"/>
    <col min="9984" max="9984" width="14.7109375" style="99" bestFit="1" customWidth="1"/>
    <col min="9985" max="9985" width="2.7109375" style="99" customWidth="1"/>
    <col min="9986" max="9986" width="15.85546875" style="99" bestFit="1" customWidth="1"/>
    <col min="9987" max="9988" width="14.5703125" style="99" bestFit="1" customWidth="1"/>
    <col min="9989" max="9989" width="2.7109375" style="99" customWidth="1"/>
    <col min="9990" max="9990" width="15.7109375" style="99" bestFit="1" customWidth="1"/>
    <col min="9991" max="9991" width="13.7109375" style="99" bestFit="1" customWidth="1"/>
    <col min="9992" max="9992" width="13.42578125" style="99" bestFit="1" customWidth="1"/>
    <col min="9993" max="10003" width="10.5703125" style="99" bestFit="1" customWidth="1"/>
    <col min="10004" max="10004" width="13.5703125" style="99" customWidth="1"/>
    <col min="10005" max="10005" width="16.5703125" style="99" customWidth="1"/>
    <col min="10006" max="10006" width="14.42578125" style="99" customWidth="1"/>
    <col min="10007" max="10007" width="13.28515625" style="99" bestFit="1" customWidth="1"/>
    <col min="10008" max="10008" width="13.42578125" style="99" bestFit="1" customWidth="1"/>
    <col min="10009" max="10009" width="13" style="99" customWidth="1"/>
    <col min="10010" max="10010" width="11.5703125" style="99" customWidth="1"/>
    <col min="10011" max="10011" width="13.140625" style="99" customWidth="1"/>
    <col min="10012" max="10013" width="11.5703125" style="99" customWidth="1"/>
    <col min="10014" max="10014" width="12.42578125" style="99" customWidth="1"/>
    <col min="10015" max="10015" width="13.5703125" style="99" customWidth="1"/>
    <col min="10016" max="10016" width="13.140625" style="99" bestFit="1" customWidth="1"/>
    <col min="10017" max="10017" width="18.85546875" style="99" customWidth="1"/>
    <col min="10018" max="10019" width="14.140625" style="99" customWidth="1"/>
    <col min="10020" max="10020" width="13.85546875" style="99" customWidth="1"/>
    <col min="10021" max="10021" width="14.140625" style="99" customWidth="1"/>
    <col min="10022" max="10022" width="13.7109375" style="99" customWidth="1"/>
    <col min="10023" max="10023" width="17.140625" style="99" customWidth="1"/>
    <col min="10024" max="10024" width="15.42578125" style="99" customWidth="1"/>
    <col min="10025" max="10025" width="18" style="99" customWidth="1"/>
    <col min="10026" max="10026" width="13.7109375" style="99" bestFit="1" customWidth="1"/>
    <col min="10027" max="10027" width="14.140625" style="99" bestFit="1" customWidth="1"/>
    <col min="10028" max="10028" width="14" style="99" bestFit="1" customWidth="1"/>
    <col min="10029" max="10029" width="14.85546875" style="99" bestFit="1" customWidth="1"/>
    <col min="10030" max="10030" width="15.7109375" style="99" customWidth="1"/>
    <col min="10031" max="10031" width="5.85546875" style="99" customWidth="1"/>
    <col min="10032" max="10032" width="9.28515625" style="99" customWidth="1"/>
    <col min="10033" max="10033" width="14.85546875" style="99" customWidth="1"/>
    <col min="10034" max="10034" width="12.85546875" style="99" bestFit="1" customWidth="1"/>
    <col min="10035" max="10035" width="12.85546875" style="99" customWidth="1"/>
    <col min="10036" max="10053" width="8.85546875" style="99" customWidth="1"/>
    <col min="10054" max="10054" width="30.28515625" style="99" bestFit="1" customWidth="1"/>
    <col min="10055" max="10055" width="20.7109375" style="99" customWidth="1"/>
    <col min="10056" max="10056" width="13.42578125" style="99" customWidth="1"/>
    <col min="10057" max="10057" width="8.85546875" style="99" customWidth="1"/>
    <col min="10058" max="10058" width="11.7109375" style="99" bestFit="1" customWidth="1"/>
    <col min="10059" max="10226" width="8.85546875" style="99" customWidth="1"/>
    <col min="10227" max="10227" width="29.7109375" style="99" customWidth="1"/>
    <col min="10228" max="10230" width="14.28515625" style="99" customWidth="1"/>
    <col min="10231" max="10231" width="2.7109375" style="99" customWidth="1"/>
    <col min="10232" max="10235" width="14.28515625" style="99"/>
    <col min="10236" max="10236" width="9.28515625" style="99" bestFit="1" customWidth="1"/>
    <col min="10237" max="10237" width="48.140625" style="99" customWidth="1"/>
    <col min="10238" max="10238" width="15.85546875" style="99" bestFit="1" customWidth="1"/>
    <col min="10239" max="10239" width="14.85546875" style="99" bestFit="1" customWidth="1"/>
    <col min="10240" max="10240" width="14.7109375" style="99" bestFit="1" customWidth="1"/>
    <col min="10241" max="10241" width="2.7109375" style="99" customWidth="1"/>
    <col min="10242" max="10242" width="15.85546875" style="99" bestFit="1" customWidth="1"/>
    <col min="10243" max="10244" width="14.5703125" style="99" bestFit="1" customWidth="1"/>
    <col min="10245" max="10245" width="2.7109375" style="99" customWidth="1"/>
    <col min="10246" max="10246" width="15.7109375" style="99" bestFit="1" customWidth="1"/>
    <col min="10247" max="10247" width="13.7109375" style="99" bestFit="1" customWidth="1"/>
    <col min="10248" max="10248" width="13.42578125" style="99" bestFit="1" customWidth="1"/>
    <col min="10249" max="10259" width="10.5703125" style="99" bestFit="1" customWidth="1"/>
    <col min="10260" max="10260" width="13.5703125" style="99" customWidth="1"/>
    <col min="10261" max="10261" width="16.5703125" style="99" customWidth="1"/>
    <col min="10262" max="10262" width="14.42578125" style="99" customWidth="1"/>
    <col min="10263" max="10263" width="13.28515625" style="99" bestFit="1" customWidth="1"/>
    <col min="10264" max="10264" width="13.42578125" style="99" bestFit="1" customWidth="1"/>
    <col min="10265" max="10265" width="13" style="99" customWidth="1"/>
    <col min="10266" max="10266" width="11.5703125" style="99" customWidth="1"/>
    <col min="10267" max="10267" width="13.140625" style="99" customWidth="1"/>
    <col min="10268" max="10269" width="11.5703125" style="99" customWidth="1"/>
    <col min="10270" max="10270" width="12.42578125" style="99" customWidth="1"/>
    <col min="10271" max="10271" width="13.5703125" style="99" customWidth="1"/>
    <col min="10272" max="10272" width="13.140625" style="99" bestFit="1" customWidth="1"/>
    <col min="10273" max="10273" width="18.85546875" style="99" customWidth="1"/>
    <col min="10274" max="10275" width="14.140625" style="99" customWidth="1"/>
    <col min="10276" max="10276" width="13.85546875" style="99" customWidth="1"/>
    <col min="10277" max="10277" width="14.140625" style="99" customWidth="1"/>
    <col min="10278" max="10278" width="13.7109375" style="99" customWidth="1"/>
    <col min="10279" max="10279" width="17.140625" style="99" customWidth="1"/>
    <col min="10280" max="10280" width="15.42578125" style="99" customWidth="1"/>
    <col min="10281" max="10281" width="18" style="99" customWidth="1"/>
    <col min="10282" max="10282" width="13.7109375" style="99" bestFit="1" customWidth="1"/>
    <col min="10283" max="10283" width="14.140625" style="99" bestFit="1" customWidth="1"/>
    <col min="10284" max="10284" width="14" style="99" bestFit="1" customWidth="1"/>
    <col min="10285" max="10285" width="14.85546875" style="99" bestFit="1" customWidth="1"/>
    <col min="10286" max="10286" width="15.7109375" style="99" customWidth="1"/>
    <col min="10287" max="10287" width="5.85546875" style="99" customWidth="1"/>
    <col min="10288" max="10288" width="9.28515625" style="99" customWidth="1"/>
    <col min="10289" max="10289" width="14.85546875" style="99" customWidth="1"/>
    <col min="10290" max="10290" width="12.85546875" style="99" bestFit="1" customWidth="1"/>
    <col min="10291" max="10291" width="12.85546875" style="99" customWidth="1"/>
    <col min="10292" max="10309" width="8.85546875" style="99" customWidth="1"/>
    <col min="10310" max="10310" width="30.28515625" style="99" bestFit="1" customWidth="1"/>
    <col min="10311" max="10311" width="20.7109375" style="99" customWidth="1"/>
    <col min="10312" max="10312" width="13.42578125" style="99" customWidth="1"/>
    <col min="10313" max="10313" width="8.85546875" style="99" customWidth="1"/>
    <col min="10314" max="10314" width="11.7109375" style="99" bestFit="1" customWidth="1"/>
    <col min="10315" max="10482" width="8.85546875" style="99" customWidth="1"/>
    <col min="10483" max="10483" width="29.7109375" style="99" customWidth="1"/>
    <col min="10484" max="10486" width="14.28515625" style="99" customWidth="1"/>
    <col min="10487" max="10487" width="2.7109375" style="99" customWidth="1"/>
    <col min="10488" max="10491" width="14.28515625" style="99"/>
    <col min="10492" max="10492" width="9.28515625" style="99" bestFit="1" customWidth="1"/>
    <col min="10493" max="10493" width="48.140625" style="99" customWidth="1"/>
    <col min="10494" max="10494" width="15.85546875" style="99" bestFit="1" customWidth="1"/>
    <col min="10495" max="10495" width="14.85546875" style="99" bestFit="1" customWidth="1"/>
    <col min="10496" max="10496" width="14.7109375" style="99" bestFit="1" customWidth="1"/>
    <col min="10497" max="10497" width="2.7109375" style="99" customWidth="1"/>
    <col min="10498" max="10498" width="15.85546875" style="99" bestFit="1" customWidth="1"/>
    <col min="10499" max="10500" width="14.5703125" style="99" bestFit="1" customWidth="1"/>
    <col min="10501" max="10501" width="2.7109375" style="99" customWidth="1"/>
    <col min="10502" max="10502" width="15.7109375" style="99" bestFit="1" customWidth="1"/>
    <col min="10503" max="10503" width="13.7109375" style="99" bestFit="1" customWidth="1"/>
    <col min="10504" max="10504" width="13.42578125" style="99" bestFit="1" customWidth="1"/>
    <col min="10505" max="10515" width="10.5703125" style="99" bestFit="1" customWidth="1"/>
    <col min="10516" max="10516" width="13.5703125" style="99" customWidth="1"/>
    <col min="10517" max="10517" width="16.5703125" style="99" customWidth="1"/>
    <col min="10518" max="10518" width="14.42578125" style="99" customWidth="1"/>
    <col min="10519" max="10519" width="13.28515625" style="99" bestFit="1" customWidth="1"/>
    <col min="10520" max="10520" width="13.42578125" style="99" bestFit="1" customWidth="1"/>
    <col min="10521" max="10521" width="13" style="99" customWidth="1"/>
    <col min="10522" max="10522" width="11.5703125" style="99" customWidth="1"/>
    <col min="10523" max="10523" width="13.140625" style="99" customWidth="1"/>
    <col min="10524" max="10525" width="11.5703125" style="99" customWidth="1"/>
    <col min="10526" max="10526" width="12.42578125" style="99" customWidth="1"/>
    <col min="10527" max="10527" width="13.5703125" style="99" customWidth="1"/>
    <col min="10528" max="10528" width="13.140625" style="99" bestFit="1" customWidth="1"/>
    <col min="10529" max="10529" width="18.85546875" style="99" customWidth="1"/>
    <col min="10530" max="10531" width="14.140625" style="99" customWidth="1"/>
    <col min="10532" max="10532" width="13.85546875" style="99" customWidth="1"/>
    <col min="10533" max="10533" width="14.140625" style="99" customWidth="1"/>
    <col min="10534" max="10534" width="13.7109375" style="99" customWidth="1"/>
    <col min="10535" max="10535" width="17.140625" style="99" customWidth="1"/>
    <col min="10536" max="10536" width="15.42578125" style="99" customWidth="1"/>
    <col min="10537" max="10537" width="18" style="99" customWidth="1"/>
    <col min="10538" max="10538" width="13.7109375" style="99" bestFit="1" customWidth="1"/>
    <col min="10539" max="10539" width="14.140625" style="99" bestFit="1" customWidth="1"/>
    <col min="10540" max="10540" width="14" style="99" bestFit="1" customWidth="1"/>
    <col min="10541" max="10541" width="14.85546875" style="99" bestFit="1" customWidth="1"/>
    <col min="10542" max="10542" width="15.7109375" style="99" customWidth="1"/>
    <col min="10543" max="10543" width="5.85546875" style="99" customWidth="1"/>
    <col min="10544" max="10544" width="9.28515625" style="99" customWidth="1"/>
    <col min="10545" max="10545" width="14.85546875" style="99" customWidth="1"/>
    <col min="10546" max="10546" width="12.85546875" style="99" bestFit="1" customWidth="1"/>
    <col min="10547" max="10547" width="12.85546875" style="99" customWidth="1"/>
    <col min="10548" max="10565" width="8.85546875" style="99" customWidth="1"/>
    <col min="10566" max="10566" width="30.28515625" style="99" bestFit="1" customWidth="1"/>
    <col min="10567" max="10567" width="20.7109375" style="99" customWidth="1"/>
    <col min="10568" max="10568" width="13.42578125" style="99" customWidth="1"/>
    <col min="10569" max="10569" width="8.85546875" style="99" customWidth="1"/>
    <col min="10570" max="10570" width="11.7109375" style="99" bestFit="1" customWidth="1"/>
    <col min="10571" max="10738" width="8.85546875" style="99" customWidth="1"/>
    <col min="10739" max="10739" width="29.7109375" style="99" customWidth="1"/>
    <col min="10740" max="10742" width="14.28515625" style="99" customWidth="1"/>
    <col min="10743" max="10743" width="2.7109375" style="99" customWidth="1"/>
    <col min="10744" max="10747" width="14.28515625" style="99"/>
    <col min="10748" max="10748" width="9.28515625" style="99" bestFit="1" customWidth="1"/>
    <col min="10749" max="10749" width="48.140625" style="99" customWidth="1"/>
    <col min="10750" max="10750" width="15.85546875" style="99" bestFit="1" customWidth="1"/>
    <col min="10751" max="10751" width="14.85546875" style="99" bestFit="1" customWidth="1"/>
    <col min="10752" max="10752" width="14.7109375" style="99" bestFit="1" customWidth="1"/>
    <col min="10753" max="10753" width="2.7109375" style="99" customWidth="1"/>
    <col min="10754" max="10754" width="15.85546875" style="99" bestFit="1" customWidth="1"/>
    <col min="10755" max="10756" width="14.5703125" style="99" bestFit="1" customWidth="1"/>
    <col min="10757" max="10757" width="2.7109375" style="99" customWidth="1"/>
    <col min="10758" max="10758" width="15.7109375" style="99" bestFit="1" customWidth="1"/>
    <col min="10759" max="10759" width="13.7109375" style="99" bestFit="1" customWidth="1"/>
    <col min="10760" max="10760" width="13.42578125" style="99" bestFit="1" customWidth="1"/>
    <col min="10761" max="10771" width="10.5703125" style="99" bestFit="1" customWidth="1"/>
    <col min="10772" max="10772" width="13.5703125" style="99" customWidth="1"/>
    <col min="10773" max="10773" width="16.5703125" style="99" customWidth="1"/>
    <col min="10774" max="10774" width="14.42578125" style="99" customWidth="1"/>
    <col min="10775" max="10775" width="13.28515625" style="99" bestFit="1" customWidth="1"/>
    <col min="10776" max="10776" width="13.42578125" style="99" bestFit="1" customWidth="1"/>
    <col min="10777" max="10777" width="13" style="99" customWidth="1"/>
    <col min="10778" max="10778" width="11.5703125" style="99" customWidth="1"/>
    <col min="10779" max="10779" width="13.140625" style="99" customWidth="1"/>
    <col min="10780" max="10781" width="11.5703125" style="99" customWidth="1"/>
    <col min="10782" max="10782" width="12.42578125" style="99" customWidth="1"/>
    <col min="10783" max="10783" width="13.5703125" style="99" customWidth="1"/>
    <col min="10784" max="10784" width="13.140625" style="99" bestFit="1" customWidth="1"/>
    <col min="10785" max="10785" width="18.85546875" style="99" customWidth="1"/>
    <col min="10786" max="10787" width="14.140625" style="99" customWidth="1"/>
    <col min="10788" max="10788" width="13.85546875" style="99" customWidth="1"/>
    <col min="10789" max="10789" width="14.140625" style="99" customWidth="1"/>
    <col min="10790" max="10790" width="13.7109375" style="99" customWidth="1"/>
    <col min="10791" max="10791" width="17.140625" style="99" customWidth="1"/>
    <col min="10792" max="10792" width="15.42578125" style="99" customWidth="1"/>
    <col min="10793" max="10793" width="18" style="99" customWidth="1"/>
    <col min="10794" max="10794" width="13.7109375" style="99" bestFit="1" customWidth="1"/>
    <col min="10795" max="10795" width="14.140625" style="99" bestFit="1" customWidth="1"/>
    <col min="10796" max="10796" width="14" style="99" bestFit="1" customWidth="1"/>
    <col min="10797" max="10797" width="14.85546875" style="99" bestFit="1" customWidth="1"/>
    <col min="10798" max="10798" width="15.7109375" style="99" customWidth="1"/>
    <col min="10799" max="10799" width="5.85546875" style="99" customWidth="1"/>
    <col min="10800" max="10800" width="9.28515625" style="99" customWidth="1"/>
    <col min="10801" max="10801" width="14.85546875" style="99" customWidth="1"/>
    <col min="10802" max="10802" width="12.85546875" style="99" bestFit="1" customWidth="1"/>
    <col min="10803" max="10803" width="12.85546875" style="99" customWidth="1"/>
    <col min="10804" max="10821" width="8.85546875" style="99" customWidth="1"/>
    <col min="10822" max="10822" width="30.28515625" style="99" bestFit="1" customWidth="1"/>
    <col min="10823" max="10823" width="20.7109375" style="99" customWidth="1"/>
    <col min="10824" max="10824" width="13.42578125" style="99" customWidth="1"/>
    <col min="10825" max="10825" width="8.85546875" style="99" customWidth="1"/>
    <col min="10826" max="10826" width="11.7109375" style="99" bestFit="1" customWidth="1"/>
    <col min="10827" max="10994" width="8.85546875" style="99" customWidth="1"/>
    <col min="10995" max="10995" width="29.7109375" style="99" customWidth="1"/>
    <col min="10996" max="10998" width="14.28515625" style="99" customWidth="1"/>
    <col min="10999" max="10999" width="2.7109375" style="99" customWidth="1"/>
    <col min="11000" max="11003" width="14.28515625" style="99"/>
    <col min="11004" max="11004" width="9.28515625" style="99" bestFit="1" customWidth="1"/>
    <col min="11005" max="11005" width="48.140625" style="99" customWidth="1"/>
    <col min="11006" max="11006" width="15.85546875" style="99" bestFit="1" customWidth="1"/>
    <col min="11007" max="11007" width="14.85546875" style="99" bestFit="1" customWidth="1"/>
    <col min="11008" max="11008" width="14.7109375" style="99" bestFit="1" customWidth="1"/>
    <col min="11009" max="11009" width="2.7109375" style="99" customWidth="1"/>
    <col min="11010" max="11010" width="15.85546875" style="99" bestFit="1" customWidth="1"/>
    <col min="11011" max="11012" width="14.5703125" style="99" bestFit="1" customWidth="1"/>
    <col min="11013" max="11013" width="2.7109375" style="99" customWidth="1"/>
    <col min="11014" max="11014" width="15.7109375" style="99" bestFit="1" customWidth="1"/>
    <col min="11015" max="11015" width="13.7109375" style="99" bestFit="1" customWidth="1"/>
    <col min="11016" max="11016" width="13.42578125" style="99" bestFit="1" customWidth="1"/>
    <col min="11017" max="11027" width="10.5703125" style="99" bestFit="1" customWidth="1"/>
    <col min="11028" max="11028" width="13.5703125" style="99" customWidth="1"/>
    <col min="11029" max="11029" width="16.5703125" style="99" customWidth="1"/>
    <col min="11030" max="11030" width="14.42578125" style="99" customWidth="1"/>
    <col min="11031" max="11031" width="13.28515625" style="99" bestFit="1" customWidth="1"/>
    <col min="11032" max="11032" width="13.42578125" style="99" bestFit="1" customWidth="1"/>
    <col min="11033" max="11033" width="13" style="99" customWidth="1"/>
    <col min="11034" max="11034" width="11.5703125" style="99" customWidth="1"/>
    <col min="11035" max="11035" width="13.140625" style="99" customWidth="1"/>
    <col min="11036" max="11037" width="11.5703125" style="99" customWidth="1"/>
    <col min="11038" max="11038" width="12.42578125" style="99" customWidth="1"/>
    <col min="11039" max="11039" width="13.5703125" style="99" customWidth="1"/>
    <col min="11040" max="11040" width="13.140625" style="99" bestFit="1" customWidth="1"/>
    <col min="11041" max="11041" width="18.85546875" style="99" customWidth="1"/>
    <col min="11042" max="11043" width="14.140625" style="99" customWidth="1"/>
    <col min="11044" max="11044" width="13.85546875" style="99" customWidth="1"/>
    <col min="11045" max="11045" width="14.140625" style="99" customWidth="1"/>
    <col min="11046" max="11046" width="13.7109375" style="99" customWidth="1"/>
    <col min="11047" max="11047" width="17.140625" style="99" customWidth="1"/>
    <col min="11048" max="11048" width="15.42578125" style="99" customWidth="1"/>
    <col min="11049" max="11049" width="18" style="99" customWidth="1"/>
    <col min="11050" max="11050" width="13.7109375" style="99" bestFit="1" customWidth="1"/>
    <col min="11051" max="11051" width="14.140625" style="99" bestFit="1" customWidth="1"/>
    <col min="11052" max="11052" width="14" style="99" bestFit="1" customWidth="1"/>
    <col min="11053" max="11053" width="14.85546875" style="99" bestFit="1" customWidth="1"/>
    <col min="11054" max="11054" width="15.7109375" style="99" customWidth="1"/>
    <col min="11055" max="11055" width="5.85546875" style="99" customWidth="1"/>
    <col min="11056" max="11056" width="9.28515625" style="99" customWidth="1"/>
    <col min="11057" max="11057" width="14.85546875" style="99" customWidth="1"/>
    <col min="11058" max="11058" width="12.85546875" style="99" bestFit="1" customWidth="1"/>
    <col min="11059" max="11059" width="12.85546875" style="99" customWidth="1"/>
    <col min="11060" max="11077" width="8.85546875" style="99" customWidth="1"/>
    <col min="11078" max="11078" width="30.28515625" style="99" bestFit="1" customWidth="1"/>
    <col min="11079" max="11079" width="20.7109375" style="99" customWidth="1"/>
    <col min="11080" max="11080" width="13.42578125" style="99" customWidth="1"/>
    <col min="11081" max="11081" width="8.85546875" style="99" customWidth="1"/>
    <col min="11082" max="11082" width="11.7109375" style="99" bestFit="1" customWidth="1"/>
    <col min="11083" max="11250" width="8.85546875" style="99" customWidth="1"/>
    <col min="11251" max="11251" width="29.7109375" style="99" customWidth="1"/>
    <col min="11252" max="11254" width="14.28515625" style="99" customWidth="1"/>
    <col min="11255" max="11255" width="2.7109375" style="99" customWidth="1"/>
    <col min="11256" max="11259" width="14.28515625" style="99"/>
    <col min="11260" max="11260" width="9.28515625" style="99" bestFit="1" customWidth="1"/>
    <col min="11261" max="11261" width="48.140625" style="99" customWidth="1"/>
    <col min="11262" max="11262" width="15.85546875" style="99" bestFit="1" customWidth="1"/>
    <col min="11263" max="11263" width="14.85546875" style="99" bestFit="1" customWidth="1"/>
    <col min="11264" max="11264" width="14.7109375" style="99" bestFit="1" customWidth="1"/>
    <col min="11265" max="11265" width="2.7109375" style="99" customWidth="1"/>
    <col min="11266" max="11266" width="15.85546875" style="99" bestFit="1" customWidth="1"/>
    <col min="11267" max="11268" width="14.5703125" style="99" bestFit="1" customWidth="1"/>
    <col min="11269" max="11269" width="2.7109375" style="99" customWidth="1"/>
    <col min="11270" max="11270" width="15.7109375" style="99" bestFit="1" customWidth="1"/>
    <col min="11271" max="11271" width="13.7109375" style="99" bestFit="1" customWidth="1"/>
    <col min="11272" max="11272" width="13.42578125" style="99" bestFit="1" customWidth="1"/>
    <col min="11273" max="11283" width="10.5703125" style="99" bestFit="1" customWidth="1"/>
    <col min="11284" max="11284" width="13.5703125" style="99" customWidth="1"/>
    <col min="11285" max="11285" width="16.5703125" style="99" customWidth="1"/>
    <col min="11286" max="11286" width="14.42578125" style="99" customWidth="1"/>
    <col min="11287" max="11287" width="13.28515625" style="99" bestFit="1" customWidth="1"/>
    <col min="11288" max="11288" width="13.42578125" style="99" bestFit="1" customWidth="1"/>
    <col min="11289" max="11289" width="13" style="99" customWidth="1"/>
    <col min="11290" max="11290" width="11.5703125" style="99" customWidth="1"/>
    <col min="11291" max="11291" width="13.140625" style="99" customWidth="1"/>
    <col min="11292" max="11293" width="11.5703125" style="99" customWidth="1"/>
    <col min="11294" max="11294" width="12.42578125" style="99" customWidth="1"/>
    <col min="11295" max="11295" width="13.5703125" style="99" customWidth="1"/>
    <col min="11296" max="11296" width="13.140625" style="99" bestFit="1" customWidth="1"/>
    <col min="11297" max="11297" width="18.85546875" style="99" customWidth="1"/>
    <col min="11298" max="11299" width="14.140625" style="99" customWidth="1"/>
    <col min="11300" max="11300" width="13.85546875" style="99" customWidth="1"/>
    <col min="11301" max="11301" width="14.140625" style="99" customWidth="1"/>
    <col min="11302" max="11302" width="13.7109375" style="99" customWidth="1"/>
    <col min="11303" max="11303" width="17.140625" style="99" customWidth="1"/>
    <col min="11304" max="11304" width="15.42578125" style="99" customWidth="1"/>
    <col min="11305" max="11305" width="18" style="99" customWidth="1"/>
    <col min="11306" max="11306" width="13.7109375" style="99" bestFit="1" customWidth="1"/>
    <col min="11307" max="11307" width="14.140625" style="99" bestFit="1" customWidth="1"/>
    <col min="11308" max="11308" width="14" style="99" bestFit="1" customWidth="1"/>
    <col min="11309" max="11309" width="14.85546875" style="99" bestFit="1" customWidth="1"/>
    <col min="11310" max="11310" width="15.7109375" style="99" customWidth="1"/>
    <col min="11311" max="11311" width="5.85546875" style="99" customWidth="1"/>
    <col min="11312" max="11312" width="9.28515625" style="99" customWidth="1"/>
    <col min="11313" max="11313" width="14.85546875" style="99" customWidth="1"/>
    <col min="11314" max="11314" width="12.85546875" style="99" bestFit="1" customWidth="1"/>
    <col min="11315" max="11315" width="12.85546875" style="99" customWidth="1"/>
    <col min="11316" max="11333" width="8.85546875" style="99" customWidth="1"/>
    <col min="11334" max="11334" width="30.28515625" style="99" bestFit="1" customWidth="1"/>
    <col min="11335" max="11335" width="20.7109375" style="99" customWidth="1"/>
    <col min="11336" max="11336" width="13.42578125" style="99" customWidth="1"/>
    <col min="11337" max="11337" width="8.85546875" style="99" customWidth="1"/>
    <col min="11338" max="11338" width="11.7109375" style="99" bestFit="1" customWidth="1"/>
    <col min="11339" max="11506" width="8.85546875" style="99" customWidth="1"/>
    <col min="11507" max="11507" width="29.7109375" style="99" customWidth="1"/>
    <col min="11508" max="11510" width="14.28515625" style="99" customWidth="1"/>
    <col min="11511" max="11511" width="2.7109375" style="99" customWidth="1"/>
    <col min="11512" max="11515" width="14.28515625" style="99"/>
    <col min="11516" max="11516" width="9.28515625" style="99" bestFit="1" customWidth="1"/>
    <col min="11517" max="11517" width="48.140625" style="99" customWidth="1"/>
    <col min="11518" max="11518" width="15.85546875" style="99" bestFit="1" customWidth="1"/>
    <col min="11519" max="11519" width="14.85546875" style="99" bestFit="1" customWidth="1"/>
    <col min="11520" max="11520" width="14.7109375" style="99" bestFit="1" customWidth="1"/>
    <col min="11521" max="11521" width="2.7109375" style="99" customWidth="1"/>
    <col min="11522" max="11522" width="15.85546875" style="99" bestFit="1" customWidth="1"/>
    <col min="11523" max="11524" width="14.5703125" style="99" bestFit="1" customWidth="1"/>
    <col min="11525" max="11525" width="2.7109375" style="99" customWidth="1"/>
    <col min="11526" max="11526" width="15.7109375" style="99" bestFit="1" customWidth="1"/>
    <col min="11527" max="11527" width="13.7109375" style="99" bestFit="1" customWidth="1"/>
    <col min="11528" max="11528" width="13.42578125" style="99" bestFit="1" customWidth="1"/>
    <col min="11529" max="11539" width="10.5703125" style="99" bestFit="1" customWidth="1"/>
    <col min="11540" max="11540" width="13.5703125" style="99" customWidth="1"/>
    <col min="11541" max="11541" width="16.5703125" style="99" customWidth="1"/>
    <col min="11542" max="11542" width="14.42578125" style="99" customWidth="1"/>
    <col min="11543" max="11543" width="13.28515625" style="99" bestFit="1" customWidth="1"/>
    <col min="11544" max="11544" width="13.42578125" style="99" bestFit="1" customWidth="1"/>
    <col min="11545" max="11545" width="13" style="99" customWidth="1"/>
    <col min="11546" max="11546" width="11.5703125" style="99" customWidth="1"/>
    <col min="11547" max="11547" width="13.140625" style="99" customWidth="1"/>
    <col min="11548" max="11549" width="11.5703125" style="99" customWidth="1"/>
    <col min="11550" max="11550" width="12.42578125" style="99" customWidth="1"/>
    <col min="11551" max="11551" width="13.5703125" style="99" customWidth="1"/>
    <col min="11552" max="11552" width="13.140625" style="99" bestFit="1" customWidth="1"/>
    <col min="11553" max="11553" width="18.85546875" style="99" customWidth="1"/>
    <col min="11554" max="11555" width="14.140625" style="99" customWidth="1"/>
    <col min="11556" max="11556" width="13.85546875" style="99" customWidth="1"/>
    <col min="11557" max="11557" width="14.140625" style="99" customWidth="1"/>
    <col min="11558" max="11558" width="13.7109375" style="99" customWidth="1"/>
    <col min="11559" max="11559" width="17.140625" style="99" customWidth="1"/>
    <col min="11560" max="11560" width="15.42578125" style="99" customWidth="1"/>
    <col min="11561" max="11561" width="18" style="99" customWidth="1"/>
    <col min="11562" max="11562" width="13.7109375" style="99" bestFit="1" customWidth="1"/>
    <col min="11563" max="11563" width="14.140625" style="99" bestFit="1" customWidth="1"/>
    <col min="11564" max="11564" width="14" style="99" bestFit="1" customWidth="1"/>
    <col min="11565" max="11565" width="14.85546875" style="99" bestFit="1" customWidth="1"/>
    <col min="11566" max="11566" width="15.7109375" style="99" customWidth="1"/>
    <col min="11567" max="11567" width="5.85546875" style="99" customWidth="1"/>
    <col min="11568" max="11568" width="9.28515625" style="99" customWidth="1"/>
    <col min="11569" max="11569" width="14.85546875" style="99" customWidth="1"/>
    <col min="11570" max="11570" width="12.85546875" style="99" bestFit="1" customWidth="1"/>
    <col min="11571" max="11571" width="12.85546875" style="99" customWidth="1"/>
    <col min="11572" max="11589" width="8.85546875" style="99" customWidth="1"/>
    <col min="11590" max="11590" width="30.28515625" style="99" bestFit="1" customWidth="1"/>
    <col min="11591" max="11591" width="20.7109375" style="99" customWidth="1"/>
    <col min="11592" max="11592" width="13.42578125" style="99" customWidth="1"/>
    <col min="11593" max="11593" width="8.85546875" style="99" customWidth="1"/>
    <col min="11594" max="11594" width="11.7109375" style="99" bestFit="1" customWidth="1"/>
    <col min="11595" max="11762" width="8.85546875" style="99" customWidth="1"/>
    <col min="11763" max="11763" width="29.7109375" style="99" customWidth="1"/>
    <col min="11764" max="11766" width="14.28515625" style="99" customWidth="1"/>
    <col min="11767" max="11767" width="2.7109375" style="99" customWidth="1"/>
    <col min="11768" max="11771" width="14.28515625" style="99"/>
    <col min="11772" max="11772" width="9.28515625" style="99" bestFit="1" customWidth="1"/>
    <col min="11773" max="11773" width="48.140625" style="99" customWidth="1"/>
    <col min="11774" max="11774" width="15.85546875" style="99" bestFit="1" customWidth="1"/>
    <col min="11775" max="11775" width="14.85546875" style="99" bestFit="1" customWidth="1"/>
    <col min="11776" max="11776" width="14.7109375" style="99" bestFit="1" customWidth="1"/>
    <col min="11777" max="11777" width="2.7109375" style="99" customWidth="1"/>
    <col min="11778" max="11778" width="15.85546875" style="99" bestFit="1" customWidth="1"/>
    <col min="11779" max="11780" width="14.5703125" style="99" bestFit="1" customWidth="1"/>
    <col min="11781" max="11781" width="2.7109375" style="99" customWidth="1"/>
    <col min="11782" max="11782" width="15.7109375" style="99" bestFit="1" customWidth="1"/>
    <col min="11783" max="11783" width="13.7109375" style="99" bestFit="1" customWidth="1"/>
    <col min="11784" max="11784" width="13.42578125" style="99" bestFit="1" customWidth="1"/>
    <col min="11785" max="11795" width="10.5703125" style="99" bestFit="1" customWidth="1"/>
    <col min="11796" max="11796" width="13.5703125" style="99" customWidth="1"/>
    <col min="11797" max="11797" width="16.5703125" style="99" customWidth="1"/>
    <col min="11798" max="11798" width="14.42578125" style="99" customWidth="1"/>
    <col min="11799" max="11799" width="13.28515625" style="99" bestFit="1" customWidth="1"/>
    <col min="11800" max="11800" width="13.42578125" style="99" bestFit="1" customWidth="1"/>
    <col min="11801" max="11801" width="13" style="99" customWidth="1"/>
    <col min="11802" max="11802" width="11.5703125" style="99" customWidth="1"/>
    <col min="11803" max="11803" width="13.140625" style="99" customWidth="1"/>
    <col min="11804" max="11805" width="11.5703125" style="99" customWidth="1"/>
    <col min="11806" max="11806" width="12.42578125" style="99" customWidth="1"/>
    <col min="11807" max="11807" width="13.5703125" style="99" customWidth="1"/>
    <col min="11808" max="11808" width="13.140625" style="99" bestFit="1" customWidth="1"/>
    <col min="11809" max="11809" width="18.85546875" style="99" customWidth="1"/>
    <col min="11810" max="11811" width="14.140625" style="99" customWidth="1"/>
    <col min="11812" max="11812" width="13.85546875" style="99" customWidth="1"/>
    <col min="11813" max="11813" width="14.140625" style="99" customWidth="1"/>
    <col min="11814" max="11814" width="13.7109375" style="99" customWidth="1"/>
    <col min="11815" max="11815" width="17.140625" style="99" customWidth="1"/>
    <col min="11816" max="11816" width="15.42578125" style="99" customWidth="1"/>
    <col min="11817" max="11817" width="18" style="99" customWidth="1"/>
    <col min="11818" max="11818" width="13.7109375" style="99" bestFit="1" customWidth="1"/>
    <col min="11819" max="11819" width="14.140625" style="99" bestFit="1" customWidth="1"/>
    <col min="11820" max="11820" width="14" style="99" bestFit="1" customWidth="1"/>
    <col min="11821" max="11821" width="14.85546875" style="99" bestFit="1" customWidth="1"/>
    <col min="11822" max="11822" width="15.7109375" style="99" customWidth="1"/>
    <col min="11823" max="11823" width="5.85546875" style="99" customWidth="1"/>
    <col min="11824" max="11824" width="9.28515625" style="99" customWidth="1"/>
    <col min="11825" max="11825" width="14.85546875" style="99" customWidth="1"/>
    <col min="11826" max="11826" width="12.85546875" style="99" bestFit="1" customWidth="1"/>
    <col min="11827" max="11827" width="12.85546875" style="99" customWidth="1"/>
    <col min="11828" max="11845" width="8.85546875" style="99" customWidth="1"/>
    <col min="11846" max="11846" width="30.28515625" style="99" bestFit="1" customWidth="1"/>
    <col min="11847" max="11847" width="20.7109375" style="99" customWidth="1"/>
    <col min="11848" max="11848" width="13.42578125" style="99" customWidth="1"/>
    <col min="11849" max="11849" width="8.85546875" style="99" customWidth="1"/>
    <col min="11850" max="11850" width="11.7109375" style="99" bestFit="1" customWidth="1"/>
    <col min="11851" max="12018" width="8.85546875" style="99" customWidth="1"/>
    <col min="12019" max="12019" width="29.7109375" style="99" customWidth="1"/>
    <col min="12020" max="12022" width="14.28515625" style="99" customWidth="1"/>
    <col min="12023" max="12023" width="2.7109375" style="99" customWidth="1"/>
    <col min="12024" max="12027" width="14.28515625" style="99"/>
    <col min="12028" max="12028" width="9.28515625" style="99" bestFit="1" customWidth="1"/>
    <col min="12029" max="12029" width="48.140625" style="99" customWidth="1"/>
    <col min="12030" max="12030" width="15.85546875" style="99" bestFit="1" customWidth="1"/>
    <col min="12031" max="12031" width="14.85546875" style="99" bestFit="1" customWidth="1"/>
    <col min="12032" max="12032" width="14.7109375" style="99" bestFit="1" customWidth="1"/>
    <col min="12033" max="12033" width="2.7109375" style="99" customWidth="1"/>
    <col min="12034" max="12034" width="15.85546875" style="99" bestFit="1" customWidth="1"/>
    <col min="12035" max="12036" width="14.5703125" style="99" bestFit="1" customWidth="1"/>
    <col min="12037" max="12037" width="2.7109375" style="99" customWidth="1"/>
    <col min="12038" max="12038" width="15.7109375" style="99" bestFit="1" customWidth="1"/>
    <col min="12039" max="12039" width="13.7109375" style="99" bestFit="1" customWidth="1"/>
    <col min="12040" max="12040" width="13.42578125" style="99" bestFit="1" customWidth="1"/>
    <col min="12041" max="12051" width="10.5703125" style="99" bestFit="1" customWidth="1"/>
    <col min="12052" max="12052" width="13.5703125" style="99" customWidth="1"/>
    <col min="12053" max="12053" width="16.5703125" style="99" customWidth="1"/>
    <col min="12054" max="12054" width="14.42578125" style="99" customWidth="1"/>
    <col min="12055" max="12055" width="13.28515625" style="99" bestFit="1" customWidth="1"/>
    <col min="12056" max="12056" width="13.42578125" style="99" bestFit="1" customWidth="1"/>
    <col min="12057" max="12057" width="13" style="99" customWidth="1"/>
    <col min="12058" max="12058" width="11.5703125" style="99" customWidth="1"/>
    <col min="12059" max="12059" width="13.140625" style="99" customWidth="1"/>
    <col min="12060" max="12061" width="11.5703125" style="99" customWidth="1"/>
    <col min="12062" max="12062" width="12.42578125" style="99" customWidth="1"/>
    <col min="12063" max="12063" width="13.5703125" style="99" customWidth="1"/>
    <col min="12064" max="12064" width="13.140625" style="99" bestFit="1" customWidth="1"/>
    <col min="12065" max="12065" width="18.85546875" style="99" customWidth="1"/>
    <col min="12066" max="12067" width="14.140625" style="99" customWidth="1"/>
    <col min="12068" max="12068" width="13.85546875" style="99" customWidth="1"/>
    <col min="12069" max="12069" width="14.140625" style="99" customWidth="1"/>
    <col min="12070" max="12070" width="13.7109375" style="99" customWidth="1"/>
    <col min="12071" max="12071" width="17.140625" style="99" customWidth="1"/>
    <col min="12072" max="12072" width="15.42578125" style="99" customWidth="1"/>
    <col min="12073" max="12073" width="18" style="99" customWidth="1"/>
    <col min="12074" max="12074" width="13.7109375" style="99" bestFit="1" customWidth="1"/>
    <col min="12075" max="12075" width="14.140625" style="99" bestFit="1" customWidth="1"/>
    <col min="12076" max="12076" width="14" style="99" bestFit="1" customWidth="1"/>
    <col min="12077" max="12077" width="14.85546875" style="99" bestFit="1" customWidth="1"/>
    <col min="12078" max="12078" width="15.7109375" style="99" customWidth="1"/>
    <col min="12079" max="12079" width="5.85546875" style="99" customWidth="1"/>
    <col min="12080" max="12080" width="9.28515625" style="99" customWidth="1"/>
    <col min="12081" max="12081" width="14.85546875" style="99" customWidth="1"/>
    <col min="12082" max="12082" width="12.85546875" style="99" bestFit="1" customWidth="1"/>
    <col min="12083" max="12083" width="12.85546875" style="99" customWidth="1"/>
    <col min="12084" max="12101" width="8.85546875" style="99" customWidth="1"/>
    <col min="12102" max="12102" width="30.28515625" style="99" bestFit="1" customWidth="1"/>
    <col min="12103" max="12103" width="20.7109375" style="99" customWidth="1"/>
    <col min="12104" max="12104" width="13.42578125" style="99" customWidth="1"/>
    <col min="12105" max="12105" width="8.85546875" style="99" customWidth="1"/>
    <col min="12106" max="12106" width="11.7109375" style="99" bestFit="1" customWidth="1"/>
    <col min="12107" max="12274" width="8.85546875" style="99" customWidth="1"/>
    <col min="12275" max="12275" width="29.7109375" style="99" customWidth="1"/>
    <col min="12276" max="12278" width="14.28515625" style="99" customWidth="1"/>
    <col min="12279" max="12279" width="2.7109375" style="99" customWidth="1"/>
    <col min="12280" max="12283" width="14.28515625" style="99"/>
    <col min="12284" max="12284" width="9.28515625" style="99" bestFit="1" customWidth="1"/>
    <col min="12285" max="12285" width="48.140625" style="99" customWidth="1"/>
    <col min="12286" max="12286" width="15.85546875" style="99" bestFit="1" customWidth="1"/>
    <col min="12287" max="12287" width="14.85546875" style="99" bestFit="1" customWidth="1"/>
    <col min="12288" max="12288" width="14.7109375" style="99" bestFit="1" customWidth="1"/>
    <col min="12289" max="12289" width="2.7109375" style="99" customWidth="1"/>
    <col min="12290" max="12290" width="15.85546875" style="99" bestFit="1" customWidth="1"/>
    <col min="12291" max="12292" width="14.5703125" style="99" bestFit="1" customWidth="1"/>
    <col min="12293" max="12293" width="2.7109375" style="99" customWidth="1"/>
    <col min="12294" max="12294" width="15.7109375" style="99" bestFit="1" customWidth="1"/>
    <col min="12295" max="12295" width="13.7109375" style="99" bestFit="1" customWidth="1"/>
    <col min="12296" max="12296" width="13.42578125" style="99" bestFit="1" customWidth="1"/>
    <col min="12297" max="12307" width="10.5703125" style="99" bestFit="1" customWidth="1"/>
    <col min="12308" max="12308" width="13.5703125" style="99" customWidth="1"/>
    <col min="12309" max="12309" width="16.5703125" style="99" customWidth="1"/>
    <col min="12310" max="12310" width="14.42578125" style="99" customWidth="1"/>
    <col min="12311" max="12311" width="13.28515625" style="99" bestFit="1" customWidth="1"/>
    <col min="12312" max="12312" width="13.42578125" style="99" bestFit="1" customWidth="1"/>
    <col min="12313" max="12313" width="13" style="99" customWidth="1"/>
    <col min="12314" max="12314" width="11.5703125" style="99" customWidth="1"/>
    <col min="12315" max="12315" width="13.140625" style="99" customWidth="1"/>
    <col min="12316" max="12317" width="11.5703125" style="99" customWidth="1"/>
    <col min="12318" max="12318" width="12.42578125" style="99" customWidth="1"/>
    <col min="12319" max="12319" width="13.5703125" style="99" customWidth="1"/>
    <col min="12320" max="12320" width="13.140625" style="99" bestFit="1" customWidth="1"/>
    <col min="12321" max="12321" width="18.85546875" style="99" customWidth="1"/>
    <col min="12322" max="12323" width="14.140625" style="99" customWidth="1"/>
    <col min="12324" max="12324" width="13.85546875" style="99" customWidth="1"/>
    <col min="12325" max="12325" width="14.140625" style="99" customWidth="1"/>
    <col min="12326" max="12326" width="13.7109375" style="99" customWidth="1"/>
    <col min="12327" max="12327" width="17.140625" style="99" customWidth="1"/>
    <col min="12328" max="12328" width="15.42578125" style="99" customWidth="1"/>
    <col min="12329" max="12329" width="18" style="99" customWidth="1"/>
    <col min="12330" max="12330" width="13.7109375" style="99" bestFit="1" customWidth="1"/>
    <col min="12331" max="12331" width="14.140625" style="99" bestFit="1" customWidth="1"/>
    <col min="12332" max="12332" width="14" style="99" bestFit="1" customWidth="1"/>
    <col min="12333" max="12333" width="14.85546875" style="99" bestFit="1" customWidth="1"/>
    <col min="12334" max="12334" width="15.7109375" style="99" customWidth="1"/>
    <col min="12335" max="12335" width="5.85546875" style="99" customWidth="1"/>
    <col min="12336" max="12336" width="9.28515625" style="99" customWidth="1"/>
    <col min="12337" max="12337" width="14.85546875" style="99" customWidth="1"/>
    <col min="12338" max="12338" width="12.85546875" style="99" bestFit="1" customWidth="1"/>
    <col min="12339" max="12339" width="12.85546875" style="99" customWidth="1"/>
    <col min="12340" max="12357" width="8.85546875" style="99" customWidth="1"/>
    <col min="12358" max="12358" width="30.28515625" style="99" bestFit="1" customWidth="1"/>
    <col min="12359" max="12359" width="20.7109375" style="99" customWidth="1"/>
    <col min="12360" max="12360" width="13.42578125" style="99" customWidth="1"/>
    <col min="12361" max="12361" width="8.85546875" style="99" customWidth="1"/>
    <col min="12362" max="12362" width="11.7109375" style="99" bestFit="1" customWidth="1"/>
    <col min="12363" max="12530" width="8.85546875" style="99" customWidth="1"/>
    <col min="12531" max="12531" width="29.7109375" style="99" customWidth="1"/>
    <col min="12532" max="12534" width="14.28515625" style="99" customWidth="1"/>
    <col min="12535" max="12535" width="2.7109375" style="99" customWidth="1"/>
    <col min="12536" max="12539" width="14.28515625" style="99"/>
    <col min="12540" max="12540" width="9.28515625" style="99" bestFit="1" customWidth="1"/>
    <col min="12541" max="12541" width="48.140625" style="99" customWidth="1"/>
    <col min="12542" max="12542" width="15.85546875" style="99" bestFit="1" customWidth="1"/>
    <col min="12543" max="12543" width="14.85546875" style="99" bestFit="1" customWidth="1"/>
    <col min="12544" max="12544" width="14.7109375" style="99" bestFit="1" customWidth="1"/>
    <col min="12545" max="12545" width="2.7109375" style="99" customWidth="1"/>
    <col min="12546" max="12546" width="15.85546875" style="99" bestFit="1" customWidth="1"/>
    <col min="12547" max="12548" width="14.5703125" style="99" bestFit="1" customWidth="1"/>
    <col min="12549" max="12549" width="2.7109375" style="99" customWidth="1"/>
    <col min="12550" max="12550" width="15.7109375" style="99" bestFit="1" customWidth="1"/>
    <col min="12551" max="12551" width="13.7109375" style="99" bestFit="1" customWidth="1"/>
    <col min="12552" max="12552" width="13.42578125" style="99" bestFit="1" customWidth="1"/>
    <col min="12553" max="12563" width="10.5703125" style="99" bestFit="1" customWidth="1"/>
    <col min="12564" max="12564" width="13.5703125" style="99" customWidth="1"/>
    <col min="12565" max="12565" width="16.5703125" style="99" customWidth="1"/>
    <col min="12566" max="12566" width="14.42578125" style="99" customWidth="1"/>
    <col min="12567" max="12567" width="13.28515625" style="99" bestFit="1" customWidth="1"/>
    <col min="12568" max="12568" width="13.42578125" style="99" bestFit="1" customWidth="1"/>
    <col min="12569" max="12569" width="13" style="99" customWidth="1"/>
    <col min="12570" max="12570" width="11.5703125" style="99" customWidth="1"/>
    <col min="12571" max="12571" width="13.140625" style="99" customWidth="1"/>
    <col min="12572" max="12573" width="11.5703125" style="99" customWidth="1"/>
    <col min="12574" max="12574" width="12.42578125" style="99" customWidth="1"/>
    <col min="12575" max="12575" width="13.5703125" style="99" customWidth="1"/>
    <col min="12576" max="12576" width="13.140625" style="99" bestFit="1" customWidth="1"/>
    <col min="12577" max="12577" width="18.85546875" style="99" customWidth="1"/>
    <col min="12578" max="12579" width="14.140625" style="99" customWidth="1"/>
    <col min="12580" max="12580" width="13.85546875" style="99" customWidth="1"/>
    <col min="12581" max="12581" width="14.140625" style="99" customWidth="1"/>
    <col min="12582" max="12582" width="13.7109375" style="99" customWidth="1"/>
    <col min="12583" max="12583" width="17.140625" style="99" customWidth="1"/>
    <col min="12584" max="12584" width="15.42578125" style="99" customWidth="1"/>
    <col min="12585" max="12585" width="18" style="99" customWidth="1"/>
    <col min="12586" max="12586" width="13.7109375" style="99" bestFit="1" customWidth="1"/>
    <col min="12587" max="12587" width="14.140625" style="99" bestFit="1" customWidth="1"/>
    <col min="12588" max="12588" width="14" style="99" bestFit="1" customWidth="1"/>
    <col min="12589" max="12589" width="14.85546875" style="99" bestFit="1" customWidth="1"/>
    <col min="12590" max="12590" width="15.7109375" style="99" customWidth="1"/>
    <col min="12591" max="12591" width="5.85546875" style="99" customWidth="1"/>
    <col min="12592" max="12592" width="9.28515625" style="99" customWidth="1"/>
    <col min="12593" max="12593" width="14.85546875" style="99" customWidth="1"/>
    <col min="12594" max="12594" width="12.85546875" style="99" bestFit="1" customWidth="1"/>
    <col min="12595" max="12595" width="12.85546875" style="99" customWidth="1"/>
    <col min="12596" max="12613" width="8.85546875" style="99" customWidth="1"/>
    <col min="12614" max="12614" width="30.28515625" style="99" bestFit="1" customWidth="1"/>
    <col min="12615" max="12615" width="20.7109375" style="99" customWidth="1"/>
    <col min="12616" max="12616" width="13.42578125" style="99" customWidth="1"/>
    <col min="12617" max="12617" width="8.85546875" style="99" customWidth="1"/>
    <col min="12618" max="12618" width="11.7109375" style="99" bestFit="1" customWidth="1"/>
    <col min="12619" max="12786" width="8.85546875" style="99" customWidth="1"/>
    <col min="12787" max="12787" width="29.7109375" style="99" customWidth="1"/>
    <col min="12788" max="12790" width="14.28515625" style="99" customWidth="1"/>
    <col min="12791" max="12791" width="2.7109375" style="99" customWidth="1"/>
    <col min="12792" max="12795" width="14.28515625" style="99"/>
    <col min="12796" max="12796" width="9.28515625" style="99" bestFit="1" customWidth="1"/>
    <col min="12797" max="12797" width="48.140625" style="99" customWidth="1"/>
    <col min="12798" max="12798" width="15.85546875" style="99" bestFit="1" customWidth="1"/>
    <col min="12799" max="12799" width="14.85546875" style="99" bestFit="1" customWidth="1"/>
    <col min="12800" max="12800" width="14.7109375" style="99" bestFit="1" customWidth="1"/>
    <col min="12801" max="12801" width="2.7109375" style="99" customWidth="1"/>
    <col min="12802" max="12802" width="15.85546875" style="99" bestFit="1" customWidth="1"/>
    <col min="12803" max="12804" width="14.5703125" style="99" bestFit="1" customWidth="1"/>
    <col min="12805" max="12805" width="2.7109375" style="99" customWidth="1"/>
    <col min="12806" max="12806" width="15.7109375" style="99" bestFit="1" customWidth="1"/>
    <col min="12807" max="12807" width="13.7109375" style="99" bestFit="1" customWidth="1"/>
    <col min="12808" max="12808" width="13.42578125" style="99" bestFit="1" customWidth="1"/>
    <col min="12809" max="12819" width="10.5703125" style="99" bestFit="1" customWidth="1"/>
    <col min="12820" max="12820" width="13.5703125" style="99" customWidth="1"/>
    <col min="12821" max="12821" width="16.5703125" style="99" customWidth="1"/>
    <col min="12822" max="12822" width="14.42578125" style="99" customWidth="1"/>
    <col min="12823" max="12823" width="13.28515625" style="99" bestFit="1" customWidth="1"/>
    <col min="12824" max="12824" width="13.42578125" style="99" bestFit="1" customWidth="1"/>
    <col min="12825" max="12825" width="13" style="99" customWidth="1"/>
    <col min="12826" max="12826" width="11.5703125" style="99" customWidth="1"/>
    <col min="12827" max="12827" width="13.140625" style="99" customWidth="1"/>
    <col min="12828" max="12829" width="11.5703125" style="99" customWidth="1"/>
    <col min="12830" max="12830" width="12.42578125" style="99" customWidth="1"/>
    <col min="12831" max="12831" width="13.5703125" style="99" customWidth="1"/>
    <col min="12832" max="12832" width="13.140625" style="99" bestFit="1" customWidth="1"/>
    <col min="12833" max="12833" width="18.85546875" style="99" customWidth="1"/>
    <col min="12834" max="12835" width="14.140625" style="99" customWidth="1"/>
    <col min="12836" max="12836" width="13.85546875" style="99" customWidth="1"/>
    <col min="12837" max="12837" width="14.140625" style="99" customWidth="1"/>
    <col min="12838" max="12838" width="13.7109375" style="99" customWidth="1"/>
    <col min="12839" max="12839" width="17.140625" style="99" customWidth="1"/>
    <col min="12840" max="12840" width="15.42578125" style="99" customWidth="1"/>
    <col min="12841" max="12841" width="18" style="99" customWidth="1"/>
    <col min="12842" max="12842" width="13.7109375" style="99" bestFit="1" customWidth="1"/>
    <col min="12843" max="12843" width="14.140625" style="99" bestFit="1" customWidth="1"/>
    <col min="12844" max="12844" width="14" style="99" bestFit="1" customWidth="1"/>
    <col min="12845" max="12845" width="14.85546875" style="99" bestFit="1" customWidth="1"/>
    <col min="12846" max="12846" width="15.7109375" style="99" customWidth="1"/>
    <col min="12847" max="12847" width="5.85546875" style="99" customWidth="1"/>
    <col min="12848" max="12848" width="9.28515625" style="99" customWidth="1"/>
    <col min="12849" max="12849" width="14.85546875" style="99" customWidth="1"/>
    <col min="12850" max="12850" width="12.85546875" style="99" bestFit="1" customWidth="1"/>
    <col min="12851" max="12851" width="12.85546875" style="99" customWidth="1"/>
    <col min="12852" max="12869" width="8.85546875" style="99" customWidth="1"/>
    <col min="12870" max="12870" width="30.28515625" style="99" bestFit="1" customWidth="1"/>
    <col min="12871" max="12871" width="20.7109375" style="99" customWidth="1"/>
    <col min="12872" max="12872" width="13.42578125" style="99" customWidth="1"/>
    <col min="12873" max="12873" width="8.85546875" style="99" customWidth="1"/>
    <col min="12874" max="12874" width="11.7109375" style="99" bestFit="1" customWidth="1"/>
    <col min="12875" max="13042" width="8.85546875" style="99" customWidth="1"/>
    <col min="13043" max="13043" width="29.7109375" style="99" customWidth="1"/>
    <col min="13044" max="13046" width="14.28515625" style="99" customWidth="1"/>
    <col min="13047" max="13047" width="2.7109375" style="99" customWidth="1"/>
    <col min="13048" max="13051" width="14.28515625" style="99"/>
    <col min="13052" max="13052" width="9.28515625" style="99" bestFit="1" customWidth="1"/>
    <col min="13053" max="13053" width="48.140625" style="99" customWidth="1"/>
    <col min="13054" max="13054" width="15.85546875" style="99" bestFit="1" customWidth="1"/>
    <col min="13055" max="13055" width="14.85546875" style="99" bestFit="1" customWidth="1"/>
    <col min="13056" max="13056" width="14.7109375" style="99" bestFit="1" customWidth="1"/>
    <col min="13057" max="13057" width="2.7109375" style="99" customWidth="1"/>
    <col min="13058" max="13058" width="15.85546875" style="99" bestFit="1" customWidth="1"/>
    <col min="13059" max="13060" width="14.5703125" style="99" bestFit="1" customWidth="1"/>
    <col min="13061" max="13061" width="2.7109375" style="99" customWidth="1"/>
    <col min="13062" max="13062" width="15.7109375" style="99" bestFit="1" customWidth="1"/>
    <col min="13063" max="13063" width="13.7109375" style="99" bestFit="1" customWidth="1"/>
    <col min="13064" max="13064" width="13.42578125" style="99" bestFit="1" customWidth="1"/>
    <col min="13065" max="13075" width="10.5703125" style="99" bestFit="1" customWidth="1"/>
    <col min="13076" max="13076" width="13.5703125" style="99" customWidth="1"/>
    <col min="13077" max="13077" width="16.5703125" style="99" customWidth="1"/>
    <col min="13078" max="13078" width="14.42578125" style="99" customWidth="1"/>
    <col min="13079" max="13079" width="13.28515625" style="99" bestFit="1" customWidth="1"/>
    <col min="13080" max="13080" width="13.42578125" style="99" bestFit="1" customWidth="1"/>
    <col min="13081" max="13081" width="13" style="99" customWidth="1"/>
    <col min="13082" max="13082" width="11.5703125" style="99" customWidth="1"/>
    <col min="13083" max="13083" width="13.140625" style="99" customWidth="1"/>
    <col min="13084" max="13085" width="11.5703125" style="99" customWidth="1"/>
    <col min="13086" max="13086" width="12.42578125" style="99" customWidth="1"/>
    <col min="13087" max="13087" width="13.5703125" style="99" customWidth="1"/>
    <col min="13088" max="13088" width="13.140625" style="99" bestFit="1" customWidth="1"/>
    <col min="13089" max="13089" width="18.85546875" style="99" customWidth="1"/>
    <col min="13090" max="13091" width="14.140625" style="99" customWidth="1"/>
    <col min="13092" max="13092" width="13.85546875" style="99" customWidth="1"/>
    <col min="13093" max="13093" width="14.140625" style="99" customWidth="1"/>
    <col min="13094" max="13094" width="13.7109375" style="99" customWidth="1"/>
    <col min="13095" max="13095" width="17.140625" style="99" customWidth="1"/>
    <col min="13096" max="13096" width="15.42578125" style="99" customWidth="1"/>
    <col min="13097" max="13097" width="18" style="99" customWidth="1"/>
    <col min="13098" max="13098" width="13.7109375" style="99" bestFit="1" customWidth="1"/>
    <col min="13099" max="13099" width="14.140625" style="99" bestFit="1" customWidth="1"/>
    <col min="13100" max="13100" width="14" style="99" bestFit="1" customWidth="1"/>
    <col min="13101" max="13101" width="14.85546875" style="99" bestFit="1" customWidth="1"/>
    <col min="13102" max="13102" width="15.7109375" style="99" customWidth="1"/>
    <col min="13103" max="13103" width="5.85546875" style="99" customWidth="1"/>
    <col min="13104" max="13104" width="9.28515625" style="99" customWidth="1"/>
    <col min="13105" max="13105" width="14.85546875" style="99" customWidth="1"/>
    <col min="13106" max="13106" width="12.85546875" style="99" bestFit="1" customWidth="1"/>
    <col min="13107" max="13107" width="12.85546875" style="99" customWidth="1"/>
    <col min="13108" max="13125" width="8.85546875" style="99" customWidth="1"/>
    <col min="13126" max="13126" width="30.28515625" style="99" bestFit="1" customWidth="1"/>
    <col min="13127" max="13127" width="20.7109375" style="99" customWidth="1"/>
    <col min="13128" max="13128" width="13.42578125" style="99" customWidth="1"/>
    <col min="13129" max="13129" width="8.85546875" style="99" customWidth="1"/>
    <col min="13130" max="13130" width="11.7109375" style="99" bestFit="1" customWidth="1"/>
    <col min="13131" max="13298" width="8.85546875" style="99" customWidth="1"/>
    <col min="13299" max="13299" width="29.7109375" style="99" customWidth="1"/>
    <col min="13300" max="13302" width="14.28515625" style="99" customWidth="1"/>
    <col min="13303" max="13303" width="2.7109375" style="99" customWidth="1"/>
    <col min="13304" max="13307" width="14.28515625" style="99"/>
    <col min="13308" max="13308" width="9.28515625" style="99" bestFit="1" customWidth="1"/>
    <col min="13309" max="13309" width="48.140625" style="99" customWidth="1"/>
    <col min="13310" max="13310" width="15.85546875" style="99" bestFit="1" customWidth="1"/>
    <col min="13311" max="13311" width="14.85546875" style="99" bestFit="1" customWidth="1"/>
    <col min="13312" max="13312" width="14.7109375" style="99" bestFit="1" customWidth="1"/>
    <col min="13313" max="13313" width="2.7109375" style="99" customWidth="1"/>
    <col min="13314" max="13314" width="15.85546875" style="99" bestFit="1" customWidth="1"/>
    <col min="13315" max="13316" width="14.5703125" style="99" bestFit="1" customWidth="1"/>
    <col min="13317" max="13317" width="2.7109375" style="99" customWidth="1"/>
    <col min="13318" max="13318" width="15.7109375" style="99" bestFit="1" customWidth="1"/>
    <col min="13319" max="13319" width="13.7109375" style="99" bestFit="1" customWidth="1"/>
    <col min="13320" max="13320" width="13.42578125" style="99" bestFit="1" customWidth="1"/>
    <col min="13321" max="13331" width="10.5703125" style="99" bestFit="1" customWidth="1"/>
    <col min="13332" max="13332" width="13.5703125" style="99" customWidth="1"/>
    <col min="13333" max="13333" width="16.5703125" style="99" customWidth="1"/>
    <col min="13334" max="13334" width="14.42578125" style="99" customWidth="1"/>
    <col min="13335" max="13335" width="13.28515625" style="99" bestFit="1" customWidth="1"/>
    <col min="13336" max="13336" width="13.42578125" style="99" bestFit="1" customWidth="1"/>
    <col min="13337" max="13337" width="13" style="99" customWidth="1"/>
    <col min="13338" max="13338" width="11.5703125" style="99" customWidth="1"/>
    <col min="13339" max="13339" width="13.140625" style="99" customWidth="1"/>
    <col min="13340" max="13341" width="11.5703125" style="99" customWidth="1"/>
    <col min="13342" max="13342" width="12.42578125" style="99" customWidth="1"/>
    <col min="13343" max="13343" width="13.5703125" style="99" customWidth="1"/>
    <col min="13344" max="13344" width="13.140625" style="99" bestFit="1" customWidth="1"/>
    <col min="13345" max="13345" width="18.85546875" style="99" customWidth="1"/>
    <col min="13346" max="13347" width="14.140625" style="99" customWidth="1"/>
    <col min="13348" max="13348" width="13.85546875" style="99" customWidth="1"/>
    <col min="13349" max="13349" width="14.140625" style="99" customWidth="1"/>
    <col min="13350" max="13350" width="13.7109375" style="99" customWidth="1"/>
    <col min="13351" max="13351" width="17.140625" style="99" customWidth="1"/>
    <col min="13352" max="13352" width="15.42578125" style="99" customWidth="1"/>
    <col min="13353" max="13353" width="18" style="99" customWidth="1"/>
    <col min="13354" max="13354" width="13.7109375" style="99" bestFit="1" customWidth="1"/>
    <col min="13355" max="13355" width="14.140625" style="99" bestFit="1" customWidth="1"/>
    <col min="13356" max="13356" width="14" style="99" bestFit="1" customWidth="1"/>
    <col min="13357" max="13357" width="14.85546875" style="99" bestFit="1" customWidth="1"/>
    <col min="13358" max="13358" width="15.7109375" style="99" customWidth="1"/>
    <col min="13359" max="13359" width="5.85546875" style="99" customWidth="1"/>
    <col min="13360" max="13360" width="9.28515625" style="99" customWidth="1"/>
    <col min="13361" max="13361" width="14.85546875" style="99" customWidth="1"/>
    <col min="13362" max="13362" width="12.85546875" style="99" bestFit="1" customWidth="1"/>
    <col min="13363" max="13363" width="12.85546875" style="99" customWidth="1"/>
    <col min="13364" max="13381" width="8.85546875" style="99" customWidth="1"/>
    <col min="13382" max="13382" width="30.28515625" style="99" bestFit="1" customWidth="1"/>
    <col min="13383" max="13383" width="20.7109375" style="99" customWidth="1"/>
    <col min="13384" max="13384" width="13.42578125" style="99" customWidth="1"/>
    <col min="13385" max="13385" width="8.85546875" style="99" customWidth="1"/>
    <col min="13386" max="13386" width="11.7109375" style="99" bestFit="1" customWidth="1"/>
    <col min="13387" max="13554" width="8.85546875" style="99" customWidth="1"/>
    <col min="13555" max="13555" width="29.7109375" style="99" customWidth="1"/>
    <col min="13556" max="13558" width="14.28515625" style="99" customWidth="1"/>
    <col min="13559" max="13559" width="2.7109375" style="99" customWidth="1"/>
    <col min="13560" max="13563" width="14.28515625" style="99"/>
    <col min="13564" max="13564" width="9.28515625" style="99" bestFit="1" customWidth="1"/>
    <col min="13565" max="13565" width="48.140625" style="99" customWidth="1"/>
    <col min="13566" max="13566" width="15.85546875" style="99" bestFit="1" customWidth="1"/>
    <col min="13567" max="13567" width="14.85546875" style="99" bestFit="1" customWidth="1"/>
    <col min="13568" max="13568" width="14.7109375" style="99" bestFit="1" customWidth="1"/>
    <col min="13569" max="13569" width="2.7109375" style="99" customWidth="1"/>
    <col min="13570" max="13570" width="15.85546875" style="99" bestFit="1" customWidth="1"/>
    <col min="13571" max="13572" width="14.5703125" style="99" bestFit="1" customWidth="1"/>
    <col min="13573" max="13573" width="2.7109375" style="99" customWidth="1"/>
    <col min="13574" max="13574" width="15.7109375" style="99" bestFit="1" customWidth="1"/>
    <col min="13575" max="13575" width="13.7109375" style="99" bestFit="1" customWidth="1"/>
    <col min="13576" max="13576" width="13.42578125" style="99" bestFit="1" customWidth="1"/>
    <col min="13577" max="13587" width="10.5703125" style="99" bestFit="1" customWidth="1"/>
    <col min="13588" max="13588" width="13.5703125" style="99" customWidth="1"/>
    <col min="13589" max="13589" width="16.5703125" style="99" customWidth="1"/>
    <col min="13590" max="13590" width="14.42578125" style="99" customWidth="1"/>
    <col min="13591" max="13591" width="13.28515625" style="99" bestFit="1" customWidth="1"/>
    <col min="13592" max="13592" width="13.42578125" style="99" bestFit="1" customWidth="1"/>
    <col min="13593" max="13593" width="13" style="99" customWidth="1"/>
    <col min="13594" max="13594" width="11.5703125" style="99" customWidth="1"/>
    <col min="13595" max="13595" width="13.140625" style="99" customWidth="1"/>
    <col min="13596" max="13597" width="11.5703125" style="99" customWidth="1"/>
    <col min="13598" max="13598" width="12.42578125" style="99" customWidth="1"/>
    <col min="13599" max="13599" width="13.5703125" style="99" customWidth="1"/>
    <col min="13600" max="13600" width="13.140625" style="99" bestFit="1" customWidth="1"/>
    <col min="13601" max="13601" width="18.85546875" style="99" customWidth="1"/>
    <col min="13602" max="13603" width="14.140625" style="99" customWidth="1"/>
    <col min="13604" max="13604" width="13.85546875" style="99" customWidth="1"/>
    <col min="13605" max="13605" width="14.140625" style="99" customWidth="1"/>
    <col min="13606" max="13606" width="13.7109375" style="99" customWidth="1"/>
    <col min="13607" max="13607" width="17.140625" style="99" customWidth="1"/>
    <col min="13608" max="13608" width="15.42578125" style="99" customWidth="1"/>
    <col min="13609" max="13609" width="18" style="99" customWidth="1"/>
    <col min="13610" max="13610" width="13.7109375" style="99" bestFit="1" customWidth="1"/>
    <col min="13611" max="13611" width="14.140625" style="99" bestFit="1" customWidth="1"/>
    <col min="13612" max="13612" width="14" style="99" bestFit="1" customWidth="1"/>
    <col min="13613" max="13613" width="14.85546875" style="99" bestFit="1" customWidth="1"/>
    <col min="13614" max="13614" width="15.7109375" style="99" customWidth="1"/>
    <col min="13615" max="13615" width="5.85546875" style="99" customWidth="1"/>
    <col min="13616" max="13616" width="9.28515625" style="99" customWidth="1"/>
    <col min="13617" max="13617" width="14.85546875" style="99" customWidth="1"/>
    <col min="13618" max="13618" width="12.85546875" style="99" bestFit="1" customWidth="1"/>
    <col min="13619" max="13619" width="12.85546875" style="99" customWidth="1"/>
    <col min="13620" max="13637" width="8.85546875" style="99" customWidth="1"/>
    <col min="13638" max="13638" width="30.28515625" style="99" bestFit="1" customWidth="1"/>
    <col min="13639" max="13639" width="20.7109375" style="99" customWidth="1"/>
    <col min="13640" max="13640" width="13.42578125" style="99" customWidth="1"/>
    <col min="13641" max="13641" width="8.85546875" style="99" customWidth="1"/>
    <col min="13642" max="13642" width="11.7109375" style="99" bestFit="1" customWidth="1"/>
    <col min="13643" max="13810" width="8.85546875" style="99" customWidth="1"/>
    <col min="13811" max="13811" width="29.7109375" style="99" customWidth="1"/>
    <col min="13812" max="13814" width="14.28515625" style="99" customWidth="1"/>
    <col min="13815" max="13815" width="2.7109375" style="99" customWidth="1"/>
    <col min="13816" max="13819" width="14.28515625" style="99"/>
    <col min="13820" max="13820" width="9.28515625" style="99" bestFit="1" customWidth="1"/>
    <col min="13821" max="13821" width="48.140625" style="99" customWidth="1"/>
    <col min="13822" max="13822" width="15.85546875" style="99" bestFit="1" customWidth="1"/>
    <col min="13823" max="13823" width="14.85546875" style="99" bestFit="1" customWidth="1"/>
    <col min="13824" max="13824" width="14.7109375" style="99" bestFit="1" customWidth="1"/>
    <col min="13825" max="13825" width="2.7109375" style="99" customWidth="1"/>
    <col min="13826" max="13826" width="15.85546875" style="99" bestFit="1" customWidth="1"/>
    <col min="13827" max="13828" width="14.5703125" style="99" bestFit="1" customWidth="1"/>
    <col min="13829" max="13829" width="2.7109375" style="99" customWidth="1"/>
    <col min="13830" max="13830" width="15.7109375" style="99" bestFit="1" customWidth="1"/>
    <col min="13831" max="13831" width="13.7109375" style="99" bestFit="1" customWidth="1"/>
    <col min="13832" max="13832" width="13.42578125" style="99" bestFit="1" customWidth="1"/>
    <col min="13833" max="13843" width="10.5703125" style="99" bestFit="1" customWidth="1"/>
    <col min="13844" max="13844" width="13.5703125" style="99" customWidth="1"/>
    <col min="13845" max="13845" width="16.5703125" style="99" customWidth="1"/>
    <col min="13846" max="13846" width="14.42578125" style="99" customWidth="1"/>
    <col min="13847" max="13847" width="13.28515625" style="99" bestFit="1" customWidth="1"/>
    <col min="13848" max="13848" width="13.42578125" style="99" bestFit="1" customWidth="1"/>
    <col min="13849" max="13849" width="13" style="99" customWidth="1"/>
    <col min="13850" max="13850" width="11.5703125" style="99" customWidth="1"/>
    <col min="13851" max="13851" width="13.140625" style="99" customWidth="1"/>
    <col min="13852" max="13853" width="11.5703125" style="99" customWidth="1"/>
    <col min="13854" max="13854" width="12.42578125" style="99" customWidth="1"/>
    <col min="13855" max="13855" width="13.5703125" style="99" customWidth="1"/>
    <col min="13856" max="13856" width="13.140625" style="99" bestFit="1" customWidth="1"/>
    <col min="13857" max="13857" width="18.85546875" style="99" customWidth="1"/>
    <col min="13858" max="13859" width="14.140625" style="99" customWidth="1"/>
    <col min="13860" max="13860" width="13.85546875" style="99" customWidth="1"/>
    <col min="13861" max="13861" width="14.140625" style="99" customWidth="1"/>
    <col min="13862" max="13862" width="13.7109375" style="99" customWidth="1"/>
    <col min="13863" max="13863" width="17.140625" style="99" customWidth="1"/>
    <col min="13864" max="13864" width="15.42578125" style="99" customWidth="1"/>
    <col min="13865" max="13865" width="18" style="99" customWidth="1"/>
    <col min="13866" max="13866" width="13.7109375" style="99" bestFit="1" customWidth="1"/>
    <col min="13867" max="13867" width="14.140625" style="99" bestFit="1" customWidth="1"/>
    <col min="13868" max="13868" width="14" style="99" bestFit="1" customWidth="1"/>
    <col min="13869" max="13869" width="14.85546875" style="99" bestFit="1" customWidth="1"/>
    <col min="13870" max="13870" width="15.7109375" style="99" customWidth="1"/>
    <col min="13871" max="13871" width="5.85546875" style="99" customWidth="1"/>
    <col min="13872" max="13872" width="9.28515625" style="99" customWidth="1"/>
    <col min="13873" max="13873" width="14.85546875" style="99" customWidth="1"/>
    <col min="13874" max="13874" width="12.85546875" style="99" bestFit="1" customWidth="1"/>
    <col min="13875" max="13875" width="12.85546875" style="99" customWidth="1"/>
    <col min="13876" max="13893" width="8.85546875" style="99" customWidth="1"/>
    <col min="13894" max="13894" width="30.28515625" style="99" bestFit="1" customWidth="1"/>
    <col min="13895" max="13895" width="20.7109375" style="99" customWidth="1"/>
    <col min="13896" max="13896" width="13.42578125" style="99" customWidth="1"/>
    <col min="13897" max="13897" width="8.85546875" style="99" customWidth="1"/>
    <col min="13898" max="13898" width="11.7109375" style="99" bestFit="1" customWidth="1"/>
    <col min="13899" max="14066" width="8.85546875" style="99" customWidth="1"/>
    <col min="14067" max="14067" width="29.7109375" style="99" customWidth="1"/>
    <col min="14068" max="14070" width="14.28515625" style="99" customWidth="1"/>
    <col min="14071" max="14071" width="2.7109375" style="99" customWidth="1"/>
    <col min="14072" max="14075" width="14.28515625" style="99"/>
    <col min="14076" max="14076" width="9.28515625" style="99" bestFit="1" customWidth="1"/>
    <col min="14077" max="14077" width="48.140625" style="99" customWidth="1"/>
    <col min="14078" max="14078" width="15.85546875" style="99" bestFit="1" customWidth="1"/>
    <col min="14079" max="14079" width="14.85546875" style="99" bestFit="1" customWidth="1"/>
    <col min="14080" max="14080" width="14.7109375" style="99" bestFit="1" customWidth="1"/>
    <col min="14081" max="14081" width="2.7109375" style="99" customWidth="1"/>
    <col min="14082" max="14082" width="15.85546875" style="99" bestFit="1" customWidth="1"/>
    <col min="14083" max="14084" width="14.5703125" style="99" bestFit="1" customWidth="1"/>
    <col min="14085" max="14085" width="2.7109375" style="99" customWidth="1"/>
    <col min="14086" max="14086" width="15.7109375" style="99" bestFit="1" customWidth="1"/>
    <col min="14087" max="14087" width="13.7109375" style="99" bestFit="1" customWidth="1"/>
    <col min="14088" max="14088" width="13.42578125" style="99" bestFit="1" customWidth="1"/>
    <col min="14089" max="14099" width="10.5703125" style="99" bestFit="1" customWidth="1"/>
    <col min="14100" max="14100" width="13.5703125" style="99" customWidth="1"/>
    <col min="14101" max="14101" width="16.5703125" style="99" customWidth="1"/>
    <col min="14102" max="14102" width="14.42578125" style="99" customWidth="1"/>
    <col min="14103" max="14103" width="13.28515625" style="99" bestFit="1" customWidth="1"/>
    <col min="14104" max="14104" width="13.42578125" style="99" bestFit="1" customWidth="1"/>
    <col min="14105" max="14105" width="13" style="99" customWidth="1"/>
    <col min="14106" max="14106" width="11.5703125" style="99" customWidth="1"/>
    <col min="14107" max="14107" width="13.140625" style="99" customWidth="1"/>
    <col min="14108" max="14109" width="11.5703125" style="99" customWidth="1"/>
    <col min="14110" max="14110" width="12.42578125" style="99" customWidth="1"/>
    <col min="14111" max="14111" width="13.5703125" style="99" customWidth="1"/>
    <col min="14112" max="14112" width="13.140625" style="99" bestFit="1" customWidth="1"/>
    <col min="14113" max="14113" width="18.85546875" style="99" customWidth="1"/>
    <col min="14114" max="14115" width="14.140625" style="99" customWidth="1"/>
    <col min="14116" max="14116" width="13.85546875" style="99" customWidth="1"/>
    <col min="14117" max="14117" width="14.140625" style="99" customWidth="1"/>
    <col min="14118" max="14118" width="13.7109375" style="99" customWidth="1"/>
    <col min="14119" max="14119" width="17.140625" style="99" customWidth="1"/>
    <col min="14120" max="14120" width="15.42578125" style="99" customWidth="1"/>
    <col min="14121" max="14121" width="18" style="99" customWidth="1"/>
    <col min="14122" max="14122" width="13.7109375" style="99" bestFit="1" customWidth="1"/>
    <col min="14123" max="14123" width="14.140625" style="99" bestFit="1" customWidth="1"/>
    <col min="14124" max="14124" width="14" style="99" bestFit="1" customWidth="1"/>
    <col min="14125" max="14125" width="14.85546875" style="99" bestFit="1" customWidth="1"/>
    <col min="14126" max="14126" width="15.7109375" style="99" customWidth="1"/>
    <col min="14127" max="14127" width="5.85546875" style="99" customWidth="1"/>
    <col min="14128" max="14128" width="9.28515625" style="99" customWidth="1"/>
    <col min="14129" max="14129" width="14.85546875" style="99" customWidth="1"/>
    <col min="14130" max="14130" width="12.85546875" style="99" bestFit="1" customWidth="1"/>
    <col min="14131" max="14131" width="12.85546875" style="99" customWidth="1"/>
    <col min="14132" max="14149" width="8.85546875" style="99" customWidth="1"/>
    <col min="14150" max="14150" width="30.28515625" style="99" bestFit="1" customWidth="1"/>
    <col min="14151" max="14151" width="20.7109375" style="99" customWidth="1"/>
    <col min="14152" max="14152" width="13.42578125" style="99" customWidth="1"/>
    <col min="14153" max="14153" width="8.85546875" style="99" customWidth="1"/>
    <col min="14154" max="14154" width="11.7109375" style="99" bestFit="1" customWidth="1"/>
    <col min="14155" max="14322" width="8.85546875" style="99" customWidth="1"/>
    <col min="14323" max="14323" width="29.7109375" style="99" customWidth="1"/>
    <col min="14324" max="14326" width="14.28515625" style="99" customWidth="1"/>
    <col min="14327" max="14327" width="2.7109375" style="99" customWidth="1"/>
    <col min="14328" max="14331" width="14.28515625" style="99"/>
    <col min="14332" max="14332" width="9.28515625" style="99" bestFit="1" customWidth="1"/>
    <col min="14333" max="14333" width="48.140625" style="99" customWidth="1"/>
    <col min="14334" max="14334" width="15.85546875" style="99" bestFit="1" customWidth="1"/>
    <col min="14335" max="14335" width="14.85546875" style="99" bestFit="1" customWidth="1"/>
    <col min="14336" max="14336" width="14.7109375" style="99" bestFit="1" customWidth="1"/>
    <col min="14337" max="14337" width="2.7109375" style="99" customWidth="1"/>
    <col min="14338" max="14338" width="15.85546875" style="99" bestFit="1" customWidth="1"/>
    <col min="14339" max="14340" width="14.5703125" style="99" bestFit="1" customWidth="1"/>
    <col min="14341" max="14341" width="2.7109375" style="99" customWidth="1"/>
    <col min="14342" max="14342" width="15.7109375" style="99" bestFit="1" customWidth="1"/>
    <col min="14343" max="14343" width="13.7109375" style="99" bestFit="1" customWidth="1"/>
    <col min="14344" max="14344" width="13.42578125" style="99" bestFit="1" customWidth="1"/>
    <col min="14345" max="14355" width="10.5703125" style="99" bestFit="1" customWidth="1"/>
    <col min="14356" max="14356" width="13.5703125" style="99" customWidth="1"/>
    <col min="14357" max="14357" width="16.5703125" style="99" customWidth="1"/>
    <col min="14358" max="14358" width="14.42578125" style="99" customWidth="1"/>
    <col min="14359" max="14359" width="13.28515625" style="99" bestFit="1" customWidth="1"/>
    <col min="14360" max="14360" width="13.42578125" style="99" bestFit="1" customWidth="1"/>
    <col min="14361" max="14361" width="13" style="99" customWidth="1"/>
    <col min="14362" max="14362" width="11.5703125" style="99" customWidth="1"/>
    <col min="14363" max="14363" width="13.140625" style="99" customWidth="1"/>
    <col min="14364" max="14365" width="11.5703125" style="99" customWidth="1"/>
    <col min="14366" max="14366" width="12.42578125" style="99" customWidth="1"/>
    <col min="14367" max="14367" width="13.5703125" style="99" customWidth="1"/>
    <col min="14368" max="14368" width="13.140625" style="99" bestFit="1" customWidth="1"/>
    <col min="14369" max="14369" width="18.85546875" style="99" customWidth="1"/>
    <col min="14370" max="14371" width="14.140625" style="99" customWidth="1"/>
    <col min="14372" max="14372" width="13.85546875" style="99" customWidth="1"/>
    <col min="14373" max="14373" width="14.140625" style="99" customWidth="1"/>
    <col min="14374" max="14374" width="13.7109375" style="99" customWidth="1"/>
    <col min="14375" max="14375" width="17.140625" style="99" customWidth="1"/>
    <col min="14376" max="14376" width="15.42578125" style="99" customWidth="1"/>
    <col min="14377" max="14377" width="18" style="99" customWidth="1"/>
    <col min="14378" max="14378" width="13.7109375" style="99" bestFit="1" customWidth="1"/>
    <col min="14379" max="14379" width="14.140625" style="99" bestFit="1" customWidth="1"/>
    <col min="14380" max="14380" width="14" style="99" bestFit="1" customWidth="1"/>
    <col min="14381" max="14381" width="14.85546875" style="99" bestFit="1" customWidth="1"/>
    <col min="14382" max="14382" width="15.7109375" style="99" customWidth="1"/>
    <col min="14383" max="14383" width="5.85546875" style="99" customWidth="1"/>
    <col min="14384" max="14384" width="9.28515625" style="99" customWidth="1"/>
    <col min="14385" max="14385" width="14.85546875" style="99" customWidth="1"/>
    <col min="14386" max="14386" width="12.85546875" style="99" bestFit="1" customWidth="1"/>
    <col min="14387" max="14387" width="12.85546875" style="99" customWidth="1"/>
    <col min="14388" max="14405" width="8.85546875" style="99" customWidth="1"/>
    <col min="14406" max="14406" width="30.28515625" style="99" bestFit="1" customWidth="1"/>
    <col min="14407" max="14407" width="20.7109375" style="99" customWidth="1"/>
    <col min="14408" max="14408" width="13.42578125" style="99" customWidth="1"/>
    <col min="14409" max="14409" width="8.85546875" style="99" customWidth="1"/>
    <col min="14410" max="14410" width="11.7109375" style="99" bestFit="1" customWidth="1"/>
    <col min="14411" max="14578" width="8.85546875" style="99" customWidth="1"/>
    <col min="14579" max="14579" width="29.7109375" style="99" customWidth="1"/>
    <col min="14580" max="14582" width="14.28515625" style="99" customWidth="1"/>
    <col min="14583" max="14583" width="2.7109375" style="99" customWidth="1"/>
    <col min="14584" max="14587" width="14.28515625" style="99"/>
    <col min="14588" max="14588" width="9.28515625" style="99" bestFit="1" customWidth="1"/>
    <col min="14589" max="14589" width="48.140625" style="99" customWidth="1"/>
    <col min="14590" max="14590" width="15.85546875" style="99" bestFit="1" customWidth="1"/>
    <col min="14591" max="14591" width="14.85546875" style="99" bestFit="1" customWidth="1"/>
    <col min="14592" max="14592" width="14.7109375" style="99" bestFit="1" customWidth="1"/>
    <col min="14593" max="14593" width="2.7109375" style="99" customWidth="1"/>
    <col min="14594" max="14594" width="15.85546875" style="99" bestFit="1" customWidth="1"/>
    <col min="14595" max="14596" width="14.5703125" style="99" bestFit="1" customWidth="1"/>
    <col min="14597" max="14597" width="2.7109375" style="99" customWidth="1"/>
    <col min="14598" max="14598" width="15.7109375" style="99" bestFit="1" customWidth="1"/>
    <col min="14599" max="14599" width="13.7109375" style="99" bestFit="1" customWidth="1"/>
    <col min="14600" max="14600" width="13.42578125" style="99" bestFit="1" customWidth="1"/>
    <col min="14601" max="14611" width="10.5703125" style="99" bestFit="1" customWidth="1"/>
    <col min="14612" max="14612" width="13.5703125" style="99" customWidth="1"/>
    <col min="14613" max="14613" width="16.5703125" style="99" customWidth="1"/>
    <col min="14614" max="14614" width="14.42578125" style="99" customWidth="1"/>
    <col min="14615" max="14615" width="13.28515625" style="99" bestFit="1" customWidth="1"/>
    <col min="14616" max="14616" width="13.42578125" style="99" bestFit="1" customWidth="1"/>
    <col min="14617" max="14617" width="13" style="99" customWidth="1"/>
    <col min="14618" max="14618" width="11.5703125" style="99" customWidth="1"/>
    <col min="14619" max="14619" width="13.140625" style="99" customWidth="1"/>
    <col min="14620" max="14621" width="11.5703125" style="99" customWidth="1"/>
    <col min="14622" max="14622" width="12.42578125" style="99" customWidth="1"/>
    <col min="14623" max="14623" width="13.5703125" style="99" customWidth="1"/>
    <col min="14624" max="14624" width="13.140625" style="99" bestFit="1" customWidth="1"/>
    <col min="14625" max="14625" width="18.85546875" style="99" customWidth="1"/>
    <col min="14626" max="14627" width="14.140625" style="99" customWidth="1"/>
    <col min="14628" max="14628" width="13.85546875" style="99" customWidth="1"/>
    <col min="14629" max="14629" width="14.140625" style="99" customWidth="1"/>
    <col min="14630" max="14630" width="13.7109375" style="99" customWidth="1"/>
    <col min="14631" max="14631" width="17.140625" style="99" customWidth="1"/>
    <col min="14632" max="14632" width="15.42578125" style="99" customWidth="1"/>
    <col min="14633" max="14633" width="18" style="99" customWidth="1"/>
    <col min="14634" max="14634" width="13.7109375" style="99" bestFit="1" customWidth="1"/>
    <col min="14635" max="14635" width="14.140625" style="99" bestFit="1" customWidth="1"/>
    <col min="14636" max="14636" width="14" style="99" bestFit="1" customWidth="1"/>
    <col min="14637" max="14637" width="14.85546875" style="99" bestFit="1" customWidth="1"/>
    <col min="14638" max="14638" width="15.7109375" style="99" customWidth="1"/>
    <col min="14639" max="14639" width="5.85546875" style="99" customWidth="1"/>
    <col min="14640" max="14640" width="9.28515625" style="99" customWidth="1"/>
    <col min="14641" max="14641" width="14.85546875" style="99" customWidth="1"/>
    <col min="14642" max="14642" width="12.85546875" style="99" bestFit="1" customWidth="1"/>
    <col min="14643" max="14643" width="12.85546875" style="99" customWidth="1"/>
    <col min="14644" max="14661" width="8.85546875" style="99" customWidth="1"/>
    <col min="14662" max="14662" width="30.28515625" style="99" bestFit="1" customWidth="1"/>
    <col min="14663" max="14663" width="20.7109375" style="99" customWidth="1"/>
    <col min="14664" max="14664" width="13.42578125" style="99" customWidth="1"/>
    <col min="14665" max="14665" width="8.85546875" style="99" customWidth="1"/>
    <col min="14666" max="14666" width="11.7109375" style="99" bestFit="1" customWidth="1"/>
    <col min="14667" max="14834" width="8.85546875" style="99" customWidth="1"/>
    <col min="14835" max="14835" width="29.7109375" style="99" customWidth="1"/>
    <col min="14836" max="14838" width="14.28515625" style="99" customWidth="1"/>
    <col min="14839" max="14839" width="2.7109375" style="99" customWidth="1"/>
    <col min="14840" max="14843" width="14.28515625" style="99"/>
    <col min="14844" max="14844" width="9.28515625" style="99" bestFit="1" customWidth="1"/>
    <col min="14845" max="14845" width="48.140625" style="99" customWidth="1"/>
    <col min="14846" max="14846" width="15.85546875" style="99" bestFit="1" customWidth="1"/>
    <col min="14847" max="14847" width="14.85546875" style="99" bestFit="1" customWidth="1"/>
    <col min="14848" max="14848" width="14.7109375" style="99" bestFit="1" customWidth="1"/>
    <col min="14849" max="14849" width="2.7109375" style="99" customWidth="1"/>
    <col min="14850" max="14850" width="15.85546875" style="99" bestFit="1" customWidth="1"/>
    <col min="14851" max="14852" width="14.5703125" style="99" bestFit="1" customWidth="1"/>
    <col min="14853" max="14853" width="2.7109375" style="99" customWidth="1"/>
    <col min="14854" max="14854" width="15.7109375" style="99" bestFit="1" customWidth="1"/>
    <col min="14855" max="14855" width="13.7109375" style="99" bestFit="1" customWidth="1"/>
    <col min="14856" max="14856" width="13.42578125" style="99" bestFit="1" customWidth="1"/>
    <col min="14857" max="14867" width="10.5703125" style="99" bestFit="1" customWidth="1"/>
    <col min="14868" max="14868" width="13.5703125" style="99" customWidth="1"/>
    <col min="14869" max="14869" width="16.5703125" style="99" customWidth="1"/>
    <col min="14870" max="14870" width="14.42578125" style="99" customWidth="1"/>
    <col min="14871" max="14871" width="13.28515625" style="99" bestFit="1" customWidth="1"/>
    <col min="14872" max="14872" width="13.42578125" style="99" bestFit="1" customWidth="1"/>
    <col min="14873" max="14873" width="13" style="99" customWidth="1"/>
    <col min="14874" max="14874" width="11.5703125" style="99" customWidth="1"/>
    <col min="14875" max="14875" width="13.140625" style="99" customWidth="1"/>
    <col min="14876" max="14877" width="11.5703125" style="99" customWidth="1"/>
    <col min="14878" max="14878" width="12.42578125" style="99" customWidth="1"/>
    <col min="14879" max="14879" width="13.5703125" style="99" customWidth="1"/>
    <col min="14880" max="14880" width="13.140625" style="99" bestFit="1" customWidth="1"/>
    <col min="14881" max="14881" width="18.85546875" style="99" customWidth="1"/>
    <col min="14882" max="14883" width="14.140625" style="99" customWidth="1"/>
    <col min="14884" max="14884" width="13.85546875" style="99" customWidth="1"/>
    <col min="14885" max="14885" width="14.140625" style="99" customWidth="1"/>
    <col min="14886" max="14886" width="13.7109375" style="99" customWidth="1"/>
    <col min="14887" max="14887" width="17.140625" style="99" customWidth="1"/>
    <col min="14888" max="14888" width="15.42578125" style="99" customWidth="1"/>
    <col min="14889" max="14889" width="18" style="99" customWidth="1"/>
    <col min="14890" max="14890" width="13.7109375" style="99" bestFit="1" customWidth="1"/>
    <col min="14891" max="14891" width="14.140625" style="99" bestFit="1" customWidth="1"/>
    <col min="14892" max="14892" width="14" style="99" bestFit="1" customWidth="1"/>
    <col min="14893" max="14893" width="14.85546875" style="99" bestFit="1" customWidth="1"/>
    <col min="14894" max="14894" width="15.7109375" style="99" customWidth="1"/>
    <col min="14895" max="14895" width="5.85546875" style="99" customWidth="1"/>
    <col min="14896" max="14896" width="9.28515625" style="99" customWidth="1"/>
    <col min="14897" max="14897" width="14.85546875" style="99" customWidth="1"/>
    <col min="14898" max="14898" width="12.85546875" style="99" bestFit="1" customWidth="1"/>
    <col min="14899" max="14899" width="12.85546875" style="99" customWidth="1"/>
    <col min="14900" max="14917" width="8.85546875" style="99" customWidth="1"/>
    <col min="14918" max="14918" width="30.28515625" style="99" bestFit="1" customWidth="1"/>
    <col min="14919" max="14919" width="20.7109375" style="99" customWidth="1"/>
    <col min="14920" max="14920" width="13.42578125" style="99" customWidth="1"/>
    <col min="14921" max="14921" width="8.85546875" style="99" customWidth="1"/>
    <col min="14922" max="14922" width="11.7109375" style="99" bestFit="1" customWidth="1"/>
    <col min="14923" max="15090" width="8.85546875" style="99" customWidth="1"/>
    <col min="15091" max="15091" width="29.7109375" style="99" customWidth="1"/>
    <col min="15092" max="15094" width="14.28515625" style="99" customWidth="1"/>
    <col min="15095" max="15095" width="2.7109375" style="99" customWidth="1"/>
    <col min="15096" max="15099" width="14.28515625" style="99"/>
    <col min="15100" max="15100" width="9.28515625" style="99" bestFit="1" customWidth="1"/>
    <col min="15101" max="15101" width="48.140625" style="99" customWidth="1"/>
    <col min="15102" max="15102" width="15.85546875" style="99" bestFit="1" customWidth="1"/>
    <col min="15103" max="15103" width="14.85546875" style="99" bestFit="1" customWidth="1"/>
    <col min="15104" max="15104" width="14.7109375" style="99" bestFit="1" customWidth="1"/>
    <col min="15105" max="15105" width="2.7109375" style="99" customWidth="1"/>
    <col min="15106" max="15106" width="15.85546875" style="99" bestFit="1" customWidth="1"/>
    <col min="15107" max="15108" width="14.5703125" style="99" bestFit="1" customWidth="1"/>
    <col min="15109" max="15109" width="2.7109375" style="99" customWidth="1"/>
    <col min="15110" max="15110" width="15.7109375" style="99" bestFit="1" customWidth="1"/>
    <col min="15111" max="15111" width="13.7109375" style="99" bestFit="1" customWidth="1"/>
    <col min="15112" max="15112" width="13.42578125" style="99" bestFit="1" customWidth="1"/>
    <col min="15113" max="15123" width="10.5703125" style="99" bestFit="1" customWidth="1"/>
    <col min="15124" max="15124" width="13.5703125" style="99" customWidth="1"/>
    <col min="15125" max="15125" width="16.5703125" style="99" customWidth="1"/>
    <col min="15126" max="15126" width="14.42578125" style="99" customWidth="1"/>
    <col min="15127" max="15127" width="13.28515625" style="99" bestFit="1" customWidth="1"/>
    <col min="15128" max="15128" width="13.42578125" style="99" bestFit="1" customWidth="1"/>
    <col min="15129" max="15129" width="13" style="99" customWidth="1"/>
    <col min="15130" max="15130" width="11.5703125" style="99" customWidth="1"/>
    <col min="15131" max="15131" width="13.140625" style="99" customWidth="1"/>
    <col min="15132" max="15133" width="11.5703125" style="99" customWidth="1"/>
    <col min="15134" max="15134" width="12.42578125" style="99" customWidth="1"/>
    <col min="15135" max="15135" width="13.5703125" style="99" customWidth="1"/>
    <col min="15136" max="15136" width="13.140625" style="99" bestFit="1" customWidth="1"/>
    <col min="15137" max="15137" width="18.85546875" style="99" customWidth="1"/>
    <col min="15138" max="15139" width="14.140625" style="99" customWidth="1"/>
    <col min="15140" max="15140" width="13.85546875" style="99" customWidth="1"/>
    <col min="15141" max="15141" width="14.140625" style="99" customWidth="1"/>
    <col min="15142" max="15142" width="13.7109375" style="99" customWidth="1"/>
    <col min="15143" max="15143" width="17.140625" style="99" customWidth="1"/>
    <col min="15144" max="15144" width="15.42578125" style="99" customWidth="1"/>
    <col min="15145" max="15145" width="18" style="99" customWidth="1"/>
    <col min="15146" max="15146" width="13.7109375" style="99" bestFit="1" customWidth="1"/>
    <col min="15147" max="15147" width="14.140625" style="99" bestFit="1" customWidth="1"/>
    <col min="15148" max="15148" width="14" style="99" bestFit="1" customWidth="1"/>
    <col min="15149" max="15149" width="14.85546875" style="99" bestFit="1" customWidth="1"/>
    <col min="15150" max="15150" width="15.7109375" style="99" customWidth="1"/>
    <col min="15151" max="15151" width="5.85546875" style="99" customWidth="1"/>
    <col min="15152" max="15152" width="9.28515625" style="99" customWidth="1"/>
    <col min="15153" max="15153" width="14.85546875" style="99" customWidth="1"/>
    <col min="15154" max="15154" width="12.85546875" style="99" bestFit="1" customWidth="1"/>
    <col min="15155" max="15155" width="12.85546875" style="99" customWidth="1"/>
    <col min="15156" max="15173" width="8.85546875" style="99" customWidth="1"/>
    <col min="15174" max="15174" width="30.28515625" style="99" bestFit="1" customWidth="1"/>
    <col min="15175" max="15175" width="20.7109375" style="99" customWidth="1"/>
    <col min="15176" max="15176" width="13.42578125" style="99" customWidth="1"/>
    <col min="15177" max="15177" width="8.85546875" style="99" customWidth="1"/>
    <col min="15178" max="15178" width="11.7109375" style="99" bestFit="1" customWidth="1"/>
    <col min="15179" max="15346" width="8.85546875" style="99" customWidth="1"/>
    <col min="15347" max="15347" width="29.7109375" style="99" customWidth="1"/>
    <col min="15348" max="15350" width="14.28515625" style="99" customWidth="1"/>
    <col min="15351" max="15351" width="2.7109375" style="99" customWidth="1"/>
    <col min="15352" max="15355" width="14.28515625" style="99"/>
    <col min="15356" max="15356" width="9.28515625" style="99" bestFit="1" customWidth="1"/>
    <col min="15357" max="15357" width="48.140625" style="99" customWidth="1"/>
    <col min="15358" max="15358" width="15.85546875" style="99" bestFit="1" customWidth="1"/>
    <col min="15359" max="15359" width="14.85546875" style="99" bestFit="1" customWidth="1"/>
    <col min="15360" max="15360" width="14.7109375" style="99" bestFit="1" customWidth="1"/>
    <col min="15361" max="15361" width="2.7109375" style="99" customWidth="1"/>
    <col min="15362" max="15362" width="15.85546875" style="99" bestFit="1" customWidth="1"/>
    <col min="15363" max="15364" width="14.5703125" style="99" bestFit="1" customWidth="1"/>
    <col min="15365" max="15365" width="2.7109375" style="99" customWidth="1"/>
    <col min="15366" max="15366" width="15.7109375" style="99" bestFit="1" customWidth="1"/>
    <col min="15367" max="15367" width="13.7109375" style="99" bestFit="1" customWidth="1"/>
    <col min="15368" max="15368" width="13.42578125" style="99" bestFit="1" customWidth="1"/>
    <col min="15369" max="15379" width="10.5703125" style="99" bestFit="1" customWidth="1"/>
    <col min="15380" max="15380" width="13.5703125" style="99" customWidth="1"/>
    <col min="15381" max="15381" width="16.5703125" style="99" customWidth="1"/>
    <col min="15382" max="15382" width="14.42578125" style="99" customWidth="1"/>
    <col min="15383" max="15383" width="13.28515625" style="99" bestFit="1" customWidth="1"/>
    <col min="15384" max="15384" width="13.42578125" style="99" bestFit="1" customWidth="1"/>
    <col min="15385" max="15385" width="13" style="99" customWidth="1"/>
    <col min="15386" max="15386" width="11.5703125" style="99" customWidth="1"/>
    <col min="15387" max="15387" width="13.140625" style="99" customWidth="1"/>
    <col min="15388" max="15389" width="11.5703125" style="99" customWidth="1"/>
    <col min="15390" max="15390" width="12.42578125" style="99" customWidth="1"/>
    <col min="15391" max="15391" width="13.5703125" style="99" customWidth="1"/>
    <col min="15392" max="15392" width="13.140625" style="99" bestFit="1" customWidth="1"/>
    <col min="15393" max="15393" width="18.85546875" style="99" customWidth="1"/>
    <col min="15394" max="15395" width="14.140625" style="99" customWidth="1"/>
    <col min="15396" max="15396" width="13.85546875" style="99" customWidth="1"/>
    <col min="15397" max="15397" width="14.140625" style="99" customWidth="1"/>
    <col min="15398" max="15398" width="13.7109375" style="99" customWidth="1"/>
    <col min="15399" max="15399" width="17.140625" style="99" customWidth="1"/>
    <col min="15400" max="15400" width="15.42578125" style="99" customWidth="1"/>
    <col min="15401" max="15401" width="18" style="99" customWidth="1"/>
    <col min="15402" max="15402" width="13.7109375" style="99" bestFit="1" customWidth="1"/>
    <col min="15403" max="15403" width="14.140625" style="99" bestFit="1" customWidth="1"/>
    <col min="15404" max="15404" width="14" style="99" bestFit="1" customWidth="1"/>
    <col min="15405" max="15405" width="14.85546875" style="99" bestFit="1" customWidth="1"/>
    <col min="15406" max="15406" width="15.7109375" style="99" customWidth="1"/>
    <col min="15407" max="15407" width="5.85546875" style="99" customWidth="1"/>
    <col min="15408" max="15408" width="9.28515625" style="99" customWidth="1"/>
    <col min="15409" max="15409" width="14.85546875" style="99" customWidth="1"/>
    <col min="15410" max="15410" width="12.85546875" style="99" bestFit="1" customWidth="1"/>
    <col min="15411" max="15411" width="12.85546875" style="99" customWidth="1"/>
    <col min="15412" max="15429" width="8.85546875" style="99" customWidth="1"/>
    <col min="15430" max="15430" width="30.28515625" style="99" bestFit="1" customWidth="1"/>
    <col min="15431" max="15431" width="20.7109375" style="99" customWidth="1"/>
    <col min="15432" max="15432" width="13.42578125" style="99" customWidth="1"/>
    <col min="15433" max="15433" width="8.85546875" style="99" customWidth="1"/>
    <col min="15434" max="15434" width="11.7109375" style="99" bestFit="1" customWidth="1"/>
    <col min="15435" max="15602" width="8.85546875" style="99" customWidth="1"/>
    <col min="15603" max="15603" width="29.7109375" style="99" customWidth="1"/>
    <col min="15604" max="15606" width="14.28515625" style="99" customWidth="1"/>
    <col min="15607" max="15607" width="2.7109375" style="99" customWidth="1"/>
    <col min="15608" max="15611" width="14.28515625" style="99"/>
    <col min="15612" max="15612" width="9.28515625" style="99" bestFit="1" customWidth="1"/>
    <col min="15613" max="15613" width="48.140625" style="99" customWidth="1"/>
    <col min="15614" max="15614" width="15.85546875" style="99" bestFit="1" customWidth="1"/>
    <col min="15615" max="15615" width="14.85546875" style="99" bestFit="1" customWidth="1"/>
    <col min="15616" max="15616" width="14.7109375" style="99" bestFit="1" customWidth="1"/>
    <col min="15617" max="15617" width="2.7109375" style="99" customWidth="1"/>
    <col min="15618" max="15618" width="15.85546875" style="99" bestFit="1" customWidth="1"/>
    <col min="15619" max="15620" width="14.5703125" style="99" bestFit="1" customWidth="1"/>
    <col min="15621" max="15621" width="2.7109375" style="99" customWidth="1"/>
    <col min="15622" max="15622" width="15.7109375" style="99" bestFit="1" customWidth="1"/>
    <col min="15623" max="15623" width="13.7109375" style="99" bestFit="1" customWidth="1"/>
    <col min="15624" max="15624" width="13.42578125" style="99" bestFit="1" customWidth="1"/>
    <col min="15625" max="15635" width="10.5703125" style="99" bestFit="1" customWidth="1"/>
    <col min="15636" max="15636" width="13.5703125" style="99" customWidth="1"/>
    <col min="15637" max="15637" width="16.5703125" style="99" customWidth="1"/>
    <col min="15638" max="15638" width="14.42578125" style="99" customWidth="1"/>
    <col min="15639" max="15639" width="13.28515625" style="99" bestFit="1" customWidth="1"/>
    <col min="15640" max="15640" width="13.42578125" style="99" bestFit="1" customWidth="1"/>
    <col min="15641" max="15641" width="13" style="99" customWidth="1"/>
    <col min="15642" max="15642" width="11.5703125" style="99" customWidth="1"/>
    <col min="15643" max="15643" width="13.140625" style="99" customWidth="1"/>
    <col min="15644" max="15645" width="11.5703125" style="99" customWidth="1"/>
    <col min="15646" max="15646" width="12.42578125" style="99" customWidth="1"/>
    <col min="15647" max="15647" width="13.5703125" style="99" customWidth="1"/>
    <col min="15648" max="15648" width="13.140625" style="99" bestFit="1" customWidth="1"/>
    <col min="15649" max="15649" width="18.85546875" style="99" customWidth="1"/>
    <col min="15650" max="15651" width="14.140625" style="99" customWidth="1"/>
    <col min="15652" max="15652" width="13.85546875" style="99" customWidth="1"/>
    <col min="15653" max="15653" width="14.140625" style="99" customWidth="1"/>
    <col min="15654" max="15654" width="13.7109375" style="99" customWidth="1"/>
    <col min="15655" max="15655" width="17.140625" style="99" customWidth="1"/>
    <col min="15656" max="15656" width="15.42578125" style="99" customWidth="1"/>
    <col min="15657" max="15657" width="18" style="99" customWidth="1"/>
    <col min="15658" max="15658" width="13.7109375" style="99" bestFit="1" customWidth="1"/>
    <col min="15659" max="15659" width="14.140625" style="99" bestFit="1" customWidth="1"/>
    <col min="15660" max="15660" width="14" style="99" bestFit="1" customWidth="1"/>
    <col min="15661" max="15661" width="14.85546875" style="99" bestFit="1" customWidth="1"/>
    <col min="15662" max="15662" width="15.7109375" style="99" customWidth="1"/>
    <col min="15663" max="15663" width="5.85546875" style="99" customWidth="1"/>
    <col min="15664" max="15664" width="9.28515625" style="99" customWidth="1"/>
    <col min="15665" max="15665" width="14.85546875" style="99" customWidth="1"/>
    <col min="15666" max="15666" width="12.85546875" style="99" bestFit="1" customWidth="1"/>
    <col min="15667" max="15667" width="12.85546875" style="99" customWidth="1"/>
    <col min="15668" max="15685" width="8.85546875" style="99" customWidth="1"/>
    <col min="15686" max="15686" width="30.28515625" style="99" bestFit="1" customWidth="1"/>
    <col min="15687" max="15687" width="20.7109375" style="99" customWidth="1"/>
    <col min="15688" max="15688" width="13.42578125" style="99" customWidth="1"/>
    <col min="15689" max="15689" width="8.85546875" style="99" customWidth="1"/>
    <col min="15690" max="15690" width="11.7109375" style="99" bestFit="1" customWidth="1"/>
    <col min="15691" max="15858" width="8.85546875" style="99" customWidth="1"/>
    <col min="15859" max="15859" width="29.7109375" style="99" customWidth="1"/>
    <col min="15860" max="15862" width="14.28515625" style="99" customWidth="1"/>
    <col min="15863" max="15863" width="2.7109375" style="99" customWidth="1"/>
    <col min="15864" max="15867" width="14.28515625" style="99"/>
    <col min="15868" max="15868" width="9.28515625" style="99" bestFit="1" customWidth="1"/>
    <col min="15869" max="15869" width="48.140625" style="99" customWidth="1"/>
    <col min="15870" max="15870" width="15.85546875" style="99" bestFit="1" customWidth="1"/>
    <col min="15871" max="15871" width="14.85546875" style="99" bestFit="1" customWidth="1"/>
    <col min="15872" max="15872" width="14.7109375" style="99" bestFit="1" customWidth="1"/>
    <col min="15873" max="15873" width="2.7109375" style="99" customWidth="1"/>
    <col min="15874" max="15874" width="15.85546875" style="99" bestFit="1" customWidth="1"/>
    <col min="15875" max="15876" width="14.5703125" style="99" bestFit="1" customWidth="1"/>
    <col min="15877" max="15877" width="2.7109375" style="99" customWidth="1"/>
    <col min="15878" max="15878" width="15.7109375" style="99" bestFit="1" customWidth="1"/>
    <col min="15879" max="15879" width="13.7109375" style="99" bestFit="1" customWidth="1"/>
    <col min="15880" max="15880" width="13.42578125" style="99" bestFit="1" customWidth="1"/>
    <col min="15881" max="15891" width="10.5703125" style="99" bestFit="1" customWidth="1"/>
    <col min="15892" max="15892" width="13.5703125" style="99" customWidth="1"/>
    <col min="15893" max="15893" width="16.5703125" style="99" customWidth="1"/>
    <col min="15894" max="15894" width="14.42578125" style="99" customWidth="1"/>
    <col min="15895" max="15895" width="13.28515625" style="99" bestFit="1" customWidth="1"/>
    <col min="15896" max="15896" width="13.42578125" style="99" bestFit="1" customWidth="1"/>
    <col min="15897" max="15897" width="13" style="99" customWidth="1"/>
    <col min="15898" max="15898" width="11.5703125" style="99" customWidth="1"/>
    <col min="15899" max="15899" width="13.140625" style="99" customWidth="1"/>
    <col min="15900" max="15901" width="11.5703125" style="99" customWidth="1"/>
    <col min="15902" max="15902" width="12.42578125" style="99" customWidth="1"/>
    <col min="15903" max="15903" width="13.5703125" style="99" customWidth="1"/>
    <col min="15904" max="15904" width="13.140625" style="99" bestFit="1" customWidth="1"/>
    <col min="15905" max="15905" width="18.85546875" style="99" customWidth="1"/>
    <col min="15906" max="15907" width="14.140625" style="99" customWidth="1"/>
    <col min="15908" max="15908" width="13.85546875" style="99" customWidth="1"/>
    <col min="15909" max="15909" width="14.140625" style="99" customWidth="1"/>
    <col min="15910" max="15910" width="13.7109375" style="99" customWidth="1"/>
    <col min="15911" max="15911" width="17.140625" style="99" customWidth="1"/>
    <col min="15912" max="15912" width="15.42578125" style="99" customWidth="1"/>
    <col min="15913" max="15913" width="18" style="99" customWidth="1"/>
    <col min="15914" max="15914" width="13.7109375" style="99" bestFit="1" customWidth="1"/>
    <col min="15915" max="15915" width="14.140625" style="99" bestFit="1" customWidth="1"/>
    <col min="15916" max="15916" width="14" style="99" bestFit="1" customWidth="1"/>
    <col min="15917" max="15917" width="14.85546875" style="99" bestFit="1" customWidth="1"/>
    <col min="15918" max="15918" width="15.7109375" style="99" customWidth="1"/>
    <col min="15919" max="15919" width="5.85546875" style="99" customWidth="1"/>
    <col min="15920" max="15920" width="9.28515625" style="99" customWidth="1"/>
    <col min="15921" max="15921" width="14.85546875" style="99" customWidth="1"/>
    <col min="15922" max="15922" width="12.85546875" style="99" bestFit="1" customWidth="1"/>
    <col min="15923" max="15923" width="12.85546875" style="99" customWidth="1"/>
    <col min="15924" max="15941" width="8.85546875" style="99" customWidth="1"/>
    <col min="15942" max="15942" width="30.28515625" style="99" bestFit="1" customWidth="1"/>
    <col min="15943" max="15943" width="20.7109375" style="99" customWidth="1"/>
    <col min="15944" max="15944" width="13.42578125" style="99" customWidth="1"/>
    <col min="15945" max="15945" width="8.85546875" style="99" customWidth="1"/>
    <col min="15946" max="15946" width="11.7109375" style="99" bestFit="1" customWidth="1"/>
    <col min="15947" max="16114" width="8.85546875" style="99" customWidth="1"/>
    <col min="16115" max="16115" width="29.7109375" style="99" customWidth="1"/>
    <col min="16116" max="16118" width="14.28515625" style="99" customWidth="1"/>
    <col min="16119" max="16119" width="2.7109375" style="99" customWidth="1"/>
    <col min="16120" max="16123" width="14.28515625" style="99"/>
    <col min="16124" max="16124" width="9.28515625" style="99" bestFit="1" customWidth="1"/>
    <col min="16125" max="16125" width="48.140625" style="99" customWidth="1"/>
    <col min="16126" max="16126" width="15.85546875" style="99" bestFit="1" customWidth="1"/>
    <col min="16127" max="16127" width="14.85546875" style="99" bestFit="1" customWidth="1"/>
    <col min="16128" max="16128" width="14.7109375" style="99" bestFit="1" customWidth="1"/>
    <col min="16129" max="16129" width="2.7109375" style="99" customWidth="1"/>
    <col min="16130" max="16130" width="15.85546875" style="99" bestFit="1" customWidth="1"/>
    <col min="16131" max="16132" width="14.5703125" style="99" bestFit="1" customWidth="1"/>
    <col min="16133" max="16133" width="2.7109375" style="99" customWidth="1"/>
    <col min="16134" max="16134" width="15.7109375" style="99" bestFit="1" customWidth="1"/>
    <col min="16135" max="16135" width="13.7109375" style="99" bestFit="1" customWidth="1"/>
    <col min="16136" max="16136" width="13.42578125" style="99" bestFit="1" customWidth="1"/>
    <col min="16137" max="16147" width="10.5703125" style="99" bestFit="1" customWidth="1"/>
    <col min="16148" max="16148" width="13.5703125" style="99" customWidth="1"/>
    <col min="16149" max="16149" width="16.5703125" style="99" customWidth="1"/>
    <col min="16150" max="16150" width="14.42578125" style="99" customWidth="1"/>
    <col min="16151" max="16151" width="13.28515625" style="99" bestFit="1" customWidth="1"/>
    <col min="16152" max="16152" width="13.42578125" style="99" bestFit="1" customWidth="1"/>
    <col min="16153" max="16153" width="13" style="99" customWidth="1"/>
    <col min="16154" max="16154" width="11.5703125" style="99" customWidth="1"/>
    <col min="16155" max="16155" width="13.140625" style="99" customWidth="1"/>
    <col min="16156" max="16157" width="11.5703125" style="99" customWidth="1"/>
    <col min="16158" max="16158" width="12.42578125" style="99" customWidth="1"/>
    <col min="16159" max="16159" width="13.5703125" style="99" customWidth="1"/>
    <col min="16160" max="16160" width="13.140625" style="99" bestFit="1" customWidth="1"/>
    <col min="16161" max="16161" width="18.85546875" style="99" customWidth="1"/>
    <col min="16162" max="16163" width="14.140625" style="99" customWidth="1"/>
    <col min="16164" max="16164" width="13.85546875" style="99" customWidth="1"/>
    <col min="16165" max="16165" width="14.140625" style="99" customWidth="1"/>
    <col min="16166" max="16166" width="13.7109375" style="99" customWidth="1"/>
    <col min="16167" max="16167" width="17.140625" style="99" customWidth="1"/>
    <col min="16168" max="16168" width="15.42578125" style="99" customWidth="1"/>
    <col min="16169" max="16169" width="18" style="99" customWidth="1"/>
    <col min="16170" max="16170" width="13.7109375" style="99" bestFit="1" customWidth="1"/>
    <col min="16171" max="16171" width="14.140625" style="99" bestFit="1" customWidth="1"/>
    <col min="16172" max="16172" width="14" style="99" bestFit="1" customWidth="1"/>
    <col min="16173" max="16173" width="14.85546875" style="99" bestFit="1" customWidth="1"/>
    <col min="16174" max="16174" width="15.7109375" style="99" customWidth="1"/>
    <col min="16175" max="16175" width="5.85546875" style="99" customWidth="1"/>
    <col min="16176" max="16176" width="9.28515625" style="99" customWidth="1"/>
    <col min="16177" max="16177" width="14.85546875" style="99" customWidth="1"/>
    <col min="16178" max="16178" width="12.85546875" style="99" bestFit="1" customWidth="1"/>
    <col min="16179" max="16179" width="12.85546875" style="99" customWidth="1"/>
    <col min="16180" max="16197" width="8.85546875" style="99" customWidth="1"/>
    <col min="16198" max="16198" width="30.28515625" style="99" bestFit="1" customWidth="1"/>
    <col min="16199" max="16199" width="20.7109375" style="99" customWidth="1"/>
    <col min="16200" max="16200" width="13.42578125" style="99" customWidth="1"/>
    <col min="16201" max="16201" width="8.85546875" style="99" customWidth="1"/>
    <col min="16202" max="16202" width="11.7109375" style="99" bestFit="1" customWidth="1"/>
    <col min="16203" max="16370" width="8.85546875" style="99" customWidth="1"/>
    <col min="16371" max="16371" width="29.7109375" style="99" customWidth="1"/>
    <col min="16372" max="16374" width="14.28515625" style="99" customWidth="1"/>
    <col min="16375" max="16375" width="2.7109375" style="99" customWidth="1"/>
    <col min="16376" max="16384" width="14.28515625" style="99"/>
  </cols>
  <sheetData>
    <row r="1" spans="1:59" x14ac:dyDescent="0.25">
      <c r="O1" s="530"/>
      <c r="U1" s="100">
        <v>2</v>
      </c>
      <c r="AA1" s="530"/>
      <c r="AM1" s="200"/>
      <c r="AN1" s="102"/>
      <c r="AO1" s="104"/>
      <c r="AP1" s="104"/>
      <c r="AQ1" s="102"/>
      <c r="AR1" s="102"/>
    </row>
    <row r="2" spans="1:59" x14ac:dyDescent="0.25">
      <c r="C2" s="105"/>
      <c r="D2" s="106"/>
      <c r="E2" s="105"/>
      <c r="F2" s="105"/>
      <c r="G2" s="105"/>
      <c r="H2" s="106"/>
      <c r="I2" s="105"/>
      <c r="J2" s="105"/>
      <c r="K2" s="105"/>
      <c r="L2" s="106"/>
      <c r="M2" s="105"/>
      <c r="O2" s="530"/>
      <c r="U2" s="105"/>
      <c r="V2" s="105"/>
      <c r="W2" s="105"/>
      <c r="X2" s="105"/>
      <c r="Y2" s="105"/>
      <c r="Z2" s="105"/>
      <c r="AA2" s="530"/>
      <c r="AM2" s="200"/>
      <c r="AN2" s="102"/>
      <c r="AO2" s="102"/>
      <c r="AP2" s="102"/>
      <c r="AQ2" s="102"/>
      <c r="AR2" s="102"/>
      <c r="BA2" s="513"/>
      <c r="BB2" s="513"/>
      <c r="BC2" s="513"/>
      <c r="BD2" s="513"/>
      <c r="BE2" s="513"/>
      <c r="BF2" s="513"/>
      <c r="BG2" s="513"/>
    </row>
    <row r="3" spans="1:59" s="107" customFormat="1" ht="12.75" x14ac:dyDescent="0.2">
      <c r="B3" s="461"/>
      <c r="C3" s="108"/>
      <c r="D3" s="109"/>
      <c r="E3" s="554"/>
      <c r="F3" s="108"/>
      <c r="G3" s="108"/>
      <c r="H3" s="109"/>
      <c r="I3" s="108"/>
      <c r="J3" s="108"/>
      <c r="K3" s="108"/>
      <c r="L3" s="109"/>
      <c r="M3" s="108"/>
      <c r="O3" s="110" t="str">
        <f>Z3</f>
        <v>Customers</v>
      </c>
      <c r="P3" s="110" t="str">
        <f>O3</f>
        <v>Customers</v>
      </c>
      <c r="Q3" s="110" t="str">
        <f>P3</f>
        <v>Customers</v>
      </c>
      <c r="R3" s="110" t="str">
        <f>Q3</f>
        <v>Customers</v>
      </c>
      <c r="S3" s="110" t="str">
        <f>R3</f>
        <v>Customers</v>
      </c>
      <c r="T3" s="110" t="str">
        <f>S3</f>
        <v>Customers</v>
      </c>
      <c r="U3" s="110" t="s">
        <v>268</v>
      </c>
      <c r="V3" s="110" t="str">
        <f>U3</f>
        <v>Customers</v>
      </c>
      <c r="W3" s="110" t="str">
        <f>V3</f>
        <v>Customers</v>
      </c>
      <c r="X3" s="110" t="str">
        <f>W3</f>
        <v>Customers</v>
      </c>
      <c r="Y3" s="110" t="str">
        <f>X3</f>
        <v>Customers</v>
      </c>
      <c r="Z3" s="110" t="str">
        <f>Y3</f>
        <v>Customers</v>
      </c>
      <c r="AA3" s="111" t="s">
        <v>162</v>
      </c>
      <c r="AB3" s="111" t="s">
        <v>162</v>
      </c>
      <c r="AC3" s="111" t="s">
        <v>162</v>
      </c>
      <c r="AD3" s="111" t="s">
        <v>162</v>
      </c>
      <c r="AE3" s="111" t="s">
        <v>162</v>
      </c>
      <c r="AF3" s="111" t="s">
        <v>162</v>
      </c>
      <c r="AG3" s="534" t="s">
        <v>162</v>
      </c>
      <c r="AH3" s="534" t="s">
        <v>162</v>
      </c>
      <c r="AI3" s="534" t="s">
        <v>162</v>
      </c>
      <c r="AJ3" s="534" t="s">
        <v>162</v>
      </c>
      <c r="AK3" s="534" t="s">
        <v>162</v>
      </c>
      <c r="AL3" s="534" t="s">
        <v>162</v>
      </c>
      <c r="AM3" s="112" t="s">
        <v>163</v>
      </c>
      <c r="AN3" s="112" t="s">
        <v>163</v>
      </c>
      <c r="AO3" s="112" t="s">
        <v>163</v>
      </c>
      <c r="AP3" s="112" t="s">
        <v>163</v>
      </c>
      <c r="AQ3" s="112" t="s">
        <v>163</v>
      </c>
      <c r="AR3" s="112" t="s">
        <v>163</v>
      </c>
      <c r="AS3" s="112" t="s">
        <v>163</v>
      </c>
      <c r="AT3" s="112" t="s">
        <v>163</v>
      </c>
      <c r="AU3" s="112" t="s">
        <v>163</v>
      </c>
      <c r="AV3" s="112" t="s">
        <v>163</v>
      </c>
      <c r="AW3" s="112" t="s">
        <v>163</v>
      </c>
      <c r="AX3" s="112" t="s">
        <v>163</v>
      </c>
      <c r="BA3" s="514" t="s">
        <v>163</v>
      </c>
      <c r="BB3" s="514" t="s">
        <v>163</v>
      </c>
      <c r="BC3" s="514" t="s">
        <v>163</v>
      </c>
      <c r="BD3" s="514" t="s">
        <v>163</v>
      </c>
      <c r="BE3" s="514" t="s">
        <v>163</v>
      </c>
      <c r="BF3" s="514" t="s">
        <v>163</v>
      </c>
      <c r="BG3" s="514" t="s">
        <v>163</v>
      </c>
    </row>
    <row r="4" spans="1:59" x14ac:dyDescent="0.25">
      <c r="C4" s="1155" t="s">
        <v>895</v>
      </c>
      <c r="D4" s="1156"/>
      <c r="E4" s="1156"/>
      <c r="F4" s="113"/>
      <c r="G4" s="1155" t="s">
        <v>1006</v>
      </c>
      <c r="H4" s="1155"/>
      <c r="I4" s="1155"/>
      <c r="J4" s="113"/>
      <c r="K4" s="1155" t="s">
        <v>1007</v>
      </c>
      <c r="L4" s="1155"/>
      <c r="M4" s="1155"/>
      <c r="O4" s="114">
        <v>42430</v>
      </c>
      <c r="P4" s="114">
        <v>42461</v>
      </c>
      <c r="Q4" s="114">
        <v>42491</v>
      </c>
      <c r="R4" s="114">
        <v>42522</v>
      </c>
      <c r="S4" s="114">
        <v>42552</v>
      </c>
      <c r="T4" s="114">
        <v>42583</v>
      </c>
      <c r="U4" s="114">
        <v>42614</v>
      </c>
      <c r="V4" s="114">
        <v>42644</v>
      </c>
      <c r="W4" s="114">
        <v>42675</v>
      </c>
      <c r="X4" s="114">
        <v>42705</v>
      </c>
      <c r="Y4" s="114">
        <v>42736</v>
      </c>
      <c r="Z4" s="114">
        <v>42767</v>
      </c>
      <c r="AA4" s="115">
        <v>42430</v>
      </c>
      <c r="AB4" s="115">
        <v>42461</v>
      </c>
      <c r="AC4" s="115">
        <v>42491</v>
      </c>
      <c r="AD4" s="115">
        <v>42522</v>
      </c>
      <c r="AE4" s="115">
        <v>42552</v>
      </c>
      <c r="AF4" s="115">
        <v>42583</v>
      </c>
      <c r="AG4" s="115">
        <v>42614</v>
      </c>
      <c r="AH4" s="115">
        <v>42644</v>
      </c>
      <c r="AI4" s="115">
        <v>42675</v>
      </c>
      <c r="AJ4" s="115">
        <v>42705</v>
      </c>
      <c r="AK4" s="115">
        <v>42736</v>
      </c>
      <c r="AL4" s="115">
        <v>42767</v>
      </c>
      <c r="AM4" s="114">
        <f>AA4</f>
        <v>42430</v>
      </c>
      <c r="AN4" s="114">
        <f>AB4</f>
        <v>42461</v>
      </c>
      <c r="AO4" s="114">
        <f>AC4</f>
        <v>42491</v>
      </c>
      <c r="AP4" s="114">
        <f>AD4</f>
        <v>42522</v>
      </c>
      <c r="AQ4" s="114">
        <v>42552</v>
      </c>
      <c r="AR4" s="114">
        <v>42583</v>
      </c>
      <c r="AS4" s="114">
        <v>42614</v>
      </c>
      <c r="AT4" s="114">
        <v>42644</v>
      </c>
      <c r="AU4" s="114">
        <v>42675</v>
      </c>
      <c r="AV4" s="114">
        <v>42705</v>
      </c>
      <c r="AW4" s="114">
        <v>42736</v>
      </c>
      <c r="AX4" s="114">
        <v>42767</v>
      </c>
      <c r="BA4" s="515">
        <f>AM4</f>
        <v>42430</v>
      </c>
      <c r="BB4" s="515">
        <f>AN4</f>
        <v>42461</v>
      </c>
      <c r="BC4" s="515">
        <f>AO4</f>
        <v>42491</v>
      </c>
      <c r="BD4" s="515">
        <f>AP4</f>
        <v>42522</v>
      </c>
      <c r="BE4" s="515">
        <v>41821</v>
      </c>
      <c r="BF4" s="515">
        <v>41852</v>
      </c>
      <c r="BG4" s="516" t="s">
        <v>814</v>
      </c>
    </row>
    <row r="5" spans="1:59" ht="13.15" customHeight="1" x14ac:dyDescent="0.25">
      <c r="C5" s="535" t="s">
        <v>449</v>
      </c>
      <c r="D5" s="538" t="s">
        <v>450</v>
      </c>
      <c r="E5" s="535" t="s">
        <v>163</v>
      </c>
      <c r="F5" s="118"/>
      <c r="G5" s="535" t="s">
        <v>449</v>
      </c>
      <c r="H5" s="538" t="s">
        <v>450</v>
      </c>
      <c r="I5" s="535" t="s">
        <v>163</v>
      </c>
      <c r="J5" s="118"/>
      <c r="K5" s="676" t="s">
        <v>449</v>
      </c>
      <c r="L5" s="676" t="s">
        <v>450</v>
      </c>
      <c r="M5" s="677" t="s">
        <v>163</v>
      </c>
      <c r="O5" s="119"/>
      <c r="P5" s="119"/>
      <c r="Q5" s="119"/>
      <c r="R5" s="120"/>
      <c r="S5" s="120"/>
      <c r="T5" s="120"/>
      <c r="U5" s="160"/>
      <c r="V5" s="160"/>
      <c r="W5" s="160"/>
      <c r="X5" s="160"/>
      <c r="Y5" s="160"/>
      <c r="Z5" s="160"/>
      <c r="AA5" s="121"/>
      <c r="AB5" s="121"/>
      <c r="AC5" s="121"/>
      <c r="AD5" s="121"/>
      <c r="AE5" s="121"/>
      <c r="AF5" s="121"/>
      <c r="AG5" s="161"/>
      <c r="AH5" s="161"/>
      <c r="AI5" s="161"/>
      <c r="AJ5" s="161"/>
      <c r="AK5" s="161"/>
      <c r="AL5" s="161"/>
      <c r="AM5" s="122">
        <v>0.1</v>
      </c>
      <c r="AN5" s="122">
        <f>AM5</f>
        <v>0.1</v>
      </c>
      <c r="AO5" s="122">
        <f>AN5</f>
        <v>0.1</v>
      </c>
      <c r="AP5" s="122">
        <f>AO5</f>
        <v>0.1</v>
      </c>
      <c r="AQ5" s="122">
        <f>AP5</f>
        <v>0.1</v>
      </c>
      <c r="AR5" s="122">
        <f>AQ5</f>
        <v>0.1</v>
      </c>
      <c r="AS5" s="122"/>
      <c r="AT5" s="122"/>
      <c r="AU5" s="122"/>
      <c r="AV5" s="122"/>
      <c r="AW5" s="122"/>
      <c r="AX5" s="122"/>
      <c r="BA5" s="517">
        <f t="shared" ref="BA5:BF5" si="0">AM37</f>
        <v>-265.67</v>
      </c>
      <c r="BB5" s="517">
        <f t="shared" si="0"/>
        <v>-1658.32</v>
      </c>
      <c r="BC5" s="517">
        <f t="shared" si="0"/>
        <v>-690.83</v>
      </c>
      <c r="BD5" s="517">
        <f t="shared" si="0"/>
        <v>65412.680000000008</v>
      </c>
      <c r="BE5" s="517">
        <f t="shared" si="0"/>
        <v>15352.269999999999</v>
      </c>
      <c r="BF5" s="517">
        <f t="shared" si="0"/>
        <v>6706.5099999999993</v>
      </c>
      <c r="BG5" s="517">
        <f>SUM(BA5:BF5)</f>
        <v>84856.639999999999</v>
      </c>
    </row>
    <row r="6" spans="1:59" x14ac:dyDescent="0.25">
      <c r="B6" s="123" t="s">
        <v>451</v>
      </c>
      <c r="C6" s="124"/>
      <c r="D6" s="125"/>
      <c r="E6" s="124"/>
      <c r="F6" s="124"/>
      <c r="G6" s="124"/>
      <c r="H6" s="125"/>
      <c r="I6" s="124"/>
      <c r="J6" s="124"/>
      <c r="K6" s="124"/>
      <c r="L6" s="125"/>
      <c r="M6" s="124"/>
      <c r="O6" s="126"/>
      <c r="P6" s="126"/>
      <c r="Q6" s="126"/>
      <c r="R6" s="127"/>
      <c r="S6" s="127"/>
      <c r="T6" s="127"/>
      <c r="U6" s="160"/>
      <c r="V6" s="160"/>
      <c r="W6" s="160"/>
      <c r="X6" s="160"/>
      <c r="Y6" s="160"/>
      <c r="Z6" s="160"/>
      <c r="AA6" s="128"/>
      <c r="AB6" s="128"/>
      <c r="AC6" s="128"/>
      <c r="AD6" s="128"/>
      <c r="AE6" s="128"/>
      <c r="AF6" s="128"/>
      <c r="AG6" s="161"/>
      <c r="AH6" s="161"/>
      <c r="AI6" s="161"/>
      <c r="AJ6" s="161"/>
      <c r="AK6" s="161"/>
      <c r="AL6" s="161"/>
      <c r="AM6" s="122"/>
      <c r="AN6" s="122"/>
      <c r="AO6" s="122"/>
      <c r="AP6" s="122"/>
      <c r="AQ6" s="122"/>
      <c r="AR6" s="122"/>
      <c r="AS6" s="122"/>
      <c r="AT6" s="122"/>
      <c r="AU6" s="122"/>
      <c r="AV6" s="122"/>
      <c r="AW6" s="122"/>
      <c r="AX6" s="122"/>
      <c r="AZ6" s="129"/>
    </row>
    <row r="7" spans="1:59" x14ac:dyDescent="0.25">
      <c r="A7" s="195" t="s">
        <v>35</v>
      </c>
      <c r="B7" s="89" t="s">
        <v>36</v>
      </c>
      <c r="C7" s="159">
        <f>SUM(O7:Z7)</f>
        <v>3551587</v>
      </c>
      <c r="D7" s="170">
        <f>SUM(AA7:AL7)</f>
        <v>20277928.848166734</v>
      </c>
      <c r="E7" s="159">
        <f>SUM(AM7:AX7)+BG7</f>
        <v>212691282.92000002</v>
      </c>
      <c r="F7" s="130"/>
      <c r="G7" s="130">
        <f>O7+W7+X7+Y7+Z7</f>
        <v>1487857</v>
      </c>
      <c r="H7" s="131">
        <f>AA7+AI7+AJ7+AK7+AL7</f>
        <v>15822786.169995874</v>
      </c>
      <c r="I7" s="130">
        <f>AM7+AU7+AV7+AW7+AX7</f>
        <v>144370343.27000001</v>
      </c>
      <c r="J7" s="130"/>
      <c r="K7" s="130">
        <f>SUM(P7:V7)</f>
        <v>2063730</v>
      </c>
      <c r="L7" s="131">
        <f>SUM(AB7:AH7)</f>
        <v>4455142.6781708598</v>
      </c>
      <c r="M7" s="130">
        <f>SUM(AN7:AT7)</f>
        <v>68264157.349999994</v>
      </c>
      <c r="O7" s="132">
        <f>SUMIFS('Mar16-Aug16 Billed-RETAIL'!$H$7:$H$143,'Mar16-Aug16 Billed-RETAIL'!$D$7:$D$143,SBR!O$4,'Mar16-Aug16 Billed-RETAIL'!$E$7:$E$143,SBR!$A7)+SUMIFS('Mar16-Aug16 Billed-RETAIL'!$AG$7:$AG$143,'Mar16-Aug16 Billed-RETAIL'!$E$7:$E$143,SBR!$A7,'Mar16-Aug16 Billed-RETAIL'!$D$7:$D$143,SBR!O$4)</f>
        <v>302894</v>
      </c>
      <c r="P7" s="132">
        <f>SUMIFS('Mar16-Aug16 Billed-RETAIL'!$H$7:$H$143,'Mar16-Aug16 Billed-RETAIL'!$D$7:$D$143,SBR!P$4,'Mar16-Aug16 Billed-RETAIL'!$E$7:$E$143,SBR!$A7)+SUMIFS('Mar16-Aug16 Billed-RETAIL'!$AG$7:$AG$143,'Mar16-Aug16 Billed-RETAIL'!$E$7:$E$143,SBR!$A7,'Mar16-Aug16 Billed-RETAIL'!$D$7:$D$143,SBR!P$4)</f>
        <v>295504</v>
      </c>
      <c r="Q7" s="132">
        <f>SUMIFS('Mar16-Aug16 Billed-RETAIL'!$H$7:$H$143,'Mar16-Aug16 Billed-RETAIL'!$D$7:$D$143,SBR!Q$4,'Mar16-Aug16 Billed-RETAIL'!$E$7:$E$143,SBR!$A7)+SUMIFS('Mar16-Aug16 Billed-RETAIL'!$AG$7:$AG$143,'Mar16-Aug16 Billed-RETAIL'!$E$7:$E$143,SBR!$A7,'Mar16-Aug16 Billed-RETAIL'!$D$7:$D$143,SBR!Q$4)</f>
        <v>295348</v>
      </c>
      <c r="R7" s="132">
        <f>SUMIFS('Mar16-Aug16 Billed-RETAIL'!$H$7:$H$143,'Mar16-Aug16 Billed-RETAIL'!$D$7:$D$143,SBR!R$4,'Mar16-Aug16 Billed-RETAIL'!$E$7:$E$143,SBR!$A7)+SUMIFS('Mar16-Aug16 Billed-RETAIL'!$AG$7:$AG$143,'Mar16-Aug16 Billed-RETAIL'!$E$7:$E$143,SBR!$A7,'Mar16-Aug16 Billed-RETAIL'!$D$7:$D$143,SBR!R$4)</f>
        <v>295207</v>
      </c>
      <c r="S7" s="132">
        <f>SUMIFS('Mar16-Aug16 Billed-RETAIL'!$H$7:$H$143,'Mar16-Aug16 Billed-RETAIL'!$D$7:$D$143,SBR!S$4,'Mar16-Aug16 Billed-RETAIL'!$E$7:$E$143,SBR!$A7)+SUMIFS('Mar16-Aug16 Billed-RETAIL'!$AG$7:$AG$143,'Mar16-Aug16 Billed-RETAIL'!$E$7:$E$143,SBR!$A7,'Mar16-Aug16 Billed-RETAIL'!$D$7:$D$143,SBR!S$4)</f>
        <v>293842</v>
      </c>
      <c r="T7" s="132">
        <f>SUMIFS('Mar16-Aug16 Billed-RETAIL'!$H$7:$H$143,'Mar16-Aug16 Billed-RETAIL'!$D$7:$D$143,SBR!T$4,'Mar16-Aug16 Billed-RETAIL'!$E$7:$E$143,SBR!$A7)+SUMIFS('Mar16-Aug16 Billed-RETAIL'!$AG$7:$AG$143,'Mar16-Aug16 Billed-RETAIL'!$E$7:$E$143,SBR!$A7,'Mar16-Aug16 Billed-RETAIL'!$D$7:$D$143,SBR!T$4)</f>
        <v>295292</v>
      </c>
      <c r="U7" s="132">
        <f>SUMIFS('Mar16-Aug16 Billed-RETAIL'!$H$7:$H$143,'Mar16-Aug16 Billed-RETAIL'!$D$7:$D$143,SBR!U$4,'Mar16-Aug16 Billed-RETAIL'!$E$7:$E$143,SBR!$A7)+SUMIFS('Mar16-Aug16 Billed-RETAIL'!$AG$7:$AG$143,'Mar16-Aug16 Billed-RETAIL'!$E$7:$E$143,SBR!$A7,'Mar16-Aug16 Billed-RETAIL'!$D$7:$D$143,SBR!U$4)</f>
        <v>294106</v>
      </c>
      <c r="V7" s="132">
        <f>SUMIFS('Mar16-Aug16 Billed-RETAIL'!$H$7:$H$143,'Mar16-Aug16 Billed-RETAIL'!$D$7:$D$143,SBR!V$4,'Mar16-Aug16 Billed-RETAIL'!$E$7:$E$143,SBR!$A7)+SUMIFS('Mar16-Aug16 Billed-RETAIL'!$AG$7:$AG$143,'Mar16-Aug16 Billed-RETAIL'!$E$7:$E$143,SBR!$A7,'Mar16-Aug16 Billed-RETAIL'!$D$7:$D$143,SBR!V$4)</f>
        <v>294431</v>
      </c>
      <c r="W7" s="132">
        <f>SUMIFS('Mar16-Aug16 Billed-RETAIL'!$H$7:$H$143,'Mar16-Aug16 Billed-RETAIL'!$D$7:$D$143,SBR!W$4,'Mar16-Aug16 Billed-RETAIL'!$E$7:$E$143,SBR!$A7)+SUMIFS('Mar16-Aug16 Billed-RETAIL'!$AG$7:$AG$143,'Mar16-Aug16 Billed-RETAIL'!$E$7:$E$143,SBR!$A7,'Mar16-Aug16 Billed-RETAIL'!$D$7:$D$143,SBR!W$4)</f>
        <v>295094</v>
      </c>
      <c r="X7" s="132">
        <f>SUMIFS('Mar16-Aug16 Billed-RETAIL'!$H$7:$H$143,'Mar16-Aug16 Billed-RETAIL'!$D$7:$D$143,SBR!X$4,'Mar16-Aug16 Billed-RETAIL'!$E$7:$E$143,SBR!$A7)+SUMIFS('Mar16-Aug16 Billed-RETAIL'!$AG$7:$AG$143,'Mar16-Aug16 Billed-RETAIL'!$E$7:$E$143,SBR!$A7,'Mar16-Aug16 Billed-RETAIL'!$D$7:$D$143,SBR!X$4)</f>
        <v>296171</v>
      </c>
      <c r="Y7" s="132">
        <f>SUMIFS('Mar16-Aug16 Billed-RETAIL'!$H$7:$H$143,'Mar16-Aug16 Billed-RETAIL'!$D$7:$D$143,SBR!Y$4,'Mar16-Aug16 Billed-RETAIL'!$E$7:$E$143,SBR!$A7)+SUMIFS('Mar16-Aug16 Billed-RETAIL'!$AG$7:$AG$143,'Mar16-Aug16 Billed-RETAIL'!$E$7:$E$143,SBR!$A7,'Mar16-Aug16 Billed-RETAIL'!$D$7:$D$143,SBR!Y$4)</f>
        <v>296728</v>
      </c>
      <c r="Z7" s="132">
        <f>SUMIFS('Mar16-Aug16 Billed-RETAIL'!$H$7:$H$143,'Mar16-Aug16 Billed-RETAIL'!$D$7:$D$143,SBR!Z$4,'Mar16-Aug16 Billed-RETAIL'!$E$7:$E$143,SBR!$A7)+SUMIFS('Mar16-Aug16 Billed-RETAIL'!$AG$7:$AG$143,'Mar16-Aug16 Billed-RETAIL'!$E$7:$E$143,SBR!$A7,'Mar16-Aug16 Billed-RETAIL'!$D$7:$D$143,SBR!Z$4)</f>
        <v>296970</v>
      </c>
      <c r="AA7" s="133">
        <f>(SUMIFS('Mar16-Aug16 Billed-RETAIL'!$K$5:$K$220,'Mar16-Aug16 Billed-RETAIL'!$D$5:$D$220,SBR!AA$4,'Mar16-Aug16 Billed-RETAIL'!$E$5:$E$220,SBR!$A7)+SUMIFS('Mar16-Aug16 Billed-RETAIL'!$L$5:$L$220,'Mar16-Aug16 Billed-RETAIL'!$D$5:$D$220,SBR!AA$4,'Mar16-Aug16 Billed-RETAIL'!$E$5:$E$220,SBR!$A7))*0.1</f>
        <v>2494823</v>
      </c>
      <c r="AB7" s="133">
        <f>(SUMIFS('Mar16-Aug16 Billed-RETAIL'!$K$5:$K$220,'Mar16-Aug16 Billed-RETAIL'!$D$5:$D$220,SBR!AB$4,'Mar16-Aug16 Billed-RETAIL'!$E$5:$E$220,SBR!$A7)+SUMIFS('Mar16-Aug16 Billed-RETAIL'!$L$5:$L$220,'Mar16-Aug16 Billed-RETAIL'!$D$5:$D$220,SBR!AB$4,'Mar16-Aug16 Billed-RETAIL'!$E$5:$E$220,SBR!$A7))*0.1</f>
        <v>1423291.2000000002</v>
      </c>
      <c r="AC7" s="133">
        <f>(SUMIFS('Mar16-Aug16 Billed-RETAIL'!$K$5:$K$220,'Mar16-Aug16 Billed-RETAIL'!$D$5:$D$220,SBR!AC$4,'Mar16-Aug16 Billed-RETAIL'!$E$5:$E$220,SBR!$A7)+SUMIFS('Mar16-Aug16 Billed-RETAIL'!$L$5:$L$220,'Mar16-Aug16 Billed-RETAIL'!$D$5:$D$220,SBR!AC$4,'Mar16-Aug16 Billed-RETAIL'!$E$5:$E$220,SBR!$A7))*0.1</f>
        <v>731364.60000000009</v>
      </c>
      <c r="AD7" s="133">
        <f>(SUMIFS('Mar16-Aug16 Billed-RETAIL'!$K$5:$K$220,'Mar16-Aug16 Billed-RETAIL'!$D$5:$D$220,SBR!AD$4,'Mar16-Aug16 Billed-RETAIL'!$E$5:$E$220,SBR!$A7)+SUMIFS('Mar16-Aug16 Billed-RETAIL'!$L$5:$L$220,'Mar16-Aug16 Billed-RETAIL'!$D$5:$D$220,SBR!AD$4,'Mar16-Aug16 Billed-RETAIL'!$E$5:$E$220,SBR!$A7))*0.1</f>
        <v>519504.80000000005</v>
      </c>
      <c r="AE7" s="133">
        <f>(SUMIFS('Mar16-Aug16 Billed-RETAIL'!$K$5:$K$220,'Mar16-Aug16 Billed-RETAIL'!$D$5:$D$220,SBR!AE$4,'Mar16-Aug16 Billed-RETAIL'!$E$5:$E$220,SBR!$A7)+SUMIFS('Mar16-Aug16 Billed-RETAIL'!$L$5:$L$220,'Mar16-Aug16 Billed-RETAIL'!$D$5:$D$220,SBR!AE$4,'Mar16-Aug16 Billed-RETAIL'!$E$5:$E$220,SBR!$A7))*0.1</f>
        <v>363580.7</v>
      </c>
      <c r="AF7" s="133">
        <f>(SUMIFS('Mar16-Aug16 Billed-RETAIL'!$K$5:$K$220,'Mar16-Aug16 Billed-RETAIL'!$D$5:$D$220,SBR!AF$4,'Mar16-Aug16 Billed-RETAIL'!$E$5:$E$220,SBR!$A7)+SUMIFS('Mar16-Aug16 Billed-RETAIL'!$L$5:$L$220,'Mar16-Aug16 Billed-RETAIL'!$D$5:$D$220,SBR!AF$4,'Mar16-Aug16 Billed-RETAIL'!$E$5:$E$220,SBR!$A7))*0.1</f>
        <v>331279.5</v>
      </c>
      <c r="AG7" s="133">
        <f>(SUMIFS('Mar16-Aug16 Billed-RETAIL'!$K$5:$K$146,'Mar16-Aug16 Billed-RETAIL'!$D$5:$D$146,SBR!AG$4,'Mar16-Aug16 Billed-RETAIL'!$E$5:$E$146,SBR!$A7)+SUMIFS('Mar16-Aug16 Billed-RETAIL'!$L$5:$L$146,'Mar16-Aug16 Billed-RETAIL'!$D$5:$D$146,SBR!AG$4,'Mar16-Aug16 Billed-RETAIL'!$E$5:$E$146,SBR!$A7))*0.1</f>
        <v>363855.45416885562</v>
      </c>
      <c r="AH7" s="133">
        <f>(SUMIFS('Mar16-Aug16 Billed-RETAIL'!$K$5:$K$146,'Mar16-Aug16 Billed-RETAIL'!$D$5:$D$146,SBR!AH$4,'Mar16-Aug16 Billed-RETAIL'!$E$5:$E$146,SBR!$A7)+SUMIFS('Mar16-Aug16 Billed-RETAIL'!$L$5:$L$146,'Mar16-Aug16 Billed-RETAIL'!$D$5:$D$146,SBR!AH$4,'Mar16-Aug16 Billed-RETAIL'!$E$5:$E$146,SBR!$A7))*0.1</f>
        <v>722266.42400200339</v>
      </c>
      <c r="AI7" s="133">
        <f>(SUMIFS('Mar16-Aug16 Billed-RETAIL'!$K$5:$K$146,'Mar16-Aug16 Billed-RETAIL'!$D$5:$D$146,SBR!AI$4,'Mar16-Aug16 Billed-RETAIL'!$E$5:$E$146,SBR!$A7)+SUMIFS('Mar16-Aug16 Billed-RETAIL'!$L$5:$L$146,'Mar16-Aug16 Billed-RETAIL'!$D$5:$D$146,SBR!AI$4,'Mar16-Aug16 Billed-RETAIL'!$E$5:$E$146,SBR!$A7))*0.1</f>
        <v>1883953.0908036353</v>
      </c>
      <c r="AJ7" s="133">
        <f>(SUMIFS('Mar16-Aug16 Billed-RETAIL'!$K$5:$K$146,'Mar16-Aug16 Billed-RETAIL'!$D$5:$D$146,SBR!AJ$4,'Mar16-Aug16 Billed-RETAIL'!$E$5:$E$146,SBR!$A7)+SUMIFS('Mar16-Aug16 Billed-RETAIL'!$L$5:$L$146,'Mar16-Aug16 Billed-RETAIL'!$D$5:$D$146,SBR!AJ$4,'Mar16-Aug16 Billed-RETAIL'!$E$5:$E$146,SBR!$A7))*0.1</f>
        <v>3470093.0340371616</v>
      </c>
      <c r="AK7" s="133">
        <f>(SUMIFS('Mar16-Aug16 Billed-RETAIL'!$K$5:$K$146,'Mar16-Aug16 Billed-RETAIL'!$D$5:$D$146,SBR!AK$4,'Mar16-Aug16 Billed-RETAIL'!$E$5:$E$146,SBR!$A7)+SUMIFS('Mar16-Aug16 Billed-RETAIL'!$L$5:$L$146,'Mar16-Aug16 Billed-RETAIL'!$D$5:$D$146,SBR!AK$4,'Mar16-Aug16 Billed-RETAIL'!$E$5:$E$146,SBR!$A7))*0.1</f>
        <v>4319797.5752255926</v>
      </c>
      <c r="AL7" s="133">
        <f>(SUMIFS('Mar16-Aug16 Billed-RETAIL'!$K$5:$K$146,'Mar16-Aug16 Billed-RETAIL'!$D$5:$D$146,SBR!AL$4,'Mar16-Aug16 Billed-RETAIL'!$E$5:$E$146,SBR!$A7)+SUMIFS('Mar16-Aug16 Billed-RETAIL'!$L$5:$L$146,'Mar16-Aug16 Billed-RETAIL'!$D$5:$D$146,SBR!AL$4,'Mar16-Aug16 Billed-RETAIL'!$E$5:$E$146,SBR!$A7))*0.1</f>
        <v>3654119.4699294851</v>
      </c>
      <c r="AM7" s="134">
        <f>SUMIFS('Mar16-Aug16 Billed-RETAIL'!$AZ$5:$AZ$146,'Mar16-Aug16 Billed-RETAIL'!$D$5:$D$146,SBR!AM$4,'Mar16-Aug16 Billed-RETAIL'!$E$5:$E$146,SBR!$A7)</f>
        <v>22311607.670000002</v>
      </c>
      <c r="AN7" s="134">
        <f>SUMIFS('Mar16-Aug16 Billed-RETAIL'!$AZ$5:$AZ$146,'Mar16-Aug16 Billed-RETAIL'!$D$5:$D$146,SBR!AN$4,'Mar16-Aug16 Billed-RETAIL'!$E$5:$E$146,SBR!$A7)</f>
        <v>15232120.27</v>
      </c>
      <c r="AO7" s="134">
        <f>SUMIFS('Mar16-Aug16 Billed-RETAIL'!$AZ$5:$AZ$146,'Mar16-Aug16 Billed-RETAIL'!$D$5:$D$146,SBR!AO$4,'Mar16-Aug16 Billed-RETAIL'!$E$5:$E$146,SBR!$A7)</f>
        <v>10104712.449999999</v>
      </c>
      <c r="AP7" s="134">
        <f>SUMIFS('Mar16-Aug16 Billed-RETAIL'!$AZ$5:$AZ$146,'Mar16-Aug16 Billed-RETAIL'!$D$5:$D$146,SBR!AP$4,'Mar16-Aug16 Billed-RETAIL'!$E$5:$E$146,SBR!$A7)</f>
        <v>8874477.3900000006</v>
      </c>
      <c r="AQ7" s="134">
        <f>SUMIFS('Mar16-Aug16 Billed-RETAIL'!$AZ$5:$AZ$146,'Mar16-Aug16 Billed-RETAIL'!$D$5:$D$146,SBR!AQ$4,'Mar16-Aug16 Billed-RETAIL'!$E$5:$E$146,SBR!$A7)</f>
        <v>7837250.79</v>
      </c>
      <c r="AR7" s="134">
        <f>SUMIFS('Mar16-Aug16 Billed-RETAIL'!$AZ$5:$AZ$146,'Mar16-Aug16 Billed-RETAIL'!$D$5:$D$146,SBR!AR$4,'Mar16-Aug16 Billed-RETAIL'!$E$5:$E$146,SBR!$A7)</f>
        <v>7713472.1600000001</v>
      </c>
      <c r="AS7" s="134">
        <f>SUMIFS('Mar16-Aug16 Billed-RETAIL'!$AZ$5:$AZ$146,'Mar16-Aug16 Billed-RETAIL'!$D$5:$D$146,SBR!AS$4,'Mar16-Aug16 Billed-RETAIL'!$E$5:$E$146,SBR!$A7)</f>
        <v>7889594.2199999997</v>
      </c>
      <c r="AT7" s="134">
        <f>SUMIFS('Mar16-Aug16 Billed-RETAIL'!$AZ$5:$AZ$146,'Mar16-Aug16 Billed-RETAIL'!$D$5:$D$146,SBR!AT$4,'Mar16-Aug16 Billed-RETAIL'!$E$5:$E$146,SBR!$A7)</f>
        <v>10612530.07</v>
      </c>
      <c r="AU7" s="134">
        <f>SUMIFS('Mar16-Aug16 Billed-RETAIL'!$AZ$5:$AZ$146,'Mar16-Aug16 Billed-RETAIL'!$D$5:$D$146,SBR!AU$4,'Mar16-Aug16 Billed-RETAIL'!$E$5:$E$146,SBR!$A7)</f>
        <v>19726099.350000001</v>
      </c>
      <c r="AV7" s="134">
        <f>SUMIFS('Mar16-Aug16 Billed-RETAIL'!$AZ$5:$AZ$146,'Mar16-Aug16 Billed-RETAIL'!$D$5:$D$146,SBR!AV$4,'Mar16-Aug16 Billed-RETAIL'!$E$5:$E$146,SBR!$A7)</f>
        <v>32109466.449999999</v>
      </c>
      <c r="AW7" s="134">
        <f>SUMIFS('Mar16-Aug16 Billed-RETAIL'!$AZ$5:$AZ$146,'Mar16-Aug16 Billed-RETAIL'!$D$5:$D$146,SBR!AW$4,'Mar16-Aug16 Billed-RETAIL'!$E$5:$E$146,SBR!$A7)</f>
        <v>36890539.75</v>
      </c>
      <c r="AX7" s="134">
        <f>SUMIFS('Mar16-Aug16 Billed-RETAIL'!$AZ$5:$AZ$146,'Mar16-Aug16 Billed-RETAIL'!$D$5:$D$146,SBR!AX$4,'Mar16-Aug16 Billed-RETAIL'!$E$5:$E$146,SBR!$A7)</f>
        <v>33332630.050000001</v>
      </c>
      <c r="AY7" s="135"/>
      <c r="AZ7" s="135"/>
      <c r="BA7" s="518">
        <f t="shared" ref="BA7:BF8" si="1">ROUND((AM7/SUM(AM$9+AM$16+AM$24+AM$34+AM$35))*BA$5,2)</f>
        <v>-183.22</v>
      </c>
      <c r="BB7" s="518">
        <f t="shared" si="1"/>
        <v>-1152.25</v>
      </c>
      <c r="BC7" s="518">
        <f t="shared" si="1"/>
        <v>-466.43</v>
      </c>
      <c r="BD7" s="518">
        <f t="shared" si="1"/>
        <v>43817.56</v>
      </c>
      <c r="BE7" s="518">
        <f t="shared" si="1"/>
        <v>10297.31</v>
      </c>
      <c r="BF7" s="518">
        <f t="shared" si="1"/>
        <v>4469.33</v>
      </c>
      <c r="BG7" s="518">
        <f t="shared" ref="BG7:BG34" si="2">SUM(BA7:BF7)</f>
        <v>56782.299999999996</v>
      </c>
    </row>
    <row r="8" spans="1:59" x14ac:dyDescent="0.25">
      <c r="A8" s="195" t="s">
        <v>37</v>
      </c>
      <c r="B8" s="89" t="s">
        <v>38</v>
      </c>
      <c r="C8" s="173">
        <f>SUM(O8:Z8)</f>
        <v>18</v>
      </c>
      <c r="D8" s="174">
        <f>SUM(AA8:AL8)</f>
        <v>332.19999999999993</v>
      </c>
      <c r="E8" s="173">
        <f t="shared" ref="E8:E34" si="3">SUM(AM8:AX8)+BG8</f>
        <v>2555.6400000000003</v>
      </c>
      <c r="F8" s="130"/>
      <c r="G8" s="136">
        <f>O8+W8+X8+Y8+Z8</f>
        <v>3</v>
      </c>
      <c r="H8" s="137">
        <f>AA8+AI8+AJ8+AK8+AL8</f>
        <v>137.80000000000001</v>
      </c>
      <c r="I8" s="136">
        <f t="shared" ref="I8:I34" si="4">AM8+AU8+AV8+AW8+AX8</f>
        <v>1018.51</v>
      </c>
      <c r="J8" s="130"/>
      <c r="K8" s="136">
        <f t="shared" ref="K8:K34" si="5">SUM(P8:V8)</f>
        <v>15</v>
      </c>
      <c r="L8" s="137">
        <f t="shared" ref="L8:L34" si="6">SUM(AB8:AH8)</f>
        <v>194.40000000000003</v>
      </c>
      <c r="M8" s="136">
        <f t="shared" ref="M8:M34" si="7">SUM(AN8:AT8)</f>
        <v>1535.52</v>
      </c>
      <c r="O8" s="139">
        <f>SUMIFS('Mar16-Aug16 Billed-RETAIL'!$H$7:$H$143,'Mar16-Aug16 Billed-RETAIL'!$D$7:$D$143,SBR!O$4,'Mar16-Aug16 Billed-RETAIL'!$E$7:$E$143,SBR!$A8)+SUMIFS('Mar16-Aug16 Billed-RETAIL'!$AG$7:$AG$143,'Mar16-Aug16 Billed-RETAIL'!$E$7:$E$143,SBR!$A8,'Mar16-Aug16 Billed-RETAIL'!$D$7:$D$143,SBR!O$4)</f>
        <v>3</v>
      </c>
      <c r="P8" s="139">
        <f>SUMIFS('Mar16-Aug16 Billed-RETAIL'!$H$7:$H$143,'Mar16-Aug16 Billed-RETAIL'!$D$7:$D$143,SBR!P$4,'Mar16-Aug16 Billed-RETAIL'!$E$7:$E$143,SBR!$A8)+SUMIFS('Mar16-Aug16 Billed-RETAIL'!$AG$7:$AG$143,'Mar16-Aug16 Billed-RETAIL'!$E$7:$E$143,SBR!$A8,'Mar16-Aug16 Billed-RETAIL'!$D$7:$D$143,SBR!P$4)</f>
        <v>3</v>
      </c>
      <c r="Q8" s="139">
        <f>SUMIFS('Mar16-Aug16 Billed-RETAIL'!$H$7:$H$143,'Mar16-Aug16 Billed-RETAIL'!$D$7:$D$143,SBR!Q$4,'Mar16-Aug16 Billed-RETAIL'!$E$7:$E$143,SBR!$A8)+SUMIFS('Mar16-Aug16 Billed-RETAIL'!$AG$7:$AG$143,'Mar16-Aug16 Billed-RETAIL'!$E$7:$E$143,SBR!$A8,'Mar16-Aug16 Billed-RETAIL'!$D$7:$D$143,SBR!Q$4)</f>
        <v>3</v>
      </c>
      <c r="R8" s="139">
        <f>SUMIFS('Mar16-Aug16 Billed-RETAIL'!$H$7:$H$143,'Mar16-Aug16 Billed-RETAIL'!$D$7:$D$143,SBR!R$4,'Mar16-Aug16 Billed-RETAIL'!$E$7:$E$143,SBR!$A8)+SUMIFS('Mar16-Aug16 Billed-RETAIL'!$AG$7:$AG$143,'Mar16-Aug16 Billed-RETAIL'!$E$7:$E$143,SBR!$A8,'Mar16-Aug16 Billed-RETAIL'!$D$7:$D$143,SBR!R$4)</f>
        <v>3</v>
      </c>
      <c r="S8" s="139">
        <f>SUMIFS('Mar16-Aug16 Billed-RETAIL'!$H$7:$H$143,'Mar16-Aug16 Billed-RETAIL'!$D$7:$D$143,SBR!S$4,'Mar16-Aug16 Billed-RETAIL'!$E$7:$E$143,SBR!$A8)+SUMIFS('Mar16-Aug16 Billed-RETAIL'!$AG$7:$AG$143,'Mar16-Aug16 Billed-RETAIL'!$E$7:$E$143,SBR!$A8,'Mar16-Aug16 Billed-RETAIL'!$D$7:$D$143,SBR!S$4)</f>
        <v>3</v>
      </c>
      <c r="T8" s="139">
        <f>SUMIFS('Mar16-Aug16 Billed-RETAIL'!$H$7:$H$143,'Mar16-Aug16 Billed-RETAIL'!$D$7:$D$143,SBR!T$4,'Mar16-Aug16 Billed-RETAIL'!$E$7:$E$143,SBR!$A8)+SUMIFS('Mar16-Aug16 Billed-RETAIL'!$AG$7:$AG$143,'Mar16-Aug16 Billed-RETAIL'!$E$7:$E$143,SBR!$A8,'Mar16-Aug16 Billed-RETAIL'!$D$7:$D$143,SBR!T$4)</f>
        <v>3</v>
      </c>
      <c r="U8" s="139"/>
      <c r="V8" s="139"/>
      <c r="W8" s="139"/>
      <c r="X8" s="139"/>
      <c r="Y8" s="139"/>
      <c r="Z8" s="139"/>
      <c r="AA8" s="140">
        <f>(SUMIFS('Mar16-Aug16 Billed-RETAIL'!$K$5:$K$220,'Mar16-Aug16 Billed-RETAIL'!$D$5:$D$220,SBR!AA$4,'Mar16-Aug16 Billed-RETAIL'!$E$5:$E$220,SBR!$A8)+SUMIFS('Mar16-Aug16 Billed-RETAIL'!$L$5:$L$220,'Mar16-Aug16 Billed-RETAIL'!$D$5:$D$220,SBR!AA$4,'Mar16-Aug16 Billed-RETAIL'!$E$5:$E$220,SBR!$A8))*0.1</f>
        <v>137.80000000000001</v>
      </c>
      <c r="AB8" s="140">
        <f>(SUMIFS('Mar16-Aug16 Billed-RETAIL'!$K$5:$K$220,'Mar16-Aug16 Billed-RETAIL'!$D$5:$D$220,SBR!AB$4,'Mar16-Aug16 Billed-RETAIL'!$E$5:$E$220,SBR!$A8)+SUMIFS('Mar16-Aug16 Billed-RETAIL'!$L$5:$L$220,'Mar16-Aug16 Billed-RETAIL'!$D$5:$D$220,SBR!AB$4,'Mar16-Aug16 Billed-RETAIL'!$E$5:$E$220,SBR!$A8))*0.1</f>
        <v>75.7</v>
      </c>
      <c r="AC8" s="140">
        <f>(SUMIFS('Mar16-Aug16 Billed-RETAIL'!$K$5:$K$220,'Mar16-Aug16 Billed-RETAIL'!$D$5:$D$220,SBR!AC$4,'Mar16-Aug16 Billed-RETAIL'!$E$5:$E$220,SBR!$A8)+SUMIFS('Mar16-Aug16 Billed-RETAIL'!$L$5:$L$220,'Mar16-Aug16 Billed-RETAIL'!$D$5:$D$220,SBR!AC$4,'Mar16-Aug16 Billed-RETAIL'!$E$5:$E$220,SBR!$A8))*0.1</f>
        <v>34.6</v>
      </c>
      <c r="AD8" s="140">
        <f>(SUMIFS('Mar16-Aug16 Billed-RETAIL'!$K$5:$K$220,'Mar16-Aug16 Billed-RETAIL'!$D$5:$D$220,SBR!AD$4,'Mar16-Aug16 Billed-RETAIL'!$E$5:$E$220,SBR!$A8)+SUMIFS('Mar16-Aug16 Billed-RETAIL'!$L$5:$L$220,'Mar16-Aug16 Billed-RETAIL'!$D$5:$D$220,SBR!AD$4,'Mar16-Aug16 Billed-RETAIL'!$E$5:$E$220,SBR!$A8))*0.1</f>
        <v>29.8</v>
      </c>
      <c r="AE8" s="140">
        <f>(SUMIFS('Mar16-Aug16 Billed-RETAIL'!$K$5:$K$220,'Mar16-Aug16 Billed-RETAIL'!$D$5:$D$220,SBR!AE$4,'Mar16-Aug16 Billed-RETAIL'!$E$5:$E$220,SBR!$A8)+SUMIFS('Mar16-Aug16 Billed-RETAIL'!$L$5:$L$220,'Mar16-Aug16 Billed-RETAIL'!$D$5:$D$220,SBR!AE$4,'Mar16-Aug16 Billed-RETAIL'!$E$5:$E$220,SBR!$A8))*0.1</f>
        <v>27.900000000000002</v>
      </c>
      <c r="AF8" s="140">
        <f>(SUMIFS('Mar16-Aug16 Billed-RETAIL'!$K$5:$K$220,'Mar16-Aug16 Billed-RETAIL'!$D$5:$D$220,SBR!AF$4,'Mar16-Aug16 Billed-RETAIL'!$E$5:$E$220,SBR!$A8)+SUMIFS('Mar16-Aug16 Billed-RETAIL'!$L$5:$L$220,'Mar16-Aug16 Billed-RETAIL'!$D$5:$D$220,SBR!AF$4,'Mar16-Aug16 Billed-RETAIL'!$E$5:$E$220,SBR!$A8))*0.1</f>
        <v>26.400000000000002</v>
      </c>
      <c r="AG8" s="532"/>
      <c r="AH8" s="532"/>
      <c r="AI8" s="532"/>
      <c r="AJ8" s="532"/>
      <c r="AK8" s="532"/>
      <c r="AL8" s="532"/>
      <c r="AM8" s="141">
        <f>SUMIFS('Mar16-Aug16 Billed-RETAIL'!$AZ$5:$AZ$146,'Mar16-Aug16 Billed-RETAIL'!$D$5:$D$146,SBR!AM$4,'Mar16-Aug16 Billed-RETAIL'!$E$5:$E$146,SBR!$A8)</f>
        <v>1018.51</v>
      </c>
      <c r="AN8" s="141">
        <f>SUMIFS('Mar16-Aug16 Billed-RETAIL'!$AZ$5:$AZ$146,'Mar16-Aug16 Billed-RETAIL'!$D$5:$D$146,SBR!AN$4,'Mar16-Aug16 Billed-RETAIL'!$E$5:$E$146,SBR!$A8)</f>
        <v>540.37</v>
      </c>
      <c r="AO8" s="141">
        <f>SUMIFS('Mar16-Aug16 Billed-RETAIL'!$AZ$5:$AZ$146,'Mar16-Aug16 Billed-RETAIL'!$D$5:$D$146,SBR!AO$4,'Mar16-Aug16 Billed-RETAIL'!$E$5:$E$146,SBR!$A8)</f>
        <v>276.66000000000003</v>
      </c>
      <c r="AP8" s="141">
        <f>SUMIFS('Mar16-Aug16 Billed-RETAIL'!$AZ$5:$AZ$146,'Mar16-Aug16 Billed-RETAIL'!$D$5:$D$146,SBR!AP$4,'Mar16-Aug16 Billed-RETAIL'!$E$5:$E$146,SBR!$A8)</f>
        <v>249.34</v>
      </c>
      <c r="AQ8" s="141">
        <f>SUMIFS('Mar16-Aug16 Billed-RETAIL'!$AZ$5:$AZ$146,'Mar16-Aug16 Billed-RETAIL'!$D$5:$D$146,SBR!AQ$4,'Mar16-Aug16 Billed-RETAIL'!$E$5:$E$146,SBR!$A8)</f>
        <v>237</v>
      </c>
      <c r="AR8" s="141">
        <f>SUMIFS('Mar16-Aug16 Billed-RETAIL'!$AZ$5:$AZ$146,'Mar16-Aug16 Billed-RETAIL'!$D$5:$D$146,SBR!AR$4,'Mar16-Aug16 Billed-RETAIL'!$E$5:$E$146,SBR!$A8)</f>
        <v>232.15</v>
      </c>
      <c r="AS8" s="141"/>
      <c r="AT8" s="141"/>
      <c r="AU8" s="141"/>
      <c r="AV8" s="141"/>
      <c r="AW8" s="141"/>
      <c r="AX8" s="141"/>
      <c r="AY8" s="135"/>
      <c r="AZ8" s="135"/>
      <c r="BA8" s="518">
        <f t="shared" si="1"/>
        <v>-0.01</v>
      </c>
      <c r="BB8" s="518">
        <f t="shared" si="1"/>
        <v>-0.04</v>
      </c>
      <c r="BC8" s="518">
        <f t="shared" si="1"/>
        <v>-0.01</v>
      </c>
      <c r="BD8" s="518">
        <f t="shared" si="1"/>
        <v>1.23</v>
      </c>
      <c r="BE8" s="518">
        <f t="shared" si="1"/>
        <v>0.31</v>
      </c>
      <c r="BF8" s="518">
        <f t="shared" si="1"/>
        <v>0.13</v>
      </c>
      <c r="BG8" s="518">
        <f t="shared" si="2"/>
        <v>1.6099999999999999</v>
      </c>
    </row>
    <row r="9" spans="1:59" x14ac:dyDescent="0.25">
      <c r="B9" s="142" t="s">
        <v>452</v>
      </c>
      <c r="C9" s="159">
        <f>SUM(O9:Z9)</f>
        <v>3551605</v>
      </c>
      <c r="D9" s="170">
        <f>SUM(AA9:AL9)</f>
        <v>20278261.048166733</v>
      </c>
      <c r="E9" s="159">
        <f t="shared" si="3"/>
        <v>212693838.55999997</v>
      </c>
      <c r="F9" s="130"/>
      <c r="G9" s="130">
        <f>O9+W9+X9+Y9+Z9</f>
        <v>1487860</v>
      </c>
      <c r="H9" s="131">
        <f>AA9+AI9+AJ9+AK9+AL9</f>
        <v>15822923.969995873</v>
      </c>
      <c r="I9" s="130">
        <f t="shared" si="4"/>
        <v>144371361.78</v>
      </c>
      <c r="J9" s="130"/>
      <c r="K9" s="130">
        <f t="shared" si="5"/>
        <v>2063745</v>
      </c>
      <c r="L9" s="131">
        <f t="shared" si="6"/>
        <v>4455337.0781708593</v>
      </c>
      <c r="M9" s="130">
        <f t="shared" si="7"/>
        <v>68265692.870000005</v>
      </c>
      <c r="O9" s="143">
        <f t="shared" ref="O9:T9" si="8">SUM(O7:O8)</f>
        <v>302897</v>
      </c>
      <c r="P9" s="143">
        <f t="shared" si="8"/>
        <v>295507</v>
      </c>
      <c r="Q9" s="143">
        <f t="shared" si="8"/>
        <v>295351</v>
      </c>
      <c r="R9" s="143">
        <f t="shared" si="8"/>
        <v>295210</v>
      </c>
      <c r="S9" s="143">
        <f t="shared" si="8"/>
        <v>293845</v>
      </c>
      <c r="T9" s="143">
        <f t="shared" si="8"/>
        <v>295295</v>
      </c>
      <c r="U9" s="143">
        <f t="shared" ref="U9:AL9" si="9">SUM(U7:U8)</f>
        <v>294106</v>
      </c>
      <c r="V9" s="143">
        <f t="shared" si="9"/>
        <v>294431</v>
      </c>
      <c r="W9" s="143">
        <f t="shared" si="9"/>
        <v>295094</v>
      </c>
      <c r="X9" s="143">
        <f t="shared" si="9"/>
        <v>296171</v>
      </c>
      <c r="Y9" s="143">
        <f t="shared" si="9"/>
        <v>296728</v>
      </c>
      <c r="Z9" s="143">
        <f t="shared" si="9"/>
        <v>296970</v>
      </c>
      <c r="AA9" s="128">
        <f t="shared" si="9"/>
        <v>2494960.7999999998</v>
      </c>
      <c r="AB9" s="128">
        <f t="shared" si="9"/>
        <v>1423366.9000000001</v>
      </c>
      <c r="AC9" s="128">
        <f t="shared" si="9"/>
        <v>731399.20000000007</v>
      </c>
      <c r="AD9" s="128">
        <f t="shared" si="9"/>
        <v>519534.60000000003</v>
      </c>
      <c r="AE9" s="128">
        <f t="shared" si="9"/>
        <v>363608.60000000003</v>
      </c>
      <c r="AF9" s="128">
        <f t="shared" si="9"/>
        <v>331305.90000000002</v>
      </c>
      <c r="AG9" s="128">
        <f t="shared" si="9"/>
        <v>363855.45416885562</v>
      </c>
      <c r="AH9" s="128">
        <f t="shared" si="9"/>
        <v>722266.42400200339</v>
      </c>
      <c r="AI9" s="128">
        <f t="shared" si="9"/>
        <v>1883953.0908036353</v>
      </c>
      <c r="AJ9" s="128">
        <f t="shared" si="9"/>
        <v>3470093.0340371616</v>
      </c>
      <c r="AK9" s="128">
        <f t="shared" si="9"/>
        <v>4319797.5752255926</v>
      </c>
      <c r="AL9" s="128">
        <f t="shared" si="9"/>
        <v>3654119.4699294851</v>
      </c>
      <c r="AM9" s="144">
        <f t="shared" ref="AM9:AR9" si="10">SUM(AM7:AM8)</f>
        <v>22312626.180000003</v>
      </c>
      <c r="AN9" s="144">
        <f t="shared" si="10"/>
        <v>15232660.639999999</v>
      </c>
      <c r="AO9" s="144">
        <f t="shared" si="10"/>
        <v>10104989.109999999</v>
      </c>
      <c r="AP9" s="144">
        <f t="shared" si="10"/>
        <v>8874726.7300000004</v>
      </c>
      <c r="AQ9" s="144">
        <f t="shared" si="10"/>
        <v>7837487.79</v>
      </c>
      <c r="AR9" s="144">
        <f t="shared" si="10"/>
        <v>7713704.3100000005</v>
      </c>
      <c r="AS9" s="144">
        <f t="shared" ref="AS9:AX9" si="11">SUM(AS7:AS8)</f>
        <v>7889594.2199999997</v>
      </c>
      <c r="AT9" s="144">
        <f t="shared" si="11"/>
        <v>10612530.07</v>
      </c>
      <c r="AU9" s="144">
        <f t="shared" si="11"/>
        <v>19726099.350000001</v>
      </c>
      <c r="AV9" s="144">
        <f t="shared" si="11"/>
        <v>32109466.449999999</v>
      </c>
      <c r="AW9" s="144">
        <f t="shared" si="11"/>
        <v>36890539.75</v>
      </c>
      <c r="AX9" s="144">
        <f t="shared" si="11"/>
        <v>33332630.050000001</v>
      </c>
      <c r="AY9" s="135"/>
      <c r="AZ9" s="135"/>
      <c r="BA9" s="522">
        <f t="shared" ref="BA9:BF9" si="12">SUM(BA7:BA8)</f>
        <v>-183.23</v>
      </c>
      <c r="BB9" s="522">
        <f t="shared" si="12"/>
        <v>-1152.29</v>
      </c>
      <c r="BC9" s="522">
        <f t="shared" si="12"/>
        <v>-466.44</v>
      </c>
      <c r="BD9" s="522">
        <f t="shared" si="12"/>
        <v>43818.79</v>
      </c>
      <c r="BE9" s="522">
        <f t="shared" si="12"/>
        <v>10297.619999999999</v>
      </c>
      <c r="BF9" s="522">
        <f t="shared" si="12"/>
        <v>4469.46</v>
      </c>
      <c r="BG9" s="518">
        <f t="shared" si="2"/>
        <v>56783.909999999996</v>
      </c>
    </row>
    <row r="10" spans="1:59" x14ac:dyDescent="0.25">
      <c r="B10" s="145"/>
      <c r="C10" s="178"/>
      <c r="D10" s="671"/>
      <c r="E10" s="178"/>
      <c r="F10" s="146"/>
      <c r="G10" s="146"/>
      <c r="H10" s="147"/>
      <c r="I10" s="146"/>
      <c r="J10" s="146"/>
      <c r="K10" s="146"/>
      <c r="L10" s="147"/>
      <c r="M10" s="146"/>
      <c r="O10" s="148"/>
      <c r="P10" s="148"/>
      <c r="Q10" s="148"/>
      <c r="R10" s="148"/>
      <c r="S10" s="148"/>
      <c r="T10" s="148"/>
      <c r="U10" s="160"/>
      <c r="V10" s="160"/>
      <c r="W10" s="160"/>
      <c r="X10" s="160"/>
      <c r="Y10" s="160"/>
      <c r="Z10" s="160"/>
      <c r="AA10" s="149"/>
      <c r="AB10" s="149"/>
      <c r="AC10" s="149"/>
      <c r="AD10" s="149"/>
      <c r="AE10" s="149"/>
      <c r="AF10" s="149"/>
      <c r="AG10" s="161"/>
      <c r="AH10" s="161"/>
      <c r="AI10" s="161"/>
      <c r="AJ10" s="161"/>
      <c r="AK10" s="161"/>
      <c r="AL10" s="161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35"/>
      <c r="AZ10" s="135"/>
      <c r="BA10" s="517"/>
      <c r="BB10" s="517"/>
      <c r="BC10" s="517"/>
      <c r="BD10" s="517"/>
      <c r="BE10" s="517"/>
      <c r="BF10" s="517"/>
      <c r="BG10" s="518">
        <f t="shared" si="2"/>
        <v>0</v>
      </c>
    </row>
    <row r="11" spans="1:59" x14ac:dyDescent="0.25">
      <c r="A11" s="89" t="s">
        <v>26</v>
      </c>
      <c r="B11" s="89" t="s">
        <v>27</v>
      </c>
      <c r="C11" s="159">
        <f t="shared" ref="C11:C16" si="13">SUM(O11:Z11)</f>
        <v>301088</v>
      </c>
      <c r="D11" s="170">
        <f t="shared" ref="D11:D34" si="14">SUM(AA11:AL11)</f>
        <v>10449800.621582553</v>
      </c>
      <c r="E11" s="159">
        <f t="shared" si="3"/>
        <v>88280793.689999998</v>
      </c>
      <c r="F11" s="130"/>
      <c r="G11" s="130">
        <f>O11+W11+X11+Y11+Z11</f>
        <v>126852</v>
      </c>
      <c r="H11" s="131">
        <f t="shared" ref="H11:H34" si="15">AA11+AI11+AJ11+AK11+AL11</f>
        <v>7574865.8529342422</v>
      </c>
      <c r="I11" s="130">
        <f t="shared" si="4"/>
        <v>59083855.980000004</v>
      </c>
      <c r="J11" s="130"/>
      <c r="K11" s="130">
        <f t="shared" si="5"/>
        <v>174236</v>
      </c>
      <c r="L11" s="131">
        <f t="shared" si="6"/>
        <v>2874934.768648311</v>
      </c>
      <c r="M11" s="130">
        <f t="shared" si="7"/>
        <v>29172969.169999998</v>
      </c>
      <c r="O11" s="132">
        <f>SUMIFS('Mar16-Aug16 Billed-RETAIL'!$I$5:$I$143,'Mar16-Aug16 Billed-RETAIL'!$D$5:$D$143,SBR!O$4,'Mar16-Aug16 Billed-RETAIL'!$E$5:$E$143,SBR!$A11)+SUMIFS('Mar16-Aug16 Billed-RETAIL'!$J$5:$J$143,'Mar16-Aug16 Billed-RETAIL'!$D$5:$D$143,SBR!O$4,'Mar16-Aug16 Billed-RETAIL'!$E$5:$E$143,SBR!$A11)+SUMIFS('Mar16-Aug16 Billed-RETAIL'!$AG$5:$AG$143,'Mar16-Aug16 Billed-RETAIL'!$D$5:$D$143,SBR!O$4,'Mar16-Aug16 Billed-RETAIL'!$E$5:$E$143,SBR!$A11)+SUMIFS('Mar16-Aug16 Billed-RETAIL'!$AH$5:$AH$143,'Mar16-Aug16 Billed-RETAIL'!$D$5:$D$143,SBR!O$4,'Mar16-Aug16 Billed-RETAIL'!$E$5:$E$143,SBR!$A11)</f>
        <v>25979</v>
      </c>
      <c r="P11" s="132">
        <f>SUMIFS('Mar16-Aug16 Billed-RETAIL'!$I$5:$I$143,'Mar16-Aug16 Billed-RETAIL'!$D$5:$D$143,SBR!P$4,'Mar16-Aug16 Billed-RETAIL'!$E$5:$E$143,SBR!$A11)+SUMIFS('Mar16-Aug16 Billed-RETAIL'!$J$5:$J$143,'Mar16-Aug16 Billed-RETAIL'!$D$5:$D$143,SBR!P$4,'Mar16-Aug16 Billed-RETAIL'!$E$5:$E$143,SBR!$A11)+SUMIFS('Mar16-Aug16 Billed-RETAIL'!$AG$5:$AG$143,'Mar16-Aug16 Billed-RETAIL'!$D$5:$D$143,SBR!P$4,'Mar16-Aug16 Billed-RETAIL'!$E$5:$E$143,SBR!$A11)+SUMIFS('Mar16-Aug16 Billed-RETAIL'!$AH$5:$AH$143,'Mar16-Aug16 Billed-RETAIL'!$D$5:$D$143,SBR!P$4,'Mar16-Aug16 Billed-RETAIL'!$E$5:$E$143,SBR!$A11)</f>
        <v>25281</v>
      </c>
      <c r="Q11" s="132">
        <f>SUMIFS('Mar16-Aug16 Billed-RETAIL'!$I$5:$I$143,'Mar16-Aug16 Billed-RETAIL'!$D$5:$D$143,SBR!Q$4,'Mar16-Aug16 Billed-RETAIL'!$E$5:$E$143,SBR!$A11)+SUMIFS('Mar16-Aug16 Billed-RETAIL'!$J$5:$J$143,'Mar16-Aug16 Billed-RETAIL'!$D$5:$D$143,SBR!Q$4,'Mar16-Aug16 Billed-RETAIL'!$E$5:$E$143,SBR!$A11)+SUMIFS('Mar16-Aug16 Billed-RETAIL'!$AG$5:$AG$143,'Mar16-Aug16 Billed-RETAIL'!$D$5:$D$143,SBR!Q$4,'Mar16-Aug16 Billed-RETAIL'!$E$5:$E$143,SBR!$A11)+SUMIFS('Mar16-Aug16 Billed-RETAIL'!$AH$5:$AH$143,'Mar16-Aug16 Billed-RETAIL'!$D$5:$D$143,SBR!Q$4,'Mar16-Aug16 Billed-RETAIL'!$E$5:$E$143,SBR!$A11)</f>
        <v>25169</v>
      </c>
      <c r="R11" s="132">
        <f>SUMIFS('Mar16-Aug16 Billed-RETAIL'!$I$5:$I$143,'Mar16-Aug16 Billed-RETAIL'!$D$5:$D$143,SBR!R$4,'Mar16-Aug16 Billed-RETAIL'!$E$5:$E$143,SBR!$A11)+SUMIFS('Mar16-Aug16 Billed-RETAIL'!$J$5:$J$143,'Mar16-Aug16 Billed-RETAIL'!$D$5:$D$143,SBR!R$4,'Mar16-Aug16 Billed-RETAIL'!$E$5:$E$143,SBR!$A11)+SUMIFS('Mar16-Aug16 Billed-RETAIL'!$AG$5:$AG$143,'Mar16-Aug16 Billed-RETAIL'!$D$5:$D$143,SBR!R$4,'Mar16-Aug16 Billed-RETAIL'!$E$5:$E$143,SBR!$A11)+SUMIFS('Mar16-Aug16 Billed-RETAIL'!$AH$5:$AH$143,'Mar16-Aug16 Billed-RETAIL'!$D$5:$D$143,SBR!R$4,'Mar16-Aug16 Billed-RETAIL'!$E$5:$E$143,SBR!$A11)</f>
        <v>24828</v>
      </c>
      <c r="S11" s="132">
        <f>SUMIFS('Mar16-Aug16 Billed-RETAIL'!$I$5:$I$143,'Mar16-Aug16 Billed-RETAIL'!$D$5:$D$143,SBR!S$4,'Mar16-Aug16 Billed-RETAIL'!$E$5:$E$143,SBR!$A11)+SUMIFS('Mar16-Aug16 Billed-RETAIL'!$J$5:$J$143,'Mar16-Aug16 Billed-RETAIL'!$D$5:$D$143,SBR!S$4,'Mar16-Aug16 Billed-RETAIL'!$E$5:$E$143,SBR!$A11)+SUMIFS('Mar16-Aug16 Billed-RETAIL'!$AG$5:$AG$143,'Mar16-Aug16 Billed-RETAIL'!$D$5:$D$143,SBR!S$4,'Mar16-Aug16 Billed-RETAIL'!$E$5:$E$143,SBR!$A11)+SUMIFS('Mar16-Aug16 Billed-RETAIL'!$AH$5:$AH$143,'Mar16-Aug16 Billed-RETAIL'!$D$5:$D$143,SBR!S$4,'Mar16-Aug16 Billed-RETAIL'!$E$5:$E$143,SBR!$A11)</f>
        <v>24475</v>
      </c>
      <c r="T11" s="132">
        <f>SUMIFS('Mar16-Aug16 Billed-RETAIL'!$I$5:$I$143,'Mar16-Aug16 Billed-RETAIL'!$D$5:$D$143,SBR!T$4,'Mar16-Aug16 Billed-RETAIL'!$E$5:$E$143,SBR!$A11)+SUMIFS('Mar16-Aug16 Billed-RETAIL'!$J$5:$J$143,'Mar16-Aug16 Billed-RETAIL'!$D$5:$D$143,SBR!T$4,'Mar16-Aug16 Billed-RETAIL'!$E$5:$E$143,SBR!$A11)+SUMIFS('Mar16-Aug16 Billed-RETAIL'!$AG$5:$AG$143,'Mar16-Aug16 Billed-RETAIL'!$D$5:$D$143,SBR!T$4,'Mar16-Aug16 Billed-RETAIL'!$E$5:$E$143,SBR!$A11)+SUMIFS('Mar16-Aug16 Billed-RETAIL'!$AH$5:$AH$143,'Mar16-Aug16 Billed-RETAIL'!$D$5:$D$143,SBR!T$4,'Mar16-Aug16 Billed-RETAIL'!$E$5:$E$143,SBR!$A11)</f>
        <v>24873</v>
      </c>
      <c r="U11" s="132">
        <f>SUMIFS('Mar16-Aug16 Billed-RETAIL'!$I$5:$I$143,'Mar16-Aug16 Billed-RETAIL'!$D$5:$D$143,SBR!U$4,'Mar16-Aug16 Billed-RETAIL'!$E$5:$E$143,SBR!$A11)+SUMIFS('Mar16-Aug16 Billed-RETAIL'!$J$5:$J$143,'Mar16-Aug16 Billed-RETAIL'!$D$5:$D$143,SBR!U$4,'Mar16-Aug16 Billed-RETAIL'!$E$5:$E$143,SBR!$A11)+SUMIFS('Mar16-Aug16 Billed-RETAIL'!$AG$5:$AG$143,'Mar16-Aug16 Billed-RETAIL'!$D$5:$D$143,SBR!U$4,'Mar16-Aug16 Billed-RETAIL'!$E$5:$E$143,SBR!$A11)+SUMIFS('Mar16-Aug16 Billed-RETAIL'!$AH$5:$AH$143,'Mar16-Aug16 Billed-RETAIL'!$D$5:$D$143,SBR!U$4,'Mar16-Aug16 Billed-RETAIL'!$E$5:$E$143,SBR!$A11)</f>
        <v>24768</v>
      </c>
      <c r="V11" s="132">
        <f>SUMIFS('Mar16-Aug16 Billed-RETAIL'!$I$5:$I$143,'Mar16-Aug16 Billed-RETAIL'!$D$5:$D$143,SBR!V$4,'Mar16-Aug16 Billed-RETAIL'!$E$5:$E$143,SBR!$A11)+SUMIFS('Mar16-Aug16 Billed-RETAIL'!$J$5:$J$143,'Mar16-Aug16 Billed-RETAIL'!$D$5:$D$143,SBR!V$4,'Mar16-Aug16 Billed-RETAIL'!$E$5:$E$143,SBR!$A11)+SUMIFS('Mar16-Aug16 Billed-RETAIL'!$AG$5:$AG$143,'Mar16-Aug16 Billed-RETAIL'!$D$5:$D$143,SBR!V$4,'Mar16-Aug16 Billed-RETAIL'!$E$5:$E$143,SBR!$A11)+SUMIFS('Mar16-Aug16 Billed-RETAIL'!$AH$5:$AH$143,'Mar16-Aug16 Billed-RETAIL'!$D$5:$D$143,SBR!V$4,'Mar16-Aug16 Billed-RETAIL'!$E$5:$E$143,SBR!$A11)</f>
        <v>24842</v>
      </c>
      <c r="W11" s="132">
        <f>SUMIFS('Mar16-Aug16 Billed-RETAIL'!$I$5:$I$143,'Mar16-Aug16 Billed-RETAIL'!$D$5:$D$143,SBR!W$4,'Mar16-Aug16 Billed-RETAIL'!$E$5:$E$143,SBR!$A11)+SUMIFS('Mar16-Aug16 Billed-RETAIL'!$J$5:$J$143,'Mar16-Aug16 Billed-RETAIL'!$D$5:$D$143,SBR!W$4,'Mar16-Aug16 Billed-RETAIL'!$E$5:$E$143,SBR!$A11)+SUMIFS('Mar16-Aug16 Billed-RETAIL'!$AG$5:$AG$143,'Mar16-Aug16 Billed-RETAIL'!$D$5:$D$143,SBR!W$4,'Mar16-Aug16 Billed-RETAIL'!$E$5:$E$143,SBR!$A11)+SUMIFS('Mar16-Aug16 Billed-RETAIL'!$AH$5:$AH$143,'Mar16-Aug16 Billed-RETAIL'!$D$5:$D$143,SBR!W$4,'Mar16-Aug16 Billed-RETAIL'!$E$5:$E$143,SBR!$A11)</f>
        <v>25028</v>
      </c>
      <c r="X11" s="132">
        <f>SUMIFS('Mar16-Aug16 Billed-RETAIL'!$I$5:$I$143,'Mar16-Aug16 Billed-RETAIL'!$D$5:$D$143,SBR!X$4,'Mar16-Aug16 Billed-RETAIL'!$E$5:$E$143,SBR!$A11)+SUMIFS('Mar16-Aug16 Billed-RETAIL'!$J$5:$J$143,'Mar16-Aug16 Billed-RETAIL'!$D$5:$D$143,SBR!X$4,'Mar16-Aug16 Billed-RETAIL'!$E$5:$E$143,SBR!$A11)+SUMIFS('Mar16-Aug16 Billed-RETAIL'!$AG$5:$AG$143,'Mar16-Aug16 Billed-RETAIL'!$D$5:$D$143,SBR!X$4,'Mar16-Aug16 Billed-RETAIL'!$E$5:$E$143,SBR!$A11)+SUMIFS('Mar16-Aug16 Billed-RETAIL'!$AH$5:$AH$143,'Mar16-Aug16 Billed-RETAIL'!$D$5:$D$143,SBR!X$4,'Mar16-Aug16 Billed-RETAIL'!$E$5:$E$143,SBR!$A11)</f>
        <v>25221</v>
      </c>
      <c r="Y11" s="132">
        <f>SUMIFS('Mar16-Aug16 Billed-RETAIL'!$I$5:$I$143,'Mar16-Aug16 Billed-RETAIL'!$D$5:$D$143,SBR!Y$4,'Mar16-Aug16 Billed-RETAIL'!$E$5:$E$143,SBR!$A11)+SUMIFS('Mar16-Aug16 Billed-RETAIL'!$J$5:$J$143,'Mar16-Aug16 Billed-RETAIL'!$D$5:$D$143,SBR!Y$4,'Mar16-Aug16 Billed-RETAIL'!$E$5:$E$143,SBR!$A11)+SUMIFS('Mar16-Aug16 Billed-RETAIL'!$AG$5:$AG$143,'Mar16-Aug16 Billed-RETAIL'!$D$5:$D$143,SBR!Y$4,'Mar16-Aug16 Billed-RETAIL'!$E$5:$E$143,SBR!$A11)+SUMIFS('Mar16-Aug16 Billed-RETAIL'!$AH$5:$AH$143,'Mar16-Aug16 Billed-RETAIL'!$D$5:$D$143,SBR!Y$4,'Mar16-Aug16 Billed-RETAIL'!$E$5:$E$143,SBR!$A11)</f>
        <v>25307</v>
      </c>
      <c r="Z11" s="132">
        <f>SUMIFS('Mar16-Aug16 Billed-RETAIL'!$I$5:$I$143,'Mar16-Aug16 Billed-RETAIL'!$D$5:$D$143,SBR!Z$4,'Mar16-Aug16 Billed-RETAIL'!$E$5:$E$143,SBR!$A11)+SUMIFS('Mar16-Aug16 Billed-RETAIL'!$J$5:$J$143,'Mar16-Aug16 Billed-RETAIL'!$D$5:$D$143,SBR!Z$4,'Mar16-Aug16 Billed-RETAIL'!$E$5:$E$143,SBR!$A11)+SUMIFS('Mar16-Aug16 Billed-RETAIL'!$AG$5:$AG$143,'Mar16-Aug16 Billed-RETAIL'!$D$5:$D$143,SBR!Z$4,'Mar16-Aug16 Billed-RETAIL'!$E$5:$E$143,SBR!$A11)+SUMIFS('Mar16-Aug16 Billed-RETAIL'!$AH$5:$AH$143,'Mar16-Aug16 Billed-RETAIL'!$D$5:$D$143,SBR!Z$4,'Mar16-Aug16 Billed-RETAIL'!$E$5:$E$143,SBR!$A11)</f>
        <v>25317</v>
      </c>
      <c r="AA11" s="133">
        <f>(SUMIFS('Mar16-Aug16 Billed-RETAIL'!$K$5:$K$220,'Mar16-Aug16 Billed-RETAIL'!$D$5:$D$220,SBR!AA$4,'Mar16-Aug16 Billed-RETAIL'!$E$5:$E$220,SBR!$A11)+SUMIFS('Mar16-Aug16 Billed-RETAIL'!$L$5:$L$220,'Mar16-Aug16 Billed-RETAIL'!$D$5:$D$220,SBR!AA$4,'Mar16-Aug16 Billed-RETAIL'!$E$5:$E$220,SBR!$A11))*0.1</f>
        <v>1282027.6000000001</v>
      </c>
      <c r="AB11" s="133">
        <f>(SUMIFS('Mar16-Aug16 Billed-RETAIL'!$K$5:$K$220,'Mar16-Aug16 Billed-RETAIL'!$D$5:$D$220,SBR!AB$4,'Mar16-Aug16 Billed-RETAIL'!$E$5:$E$220,SBR!$A11)+SUMIFS('Mar16-Aug16 Billed-RETAIL'!$L$5:$L$220,'Mar16-Aug16 Billed-RETAIL'!$D$5:$D$220,SBR!AB$4,'Mar16-Aug16 Billed-RETAIL'!$E$5:$E$220,SBR!$A11))*0.1</f>
        <v>744066.10000000009</v>
      </c>
      <c r="AC11" s="133">
        <f>(SUMIFS('Mar16-Aug16 Billed-RETAIL'!$K$5:$K$220,'Mar16-Aug16 Billed-RETAIL'!$D$5:$D$220,SBR!AC$4,'Mar16-Aug16 Billed-RETAIL'!$E$5:$E$220,SBR!$A11)+SUMIFS('Mar16-Aug16 Billed-RETAIL'!$L$5:$L$220,'Mar16-Aug16 Billed-RETAIL'!$D$5:$D$220,SBR!AC$4,'Mar16-Aug16 Billed-RETAIL'!$E$5:$E$220,SBR!$A11))*0.1</f>
        <v>448966.10000000003</v>
      </c>
      <c r="AD11" s="133">
        <f>(SUMIFS('Mar16-Aug16 Billed-RETAIL'!$K$5:$K$220,'Mar16-Aug16 Billed-RETAIL'!$D$5:$D$220,SBR!AD$4,'Mar16-Aug16 Billed-RETAIL'!$E$5:$E$220,SBR!$A11)+SUMIFS('Mar16-Aug16 Billed-RETAIL'!$L$5:$L$220,'Mar16-Aug16 Billed-RETAIL'!$D$5:$D$220,SBR!AD$4,'Mar16-Aug16 Billed-RETAIL'!$E$5:$E$220,SBR!$A11))*0.1</f>
        <v>346530</v>
      </c>
      <c r="AE11" s="133">
        <f>(SUMIFS('Mar16-Aug16 Billed-RETAIL'!$K$5:$K$220,'Mar16-Aug16 Billed-RETAIL'!$D$5:$D$220,SBR!AE$4,'Mar16-Aug16 Billed-RETAIL'!$E$5:$E$220,SBR!$A11)+SUMIFS('Mar16-Aug16 Billed-RETAIL'!$L$5:$L$220,'Mar16-Aug16 Billed-RETAIL'!$D$5:$D$220,SBR!AE$4,'Mar16-Aug16 Billed-RETAIL'!$E$5:$E$220,SBR!$A11))*0.1</f>
        <v>272906.90000000002</v>
      </c>
      <c r="AF11" s="133">
        <f>(SUMIFS('Mar16-Aug16 Billed-RETAIL'!$K$5:$K$220,'Mar16-Aug16 Billed-RETAIL'!$D$5:$D$220,SBR!AF$4,'Mar16-Aug16 Billed-RETAIL'!$E$5:$E$220,SBR!$A11)+SUMIFS('Mar16-Aug16 Billed-RETAIL'!$L$5:$L$220,'Mar16-Aug16 Billed-RETAIL'!$D$5:$D$220,SBR!AF$4,'Mar16-Aug16 Billed-RETAIL'!$E$5:$E$220,SBR!$A11))*0.1</f>
        <v>267104.40000000002</v>
      </c>
      <c r="AG11" s="133">
        <f>(SUMIFS('Mar16-Aug16 Billed-RETAIL'!$K$5:$K$146,'Mar16-Aug16 Billed-RETAIL'!$D$5:$D$146,SBR!AG$4,'Mar16-Aug16 Billed-RETAIL'!$E$5:$E$146,SBR!$A11)+SUMIFS('Mar16-Aug16 Billed-RETAIL'!$L$5:$L$146,'Mar16-Aug16 Billed-RETAIL'!$D$5:$D$146,SBR!AG$4,'Mar16-Aug16 Billed-RETAIL'!$E$5:$E$146,SBR!$A11))*0.1</f>
        <v>310402.25138373737</v>
      </c>
      <c r="AH11" s="133">
        <f>(SUMIFS('Mar16-Aug16 Billed-RETAIL'!$K$5:$K$146,'Mar16-Aug16 Billed-RETAIL'!$D$5:$D$146,SBR!AH$4,'Mar16-Aug16 Billed-RETAIL'!$E$5:$E$146,SBR!$A11)+SUMIFS('Mar16-Aug16 Billed-RETAIL'!$L$5:$L$146,'Mar16-Aug16 Billed-RETAIL'!$D$5:$D$146,SBR!AH$4,'Mar16-Aug16 Billed-RETAIL'!$E$5:$E$146,SBR!$A11))*0.1</f>
        <v>484959.01726457366</v>
      </c>
      <c r="AI11" s="133">
        <f>(SUMIFS('Mar16-Aug16 Billed-RETAIL'!$K$5:$K$146,'Mar16-Aug16 Billed-RETAIL'!$D$5:$D$146,SBR!AI$4,'Mar16-Aug16 Billed-RETAIL'!$E$5:$E$146,SBR!$A11)+SUMIFS('Mar16-Aug16 Billed-RETAIL'!$L$5:$L$146,'Mar16-Aug16 Billed-RETAIL'!$D$5:$D$146,SBR!AI$4,'Mar16-Aug16 Billed-RETAIL'!$E$5:$E$146,SBR!$A11))*0.1</f>
        <v>876743.95007889124</v>
      </c>
      <c r="AJ11" s="133">
        <f>(SUMIFS('Mar16-Aug16 Billed-RETAIL'!$K$5:$K$146,'Mar16-Aug16 Billed-RETAIL'!$D$5:$D$146,SBR!AJ$4,'Mar16-Aug16 Billed-RETAIL'!$E$5:$E$146,SBR!$A11)+SUMIFS('Mar16-Aug16 Billed-RETAIL'!$L$5:$L$146,'Mar16-Aug16 Billed-RETAIL'!$D$5:$D$146,SBR!AJ$4,'Mar16-Aug16 Billed-RETAIL'!$E$5:$E$146,SBR!$A11))*0.1</f>
        <v>1595633.2951940682</v>
      </c>
      <c r="AK11" s="133">
        <f>(SUMIFS('Mar16-Aug16 Billed-RETAIL'!$K$5:$K$146,'Mar16-Aug16 Billed-RETAIL'!$D$5:$D$146,SBR!AK$4,'Mar16-Aug16 Billed-RETAIL'!$E$5:$E$146,SBR!$A11)+SUMIFS('Mar16-Aug16 Billed-RETAIL'!$L$5:$L$146,'Mar16-Aug16 Billed-RETAIL'!$D$5:$D$146,SBR!AK$4,'Mar16-Aug16 Billed-RETAIL'!$E$5:$E$146,SBR!$A11))*0.1</f>
        <v>2046212.8491911271</v>
      </c>
      <c r="AL11" s="133">
        <f>(SUMIFS('Mar16-Aug16 Billed-RETAIL'!$K$5:$K$146,'Mar16-Aug16 Billed-RETAIL'!$D$5:$D$146,SBR!AL$4,'Mar16-Aug16 Billed-RETAIL'!$E$5:$E$146,SBR!$A11)+SUMIFS('Mar16-Aug16 Billed-RETAIL'!$L$5:$L$146,'Mar16-Aug16 Billed-RETAIL'!$D$5:$D$146,SBR!AL$4,'Mar16-Aug16 Billed-RETAIL'!$E$5:$E$146,SBR!$A11))*0.1</f>
        <v>1774248.1584701554</v>
      </c>
      <c r="AM11" s="134">
        <f>SUMIFS('Mar16-Aug16 Billed-RETAIL'!$AZ$5:$AZ$146,'Mar16-Aug16 Billed-RETAIL'!$D$5:$D$146,SBR!AM$4,'Mar16-Aug16 Billed-RETAIL'!$E$5:$E$146,SBR!$A11)</f>
        <v>9222006.9100000001</v>
      </c>
      <c r="AN11" s="134">
        <f>SUMIFS('Mar16-Aug16 Billed-RETAIL'!$AZ$5:$AZ$146,'Mar16-Aug16 Billed-RETAIL'!$D$5:$D$146,SBR!AN$4,'Mar16-Aug16 Billed-RETAIL'!$E$5:$E$146,SBR!$A11)</f>
        <v>6047069.0099999998</v>
      </c>
      <c r="AO11" s="134">
        <f>SUMIFS('Mar16-Aug16 Billed-RETAIL'!$AZ$5:$AZ$146,'Mar16-Aug16 Billed-RETAIL'!$D$5:$D$146,SBR!AO$4,'Mar16-Aug16 Billed-RETAIL'!$E$5:$E$146,SBR!$A11)</f>
        <v>4243694.84</v>
      </c>
      <c r="AP11" s="134">
        <f>SUMIFS('Mar16-Aug16 Billed-RETAIL'!$AZ$5:$AZ$146,'Mar16-Aug16 Billed-RETAIL'!$D$5:$D$146,SBR!AP$4,'Mar16-Aug16 Billed-RETAIL'!$E$5:$E$146,SBR!$A11)</f>
        <v>3728979.78</v>
      </c>
      <c r="AQ11" s="134">
        <f>SUMIFS('Mar16-Aug16 Billed-RETAIL'!$AZ$5:$AZ$146,'Mar16-Aug16 Billed-RETAIL'!$D$5:$D$146,SBR!AQ$4,'Mar16-Aug16 Billed-RETAIL'!$E$5:$E$146,SBR!$A11)</f>
        <v>3305527.34</v>
      </c>
      <c r="AR11" s="134">
        <f>SUMIFS('Mar16-Aug16 Billed-RETAIL'!$AZ$5:$AZ$146,'Mar16-Aug16 Billed-RETAIL'!$D$5:$D$146,SBR!AR$4,'Mar16-Aug16 Billed-RETAIL'!$E$5:$E$146,SBR!$A11)</f>
        <v>3352876.2</v>
      </c>
      <c r="AS11" s="134">
        <f>SUMIFS('Mar16-Aug16 Billed-RETAIL'!$AZ$5:$AZ$146,'Mar16-Aug16 Billed-RETAIL'!$D$5:$D$146,SBR!AS$4,'Mar16-Aug16 Billed-RETAIL'!$E$5:$E$146,SBR!$A11)</f>
        <v>3625838</v>
      </c>
      <c r="AT11" s="134">
        <f>SUMIFS('Mar16-Aug16 Billed-RETAIL'!$AZ$5:$AZ$146,'Mar16-Aug16 Billed-RETAIL'!$D$5:$D$146,SBR!AT$4,'Mar16-Aug16 Billed-RETAIL'!$E$5:$E$146,SBR!$A11)</f>
        <v>4868984</v>
      </c>
      <c r="AU11" s="134">
        <f>SUMIFS('Mar16-Aug16 Billed-RETAIL'!$AZ$5:$AZ$146,'Mar16-Aug16 Billed-RETAIL'!$D$5:$D$146,SBR!AU$4,'Mar16-Aug16 Billed-RETAIL'!$E$5:$E$146,SBR!$A11)</f>
        <v>7783689.3700000001</v>
      </c>
      <c r="AV11" s="134">
        <f>SUMIFS('Mar16-Aug16 Billed-RETAIL'!$AZ$5:$AZ$146,'Mar16-Aug16 Billed-RETAIL'!$D$5:$D$146,SBR!AV$4,'Mar16-Aug16 Billed-RETAIL'!$E$5:$E$146,SBR!$A11)</f>
        <v>12882748.310000001</v>
      </c>
      <c r="AW11" s="134">
        <f>SUMIFS('Mar16-Aug16 Billed-RETAIL'!$AZ$5:$AZ$146,'Mar16-Aug16 Billed-RETAIL'!$D$5:$D$146,SBR!AW$4,'Mar16-Aug16 Billed-RETAIL'!$E$5:$E$146,SBR!$A11)</f>
        <v>15178775.23</v>
      </c>
      <c r="AX11" s="134">
        <f>SUMIFS('Mar16-Aug16 Billed-RETAIL'!$AZ$5:$AZ$146,'Mar16-Aug16 Billed-RETAIL'!$D$5:$D$146,SBR!AX$4,'Mar16-Aug16 Billed-RETAIL'!$E$5:$E$146,SBR!$A11)</f>
        <v>14016636.16</v>
      </c>
      <c r="AY11" s="135"/>
      <c r="AZ11" s="135"/>
      <c r="BA11" s="518">
        <f t="shared" ref="BA11:BF14" si="16">ROUND((AM11/SUM(AM$9+AM$16+AM$24+AM$34+AM$35))*BA$5,2)</f>
        <v>-75.73</v>
      </c>
      <c r="BB11" s="518">
        <f t="shared" si="16"/>
        <v>-457.44</v>
      </c>
      <c r="BC11" s="518">
        <f t="shared" si="16"/>
        <v>-195.89</v>
      </c>
      <c r="BD11" s="518">
        <f t="shared" si="16"/>
        <v>18411.77</v>
      </c>
      <c r="BE11" s="518">
        <f t="shared" si="16"/>
        <v>4343.1099999999997</v>
      </c>
      <c r="BF11" s="518">
        <f t="shared" si="16"/>
        <v>1942.72</v>
      </c>
      <c r="BG11" s="518">
        <f t="shared" si="2"/>
        <v>23968.54</v>
      </c>
    </row>
    <row r="12" spans="1:59" x14ac:dyDescent="0.25">
      <c r="A12" s="89" t="s">
        <v>707</v>
      </c>
      <c r="B12" s="89" t="s">
        <v>708</v>
      </c>
      <c r="C12" s="159">
        <f t="shared" si="13"/>
        <v>6</v>
      </c>
      <c r="D12" s="170">
        <f t="shared" si="14"/>
        <v>168.79999999999998</v>
      </c>
      <c r="E12" s="159">
        <f t="shared" si="3"/>
        <v>1351.1599999999999</v>
      </c>
      <c r="F12" s="130"/>
      <c r="G12" s="130">
        <f t="shared" ref="G12:G34" si="17">O12+W12+X12+Y12+Z12</f>
        <v>1</v>
      </c>
      <c r="H12" s="131">
        <f t="shared" si="15"/>
        <v>26</v>
      </c>
      <c r="I12" s="130">
        <f t="shared" si="4"/>
        <v>206.49</v>
      </c>
      <c r="J12" s="130"/>
      <c r="K12" s="130">
        <f t="shared" si="5"/>
        <v>5</v>
      </c>
      <c r="L12" s="131">
        <f t="shared" si="6"/>
        <v>142.80000000000001</v>
      </c>
      <c r="M12" s="130">
        <f t="shared" si="7"/>
        <v>1143.08</v>
      </c>
      <c r="O12" s="132">
        <f>SUMIFS('Mar16-Aug16 Billed-RETAIL'!$I$5:$I$143,'Mar16-Aug16 Billed-RETAIL'!$D$5:$D$143,SBR!O$4,'Mar16-Aug16 Billed-RETAIL'!$E$5:$E$143,SBR!$A12)+SUMIFS('Mar16-Aug16 Billed-RETAIL'!$J$5:$J$143,'Mar16-Aug16 Billed-RETAIL'!$D$5:$D$143,SBR!O$4,'Mar16-Aug16 Billed-RETAIL'!$E$5:$E$143,SBR!$A12)+SUMIFS('Mar16-Aug16 Billed-RETAIL'!$AG$5:$AG$143,'Mar16-Aug16 Billed-RETAIL'!$D$5:$D$143,SBR!O$4,'Mar16-Aug16 Billed-RETAIL'!$E$5:$E$143,SBR!$A12)+SUMIFS('Mar16-Aug16 Billed-RETAIL'!$AH$5:$AH$143,'Mar16-Aug16 Billed-RETAIL'!$D$5:$D$143,SBR!O$4,'Mar16-Aug16 Billed-RETAIL'!$E$5:$E$143,SBR!$A12)</f>
        <v>1</v>
      </c>
      <c r="P12" s="132">
        <f>SUMIFS('Mar16-Aug16 Billed-RETAIL'!$I$5:$I$143,'Mar16-Aug16 Billed-RETAIL'!$D$5:$D$143,SBR!P$4,'Mar16-Aug16 Billed-RETAIL'!$E$5:$E$143,SBR!$A12)+SUMIFS('Mar16-Aug16 Billed-RETAIL'!$J$5:$J$143,'Mar16-Aug16 Billed-RETAIL'!$D$5:$D$143,SBR!P$4,'Mar16-Aug16 Billed-RETAIL'!$E$5:$E$143,SBR!$A12)+SUMIFS('Mar16-Aug16 Billed-RETAIL'!$AG$5:$AG$143,'Mar16-Aug16 Billed-RETAIL'!$D$5:$D$143,SBR!P$4,'Mar16-Aug16 Billed-RETAIL'!$E$5:$E$143,SBR!$A12)+SUMIFS('Mar16-Aug16 Billed-RETAIL'!$AH$5:$AH$143,'Mar16-Aug16 Billed-RETAIL'!$D$5:$D$143,SBR!P$4,'Mar16-Aug16 Billed-RETAIL'!$E$5:$E$143,SBR!$A12)</f>
        <v>1</v>
      </c>
      <c r="Q12" s="132">
        <f>SUMIFS('Mar16-Aug16 Billed-RETAIL'!$I$5:$I$143,'Mar16-Aug16 Billed-RETAIL'!$D$5:$D$143,SBR!Q$4,'Mar16-Aug16 Billed-RETAIL'!$E$5:$E$143,SBR!$A12)+SUMIFS('Mar16-Aug16 Billed-RETAIL'!$J$5:$J$143,'Mar16-Aug16 Billed-RETAIL'!$D$5:$D$143,SBR!Q$4,'Mar16-Aug16 Billed-RETAIL'!$E$5:$E$143,SBR!$A12)+SUMIFS('Mar16-Aug16 Billed-RETAIL'!$AG$5:$AG$143,'Mar16-Aug16 Billed-RETAIL'!$D$5:$D$143,SBR!Q$4,'Mar16-Aug16 Billed-RETAIL'!$E$5:$E$143,SBR!$A12)+SUMIFS('Mar16-Aug16 Billed-RETAIL'!$AH$5:$AH$143,'Mar16-Aug16 Billed-RETAIL'!$D$5:$D$143,SBR!Q$4,'Mar16-Aug16 Billed-RETAIL'!$E$5:$E$143,SBR!$A12)</f>
        <v>1</v>
      </c>
      <c r="R12" s="132">
        <f>SUMIFS('Mar16-Aug16 Billed-RETAIL'!$I$5:$I$143,'Mar16-Aug16 Billed-RETAIL'!$D$5:$D$143,SBR!R$4,'Mar16-Aug16 Billed-RETAIL'!$E$5:$E$143,SBR!$A12)+SUMIFS('Mar16-Aug16 Billed-RETAIL'!$J$5:$J$143,'Mar16-Aug16 Billed-RETAIL'!$D$5:$D$143,SBR!R$4,'Mar16-Aug16 Billed-RETAIL'!$E$5:$E$143,SBR!$A12)+SUMIFS('Mar16-Aug16 Billed-RETAIL'!$AG$5:$AG$143,'Mar16-Aug16 Billed-RETAIL'!$D$5:$D$143,SBR!R$4,'Mar16-Aug16 Billed-RETAIL'!$E$5:$E$143,SBR!$A12)+SUMIFS('Mar16-Aug16 Billed-RETAIL'!$AH$5:$AH$143,'Mar16-Aug16 Billed-RETAIL'!$D$5:$D$143,SBR!R$4,'Mar16-Aug16 Billed-RETAIL'!$E$5:$E$143,SBR!$A12)</f>
        <v>1</v>
      </c>
      <c r="S12" s="132">
        <f>SUMIFS('Mar16-Aug16 Billed-RETAIL'!$I$5:$I$143,'Mar16-Aug16 Billed-RETAIL'!$D$5:$D$143,SBR!S$4,'Mar16-Aug16 Billed-RETAIL'!$E$5:$E$143,SBR!$A12)+SUMIFS('Mar16-Aug16 Billed-RETAIL'!$J$5:$J$143,'Mar16-Aug16 Billed-RETAIL'!$D$5:$D$143,SBR!S$4,'Mar16-Aug16 Billed-RETAIL'!$E$5:$E$143,SBR!$A12)+SUMIFS('Mar16-Aug16 Billed-RETAIL'!$AG$5:$AG$143,'Mar16-Aug16 Billed-RETAIL'!$D$5:$D$143,SBR!S$4,'Mar16-Aug16 Billed-RETAIL'!$E$5:$E$143,SBR!$A12)+SUMIFS('Mar16-Aug16 Billed-RETAIL'!$AH$5:$AH$143,'Mar16-Aug16 Billed-RETAIL'!$D$5:$D$143,SBR!S$4,'Mar16-Aug16 Billed-RETAIL'!$E$5:$E$143,SBR!$A12)</f>
        <v>1</v>
      </c>
      <c r="T12" s="132">
        <f>SUMIFS('Mar16-Aug16 Billed-RETAIL'!$I$5:$I$143,'Mar16-Aug16 Billed-RETAIL'!$D$5:$D$143,SBR!T$4,'Mar16-Aug16 Billed-RETAIL'!$E$5:$E$143,SBR!$A12)+SUMIFS('Mar16-Aug16 Billed-RETAIL'!$J$5:$J$143,'Mar16-Aug16 Billed-RETAIL'!$D$5:$D$143,SBR!T$4,'Mar16-Aug16 Billed-RETAIL'!$E$5:$E$143,SBR!$A12)+SUMIFS('Mar16-Aug16 Billed-RETAIL'!$AG$5:$AG$143,'Mar16-Aug16 Billed-RETAIL'!$D$5:$D$143,SBR!T$4,'Mar16-Aug16 Billed-RETAIL'!$E$5:$E$143,SBR!$A12)+SUMIFS('Mar16-Aug16 Billed-RETAIL'!$AH$5:$AH$143,'Mar16-Aug16 Billed-RETAIL'!$D$5:$D$143,SBR!T$4,'Mar16-Aug16 Billed-RETAIL'!$E$5:$E$143,SBR!$A12)</f>
        <v>1</v>
      </c>
      <c r="U12" s="132">
        <f>SUMIFS('Mar16-Aug16 Billed-RETAIL'!$I$5:$I$143,'Mar16-Aug16 Billed-RETAIL'!$D$5:$D$143,SBR!U$4,'Mar16-Aug16 Billed-RETAIL'!$E$5:$E$143,SBR!$A12)+SUMIFS('Mar16-Aug16 Billed-RETAIL'!$J$5:$J$143,'Mar16-Aug16 Billed-RETAIL'!$D$5:$D$143,SBR!U$4,'Mar16-Aug16 Billed-RETAIL'!$E$5:$E$143,SBR!$A12)+SUMIFS('Mar16-Aug16 Billed-RETAIL'!$AG$5:$AG$143,'Mar16-Aug16 Billed-RETAIL'!$D$5:$D$143,SBR!U$4,'Mar16-Aug16 Billed-RETAIL'!$E$5:$E$143,SBR!$A12)+SUMIFS('Mar16-Aug16 Billed-RETAIL'!$AH$5:$AH$143,'Mar16-Aug16 Billed-RETAIL'!$D$5:$D$143,SBR!U$4,'Mar16-Aug16 Billed-RETAIL'!$E$5:$E$143,SBR!$A12)</f>
        <v>0</v>
      </c>
      <c r="V12" s="132">
        <f>SUMIFS('Mar16-Aug16 Billed-RETAIL'!$I$5:$I$143,'Mar16-Aug16 Billed-RETAIL'!$D$5:$D$143,SBR!V$4,'Mar16-Aug16 Billed-RETAIL'!$E$5:$E$143,SBR!$A12)+SUMIFS('Mar16-Aug16 Billed-RETAIL'!$J$5:$J$143,'Mar16-Aug16 Billed-RETAIL'!$D$5:$D$143,SBR!V$4,'Mar16-Aug16 Billed-RETAIL'!$E$5:$E$143,SBR!$A12)+SUMIFS('Mar16-Aug16 Billed-RETAIL'!$AG$5:$AG$143,'Mar16-Aug16 Billed-RETAIL'!$D$5:$D$143,SBR!V$4,'Mar16-Aug16 Billed-RETAIL'!$E$5:$E$143,SBR!$A12)+SUMIFS('Mar16-Aug16 Billed-RETAIL'!$AH$5:$AH$143,'Mar16-Aug16 Billed-RETAIL'!$D$5:$D$143,SBR!V$4,'Mar16-Aug16 Billed-RETAIL'!$E$5:$E$143,SBR!$A12)</f>
        <v>0</v>
      </c>
      <c r="W12" s="132">
        <f>SUMIFS('Mar16-Aug16 Billed-RETAIL'!$I$5:$I$143,'Mar16-Aug16 Billed-RETAIL'!$D$5:$D$143,SBR!W$4,'Mar16-Aug16 Billed-RETAIL'!$E$5:$E$143,SBR!$A12)+SUMIFS('Mar16-Aug16 Billed-RETAIL'!$J$5:$J$143,'Mar16-Aug16 Billed-RETAIL'!$D$5:$D$143,SBR!W$4,'Mar16-Aug16 Billed-RETAIL'!$E$5:$E$143,SBR!$A12)+SUMIFS('Mar16-Aug16 Billed-RETAIL'!$AG$5:$AG$143,'Mar16-Aug16 Billed-RETAIL'!$D$5:$D$143,SBR!W$4,'Mar16-Aug16 Billed-RETAIL'!$E$5:$E$143,SBR!$A12)+SUMIFS('Mar16-Aug16 Billed-RETAIL'!$AH$5:$AH$143,'Mar16-Aug16 Billed-RETAIL'!$D$5:$D$143,SBR!W$4,'Mar16-Aug16 Billed-RETAIL'!$E$5:$E$143,SBR!$A12)</f>
        <v>0</v>
      </c>
      <c r="X12" s="132">
        <f>SUMIFS('Mar16-Aug16 Billed-RETAIL'!$I$5:$I$143,'Mar16-Aug16 Billed-RETAIL'!$D$5:$D$143,SBR!X$4,'Mar16-Aug16 Billed-RETAIL'!$E$5:$E$143,SBR!$A12)+SUMIFS('Mar16-Aug16 Billed-RETAIL'!$J$5:$J$143,'Mar16-Aug16 Billed-RETAIL'!$D$5:$D$143,SBR!X$4,'Mar16-Aug16 Billed-RETAIL'!$E$5:$E$143,SBR!$A12)+SUMIFS('Mar16-Aug16 Billed-RETAIL'!$AG$5:$AG$143,'Mar16-Aug16 Billed-RETAIL'!$D$5:$D$143,SBR!X$4,'Mar16-Aug16 Billed-RETAIL'!$E$5:$E$143,SBR!$A12)+SUMIFS('Mar16-Aug16 Billed-RETAIL'!$AH$5:$AH$143,'Mar16-Aug16 Billed-RETAIL'!$D$5:$D$143,SBR!X$4,'Mar16-Aug16 Billed-RETAIL'!$E$5:$E$143,SBR!$A12)</f>
        <v>0</v>
      </c>
      <c r="Y12" s="132">
        <f>SUMIFS('Mar16-Aug16 Billed-RETAIL'!$I$5:$I$143,'Mar16-Aug16 Billed-RETAIL'!$D$5:$D$143,SBR!Y$4,'Mar16-Aug16 Billed-RETAIL'!$E$5:$E$143,SBR!$A12)+SUMIFS('Mar16-Aug16 Billed-RETAIL'!$J$5:$J$143,'Mar16-Aug16 Billed-RETAIL'!$D$5:$D$143,SBR!Y$4,'Mar16-Aug16 Billed-RETAIL'!$E$5:$E$143,SBR!$A12)+SUMIFS('Mar16-Aug16 Billed-RETAIL'!$AG$5:$AG$143,'Mar16-Aug16 Billed-RETAIL'!$D$5:$D$143,SBR!Y$4,'Mar16-Aug16 Billed-RETAIL'!$E$5:$E$143,SBR!$A12)+SUMIFS('Mar16-Aug16 Billed-RETAIL'!$AH$5:$AH$143,'Mar16-Aug16 Billed-RETAIL'!$D$5:$D$143,SBR!Y$4,'Mar16-Aug16 Billed-RETAIL'!$E$5:$E$143,SBR!$A12)</f>
        <v>0</v>
      </c>
      <c r="Z12" s="132">
        <f>SUMIFS('Mar16-Aug16 Billed-RETAIL'!$I$5:$I$143,'Mar16-Aug16 Billed-RETAIL'!$D$5:$D$143,SBR!Z$4,'Mar16-Aug16 Billed-RETAIL'!$E$5:$E$143,SBR!$A12)+SUMIFS('Mar16-Aug16 Billed-RETAIL'!$J$5:$J$143,'Mar16-Aug16 Billed-RETAIL'!$D$5:$D$143,SBR!Z$4,'Mar16-Aug16 Billed-RETAIL'!$E$5:$E$143,SBR!$A12)+SUMIFS('Mar16-Aug16 Billed-RETAIL'!$AG$5:$AG$143,'Mar16-Aug16 Billed-RETAIL'!$D$5:$D$143,SBR!Z$4,'Mar16-Aug16 Billed-RETAIL'!$E$5:$E$143,SBR!$A12)+SUMIFS('Mar16-Aug16 Billed-RETAIL'!$AH$5:$AH$143,'Mar16-Aug16 Billed-RETAIL'!$D$5:$D$143,SBR!Z$4,'Mar16-Aug16 Billed-RETAIL'!$E$5:$E$143,SBR!$A12)</f>
        <v>0</v>
      </c>
      <c r="AA12" s="133">
        <f>(SUMIFS('Mar16-Aug16 Billed-RETAIL'!$K$5:$K$220,'Mar16-Aug16 Billed-RETAIL'!$D$5:$D$220,SBR!AA$4,'Mar16-Aug16 Billed-RETAIL'!$E$5:$E$220,SBR!$A12)+SUMIFS('Mar16-Aug16 Billed-RETAIL'!$L$5:$L$220,'Mar16-Aug16 Billed-RETAIL'!$D$5:$D$220,SBR!AA$4,'Mar16-Aug16 Billed-RETAIL'!$E$5:$E$220,SBR!$A12))*0.1</f>
        <v>26</v>
      </c>
      <c r="AB12" s="133">
        <f>(SUMIFS('Mar16-Aug16 Billed-RETAIL'!$K$5:$K$220,'Mar16-Aug16 Billed-RETAIL'!$D$5:$D$220,SBR!AB$4,'Mar16-Aug16 Billed-RETAIL'!$E$5:$E$220,SBR!$A12)+SUMIFS('Mar16-Aug16 Billed-RETAIL'!$L$5:$L$220,'Mar16-Aug16 Billed-RETAIL'!$D$5:$D$220,SBR!AB$4,'Mar16-Aug16 Billed-RETAIL'!$E$5:$E$220,SBR!$A12))*0.1</f>
        <v>29.6</v>
      </c>
      <c r="AC12" s="133">
        <f>(SUMIFS('Mar16-Aug16 Billed-RETAIL'!$K$5:$K$220,'Mar16-Aug16 Billed-RETAIL'!$D$5:$D$220,SBR!AC$4,'Mar16-Aug16 Billed-RETAIL'!$E$5:$E$220,SBR!$A12)+SUMIFS('Mar16-Aug16 Billed-RETAIL'!$L$5:$L$220,'Mar16-Aug16 Billed-RETAIL'!$D$5:$D$220,SBR!AC$4,'Mar16-Aug16 Billed-RETAIL'!$E$5:$E$220,SBR!$A12))*0.1</f>
        <v>26.8</v>
      </c>
      <c r="AD12" s="133">
        <f>(SUMIFS('Mar16-Aug16 Billed-RETAIL'!$K$5:$K$220,'Mar16-Aug16 Billed-RETAIL'!$D$5:$D$220,SBR!AD$4,'Mar16-Aug16 Billed-RETAIL'!$E$5:$E$220,SBR!$A12)+SUMIFS('Mar16-Aug16 Billed-RETAIL'!$L$5:$L$220,'Mar16-Aug16 Billed-RETAIL'!$D$5:$D$220,SBR!AD$4,'Mar16-Aug16 Billed-RETAIL'!$E$5:$E$220,SBR!$A12))*0.1</f>
        <v>30.8</v>
      </c>
      <c r="AE12" s="133">
        <f>(SUMIFS('Mar16-Aug16 Billed-RETAIL'!$K$5:$K$220,'Mar16-Aug16 Billed-RETAIL'!$D$5:$D$220,SBR!AE$4,'Mar16-Aug16 Billed-RETAIL'!$E$5:$E$220,SBR!$A12)+SUMIFS('Mar16-Aug16 Billed-RETAIL'!$L$5:$L$220,'Mar16-Aug16 Billed-RETAIL'!$D$5:$D$220,SBR!AE$4,'Mar16-Aug16 Billed-RETAIL'!$E$5:$E$220,SBR!$A12))*0.1</f>
        <v>28</v>
      </c>
      <c r="AF12" s="133">
        <f>(SUMIFS('Mar16-Aug16 Billed-RETAIL'!$K$5:$K$220,'Mar16-Aug16 Billed-RETAIL'!$D$5:$D$220,SBR!AF$4,'Mar16-Aug16 Billed-RETAIL'!$E$5:$E$220,SBR!$A12)+SUMIFS('Mar16-Aug16 Billed-RETAIL'!$L$5:$L$220,'Mar16-Aug16 Billed-RETAIL'!$D$5:$D$220,SBR!AF$4,'Mar16-Aug16 Billed-RETAIL'!$E$5:$E$220,SBR!$A12))*0.1</f>
        <v>27.6</v>
      </c>
      <c r="AG12" s="161"/>
      <c r="AH12" s="161"/>
      <c r="AI12" s="161"/>
      <c r="AJ12" s="161"/>
      <c r="AK12" s="161"/>
      <c r="AL12" s="161"/>
      <c r="AM12" s="134">
        <f>SUMIFS('Mar16-Aug16 Billed-RETAIL'!$AZ$5:$AZ$146,'Mar16-Aug16 Billed-RETAIL'!$D$5:$D$146,SBR!AM$4,'Mar16-Aug16 Billed-RETAIL'!$E$5:$E$146,SBR!$A12)</f>
        <v>206.49</v>
      </c>
      <c r="AN12" s="134">
        <f>SUMIFS('Mar16-Aug16 Billed-RETAIL'!$AZ$5:$AZ$146,'Mar16-Aug16 Billed-RETAIL'!$D$5:$D$146,SBR!AN$4,'Mar16-Aug16 Billed-RETAIL'!$E$5:$E$146,SBR!$A12)</f>
        <v>225.56</v>
      </c>
      <c r="AO12" s="134">
        <f>SUMIFS('Mar16-Aug16 Billed-RETAIL'!$AZ$5:$AZ$146,'Mar16-Aug16 Billed-RETAIL'!$D$5:$D$146,SBR!AO$4,'Mar16-Aug16 Billed-RETAIL'!$E$5:$E$146,SBR!$A12)</f>
        <v>218.07</v>
      </c>
      <c r="AP12" s="134">
        <f>SUMIFS('Mar16-Aug16 Billed-RETAIL'!$AZ$5:$AZ$146,'Mar16-Aug16 Billed-RETAIL'!$D$5:$D$146,SBR!AP$4,'Mar16-Aug16 Billed-RETAIL'!$E$5:$E$146,SBR!$A12)</f>
        <v>242.02</v>
      </c>
      <c r="AQ12" s="134">
        <f>SUMIFS('Mar16-Aug16 Billed-RETAIL'!$AZ$5:$AZ$146,'Mar16-Aug16 Billed-RETAIL'!$D$5:$D$146,SBR!AQ$4,'Mar16-Aug16 Billed-RETAIL'!$E$5:$E$146,SBR!$A12)</f>
        <v>226.14</v>
      </c>
      <c r="AR12" s="134">
        <f>SUMIFS('Mar16-Aug16 Billed-RETAIL'!$AZ$5:$AZ$146,'Mar16-Aug16 Billed-RETAIL'!$D$5:$D$146,SBR!AR$4,'Mar16-Aug16 Billed-RETAIL'!$E$5:$E$146,SBR!$A12)</f>
        <v>231.29</v>
      </c>
      <c r="AS12" s="134"/>
      <c r="AT12" s="134"/>
      <c r="AU12" s="134"/>
      <c r="AV12" s="134"/>
      <c r="AW12" s="134"/>
      <c r="AX12" s="134"/>
      <c r="AY12" s="135"/>
      <c r="AZ12" s="135"/>
      <c r="BA12" s="518">
        <f t="shared" si="16"/>
        <v>0</v>
      </c>
      <c r="BB12" s="518">
        <f t="shared" si="16"/>
        <v>-0.02</v>
      </c>
      <c r="BC12" s="518">
        <f t="shared" si="16"/>
        <v>-0.01</v>
      </c>
      <c r="BD12" s="518">
        <f t="shared" si="16"/>
        <v>1.19</v>
      </c>
      <c r="BE12" s="518">
        <f t="shared" si="16"/>
        <v>0.3</v>
      </c>
      <c r="BF12" s="518">
        <f t="shared" si="16"/>
        <v>0.13</v>
      </c>
      <c r="BG12" s="518">
        <f t="shared" si="2"/>
        <v>1.5899999999999999</v>
      </c>
    </row>
    <row r="13" spans="1:59" x14ac:dyDescent="0.25">
      <c r="A13" s="89" t="s">
        <v>29</v>
      </c>
      <c r="B13" s="89" t="s">
        <v>30</v>
      </c>
      <c r="C13" s="159">
        <f t="shared" si="13"/>
        <v>3728</v>
      </c>
      <c r="D13" s="170">
        <f t="shared" si="14"/>
        <v>368.6</v>
      </c>
      <c r="E13" s="159">
        <f t="shared" si="3"/>
        <v>151350.23000000001</v>
      </c>
      <c r="F13" s="130"/>
      <c r="G13" s="130">
        <f t="shared" si="17"/>
        <v>630</v>
      </c>
      <c r="H13" s="131">
        <f t="shared" si="15"/>
        <v>62.300000000000004</v>
      </c>
      <c r="I13" s="130">
        <f t="shared" si="4"/>
        <v>25536.42</v>
      </c>
      <c r="J13" s="130"/>
      <c r="K13" s="130">
        <f t="shared" si="5"/>
        <v>3098</v>
      </c>
      <c r="L13" s="131">
        <f t="shared" si="6"/>
        <v>306.3</v>
      </c>
      <c r="M13" s="130">
        <f t="shared" si="7"/>
        <v>125645.29000000001</v>
      </c>
      <c r="O13" s="132">
        <f>SUMIFS('Mar16-Aug16 Billed-RETAIL'!$I$5:$I$143,'Mar16-Aug16 Billed-RETAIL'!$D$5:$D$143,SBR!O$4,'Mar16-Aug16 Billed-RETAIL'!$E$5:$E$143,SBR!$A13)+SUMIFS('Mar16-Aug16 Billed-RETAIL'!$J$5:$J$143,'Mar16-Aug16 Billed-RETAIL'!$D$5:$D$143,SBR!O$4,'Mar16-Aug16 Billed-RETAIL'!$E$5:$E$143,SBR!$A13)+SUMIFS('Mar16-Aug16 Billed-RETAIL'!$AG$5:$AG$143,'Mar16-Aug16 Billed-RETAIL'!$D$5:$D$143,SBR!O$4,'Mar16-Aug16 Billed-RETAIL'!$E$5:$E$143,SBR!$A13)+SUMIFS('Mar16-Aug16 Billed-RETAIL'!$AH$5:$AH$143,'Mar16-Aug16 Billed-RETAIL'!$D$5:$D$143,SBR!O$4,'Mar16-Aug16 Billed-RETAIL'!$E$5:$E$143,SBR!$A13)</f>
        <v>630</v>
      </c>
      <c r="P13" s="132">
        <f>SUMIFS('Mar16-Aug16 Billed-RETAIL'!$I$5:$I$143,'Mar16-Aug16 Billed-RETAIL'!$D$5:$D$143,SBR!P$4,'Mar16-Aug16 Billed-RETAIL'!$E$5:$E$143,SBR!$A13)+SUMIFS('Mar16-Aug16 Billed-RETAIL'!$J$5:$J$143,'Mar16-Aug16 Billed-RETAIL'!$D$5:$D$143,SBR!P$4,'Mar16-Aug16 Billed-RETAIL'!$E$5:$E$143,SBR!$A13)+SUMIFS('Mar16-Aug16 Billed-RETAIL'!$AG$5:$AG$143,'Mar16-Aug16 Billed-RETAIL'!$D$5:$D$143,SBR!P$4,'Mar16-Aug16 Billed-RETAIL'!$E$5:$E$143,SBR!$A13)+SUMIFS('Mar16-Aug16 Billed-RETAIL'!$AH$5:$AH$143,'Mar16-Aug16 Billed-RETAIL'!$D$5:$D$143,SBR!P$4,'Mar16-Aug16 Billed-RETAIL'!$E$5:$E$143,SBR!$A13)</f>
        <v>619</v>
      </c>
      <c r="Q13" s="132">
        <f>SUMIFS('Mar16-Aug16 Billed-RETAIL'!$I$5:$I$143,'Mar16-Aug16 Billed-RETAIL'!$D$5:$D$143,SBR!Q$4,'Mar16-Aug16 Billed-RETAIL'!$E$5:$E$143,SBR!$A13)+SUMIFS('Mar16-Aug16 Billed-RETAIL'!$J$5:$J$143,'Mar16-Aug16 Billed-RETAIL'!$D$5:$D$143,SBR!Q$4,'Mar16-Aug16 Billed-RETAIL'!$E$5:$E$143,SBR!$A13)+SUMIFS('Mar16-Aug16 Billed-RETAIL'!$AG$5:$AG$143,'Mar16-Aug16 Billed-RETAIL'!$D$5:$D$143,SBR!Q$4,'Mar16-Aug16 Billed-RETAIL'!$E$5:$E$143,SBR!$A13)+SUMIFS('Mar16-Aug16 Billed-RETAIL'!$AH$5:$AH$143,'Mar16-Aug16 Billed-RETAIL'!$D$5:$D$143,SBR!Q$4,'Mar16-Aug16 Billed-RETAIL'!$E$5:$E$143,SBR!$A13)</f>
        <v>619</v>
      </c>
      <c r="R13" s="132">
        <f>SUMIFS('Mar16-Aug16 Billed-RETAIL'!$I$5:$I$143,'Mar16-Aug16 Billed-RETAIL'!$D$5:$D$143,SBR!R$4,'Mar16-Aug16 Billed-RETAIL'!$E$5:$E$143,SBR!$A13)+SUMIFS('Mar16-Aug16 Billed-RETAIL'!$J$5:$J$143,'Mar16-Aug16 Billed-RETAIL'!$D$5:$D$143,SBR!R$4,'Mar16-Aug16 Billed-RETAIL'!$E$5:$E$143,SBR!$A13)+SUMIFS('Mar16-Aug16 Billed-RETAIL'!$AG$5:$AG$143,'Mar16-Aug16 Billed-RETAIL'!$D$5:$D$143,SBR!R$4,'Mar16-Aug16 Billed-RETAIL'!$E$5:$E$143,SBR!$A13)+SUMIFS('Mar16-Aug16 Billed-RETAIL'!$AH$5:$AH$143,'Mar16-Aug16 Billed-RETAIL'!$D$5:$D$143,SBR!R$4,'Mar16-Aug16 Billed-RETAIL'!$E$5:$E$143,SBR!$A13)</f>
        <v>620</v>
      </c>
      <c r="S13" s="132">
        <f>SUMIFS('Mar16-Aug16 Billed-RETAIL'!$I$5:$I$143,'Mar16-Aug16 Billed-RETAIL'!$D$5:$D$143,SBR!S$4,'Mar16-Aug16 Billed-RETAIL'!$E$5:$E$143,SBR!$A13)+SUMIFS('Mar16-Aug16 Billed-RETAIL'!$J$5:$J$143,'Mar16-Aug16 Billed-RETAIL'!$D$5:$D$143,SBR!S$4,'Mar16-Aug16 Billed-RETAIL'!$E$5:$E$143,SBR!$A13)+SUMIFS('Mar16-Aug16 Billed-RETAIL'!$AG$5:$AG$143,'Mar16-Aug16 Billed-RETAIL'!$D$5:$D$143,SBR!S$4,'Mar16-Aug16 Billed-RETAIL'!$E$5:$E$143,SBR!$A13)+SUMIFS('Mar16-Aug16 Billed-RETAIL'!$AH$5:$AH$143,'Mar16-Aug16 Billed-RETAIL'!$D$5:$D$143,SBR!S$4,'Mar16-Aug16 Billed-RETAIL'!$E$5:$E$143,SBR!$A13)</f>
        <v>620</v>
      </c>
      <c r="T13" s="132">
        <f>SUMIFS('Mar16-Aug16 Billed-RETAIL'!$I$5:$I$143,'Mar16-Aug16 Billed-RETAIL'!$D$5:$D$143,SBR!T$4,'Mar16-Aug16 Billed-RETAIL'!$E$5:$E$143,SBR!$A13)+SUMIFS('Mar16-Aug16 Billed-RETAIL'!$J$5:$J$143,'Mar16-Aug16 Billed-RETAIL'!$D$5:$D$143,SBR!T$4,'Mar16-Aug16 Billed-RETAIL'!$E$5:$E$143,SBR!$A13)+SUMIFS('Mar16-Aug16 Billed-RETAIL'!$AG$5:$AG$143,'Mar16-Aug16 Billed-RETAIL'!$D$5:$D$143,SBR!T$4,'Mar16-Aug16 Billed-RETAIL'!$E$5:$E$143,SBR!$A13)+SUMIFS('Mar16-Aug16 Billed-RETAIL'!$AH$5:$AH$143,'Mar16-Aug16 Billed-RETAIL'!$D$5:$D$143,SBR!T$4,'Mar16-Aug16 Billed-RETAIL'!$E$5:$E$143,SBR!$A13)</f>
        <v>620</v>
      </c>
      <c r="U13" s="132">
        <f>SUMIFS('Mar16-Aug16 Billed-RETAIL'!$I$5:$I$143,'Mar16-Aug16 Billed-RETAIL'!$D$5:$D$143,SBR!U$4,'Mar16-Aug16 Billed-RETAIL'!$E$5:$E$143,SBR!$A13)+SUMIFS('Mar16-Aug16 Billed-RETAIL'!$J$5:$J$143,'Mar16-Aug16 Billed-RETAIL'!$D$5:$D$143,SBR!U$4,'Mar16-Aug16 Billed-RETAIL'!$E$5:$E$143,SBR!$A13)+SUMIFS('Mar16-Aug16 Billed-RETAIL'!$AG$5:$AG$143,'Mar16-Aug16 Billed-RETAIL'!$D$5:$D$143,SBR!U$4,'Mar16-Aug16 Billed-RETAIL'!$E$5:$E$143,SBR!$A13)+SUMIFS('Mar16-Aug16 Billed-RETAIL'!$AH$5:$AH$143,'Mar16-Aug16 Billed-RETAIL'!$D$5:$D$143,SBR!U$4,'Mar16-Aug16 Billed-RETAIL'!$E$5:$E$143,SBR!$A13)</f>
        <v>0</v>
      </c>
      <c r="V13" s="132">
        <f>SUMIFS('Mar16-Aug16 Billed-RETAIL'!$I$5:$I$143,'Mar16-Aug16 Billed-RETAIL'!$D$5:$D$143,SBR!V$4,'Mar16-Aug16 Billed-RETAIL'!$E$5:$E$143,SBR!$A13)+SUMIFS('Mar16-Aug16 Billed-RETAIL'!$J$5:$J$143,'Mar16-Aug16 Billed-RETAIL'!$D$5:$D$143,SBR!V$4,'Mar16-Aug16 Billed-RETAIL'!$E$5:$E$143,SBR!$A13)+SUMIFS('Mar16-Aug16 Billed-RETAIL'!$AG$5:$AG$143,'Mar16-Aug16 Billed-RETAIL'!$D$5:$D$143,SBR!V$4,'Mar16-Aug16 Billed-RETAIL'!$E$5:$E$143,SBR!$A13)+SUMIFS('Mar16-Aug16 Billed-RETAIL'!$AH$5:$AH$143,'Mar16-Aug16 Billed-RETAIL'!$D$5:$D$143,SBR!V$4,'Mar16-Aug16 Billed-RETAIL'!$E$5:$E$143,SBR!$A13)</f>
        <v>0</v>
      </c>
      <c r="W13" s="132">
        <f>SUMIFS('Mar16-Aug16 Billed-RETAIL'!$I$5:$I$143,'Mar16-Aug16 Billed-RETAIL'!$D$5:$D$143,SBR!W$4,'Mar16-Aug16 Billed-RETAIL'!$E$5:$E$143,SBR!$A13)+SUMIFS('Mar16-Aug16 Billed-RETAIL'!$J$5:$J$143,'Mar16-Aug16 Billed-RETAIL'!$D$5:$D$143,SBR!W$4,'Mar16-Aug16 Billed-RETAIL'!$E$5:$E$143,SBR!$A13)+SUMIFS('Mar16-Aug16 Billed-RETAIL'!$AG$5:$AG$143,'Mar16-Aug16 Billed-RETAIL'!$D$5:$D$143,SBR!W$4,'Mar16-Aug16 Billed-RETAIL'!$E$5:$E$143,SBR!$A13)+SUMIFS('Mar16-Aug16 Billed-RETAIL'!$AH$5:$AH$143,'Mar16-Aug16 Billed-RETAIL'!$D$5:$D$143,SBR!W$4,'Mar16-Aug16 Billed-RETAIL'!$E$5:$E$143,SBR!$A13)</f>
        <v>0</v>
      </c>
      <c r="X13" s="132">
        <f>SUMIFS('Mar16-Aug16 Billed-RETAIL'!$I$5:$I$143,'Mar16-Aug16 Billed-RETAIL'!$D$5:$D$143,SBR!X$4,'Mar16-Aug16 Billed-RETAIL'!$E$5:$E$143,SBR!$A13)+SUMIFS('Mar16-Aug16 Billed-RETAIL'!$J$5:$J$143,'Mar16-Aug16 Billed-RETAIL'!$D$5:$D$143,SBR!X$4,'Mar16-Aug16 Billed-RETAIL'!$E$5:$E$143,SBR!$A13)+SUMIFS('Mar16-Aug16 Billed-RETAIL'!$AG$5:$AG$143,'Mar16-Aug16 Billed-RETAIL'!$D$5:$D$143,SBR!X$4,'Mar16-Aug16 Billed-RETAIL'!$E$5:$E$143,SBR!$A13)+SUMIFS('Mar16-Aug16 Billed-RETAIL'!$AH$5:$AH$143,'Mar16-Aug16 Billed-RETAIL'!$D$5:$D$143,SBR!X$4,'Mar16-Aug16 Billed-RETAIL'!$E$5:$E$143,SBR!$A13)</f>
        <v>0</v>
      </c>
      <c r="Y13" s="132">
        <f>SUMIFS('Mar16-Aug16 Billed-RETAIL'!$I$5:$I$143,'Mar16-Aug16 Billed-RETAIL'!$D$5:$D$143,SBR!Y$4,'Mar16-Aug16 Billed-RETAIL'!$E$5:$E$143,SBR!$A13)+SUMIFS('Mar16-Aug16 Billed-RETAIL'!$J$5:$J$143,'Mar16-Aug16 Billed-RETAIL'!$D$5:$D$143,SBR!Y$4,'Mar16-Aug16 Billed-RETAIL'!$E$5:$E$143,SBR!$A13)+SUMIFS('Mar16-Aug16 Billed-RETAIL'!$AG$5:$AG$143,'Mar16-Aug16 Billed-RETAIL'!$D$5:$D$143,SBR!Y$4,'Mar16-Aug16 Billed-RETAIL'!$E$5:$E$143,SBR!$A13)+SUMIFS('Mar16-Aug16 Billed-RETAIL'!$AH$5:$AH$143,'Mar16-Aug16 Billed-RETAIL'!$D$5:$D$143,SBR!Y$4,'Mar16-Aug16 Billed-RETAIL'!$E$5:$E$143,SBR!$A13)</f>
        <v>0</v>
      </c>
      <c r="Z13" s="132">
        <f>SUMIFS('Mar16-Aug16 Billed-RETAIL'!$I$5:$I$143,'Mar16-Aug16 Billed-RETAIL'!$D$5:$D$143,SBR!Z$4,'Mar16-Aug16 Billed-RETAIL'!$E$5:$E$143,SBR!$A13)+SUMIFS('Mar16-Aug16 Billed-RETAIL'!$J$5:$J$143,'Mar16-Aug16 Billed-RETAIL'!$D$5:$D$143,SBR!Z$4,'Mar16-Aug16 Billed-RETAIL'!$E$5:$E$143,SBR!$A13)+SUMIFS('Mar16-Aug16 Billed-RETAIL'!$AG$5:$AG$143,'Mar16-Aug16 Billed-RETAIL'!$D$5:$D$143,SBR!Z$4,'Mar16-Aug16 Billed-RETAIL'!$E$5:$E$143,SBR!$A13)+SUMIFS('Mar16-Aug16 Billed-RETAIL'!$AH$5:$AH$143,'Mar16-Aug16 Billed-RETAIL'!$D$5:$D$143,SBR!Z$4,'Mar16-Aug16 Billed-RETAIL'!$E$5:$E$143,SBR!$A13)</f>
        <v>0</v>
      </c>
      <c r="AA13" s="133">
        <f>(SUMIFS('Mar16-Aug16 Billed-RETAIL'!$K$5:$K$220,'Mar16-Aug16 Billed-RETAIL'!$D$5:$D$220,SBR!AA$4,'Mar16-Aug16 Billed-RETAIL'!$E$5:$E$220,SBR!$A13)+SUMIFS('Mar16-Aug16 Billed-RETAIL'!$L$5:$L$220,'Mar16-Aug16 Billed-RETAIL'!$D$5:$D$220,SBR!AA$4,'Mar16-Aug16 Billed-RETAIL'!$E$5:$E$220,SBR!$A13))*0.1</f>
        <v>62.300000000000004</v>
      </c>
      <c r="AB13" s="133">
        <f>(SUMIFS('Mar16-Aug16 Billed-RETAIL'!$K$5:$K$220,'Mar16-Aug16 Billed-RETAIL'!$D$5:$D$220,SBR!AB$4,'Mar16-Aug16 Billed-RETAIL'!$E$5:$E$220,SBR!$A13)+SUMIFS('Mar16-Aug16 Billed-RETAIL'!$L$5:$L$220,'Mar16-Aug16 Billed-RETAIL'!$D$5:$D$220,SBR!AB$4,'Mar16-Aug16 Billed-RETAIL'!$E$5:$E$220,SBR!$A13))*0.1</f>
        <v>61.2</v>
      </c>
      <c r="AC13" s="133">
        <f>(SUMIFS('Mar16-Aug16 Billed-RETAIL'!$K$5:$K$220,'Mar16-Aug16 Billed-RETAIL'!$D$5:$D$220,SBR!AC$4,'Mar16-Aug16 Billed-RETAIL'!$E$5:$E$220,SBR!$A13)+SUMIFS('Mar16-Aug16 Billed-RETAIL'!$L$5:$L$220,'Mar16-Aug16 Billed-RETAIL'!$D$5:$D$220,SBR!AC$4,'Mar16-Aug16 Billed-RETAIL'!$E$5:$E$220,SBR!$A13))*0.1</f>
        <v>61.2</v>
      </c>
      <c r="AD13" s="133">
        <f>(SUMIFS('Mar16-Aug16 Billed-RETAIL'!$K$5:$K$220,'Mar16-Aug16 Billed-RETAIL'!$D$5:$D$220,SBR!AD$4,'Mar16-Aug16 Billed-RETAIL'!$E$5:$E$220,SBR!$A13)+SUMIFS('Mar16-Aug16 Billed-RETAIL'!$L$5:$L$220,'Mar16-Aug16 Billed-RETAIL'!$D$5:$D$220,SBR!AD$4,'Mar16-Aug16 Billed-RETAIL'!$E$5:$E$220,SBR!$A13))*0.1</f>
        <v>61.300000000000004</v>
      </c>
      <c r="AE13" s="133">
        <f>(SUMIFS('Mar16-Aug16 Billed-RETAIL'!$K$5:$K$220,'Mar16-Aug16 Billed-RETAIL'!$D$5:$D$220,SBR!AE$4,'Mar16-Aug16 Billed-RETAIL'!$E$5:$E$220,SBR!$A13)+SUMIFS('Mar16-Aug16 Billed-RETAIL'!$L$5:$L$220,'Mar16-Aug16 Billed-RETAIL'!$D$5:$D$220,SBR!AE$4,'Mar16-Aug16 Billed-RETAIL'!$E$5:$E$220,SBR!$A13))*0.1</f>
        <v>61.300000000000004</v>
      </c>
      <c r="AF13" s="133">
        <f>(SUMIFS('Mar16-Aug16 Billed-RETAIL'!$K$5:$K$220,'Mar16-Aug16 Billed-RETAIL'!$D$5:$D$220,SBR!AF$4,'Mar16-Aug16 Billed-RETAIL'!$E$5:$E$220,SBR!$A13)+SUMIFS('Mar16-Aug16 Billed-RETAIL'!$L$5:$L$220,'Mar16-Aug16 Billed-RETAIL'!$D$5:$D$220,SBR!AF$4,'Mar16-Aug16 Billed-RETAIL'!$E$5:$E$220,SBR!$A13))*0.1</f>
        <v>61.300000000000004</v>
      </c>
      <c r="AG13" s="161"/>
      <c r="AH13" s="161"/>
      <c r="AI13" s="161"/>
      <c r="AJ13" s="161"/>
      <c r="AK13" s="161"/>
      <c r="AL13" s="161"/>
      <c r="AM13" s="134">
        <f>SUMIFS('Mar16-Aug16 Billed-RETAIL'!$AZ$5:$AZ$146,'Mar16-Aug16 Billed-RETAIL'!$D$5:$D$146,SBR!AM$4,'Mar16-Aug16 Billed-RETAIL'!$E$5:$E$146,SBR!$A13)</f>
        <v>25536.42</v>
      </c>
      <c r="AN13" s="134">
        <f>SUMIFS('Mar16-Aug16 Billed-RETAIL'!$AZ$5:$AZ$146,'Mar16-Aug16 Billed-RETAIL'!$D$5:$D$146,SBR!AN$4,'Mar16-Aug16 Billed-RETAIL'!$E$5:$E$146,SBR!$A13)</f>
        <v>25090.48</v>
      </c>
      <c r="AO13" s="134">
        <f>SUMIFS('Mar16-Aug16 Billed-RETAIL'!$AZ$5:$AZ$146,'Mar16-Aug16 Billed-RETAIL'!$D$5:$D$146,SBR!AO$4,'Mar16-Aug16 Billed-RETAIL'!$E$5:$E$146,SBR!$A13)</f>
        <v>25098.63</v>
      </c>
      <c r="AP13" s="134">
        <f>SUMIFS('Mar16-Aug16 Billed-RETAIL'!$AZ$5:$AZ$146,'Mar16-Aug16 Billed-RETAIL'!$D$5:$D$146,SBR!AP$4,'Mar16-Aug16 Billed-RETAIL'!$E$5:$E$146,SBR!$A13)</f>
        <v>25149.32</v>
      </c>
      <c r="AQ13" s="134">
        <f>SUMIFS('Mar16-Aug16 Billed-RETAIL'!$AZ$5:$AZ$146,'Mar16-Aug16 Billed-RETAIL'!$D$5:$D$146,SBR!AQ$4,'Mar16-Aug16 Billed-RETAIL'!$E$5:$E$146,SBR!$A13)</f>
        <v>25149.32</v>
      </c>
      <c r="AR13" s="134">
        <f>SUMIFS('Mar16-Aug16 Billed-RETAIL'!$AZ$5:$AZ$146,'Mar16-Aug16 Billed-RETAIL'!$D$5:$D$146,SBR!AR$4,'Mar16-Aug16 Billed-RETAIL'!$E$5:$E$146,SBR!$A13)</f>
        <v>25157.54</v>
      </c>
      <c r="AS13" s="134"/>
      <c r="AT13" s="134"/>
      <c r="AU13" s="134"/>
      <c r="AV13" s="134"/>
      <c r="AW13" s="134"/>
      <c r="AX13" s="134"/>
      <c r="AY13" s="135"/>
      <c r="AZ13" s="135"/>
      <c r="BA13" s="518">
        <f t="shared" si="16"/>
        <v>-0.21</v>
      </c>
      <c r="BB13" s="518">
        <f t="shared" si="16"/>
        <v>-1.9</v>
      </c>
      <c r="BC13" s="518">
        <f t="shared" si="16"/>
        <v>-1.1599999999999999</v>
      </c>
      <c r="BD13" s="518">
        <f t="shared" si="16"/>
        <v>124.17</v>
      </c>
      <c r="BE13" s="518">
        <f t="shared" si="16"/>
        <v>33.04</v>
      </c>
      <c r="BF13" s="518">
        <f t="shared" si="16"/>
        <v>14.58</v>
      </c>
      <c r="BG13" s="518">
        <f t="shared" si="2"/>
        <v>168.52</v>
      </c>
    </row>
    <row r="14" spans="1:59" x14ac:dyDescent="0.25">
      <c r="A14" s="89" t="s">
        <v>39</v>
      </c>
      <c r="B14" s="196" t="s">
        <v>990</v>
      </c>
      <c r="C14" s="159">
        <f t="shared" si="13"/>
        <v>0</v>
      </c>
      <c r="D14" s="170">
        <f t="shared" si="14"/>
        <v>0</v>
      </c>
      <c r="E14" s="159">
        <f t="shared" si="3"/>
        <v>0</v>
      </c>
      <c r="F14" s="138"/>
      <c r="G14" s="130">
        <f t="shared" si="17"/>
        <v>0</v>
      </c>
      <c r="H14" s="131">
        <f t="shared" si="15"/>
        <v>0</v>
      </c>
      <c r="I14" s="130">
        <f t="shared" si="4"/>
        <v>0</v>
      </c>
      <c r="J14" s="138"/>
      <c r="K14" s="130">
        <f t="shared" si="5"/>
        <v>0</v>
      </c>
      <c r="L14" s="131">
        <f t="shared" si="6"/>
        <v>0</v>
      </c>
      <c r="M14" s="130">
        <f t="shared" si="7"/>
        <v>0</v>
      </c>
      <c r="N14" s="50"/>
      <c r="O14" s="466"/>
      <c r="P14" s="682"/>
      <c r="Q14" s="682"/>
      <c r="R14" s="682"/>
      <c r="S14" s="682"/>
      <c r="T14" s="682"/>
      <c r="U14" s="683"/>
      <c r="V14" s="683"/>
      <c r="W14" s="683"/>
      <c r="X14" s="683"/>
      <c r="Y14" s="683"/>
      <c r="Z14" s="683"/>
      <c r="AA14" s="151">
        <f>'Mar16-Aug16 FT-TS-Cashout-LG&amp;E'!I454+'Mar16-Aug16 FT-TS-Cashout-LG&amp;E'!I486</f>
        <v>0</v>
      </c>
      <c r="AB14" s="151">
        <f>'Mar16-Aug16 FT-TS-Cashout-LG&amp;E'!J454+'Mar16-Aug16 FT-TS-Cashout-LG&amp;E'!J486</f>
        <v>0</v>
      </c>
      <c r="AC14" s="151">
        <f>'Mar16-Aug16 FT-TS-Cashout-LG&amp;E'!K454+'Mar16-Aug16 FT-TS-Cashout-LG&amp;E'!K486</f>
        <v>0</v>
      </c>
      <c r="AD14" s="151">
        <f>'Mar16-Aug16 FT-TS-Cashout-LG&amp;E'!L454+'Mar16-Aug16 FT-TS-Cashout-LG&amp;E'!L486</f>
        <v>0</v>
      </c>
      <c r="AE14" s="151">
        <f>'Mar16-Aug16 FT-TS-Cashout-LG&amp;E'!M454+'Mar16-Aug16 FT-TS-Cashout-LG&amp;E'!M486</f>
        <v>0</v>
      </c>
      <c r="AF14" s="151">
        <f>'Mar16-Aug16 FT-TS-Cashout-LG&amp;E'!N454+'Mar16-Aug16 FT-TS-Cashout-LG&amp;E'!N486</f>
        <v>0</v>
      </c>
      <c r="AG14" s="161"/>
      <c r="AH14" s="161"/>
      <c r="AI14" s="161"/>
      <c r="AJ14" s="161"/>
      <c r="AK14" s="161"/>
      <c r="AL14" s="161"/>
      <c r="AM14" s="152">
        <f>'Mar16-Aug16 FT-TS-Cashout-LG&amp;E'!I441+'Mar16-Aug16 FT-TS-Cashout-LG&amp;E'!J473</f>
        <v>0</v>
      </c>
      <c r="AN14" s="152">
        <f>'Mar16-Aug16 FT-TS-Cashout-LG&amp;E'!J441+'Mar16-Aug16 FT-TS-Cashout-LG&amp;E'!K473</f>
        <v>0</v>
      </c>
      <c r="AO14" s="152">
        <f>'Mar16-Aug16 FT-TS-Cashout-LG&amp;E'!K441+'Mar16-Aug16 FT-TS-Cashout-LG&amp;E'!L473</f>
        <v>0</v>
      </c>
      <c r="AP14" s="152">
        <f>'Mar16-Aug16 FT-TS-Cashout-LG&amp;E'!L441+'Mar16-Aug16 FT-TS-Cashout-LG&amp;E'!M473</f>
        <v>0</v>
      </c>
      <c r="AQ14" s="152">
        <f>'Mar16-Aug16 FT-TS-Cashout-LG&amp;E'!M441+'Mar16-Aug16 FT-TS-Cashout-LG&amp;E'!N473</f>
        <v>0</v>
      </c>
      <c r="AR14" s="152">
        <v>0</v>
      </c>
      <c r="AS14" s="152"/>
      <c r="AT14" s="152"/>
      <c r="AU14" s="152"/>
      <c r="AV14" s="152"/>
      <c r="AW14" s="152"/>
      <c r="AX14" s="152"/>
      <c r="AY14" s="135"/>
      <c r="AZ14" s="135"/>
      <c r="BA14" s="519">
        <f t="shared" si="16"/>
        <v>0</v>
      </c>
      <c r="BB14" s="519">
        <f t="shared" si="16"/>
        <v>0</v>
      </c>
      <c r="BC14" s="519">
        <f t="shared" si="16"/>
        <v>0</v>
      </c>
      <c r="BD14" s="519">
        <f t="shared" si="16"/>
        <v>0</v>
      </c>
      <c r="BE14" s="519">
        <f t="shared" si="16"/>
        <v>0</v>
      </c>
      <c r="BF14" s="519">
        <f t="shared" si="16"/>
        <v>0</v>
      </c>
      <c r="BG14" s="519">
        <f t="shared" si="2"/>
        <v>0</v>
      </c>
    </row>
    <row r="15" spans="1:59" x14ac:dyDescent="0.25">
      <c r="A15" s="89" t="s">
        <v>75</v>
      </c>
      <c r="B15" s="196" t="s">
        <v>991</v>
      </c>
      <c r="C15" s="173">
        <f t="shared" si="13"/>
        <v>0</v>
      </c>
      <c r="D15" s="174">
        <f t="shared" si="14"/>
        <v>0</v>
      </c>
      <c r="E15" s="173">
        <f t="shared" si="3"/>
        <v>0</v>
      </c>
      <c r="F15" s="138"/>
      <c r="G15" s="136">
        <f t="shared" si="17"/>
        <v>0</v>
      </c>
      <c r="H15" s="137">
        <f t="shared" si="15"/>
        <v>0</v>
      </c>
      <c r="I15" s="136">
        <f t="shared" si="4"/>
        <v>0</v>
      </c>
      <c r="J15" s="138"/>
      <c r="K15" s="136">
        <f t="shared" si="5"/>
        <v>0</v>
      </c>
      <c r="L15" s="137">
        <f t="shared" si="6"/>
        <v>0</v>
      </c>
      <c r="M15" s="136">
        <f t="shared" si="7"/>
        <v>0</v>
      </c>
      <c r="N15" s="50"/>
      <c r="O15" s="139"/>
      <c r="P15" s="701"/>
      <c r="Q15" s="701"/>
      <c r="R15" s="701"/>
      <c r="S15" s="701"/>
      <c r="T15" s="701"/>
      <c r="U15" s="531"/>
      <c r="V15" s="531"/>
      <c r="W15" s="531"/>
      <c r="X15" s="531"/>
      <c r="Y15" s="531"/>
      <c r="Z15" s="531"/>
      <c r="AA15" s="140"/>
      <c r="AB15" s="140"/>
      <c r="AC15" s="140"/>
      <c r="AD15" s="140"/>
      <c r="AE15" s="140"/>
      <c r="AF15" s="140"/>
      <c r="AG15" s="532"/>
      <c r="AH15" s="532"/>
      <c r="AI15" s="532"/>
      <c r="AJ15" s="532"/>
      <c r="AK15" s="532"/>
      <c r="AL15" s="532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35"/>
      <c r="AZ15" s="135"/>
      <c r="BA15" s="519"/>
      <c r="BB15" s="519"/>
      <c r="BC15" s="519"/>
      <c r="BD15" s="519"/>
      <c r="BE15" s="519"/>
      <c r="BF15" s="519"/>
      <c r="BG15" s="519"/>
    </row>
    <row r="16" spans="1:59" x14ac:dyDescent="0.25">
      <c r="A16" s="89"/>
      <c r="B16" s="142" t="s">
        <v>454</v>
      </c>
      <c r="C16" s="159">
        <f t="shared" si="13"/>
        <v>304822</v>
      </c>
      <c r="D16" s="170">
        <f t="shared" si="14"/>
        <v>10450338.021582553</v>
      </c>
      <c r="E16" s="159">
        <f t="shared" si="3"/>
        <v>88433495.079999998</v>
      </c>
      <c r="F16" s="130"/>
      <c r="G16" s="130">
        <f t="shared" si="17"/>
        <v>127483</v>
      </c>
      <c r="H16" s="131">
        <f t="shared" si="15"/>
        <v>7574954.152934243</v>
      </c>
      <c r="I16" s="130">
        <f t="shared" si="4"/>
        <v>59109598.890000001</v>
      </c>
      <c r="J16" s="130"/>
      <c r="K16" s="130">
        <f t="shared" si="5"/>
        <v>177339</v>
      </c>
      <c r="L16" s="131">
        <f t="shared" si="6"/>
        <v>2875383.8686483111</v>
      </c>
      <c r="M16" s="130">
        <f t="shared" si="7"/>
        <v>29299757.539999999</v>
      </c>
      <c r="O16" s="143">
        <f t="shared" ref="O16:AD16" si="18">SUM(O11:O15)</f>
        <v>26610</v>
      </c>
      <c r="P16" s="143">
        <f t="shared" si="18"/>
        <v>25901</v>
      </c>
      <c r="Q16" s="143">
        <f t="shared" si="18"/>
        <v>25789</v>
      </c>
      <c r="R16" s="143">
        <f t="shared" si="18"/>
        <v>25449</v>
      </c>
      <c r="S16" s="143">
        <f t="shared" si="18"/>
        <v>25096</v>
      </c>
      <c r="T16" s="143">
        <f t="shared" si="18"/>
        <v>25494</v>
      </c>
      <c r="U16" s="143">
        <f t="shared" si="18"/>
        <v>24768</v>
      </c>
      <c r="V16" s="143">
        <f t="shared" si="18"/>
        <v>24842</v>
      </c>
      <c r="W16" s="143">
        <f t="shared" si="18"/>
        <v>25028</v>
      </c>
      <c r="X16" s="143">
        <f t="shared" si="18"/>
        <v>25221</v>
      </c>
      <c r="Y16" s="143">
        <f t="shared" si="18"/>
        <v>25307</v>
      </c>
      <c r="Z16" s="143">
        <f t="shared" si="18"/>
        <v>25317</v>
      </c>
      <c r="AA16" s="128">
        <f t="shared" si="18"/>
        <v>1282115.9000000001</v>
      </c>
      <c r="AB16" s="128">
        <f t="shared" si="18"/>
        <v>744156.9</v>
      </c>
      <c r="AC16" s="128">
        <f t="shared" si="18"/>
        <v>449054.10000000003</v>
      </c>
      <c r="AD16" s="128">
        <f t="shared" si="18"/>
        <v>346622.1</v>
      </c>
      <c r="AE16" s="128">
        <f t="shared" ref="AE16:AL16" si="19">SUM(AE11:AE14)</f>
        <v>272996.2</v>
      </c>
      <c r="AF16" s="128">
        <f t="shared" si="19"/>
        <v>267193.3</v>
      </c>
      <c r="AG16" s="128">
        <f t="shared" si="19"/>
        <v>310402.25138373737</v>
      </c>
      <c r="AH16" s="128">
        <f t="shared" si="19"/>
        <v>484959.01726457366</v>
      </c>
      <c r="AI16" s="128">
        <f t="shared" si="19"/>
        <v>876743.95007889124</v>
      </c>
      <c r="AJ16" s="128">
        <f t="shared" si="19"/>
        <v>1595633.2951940682</v>
      </c>
      <c r="AK16" s="128">
        <f t="shared" si="19"/>
        <v>2046212.8491911271</v>
      </c>
      <c r="AL16" s="128">
        <f t="shared" si="19"/>
        <v>1774248.1584701554</v>
      </c>
      <c r="AM16" s="144">
        <f t="shared" ref="AM16:AX16" si="20">SUM(AM11:AM15)</f>
        <v>9247749.8200000003</v>
      </c>
      <c r="AN16" s="144">
        <f t="shared" si="20"/>
        <v>6072385.0499999998</v>
      </c>
      <c r="AO16" s="144">
        <f t="shared" si="20"/>
        <v>4269011.54</v>
      </c>
      <c r="AP16" s="144">
        <f t="shared" si="20"/>
        <v>3754371.1199999996</v>
      </c>
      <c r="AQ16" s="144">
        <f t="shared" si="20"/>
        <v>3330902.8</v>
      </c>
      <c r="AR16" s="144">
        <f t="shared" si="20"/>
        <v>3378265.0300000003</v>
      </c>
      <c r="AS16" s="144">
        <f t="shared" si="20"/>
        <v>3625838</v>
      </c>
      <c r="AT16" s="144">
        <f t="shared" si="20"/>
        <v>4868984</v>
      </c>
      <c r="AU16" s="144">
        <f t="shared" si="20"/>
        <v>7783689.3700000001</v>
      </c>
      <c r="AV16" s="144">
        <f t="shared" si="20"/>
        <v>12882748.310000001</v>
      </c>
      <c r="AW16" s="144">
        <f t="shared" si="20"/>
        <v>15178775.23</v>
      </c>
      <c r="AX16" s="144">
        <f t="shared" si="20"/>
        <v>14016636.16</v>
      </c>
      <c r="AY16" s="135"/>
      <c r="AZ16" s="135"/>
      <c r="BA16" s="523">
        <f t="shared" ref="BA16:BF16" si="21">SUM(BA11:BA14)</f>
        <v>-75.94</v>
      </c>
      <c r="BB16" s="523">
        <f t="shared" si="21"/>
        <v>-459.35999999999996</v>
      </c>
      <c r="BC16" s="523">
        <f t="shared" si="21"/>
        <v>-197.05999999999997</v>
      </c>
      <c r="BD16" s="523">
        <f t="shared" si="21"/>
        <v>18537.129999999997</v>
      </c>
      <c r="BE16" s="523">
        <f t="shared" si="21"/>
        <v>4376.45</v>
      </c>
      <c r="BF16" s="523">
        <f t="shared" si="21"/>
        <v>1957.43</v>
      </c>
      <c r="BG16" s="518">
        <f t="shared" si="2"/>
        <v>24138.649999999998</v>
      </c>
    </row>
    <row r="17" spans="1:59" x14ac:dyDescent="0.25">
      <c r="A17" s="89"/>
      <c r="B17" s="145"/>
      <c r="C17" s="672"/>
      <c r="D17" s="672"/>
      <c r="E17" s="672"/>
      <c r="F17" s="150"/>
      <c r="G17" s="150"/>
      <c r="H17" s="150"/>
      <c r="I17" s="150"/>
      <c r="J17" s="150"/>
      <c r="K17" s="150"/>
      <c r="L17" s="150"/>
      <c r="M17" s="150"/>
      <c r="O17" s="148"/>
      <c r="P17" s="148"/>
      <c r="Q17" s="148"/>
      <c r="R17" s="148"/>
      <c r="S17" s="148"/>
      <c r="T17" s="148"/>
      <c r="U17" s="160"/>
      <c r="V17" s="160"/>
      <c r="W17" s="160"/>
      <c r="X17" s="160"/>
      <c r="Y17" s="160"/>
      <c r="Z17" s="160"/>
      <c r="AA17" s="149"/>
      <c r="AB17" s="149"/>
      <c r="AC17" s="149"/>
      <c r="AD17" s="149"/>
      <c r="AE17" s="149"/>
      <c r="AF17" s="149"/>
      <c r="AG17" s="161"/>
      <c r="AH17" s="161"/>
      <c r="AI17" s="161"/>
      <c r="AJ17" s="161"/>
      <c r="AK17" s="161"/>
      <c r="AL17" s="161"/>
      <c r="AM17" s="144"/>
      <c r="AN17" s="144"/>
      <c r="AO17" s="144"/>
      <c r="AP17" s="144"/>
      <c r="AQ17" s="144"/>
      <c r="AR17" s="144"/>
      <c r="AS17" s="144"/>
      <c r="AT17" s="144"/>
      <c r="AU17" s="144"/>
      <c r="AV17" s="144"/>
      <c r="AW17" s="144"/>
      <c r="AX17" s="144"/>
      <c r="AY17" s="135"/>
      <c r="AZ17" s="135"/>
      <c r="BA17" s="517"/>
      <c r="BB17" s="517"/>
      <c r="BC17" s="517"/>
      <c r="BD17" s="517"/>
      <c r="BE17" s="517"/>
      <c r="BF17" s="517"/>
      <c r="BG17" s="518">
        <f t="shared" si="2"/>
        <v>0</v>
      </c>
    </row>
    <row r="18" spans="1:59" x14ac:dyDescent="0.25">
      <c r="A18" s="89" t="s">
        <v>31</v>
      </c>
      <c r="B18" s="89" t="s">
        <v>32</v>
      </c>
      <c r="C18" s="159">
        <f>SUM(O18:Z18)</f>
        <v>2188</v>
      </c>
      <c r="D18" s="170">
        <f t="shared" si="14"/>
        <v>1179498.4374288814</v>
      </c>
      <c r="E18" s="159">
        <f t="shared" si="3"/>
        <v>8235477.6100000003</v>
      </c>
      <c r="F18" s="130"/>
      <c r="G18" s="130">
        <f t="shared" si="17"/>
        <v>1271</v>
      </c>
      <c r="H18" s="131">
        <f t="shared" si="15"/>
        <v>802947.77056927723</v>
      </c>
      <c r="I18" s="130">
        <f t="shared" si="4"/>
        <v>5790594.2999999998</v>
      </c>
      <c r="J18" s="130"/>
      <c r="K18" s="130">
        <f t="shared" si="5"/>
        <v>917</v>
      </c>
      <c r="L18" s="131">
        <f t="shared" si="6"/>
        <v>376550.66685960419</v>
      </c>
      <c r="M18" s="130">
        <f t="shared" si="7"/>
        <v>2445110.6800000002</v>
      </c>
      <c r="O18" s="132">
        <f>SUMIFS('Mar16-Aug16 Billed-RETAIL'!$I$5:$I$143,'Mar16-Aug16 Billed-RETAIL'!$D$5:$D$143,SBR!O$4,'Mar16-Aug16 Billed-RETAIL'!$E$5:$E$143,SBR!$A18)+SUMIFS('Mar16-Aug16 Billed-RETAIL'!$J$5:$J$143,'Mar16-Aug16 Billed-RETAIL'!$D$5:$D$143,SBR!O$4,'Mar16-Aug16 Billed-RETAIL'!$E$5:$E$143,SBR!$A18)+SUMIFS('Mar16-Aug16 Billed-RETAIL'!$AG$5:$AG$143,'Mar16-Aug16 Billed-RETAIL'!$D$5:$D$143,SBR!O$4,'Mar16-Aug16 Billed-RETAIL'!$E$5:$E$143,SBR!$A18)+SUMIFS('Mar16-Aug16 Billed-RETAIL'!$AH$5:$AH$143,'Mar16-Aug16 Billed-RETAIL'!$D$5:$D$143,SBR!O$4,'Mar16-Aug16 Billed-RETAIL'!$E$5:$E$143,SBR!$A18)</f>
        <v>247</v>
      </c>
      <c r="P18" s="132">
        <f>SUMIFS('Mar16-Aug16 Billed-RETAIL'!$I$5:$I$143,'Mar16-Aug16 Billed-RETAIL'!$D$5:$D$143,SBR!P$4,'Mar16-Aug16 Billed-RETAIL'!$E$5:$E$143,SBR!$A18)+SUMIFS('Mar16-Aug16 Billed-RETAIL'!$J$5:$J$143,'Mar16-Aug16 Billed-RETAIL'!$D$5:$D$143,SBR!P$4,'Mar16-Aug16 Billed-RETAIL'!$E$5:$E$143,SBR!$A18)+SUMIFS('Mar16-Aug16 Billed-RETAIL'!$AG$5:$AG$143,'Mar16-Aug16 Billed-RETAIL'!$D$5:$D$143,SBR!P$4,'Mar16-Aug16 Billed-RETAIL'!$E$5:$E$143,SBR!$A18)+SUMIFS('Mar16-Aug16 Billed-RETAIL'!$AH$5:$AH$143,'Mar16-Aug16 Billed-RETAIL'!$D$5:$D$143,SBR!P$4,'Mar16-Aug16 Billed-RETAIL'!$E$5:$E$143,SBR!$A18)</f>
        <v>245</v>
      </c>
      <c r="Q18" s="132">
        <f>SUMIFS('Mar16-Aug16 Billed-RETAIL'!$I$5:$I$143,'Mar16-Aug16 Billed-RETAIL'!$D$5:$D$143,SBR!Q$4,'Mar16-Aug16 Billed-RETAIL'!$E$5:$E$143,SBR!$A18)+SUMIFS('Mar16-Aug16 Billed-RETAIL'!$J$5:$J$143,'Mar16-Aug16 Billed-RETAIL'!$D$5:$D$143,SBR!Q$4,'Mar16-Aug16 Billed-RETAIL'!$E$5:$E$143,SBR!$A18)+SUMIFS('Mar16-Aug16 Billed-RETAIL'!$AG$5:$AG$143,'Mar16-Aug16 Billed-RETAIL'!$D$5:$D$143,SBR!Q$4,'Mar16-Aug16 Billed-RETAIL'!$E$5:$E$143,SBR!$A18)+SUMIFS('Mar16-Aug16 Billed-RETAIL'!$AH$5:$AH$143,'Mar16-Aug16 Billed-RETAIL'!$D$5:$D$143,SBR!Q$4,'Mar16-Aug16 Billed-RETAIL'!$E$5:$E$143,SBR!$A18)</f>
        <v>222</v>
      </c>
      <c r="R18" s="132">
        <f>SUMIFS('Mar16-Aug16 Billed-RETAIL'!$I$5:$I$143,'Mar16-Aug16 Billed-RETAIL'!$D$5:$D$143,SBR!R$4,'Mar16-Aug16 Billed-RETAIL'!$E$5:$E$143,SBR!$A18)+SUMIFS('Mar16-Aug16 Billed-RETAIL'!$J$5:$J$143,'Mar16-Aug16 Billed-RETAIL'!$D$5:$D$143,SBR!R$4,'Mar16-Aug16 Billed-RETAIL'!$E$5:$E$143,SBR!$A18)+SUMIFS('Mar16-Aug16 Billed-RETAIL'!$AG$5:$AG$143,'Mar16-Aug16 Billed-RETAIL'!$D$5:$D$143,SBR!R$4,'Mar16-Aug16 Billed-RETAIL'!$E$5:$E$143,SBR!$A18)+SUMIFS('Mar16-Aug16 Billed-RETAIL'!$AH$5:$AH$143,'Mar16-Aug16 Billed-RETAIL'!$D$5:$D$143,SBR!R$4,'Mar16-Aug16 Billed-RETAIL'!$E$5:$E$143,SBR!$A18)</f>
        <v>-2</v>
      </c>
      <c r="S18" s="132">
        <f>SUMIFS('Mar16-Aug16 Billed-RETAIL'!$I$5:$I$143,'Mar16-Aug16 Billed-RETAIL'!$D$5:$D$143,SBR!S$4,'Mar16-Aug16 Billed-RETAIL'!$E$5:$E$143,SBR!$A18)+SUMIFS('Mar16-Aug16 Billed-RETAIL'!$J$5:$J$143,'Mar16-Aug16 Billed-RETAIL'!$D$5:$D$143,SBR!S$4,'Mar16-Aug16 Billed-RETAIL'!$E$5:$E$143,SBR!$A18)+SUMIFS('Mar16-Aug16 Billed-RETAIL'!$AG$5:$AG$143,'Mar16-Aug16 Billed-RETAIL'!$D$5:$D$143,SBR!S$4,'Mar16-Aug16 Billed-RETAIL'!$E$5:$E$143,SBR!$A18)+SUMIFS('Mar16-Aug16 Billed-RETAIL'!$AH$5:$AH$143,'Mar16-Aug16 Billed-RETAIL'!$D$5:$D$143,SBR!S$4,'Mar16-Aug16 Billed-RETAIL'!$E$5:$E$143,SBR!$A18)</f>
        <v>0</v>
      </c>
      <c r="T18" s="132">
        <f>SUMIFS('Mar16-Aug16 Billed-RETAIL'!$I$5:$I$143,'Mar16-Aug16 Billed-RETAIL'!$D$5:$D$143,SBR!T$4,'Mar16-Aug16 Billed-RETAIL'!$E$5:$E$143,SBR!$A18)+SUMIFS('Mar16-Aug16 Billed-RETAIL'!$J$5:$J$143,'Mar16-Aug16 Billed-RETAIL'!$D$5:$D$143,SBR!T$4,'Mar16-Aug16 Billed-RETAIL'!$E$5:$E$143,SBR!$A18)+SUMIFS('Mar16-Aug16 Billed-RETAIL'!$AG$5:$AG$143,'Mar16-Aug16 Billed-RETAIL'!$D$5:$D$143,SBR!T$4,'Mar16-Aug16 Billed-RETAIL'!$E$5:$E$143,SBR!$A18)+SUMIFS('Mar16-Aug16 Billed-RETAIL'!$AH$5:$AH$143,'Mar16-Aug16 Billed-RETAIL'!$D$5:$D$143,SBR!T$4,'Mar16-Aug16 Billed-RETAIL'!$E$5:$E$143,SBR!$A18)</f>
        <v>-57</v>
      </c>
      <c r="U18" s="132">
        <f>SUMIFS('Mar16-Aug16 Billed-RETAIL'!$I$5:$I$143,'Mar16-Aug16 Billed-RETAIL'!$D$5:$D$143,SBR!U$4,'Mar16-Aug16 Billed-RETAIL'!$E$5:$E$143,SBR!$A18)+SUMIFS('Mar16-Aug16 Billed-RETAIL'!$J$5:$J$143,'Mar16-Aug16 Billed-RETAIL'!$D$5:$D$143,SBR!U$4,'Mar16-Aug16 Billed-RETAIL'!$E$5:$E$143,SBR!$A18)+SUMIFS('Mar16-Aug16 Billed-RETAIL'!$AG$5:$AG$143,'Mar16-Aug16 Billed-RETAIL'!$D$5:$D$143,SBR!U$4,'Mar16-Aug16 Billed-RETAIL'!$E$5:$E$143,SBR!$A18)+SUMIFS('Mar16-Aug16 Billed-RETAIL'!$AH$5:$AH$143,'Mar16-Aug16 Billed-RETAIL'!$D$5:$D$143,SBR!U$4,'Mar16-Aug16 Billed-RETAIL'!$E$5:$E$143,SBR!$A18)</f>
        <v>254</v>
      </c>
      <c r="V18" s="132">
        <f>SUMIFS('Mar16-Aug16 Billed-RETAIL'!$I$5:$I$143,'Mar16-Aug16 Billed-RETAIL'!$D$5:$D$143,SBR!V$4,'Mar16-Aug16 Billed-RETAIL'!$E$5:$E$143,SBR!$A18)+SUMIFS('Mar16-Aug16 Billed-RETAIL'!$J$5:$J$143,'Mar16-Aug16 Billed-RETAIL'!$D$5:$D$143,SBR!V$4,'Mar16-Aug16 Billed-RETAIL'!$E$5:$E$143,SBR!$A18)+SUMIFS('Mar16-Aug16 Billed-RETAIL'!$AG$5:$AG$143,'Mar16-Aug16 Billed-RETAIL'!$D$5:$D$143,SBR!V$4,'Mar16-Aug16 Billed-RETAIL'!$E$5:$E$143,SBR!$A18)+SUMIFS('Mar16-Aug16 Billed-RETAIL'!$AH$5:$AH$143,'Mar16-Aug16 Billed-RETAIL'!$D$5:$D$143,SBR!V$4,'Mar16-Aug16 Billed-RETAIL'!$E$5:$E$143,SBR!$A18)</f>
        <v>255</v>
      </c>
      <c r="W18" s="132">
        <f>SUMIFS('Mar16-Aug16 Billed-RETAIL'!$I$5:$I$143,'Mar16-Aug16 Billed-RETAIL'!$D$5:$D$143,SBR!W$4,'Mar16-Aug16 Billed-RETAIL'!$E$5:$E$143,SBR!$A18)+SUMIFS('Mar16-Aug16 Billed-RETAIL'!$J$5:$J$143,'Mar16-Aug16 Billed-RETAIL'!$D$5:$D$143,SBR!W$4,'Mar16-Aug16 Billed-RETAIL'!$E$5:$E$143,SBR!$A18)+SUMIFS('Mar16-Aug16 Billed-RETAIL'!$AG$5:$AG$143,'Mar16-Aug16 Billed-RETAIL'!$D$5:$D$143,SBR!W$4,'Mar16-Aug16 Billed-RETAIL'!$E$5:$E$143,SBR!$A18)+SUMIFS('Mar16-Aug16 Billed-RETAIL'!$AH$5:$AH$143,'Mar16-Aug16 Billed-RETAIL'!$D$5:$D$143,SBR!W$4,'Mar16-Aug16 Billed-RETAIL'!$E$5:$E$143,SBR!$A18)</f>
        <v>255</v>
      </c>
      <c r="X18" s="132">
        <f>SUMIFS('Mar16-Aug16 Billed-RETAIL'!$I$5:$I$143,'Mar16-Aug16 Billed-RETAIL'!$D$5:$D$143,SBR!X$4,'Mar16-Aug16 Billed-RETAIL'!$E$5:$E$143,SBR!$A18)+SUMIFS('Mar16-Aug16 Billed-RETAIL'!$J$5:$J$143,'Mar16-Aug16 Billed-RETAIL'!$D$5:$D$143,SBR!X$4,'Mar16-Aug16 Billed-RETAIL'!$E$5:$E$143,SBR!$A18)+SUMIFS('Mar16-Aug16 Billed-RETAIL'!$AG$5:$AG$143,'Mar16-Aug16 Billed-RETAIL'!$D$5:$D$143,SBR!X$4,'Mar16-Aug16 Billed-RETAIL'!$E$5:$E$143,SBR!$A18)+SUMIFS('Mar16-Aug16 Billed-RETAIL'!$AH$5:$AH$143,'Mar16-Aug16 Billed-RETAIL'!$D$5:$D$143,SBR!X$4,'Mar16-Aug16 Billed-RETAIL'!$E$5:$E$143,SBR!$A18)</f>
        <v>256</v>
      </c>
      <c r="Y18" s="132">
        <f>SUMIFS('Mar16-Aug16 Billed-RETAIL'!$I$5:$I$143,'Mar16-Aug16 Billed-RETAIL'!$D$5:$D$143,SBR!Y$4,'Mar16-Aug16 Billed-RETAIL'!$E$5:$E$143,SBR!$A18)+SUMIFS('Mar16-Aug16 Billed-RETAIL'!$J$5:$J$143,'Mar16-Aug16 Billed-RETAIL'!$D$5:$D$143,SBR!Y$4,'Mar16-Aug16 Billed-RETAIL'!$E$5:$E$143,SBR!$A18)+SUMIFS('Mar16-Aug16 Billed-RETAIL'!$AG$5:$AG$143,'Mar16-Aug16 Billed-RETAIL'!$D$5:$D$143,SBR!Y$4,'Mar16-Aug16 Billed-RETAIL'!$E$5:$E$143,SBR!$A18)+SUMIFS('Mar16-Aug16 Billed-RETAIL'!$AH$5:$AH$143,'Mar16-Aug16 Billed-RETAIL'!$D$5:$D$143,SBR!Y$4,'Mar16-Aug16 Billed-RETAIL'!$E$5:$E$143,SBR!$A18)</f>
        <v>256</v>
      </c>
      <c r="Z18" s="132">
        <f>SUMIFS('Mar16-Aug16 Billed-RETAIL'!$I$5:$I$143,'Mar16-Aug16 Billed-RETAIL'!$D$5:$D$143,SBR!Z$4,'Mar16-Aug16 Billed-RETAIL'!$E$5:$E$143,SBR!$A18)+SUMIFS('Mar16-Aug16 Billed-RETAIL'!$J$5:$J$143,'Mar16-Aug16 Billed-RETAIL'!$D$5:$D$143,SBR!Z$4,'Mar16-Aug16 Billed-RETAIL'!$E$5:$E$143,SBR!$A18)+SUMIFS('Mar16-Aug16 Billed-RETAIL'!$AG$5:$AG$143,'Mar16-Aug16 Billed-RETAIL'!$D$5:$D$143,SBR!Z$4,'Mar16-Aug16 Billed-RETAIL'!$E$5:$E$143,SBR!$A18)+SUMIFS('Mar16-Aug16 Billed-RETAIL'!$AH$5:$AH$143,'Mar16-Aug16 Billed-RETAIL'!$D$5:$D$143,SBR!Z$4,'Mar16-Aug16 Billed-RETAIL'!$E$5:$E$143,SBR!$A18)</f>
        <v>257</v>
      </c>
      <c r="AA18" s="133">
        <f>(SUMIFS('Mar16-Aug16 Billed-RETAIL'!$K$5:$K$220,'Mar16-Aug16 Billed-RETAIL'!$D$5:$D$220,SBR!AA$4,'Mar16-Aug16 Billed-RETAIL'!$E$5:$E$220,SBR!$A18)+SUMIFS('Mar16-Aug16 Billed-RETAIL'!$L$5:$L$220,'Mar16-Aug16 Billed-RETAIL'!$D$5:$D$220,SBR!AA$4,'Mar16-Aug16 Billed-RETAIL'!$E$5:$E$220,SBR!$A18))*0.1</f>
        <v>115321.70000000001</v>
      </c>
      <c r="AB18" s="133">
        <f>(SUMIFS('Mar16-Aug16 Billed-RETAIL'!$K$5:$K$220,'Mar16-Aug16 Billed-RETAIL'!$D$5:$D$220,SBR!AB$4,'Mar16-Aug16 Billed-RETAIL'!$E$5:$E$220,SBR!$A18)+SUMIFS('Mar16-Aug16 Billed-RETAIL'!$L$5:$L$220,'Mar16-Aug16 Billed-RETAIL'!$D$5:$D$220,SBR!AB$4,'Mar16-Aug16 Billed-RETAIL'!$E$5:$E$220,SBR!$A18))*0.1</f>
        <v>92450.700000000012</v>
      </c>
      <c r="AC18" s="133">
        <f>(SUMIFS('Mar16-Aug16 Billed-RETAIL'!$K$5:$K$220,'Mar16-Aug16 Billed-RETAIL'!$D$5:$D$220,SBR!AC$4,'Mar16-Aug16 Billed-RETAIL'!$E$5:$E$220,SBR!$A18)+SUMIFS('Mar16-Aug16 Billed-RETAIL'!$L$5:$L$220,'Mar16-Aug16 Billed-RETAIL'!$D$5:$D$220,SBR!AC$4,'Mar16-Aug16 Billed-RETAIL'!$E$5:$E$220,SBR!$A18))*0.1</f>
        <v>77236.800000000003</v>
      </c>
      <c r="AD18" s="133">
        <f>(SUMIFS('Mar16-Aug16 Billed-RETAIL'!$K$5:$K$220,'Mar16-Aug16 Billed-RETAIL'!$D$5:$D$220,SBR!AD$4,'Mar16-Aug16 Billed-RETAIL'!$E$5:$E$220,SBR!$A18)+SUMIFS('Mar16-Aug16 Billed-RETAIL'!$L$5:$L$220,'Mar16-Aug16 Billed-RETAIL'!$D$5:$D$220,SBR!AD$4,'Mar16-Aug16 Billed-RETAIL'!$E$5:$E$220,SBR!$A18))*0.1</f>
        <v>-5829.7000000000007</v>
      </c>
      <c r="AE18" s="133">
        <f>(SUMIFS('Mar16-Aug16 Billed-RETAIL'!$K$5:$K$220,'Mar16-Aug16 Billed-RETAIL'!$D$5:$D$220,SBR!AE$4,'Mar16-Aug16 Billed-RETAIL'!$E$5:$E$220,SBR!$A18)+SUMIFS('Mar16-Aug16 Billed-RETAIL'!$L$5:$L$220,'Mar16-Aug16 Billed-RETAIL'!$D$5:$D$220,SBR!AE$4,'Mar16-Aug16 Billed-RETAIL'!$E$5:$E$220,SBR!$A18))*0.1</f>
        <v>0</v>
      </c>
      <c r="AF18" s="133">
        <f>(SUMIFS('Mar16-Aug16 Billed-RETAIL'!$K$5:$K$220,'Mar16-Aug16 Billed-RETAIL'!$D$5:$D$220,SBR!AF$4,'Mar16-Aug16 Billed-RETAIL'!$E$5:$E$220,SBR!$A18)+SUMIFS('Mar16-Aug16 Billed-RETAIL'!$L$5:$L$220,'Mar16-Aug16 Billed-RETAIL'!$D$5:$D$220,SBR!AF$4,'Mar16-Aug16 Billed-RETAIL'!$E$5:$E$220,SBR!$A18))*0.1</f>
        <v>-1302.7</v>
      </c>
      <c r="AG18" s="133">
        <f>(SUMIFS('Mar16-Aug16 Billed-RETAIL'!$K$5:$K$146,'Mar16-Aug16 Billed-RETAIL'!$D$5:$D$146,SBR!AG$4,'Mar16-Aug16 Billed-RETAIL'!$E$5:$E$146,SBR!$A18)+SUMIFS('Mar16-Aug16 Billed-RETAIL'!$L$5:$L$146,'Mar16-Aug16 Billed-RETAIL'!$D$5:$D$146,SBR!AG$4,'Mar16-Aug16 Billed-RETAIL'!$E$5:$E$146,SBR!$A18))*0.1</f>
        <v>84700.396485151839</v>
      </c>
      <c r="AH18" s="133">
        <f>(SUMIFS('Mar16-Aug16 Billed-RETAIL'!$K$5:$K$146,'Mar16-Aug16 Billed-RETAIL'!$D$5:$D$146,SBR!AH$4,'Mar16-Aug16 Billed-RETAIL'!$E$5:$E$146,SBR!$A18)+SUMIFS('Mar16-Aug16 Billed-RETAIL'!$L$5:$L$146,'Mar16-Aug16 Billed-RETAIL'!$D$5:$D$146,SBR!AH$4,'Mar16-Aug16 Billed-RETAIL'!$E$5:$E$146,SBR!$A18))*0.1</f>
        <v>129295.1703744524</v>
      </c>
      <c r="AI18" s="133">
        <f>(SUMIFS('Mar16-Aug16 Billed-RETAIL'!$K$5:$K$146,'Mar16-Aug16 Billed-RETAIL'!$D$5:$D$146,SBR!AI$4,'Mar16-Aug16 Billed-RETAIL'!$E$5:$E$146,SBR!$A18)+SUMIFS('Mar16-Aug16 Billed-RETAIL'!$L$5:$L$146,'Mar16-Aug16 Billed-RETAIL'!$D$5:$D$146,SBR!AI$4,'Mar16-Aug16 Billed-RETAIL'!$E$5:$E$146,SBR!$A18))*0.1</f>
        <v>149090.56876971852</v>
      </c>
      <c r="AJ18" s="133">
        <f>(SUMIFS('Mar16-Aug16 Billed-RETAIL'!$K$5:$K$146,'Mar16-Aug16 Billed-RETAIL'!$D$5:$D$146,SBR!AJ$4,'Mar16-Aug16 Billed-RETAIL'!$E$5:$E$146,SBR!$A18)+SUMIFS('Mar16-Aug16 Billed-RETAIL'!$L$5:$L$146,'Mar16-Aug16 Billed-RETAIL'!$D$5:$D$146,SBR!AJ$4,'Mar16-Aug16 Billed-RETAIL'!$E$5:$E$146,SBR!$A18))*0.1</f>
        <v>179787.34460673365</v>
      </c>
      <c r="AK18" s="133">
        <f>(SUMIFS('Mar16-Aug16 Billed-RETAIL'!$K$5:$K$146,'Mar16-Aug16 Billed-RETAIL'!$D$5:$D$146,SBR!AK$4,'Mar16-Aug16 Billed-RETAIL'!$E$5:$E$146,SBR!$A18)+SUMIFS('Mar16-Aug16 Billed-RETAIL'!$L$5:$L$146,'Mar16-Aug16 Billed-RETAIL'!$D$5:$D$146,SBR!AK$4,'Mar16-Aug16 Billed-RETAIL'!$E$5:$E$146,SBR!$A18))*0.1</f>
        <v>186173.45627917501</v>
      </c>
      <c r="AL18" s="133">
        <f>(SUMIFS('Mar16-Aug16 Billed-RETAIL'!$K$5:$K$146,'Mar16-Aug16 Billed-RETAIL'!$D$5:$D$146,SBR!AL$4,'Mar16-Aug16 Billed-RETAIL'!$E$5:$E$146,SBR!$A18)+SUMIFS('Mar16-Aug16 Billed-RETAIL'!$L$5:$L$146,'Mar16-Aug16 Billed-RETAIL'!$D$5:$D$146,SBR!AL$4,'Mar16-Aug16 Billed-RETAIL'!$E$5:$E$146,SBR!$A18))*0.1</f>
        <v>172574.70091364998</v>
      </c>
      <c r="AM18" s="134">
        <f>SUMIFS('Mar16-Aug16 Billed-RETAIL'!$AZ$5:$AZ$146,'Mar16-Aug16 Billed-RETAIL'!$D$5:$D$146,SBR!AM$4,'Mar16-Aug16 Billed-RETAIL'!$E$5:$E$146,SBR!$A18)</f>
        <v>722756.13</v>
      </c>
      <c r="AN18" s="134">
        <f>SUMIFS('Mar16-Aug16 Billed-RETAIL'!$AZ$5:$AZ$146,'Mar16-Aug16 Billed-RETAIL'!$D$5:$D$146,SBR!AN$4,'Mar16-Aug16 Billed-RETAIL'!$E$5:$E$146,SBR!$A18)</f>
        <v>558189.80000000005</v>
      </c>
      <c r="AO18" s="134">
        <f>SUMIFS('Mar16-Aug16 Billed-RETAIL'!$AZ$5:$AZ$146,'Mar16-Aug16 Billed-RETAIL'!$D$5:$D$146,SBR!AO$4,'Mar16-Aug16 Billed-RETAIL'!$E$5:$E$146,SBR!$A18)</f>
        <v>481855.87</v>
      </c>
      <c r="AP18" s="134">
        <f>SUMIFS('Mar16-Aug16 Billed-RETAIL'!$AZ$5:$AZ$146,'Mar16-Aug16 Billed-RETAIL'!$D$5:$D$146,SBR!AP$4,'Mar16-Aug16 Billed-RETAIL'!$E$5:$E$146,SBR!$A18)</f>
        <v>-29982.61</v>
      </c>
      <c r="AQ18" s="134">
        <f>SUMIFS('Mar16-Aug16 Billed-RETAIL'!$AZ$5:$AZ$146,'Mar16-Aug16 Billed-RETAIL'!$D$5:$D$146,SBR!AQ$4,'Mar16-Aug16 Billed-RETAIL'!$E$5:$E$146,SBR!$A18)</f>
        <v>0</v>
      </c>
      <c r="AR18" s="134">
        <f>SUMIFS('Mar16-Aug16 Billed-RETAIL'!$AZ$5:$AZ$146,'Mar16-Aug16 Billed-RETAIL'!$D$5:$D$146,SBR!AR$4,'Mar16-Aug16 Billed-RETAIL'!$E$5:$E$146,SBR!$A18)</f>
        <v>-15420.22</v>
      </c>
      <c r="AS18" s="134">
        <f>SUMIFS('Mar16-Aug16 Billed-RETAIL'!$AZ$5:$AZ$146,'Mar16-Aug16 Billed-RETAIL'!$D$5:$D$146,SBR!AS$4,'Mar16-Aug16 Billed-RETAIL'!$E$5:$E$146,SBR!$A18)</f>
        <v>562921.93000000005</v>
      </c>
      <c r="AT18" s="134">
        <f>SUMIFS('Mar16-Aug16 Billed-RETAIL'!$AZ$5:$AZ$146,'Mar16-Aug16 Billed-RETAIL'!$D$5:$D$146,SBR!AT$4,'Mar16-Aug16 Billed-RETAIL'!$E$5:$E$146,SBR!$A18)</f>
        <v>887545.91</v>
      </c>
      <c r="AU18" s="134">
        <f>SUMIFS('Mar16-Aug16 Billed-RETAIL'!$AZ$5:$AZ$146,'Mar16-Aug16 Billed-RETAIL'!$D$5:$D$146,SBR!AU$4,'Mar16-Aug16 Billed-RETAIL'!$E$5:$E$146,SBR!$A18)</f>
        <v>1110356.4099999999</v>
      </c>
      <c r="AV18" s="134">
        <f>SUMIFS('Mar16-Aug16 Billed-RETAIL'!$AZ$5:$AZ$146,'Mar16-Aug16 Billed-RETAIL'!$D$5:$D$146,SBR!AV$4,'Mar16-Aug16 Billed-RETAIL'!$E$5:$E$146,SBR!$A18)</f>
        <v>1344414.47</v>
      </c>
      <c r="AW18" s="134">
        <f>SUMIFS('Mar16-Aug16 Billed-RETAIL'!$AZ$5:$AZ$146,'Mar16-Aug16 Billed-RETAIL'!$D$5:$D$146,SBR!AW$4,'Mar16-Aug16 Billed-RETAIL'!$E$5:$E$146,SBR!$A18)</f>
        <v>1322456.96</v>
      </c>
      <c r="AX18" s="134">
        <f>SUMIFS('Mar16-Aug16 Billed-RETAIL'!$AZ$5:$AZ$146,'Mar16-Aug16 Billed-RETAIL'!$D$5:$D$146,SBR!AX$4,'Mar16-Aug16 Billed-RETAIL'!$E$5:$E$146,SBR!$A18)</f>
        <v>1290610.33</v>
      </c>
      <c r="AY18" s="135"/>
      <c r="AZ18" s="135"/>
      <c r="BA18" s="518">
        <f t="shared" ref="BA18:BF20" si="22">ROUND((AM18/SUM(AM$9+AM$16+AM$24+AM$34+AM$35))*BA$5,2)</f>
        <v>-5.94</v>
      </c>
      <c r="BB18" s="518">
        <f t="shared" si="22"/>
        <v>-42.22</v>
      </c>
      <c r="BC18" s="518">
        <f t="shared" si="22"/>
        <v>-22.24</v>
      </c>
      <c r="BD18" s="518">
        <f t="shared" si="22"/>
        <v>-148.04</v>
      </c>
      <c r="BE18" s="518">
        <f t="shared" si="22"/>
        <v>0</v>
      </c>
      <c r="BF18" s="518">
        <f t="shared" si="22"/>
        <v>-8.93</v>
      </c>
      <c r="BG18" s="518">
        <f t="shared" si="2"/>
        <v>-227.37</v>
      </c>
    </row>
    <row r="19" spans="1:59" x14ac:dyDescent="0.25">
      <c r="A19" s="89" t="s">
        <v>878</v>
      </c>
      <c r="B19" s="89" t="s">
        <v>32</v>
      </c>
      <c r="C19" s="159">
        <f t="shared" ref="C19:C24" si="23">SUM(O19:Z19)</f>
        <v>727</v>
      </c>
      <c r="D19" s="170">
        <f t="shared" si="14"/>
        <v>221724.80000000002</v>
      </c>
      <c r="E19" s="159">
        <f t="shared" si="3"/>
        <v>1468038.45</v>
      </c>
      <c r="F19" s="130"/>
      <c r="G19" s="130">
        <f t="shared" si="17"/>
        <v>0</v>
      </c>
      <c r="H19" s="131">
        <f t="shared" si="15"/>
        <v>0</v>
      </c>
      <c r="I19" s="130">
        <f t="shared" si="4"/>
        <v>0</v>
      </c>
      <c r="J19" s="130"/>
      <c r="K19" s="130">
        <f t="shared" si="5"/>
        <v>727</v>
      </c>
      <c r="L19" s="131">
        <f t="shared" si="6"/>
        <v>221724.80000000002</v>
      </c>
      <c r="M19" s="130">
        <f t="shared" si="7"/>
        <v>1464451.67</v>
      </c>
      <c r="O19" s="132">
        <f>SUMIFS('Mar16-Aug16 Billed-RETAIL'!$I$5:$I$143,'Mar16-Aug16 Billed-RETAIL'!$D$5:$D$143,SBR!O$4,'Mar16-Aug16 Billed-RETAIL'!$E$5:$E$143,SBR!$A19)+SUMIFS('Mar16-Aug16 Billed-RETAIL'!$J$5:$J$143,'Mar16-Aug16 Billed-RETAIL'!$D$5:$D$143,SBR!O$4,'Mar16-Aug16 Billed-RETAIL'!$E$5:$E$143,SBR!$A19)+SUMIFS('Mar16-Aug16 Billed-RETAIL'!$AG$5:$AG$143,'Mar16-Aug16 Billed-RETAIL'!$D$5:$D$143,SBR!O$4,'Mar16-Aug16 Billed-RETAIL'!$E$5:$E$143,SBR!$A19)+SUMIFS('Mar16-Aug16 Billed-RETAIL'!$AH$5:$AH$143,'Mar16-Aug16 Billed-RETAIL'!$D$5:$D$143,SBR!O$4,'Mar16-Aug16 Billed-RETAIL'!$E$5:$E$143,SBR!$A19)</f>
        <v>0</v>
      </c>
      <c r="P19" s="132">
        <f>SUMIFS('Mar16-Aug16 Billed-RETAIL'!$I$5:$I$143,'Mar16-Aug16 Billed-RETAIL'!$D$5:$D$143,SBR!P$4,'Mar16-Aug16 Billed-RETAIL'!$E$5:$E$143,SBR!$A19)+SUMIFS('Mar16-Aug16 Billed-RETAIL'!$J$5:$J$143,'Mar16-Aug16 Billed-RETAIL'!$D$5:$D$143,SBR!P$4,'Mar16-Aug16 Billed-RETAIL'!$E$5:$E$143,SBR!$A19)+SUMIFS('Mar16-Aug16 Billed-RETAIL'!$AG$5:$AG$143,'Mar16-Aug16 Billed-RETAIL'!$D$5:$D$143,SBR!P$4,'Mar16-Aug16 Billed-RETAIL'!$E$5:$E$143,SBR!$A19)+SUMIFS('Mar16-Aug16 Billed-RETAIL'!$AH$5:$AH$143,'Mar16-Aug16 Billed-RETAIL'!$D$5:$D$143,SBR!P$4,'Mar16-Aug16 Billed-RETAIL'!$E$5:$E$143,SBR!$A19)</f>
        <v>0</v>
      </c>
      <c r="Q19" s="132">
        <f>SUMIFS('Mar16-Aug16 Billed-RETAIL'!$I$5:$I$143,'Mar16-Aug16 Billed-RETAIL'!$D$5:$D$143,SBR!Q$4,'Mar16-Aug16 Billed-RETAIL'!$E$5:$E$143,SBR!$A19)+SUMIFS('Mar16-Aug16 Billed-RETAIL'!$J$5:$J$143,'Mar16-Aug16 Billed-RETAIL'!$D$5:$D$143,SBR!Q$4,'Mar16-Aug16 Billed-RETAIL'!$E$5:$E$143,SBR!$A19)+SUMIFS('Mar16-Aug16 Billed-RETAIL'!$AG$5:$AG$143,'Mar16-Aug16 Billed-RETAIL'!$D$5:$D$143,SBR!Q$4,'Mar16-Aug16 Billed-RETAIL'!$E$5:$E$143,SBR!$A19)+SUMIFS('Mar16-Aug16 Billed-RETAIL'!$AH$5:$AH$143,'Mar16-Aug16 Billed-RETAIL'!$D$5:$D$143,SBR!Q$4,'Mar16-Aug16 Billed-RETAIL'!$E$5:$E$143,SBR!$A19)</f>
        <v>16</v>
      </c>
      <c r="R19" s="132">
        <f>SUMIFS('Mar16-Aug16 Billed-RETAIL'!$I$5:$I$143,'Mar16-Aug16 Billed-RETAIL'!$D$5:$D$143,SBR!R$4,'Mar16-Aug16 Billed-RETAIL'!$E$5:$E$143,SBR!$A19)+SUMIFS('Mar16-Aug16 Billed-RETAIL'!$J$5:$J$143,'Mar16-Aug16 Billed-RETAIL'!$D$5:$D$143,SBR!R$4,'Mar16-Aug16 Billed-RETAIL'!$E$5:$E$143,SBR!$A19)+SUMIFS('Mar16-Aug16 Billed-RETAIL'!$AG$5:$AG$143,'Mar16-Aug16 Billed-RETAIL'!$D$5:$D$143,SBR!R$4,'Mar16-Aug16 Billed-RETAIL'!$E$5:$E$143,SBR!$A19)+SUMIFS('Mar16-Aug16 Billed-RETAIL'!$AH$5:$AH$143,'Mar16-Aug16 Billed-RETAIL'!$D$5:$D$143,SBR!R$4,'Mar16-Aug16 Billed-RETAIL'!$E$5:$E$143,SBR!$A19)</f>
        <v>239</v>
      </c>
      <c r="S19" s="132">
        <f>SUMIFS('Mar16-Aug16 Billed-RETAIL'!$I$5:$I$143,'Mar16-Aug16 Billed-RETAIL'!$D$5:$D$143,SBR!S$4,'Mar16-Aug16 Billed-RETAIL'!$E$5:$E$143,SBR!$A19)+SUMIFS('Mar16-Aug16 Billed-RETAIL'!$J$5:$J$143,'Mar16-Aug16 Billed-RETAIL'!$D$5:$D$143,SBR!S$4,'Mar16-Aug16 Billed-RETAIL'!$E$5:$E$143,SBR!$A19)+SUMIFS('Mar16-Aug16 Billed-RETAIL'!$AG$5:$AG$143,'Mar16-Aug16 Billed-RETAIL'!$D$5:$D$143,SBR!S$4,'Mar16-Aug16 Billed-RETAIL'!$E$5:$E$143,SBR!$A19)+SUMIFS('Mar16-Aug16 Billed-RETAIL'!$AH$5:$AH$143,'Mar16-Aug16 Billed-RETAIL'!$D$5:$D$143,SBR!S$4,'Mar16-Aug16 Billed-RETAIL'!$E$5:$E$143,SBR!$A19)</f>
        <v>239</v>
      </c>
      <c r="T19" s="132">
        <f>SUMIFS('Mar16-Aug16 Billed-RETAIL'!$I$5:$I$143,'Mar16-Aug16 Billed-RETAIL'!$D$5:$D$143,SBR!T$4,'Mar16-Aug16 Billed-RETAIL'!$E$5:$E$143,SBR!$A19)+SUMIFS('Mar16-Aug16 Billed-RETAIL'!$J$5:$J$143,'Mar16-Aug16 Billed-RETAIL'!$D$5:$D$143,SBR!T$4,'Mar16-Aug16 Billed-RETAIL'!$E$5:$E$143,SBR!$A19)+SUMIFS('Mar16-Aug16 Billed-RETAIL'!$AG$5:$AG$143,'Mar16-Aug16 Billed-RETAIL'!$D$5:$D$143,SBR!T$4,'Mar16-Aug16 Billed-RETAIL'!$E$5:$E$143,SBR!$A19)+SUMIFS('Mar16-Aug16 Billed-RETAIL'!$AH$5:$AH$143,'Mar16-Aug16 Billed-RETAIL'!$D$5:$D$143,SBR!T$4,'Mar16-Aug16 Billed-RETAIL'!$E$5:$E$143,SBR!$A19)</f>
        <v>233</v>
      </c>
      <c r="U19" s="132">
        <f>SUMIFS('Mar16-Aug16 Billed-RETAIL'!$I$5:$I$143,'Mar16-Aug16 Billed-RETAIL'!$D$5:$D$143,SBR!U$4,'Mar16-Aug16 Billed-RETAIL'!$E$5:$E$143,SBR!$A19)+SUMIFS('Mar16-Aug16 Billed-RETAIL'!$J$5:$J$143,'Mar16-Aug16 Billed-RETAIL'!$D$5:$D$143,SBR!U$4,'Mar16-Aug16 Billed-RETAIL'!$E$5:$E$143,SBR!$A19)+SUMIFS('Mar16-Aug16 Billed-RETAIL'!$AG$5:$AG$143,'Mar16-Aug16 Billed-RETAIL'!$D$5:$D$143,SBR!U$4,'Mar16-Aug16 Billed-RETAIL'!$E$5:$E$143,SBR!$A19)+SUMIFS('Mar16-Aug16 Billed-RETAIL'!$AH$5:$AH$143,'Mar16-Aug16 Billed-RETAIL'!$D$5:$D$143,SBR!U$4,'Mar16-Aug16 Billed-RETAIL'!$E$5:$E$143,SBR!$A19)</f>
        <v>0</v>
      </c>
      <c r="V19" s="132">
        <f>SUMIFS('Mar16-Aug16 Billed-RETAIL'!$I$5:$I$143,'Mar16-Aug16 Billed-RETAIL'!$D$5:$D$143,SBR!V$4,'Mar16-Aug16 Billed-RETAIL'!$E$5:$E$143,SBR!$A19)+SUMIFS('Mar16-Aug16 Billed-RETAIL'!$J$5:$J$143,'Mar16-Aug16 Billed-RETAIL'!$D$5:$D$143,SBR!V$4,'Mar16-Aug16 Billed-RETAIL'!$E$5:$E$143,SBR!$A19)+SUMIFS('Mar16-Aug16 Billed-RETAIL'!$AG$5:$AG$143,'Mar16-Aug16 Billed-RETAIL'!$D$5:$D$143,SBR!V$4,'Mar16-Aug16 Billed-RETAIL'!$E$5:$E$143,SBR!$A19)+SUMIFS('Mar16-Aug16 Billed-RETAIL'!$AH$5:$AH$143,'Mar16-Aug16 Billed-RETAIL'!$D$5:$D$143,SBR!V$4,'Mar16-Aug16 Billed-RETAIL'!$E$5:$E$143,SBR!$A19)</f>
        <v>0</v>
      </c>
      <c r="W19" s="132">
        <f>SUMIFS('Mar16-Aug16 Billed-RETAIL'!$I$5:$I$143,'Mar16-Aug16 Billed-RETAIL'!$D$5:$D$143,SBR!W$4,'Mar16-Aug16 Billed-RETAIL'!$E$5:$E$143,SBR!$A19)+SUMIFS('Mar16-Aug16 Billed-RETAIL'!$J$5:$J$143,'Mar16-Aug16 Billed-RETAIL'!$D$5:$D$143,SBR!W$4,'Mar16-Aug16 Billed-RETAIL'!$E$5:$E$143,SBR!$A19)+SUMIFS('Mar16-Aug16 Billed-RETAIL'!$AG$5:$AG$143,'Mar16-Aug16 Billed-RETAIL'!$D$5:$D$143,SBR!W$4,'Mar16-Aug16 Billed-RETAIL'!$E$5:$E$143,SBR!$A19)+SUMIFS('Mar16-Aug16 Billed-RETAIL'!$AH$5:$AH$143,'Mar16-Aug16 Billed-RETAIL'!$D$5:$D$143,SBR!W$4,'Mar16-Aug16 Billed-RETAIL'!$E$5:$E$143,SBR!$A19)</f>
        <v>0</v>
      </c>
      <c r="X19" s="132">
        <f>SUMIFS('Mar16-Aug16 Billed-RETAIL'!$I$5:$I$143,'Mar16-Aug16 Billed-RETAIL'!$D$5:$D$143,SBR!X$4,'Mar16-Aug16 Billed-RETAIL'!$E$5:$E$143,SBR!$A19)+SUMIFS('Mar16-Aug16 Billed-RETAIL'!$J$5:$J$143,'Mar16-Aug16 Billed-RETAIL'!$D$5:$D$143,SBR!X$4,'Mar16-Aug16 Billed-RETAIL'!$E$5:$E$143,SBR!$A19)+SUMIFS('Mar16-Aug16 Billed-RETAIL'!$AG$5:$AG$143,'Mar16-Aug16 Billed-RETAIL'!$D$5:$D$143,SBR!X$4,'Mar16-Aug16 Billed-RETAIL'!$E$5:$E$143,SBR!$A19)+SUMIFS('Mar16-Aug16 Billed-RETAIL'!$AH$5:$AH$143,'Mar16-Aug16 Billed-RETAIL'!$D$5:$D$143,SBR!X$4,'Mar16-Aug16 Billed-RETAIL'!$E$5:$E$143,SBR!$A19)</f>
        <v>0</v>
      </c>
      <c r="Y19" s="132">
        <f>SUMIFS('Mar16-Aug16 Billed-RETAIL'!$I$5:$I$143,'Mar16-Aug16 Billed-RETAIL'!$D$5:$D$143,SBR!Y$4,'Mar16-Aug16 Billed-RETAIL'!$E$5:$E$143,SBR!$A19)+SUMIFS('Mar16-Aug16 Billed-RETAIL'!$J$5:$J$143,'Mar16-Aug16 Billed-RETAIL'!$D$5:$D$143,SBR!Y$4,'Mar16-Aug16 Billed-RETAIL'!$E$5:$E$143,SBR!$A19)+SUMIFS('Mar16-Aug16 Billed-RETAIL'!$AG$5:$AG$143,'Mar16-Aug16 Billed-RETAIL'!$D$5:$D$143,SBR!Y$4,'Mar16-Aug16 Billed-RETAIL'!$E$5:$E$143,SBR!$A19)+SUMIFS('Mar16-Aug16 Billed-RETAIL'!$AH$5:$AH$143,'Mar16-Aug16 Billed-RETAIL'!$D$5:$D$143,SBR!Y$4,'Mar16-Aug16 Billed-RETAIL'!$E$5:$E$143,SBR!$A19)</f>
        <v>0</v>
      </c>
      <c r="Z19" s="132">
        <f>SUMIFS('Mar16-Aug16 Billed-RETAIL'!$I$5:$I$143,'Mar16-Aug16 Billed-RETAIL'!$D$5:$D$143,SBR!Z$4,'Mar16-Aug16 Billed-RETAIL'!$E$5:$E$143,SBR!$A19)+SUMIFS('Mar16-Aug16 Billed-RETAIL'!$J$5:$J$143,'Mar16-Aug16 Billed-RETAIL'!$D$5:$D$143,SBR!Z$4,'Mar16-Aug16 Billed-RETAIL'!$E$5:$E$143,SBR!$A19)+SUMIFS('Mar16-Aug16 Billed-RETAIL'!$AG$5:$AG$143,'Mar16-Aug16 Billed-RETAIL'!$D$5:$D$143,SBR!Z$4,'Mar16-Aug16 Billed-RETAIL'!$E$5:$E$143,SBR!$A19)+SUMIFS('Mar16-Aug16 Billed-RETAIL'!$AH$5:$AH$143,'Mar16-Aug16 Billed-RETAIL'!$D$5:$D$143,SBR!Z$4,'Mar16-Aug16 Billed-RETAIL'!$E$5:$E$143,SBR!$A19)</f>
        <v>0</v>
      </c>
      <c r="AA19" s="133">
        <f>(SUMIFS('Mar16-Aug16 Billed-RETAIL'!$K$5:$K$220,'Mar16-Aug16 Billed-RETAIL'!$D$5:$D$220,SBR!AA$4,'Mar16-Aug16 Billed-RETAIL'!$E$5:$E$220,SBR!$A19)+SUMIFS('Mar16-Aug16 Billed-RETAIL'!$L$5:$L$220,'Mar16-Aug16 Billed-RETAIL'!$D$5:$D$220,SBR!AA$4,'Mar16-Aug16 Billed-RETAIL'!$E$5:$E$220,SBR!$A19))*0.1</f>
        <v>0</v>
      </c>
      <c r="AB19" s="133">
        <f>(SUMIFS('Mar16-Aug16 Billed-RETAIL'!$K$5:$K$220,'Mar16-Aug16 Billed-RETAIL'!$D$5:$D$220,SBR!AB$4,'Mar16-Aug16 Billed-RETAIL'!$E$5:$E$220,SBR!$A19)+SUMIFS('Mar16-Aug16 Billed-RETAIL'!$L$5:$L$220,'Mar16-Aug16 Billed-RETAIL'!$D$5:$D$220,SBR!AB$4,'Mar16-Aug16 Billed-RETAIL'!$E$5:$E$220,SBR!$A19))*0.1</f>
        <v>0</v>
      </c>
      <c r="AC19" s="133">
        <f>(SUMIFS('Mar16-Aug16 Billed-RETAIL'!$K$5:$K$220,'Mar16-Aug16 Billed-RETAIL'!$D$5:$D$220,SBR!AC$4,'Mar16-Aug16 Billed-RETAIL'!$E$5:$E$220,SBR!$A19)+SUMIFS('Mar16-Aug16 Billed-RETAIL'!$L$5:$L$220,'Mar16-Aug16 Billed-RETAIL'!$D$5:$D$220,SBR!AC$4,'Mar16-Aug16 Billed-RETAIL'!$E$5:$E$220,SBR!$A19))*0.1</f>
        <v>5584.7000000000007</v>
      </c>
      <c r="AD19" s="133">
        <f>(SUMIFS('Mar16-Aug16 Billed-RETAIL'!$K$5:$K$220,'Mar16-Aug16 Billed-RETAIL'!$D$5:$D$220,SBR!AD$4,'Mar16-Aug16 Billed-RETAIL'!$E$5:$E$220,SBR!$A19)+SUMIFS('Mar16-Aug16 Billed-RETAIL'!$L$5:$L$220,'Mar16-Aug16 Billed-RETAIL'!$D$5:$D$220,SBR!AD$4,'Mar16-Aug16 Billed-RETAIL'!$E$5:$E$220,SBR!$A19))*0.1</f>
        <v>88040.200000000012</v>
      </c>
      <c r="AE19" s="133">
        <f>(SUMIFS('Mar16-Aug16 Billed-RETAIL'!$K$5:$K$220,'Mar16-Aug16 Billed-RETAIL'!$D$5:$D$220,SBR!AE$4,'Mar16-Aug16 Billed-RETAIL'!$E$5:$E$220,SBR!$A19)+SUMIFS('Mar16-Aug16 Billed-RETAIL'!$L$5:$L$220,'Mar16-Aug16 Billed-RETAIL'!$D$5:$D$220,SBR!AE$4,'Mar16-Aug16 Billed-RETAIL'!$E$5:$E$220,SBR!$A19))*0.1</f>
        <v>66693.8</v>
      </c>
      <c r="AF19" s="133">
        <f>(SUMIFS('Mar16-Aug16 Billed-RETAIL'!$K$5:$K$220,'Mar16-Aug16 Billed-RETAIL'!$D$5:$D$220,SBR!AF$4,'Mar16-Aug16 Billed-RETAIL'!$E$5:$E$220,SBR!$A19)+SUMIFS('Mar16-Aug16 Billed-RETAIL'!$L$5:$L$220,'Mar16-Aug16 Billed-RETAIL'!$D$5:$D$220,SBR!AF$4,'Mar16-Aug16 Billed-RETAIL'!$E$5:$E$220,SBR!$A19))*0.1</f>
        <v>61406.100000000006</v>
      </c>
      <c r="AG19" s="133">
        <f>(SUMIFS('Mar16-Aug16 Billed-RETAIL'!$K$5:$K$220,'Mar16-Aug16 Billed-RETAIL'!$D$5:$D$220,SBR!AG$4,'Mar16-Aug16 Billed-RETAIL'!$E$5:$E$220,SBR!$A19)+SUMIFS('Mar16-Aug16 Billed-RETAIL'!$L$5:$L$220,'Mar16-Aug16 Billed-RETAIL'!$D$5:$D$220,SBR!AG$4,'Mar16-Aug16 Billed-RETAIL'!$E$5:$E$220,SBR!$A19))*0.1</f>
        <v>0</v>
      </c>
      <c r="AH19" s="133">
        <f>(SUMIFS('Mar16-Aug16 Billed-RETAIL'!$K$5:$K$220,'Mar16-Aug16 Billed-RETAIL'!$D$5:$D$220,SBR!AH$4,'Mar16-Aug16 Billed-RETAIL'!$E$5:$E$220,SBR!$A19)+SUMIFS('Mar16-Aug16 Billed-RETAIL'!$L$5:$L$220,'Mar16-Aug16 Billed-RETAIL'!$D$5:$D$220,SBR!AH$4,'Mar16-Aug16 Billed-RETAIL'!$E$5:$E$220,SBR!$A19))*0.1</f>
        <v>0</v>
      </c>
      <c r="AI19" s="133">
        <f>(SUMIFS('Mar16-Aug16 Billed-RETAIL'!$K$5:$K$220,'Mar16-Aug16 Billed-RETAIL'!$D$5:$D$220,SBR!AI$4,'Mar16-Aug16 Billed-RETAIL'!$E$5:$E$220,SBR!$A19)+SUMIFS('Mar16-Aug16 Billed-RETAIL'!$L$5:$L$220,'Mar16-Aug16 Billed-RETAIL'!$D$5:$D$220,SBR!AI$4,'Mar16-Aug16 Billed-RETAIL'!$E$5:$E$220,SBR!$A19))*0.1</f>
        <v>0</v>
      </c>
      <c r="AJ19" s="133">
        <f>(SUMIFS('Mar16-Aug16 Billed-RETAIL'!$K$5:$K$220,'Mar16-Aug16 Billed-RETAIL'!$D$5:$D$220,SBR!AJ$4,'Mar16-Aug16 Billed-RETAIL'!$E$5:$E$220,SBR!$A19)+SUMIFS('Mar16-Aug16 Billed-RETAIL'!$L$5:$L$220,'Mar16-Aug16 Billed-RETAIL'!$D$5:$D$220,SBR!AJ$4,'Mar16-Aug16 Billed-RETAIL'!$E$5:$E$220,SBR!$A19))*0.1</f>
        <v>0</v>
      </c>
      <c r="AK19" s="133">
        <f>(SUMIFS('Mar16-Aug16 Billed-RETAIL'!$K$5:$K$220,'Mar16-Aug16 Billed-RETAIL'!$D$5:$D$220,SBR!AK$4,'Mar16-Aug16 Billed-RETAIL'!$E$5:$E$220,SBR!$A19)+SUMIFS('Mar16-Aug16 Billed-RETAIL'!$L$5:$L$220,'Mar16-Aug16 Billed-RETAIL'!$D$5:$D$220,SBR!AK$4,'Mar16-Aug16 Billed-RETAIL'!$E$5:$E$220,SBR!$A19))*0.1</f>
        <v>0</v>
      </c>
      <c r="AL19" s="133">
        <f>(SUMIFS('Mar16-Aug16 Billed-RETAIL'!$K$5:$K$220,'Mar16-Aug16 Billed-RETAIL'!$D$5:$D$220,SBR!AL$4,'Mar16-Aug16 Billed-RETAIL'!$E$5:$E$220,SBR!$A19)+SUMIFS('Mar16-Aug16 Billed-RETAIL'!$L$5:$L$220,'Mar16-Aug16 Billed-RETAIL'!$D$5:$D$220,SBR!AL$4,'Mar16-Aug16 Billed-RETAIL'!$E$5:$E$220,SBR!$A19))*0.1</f>
        <v>0</v>
      </c>
      <c r="AM19" s="134">
        <f>SUMIFS('Mar16-Aug16 Billed-RETAIL'!$AZ$5:$AZ$146,'Mar16-Aug16 Billed-RETAIL'!$D$5:$D$146,SBR!AM$4,'Mar16-Aug16 Billed-RETAIL'!$E$5:$E$146,SBR!$A19)</f>
        <v>0</v>
      </c>
      <c r="AN19" s="134">
        <f>SUMIFS('Mar16-Aug16 Billed-RETAIL'!$AZ$5:$AZ$146,'Mar16-Aug16 Billed-RETAIL'!$D$5:$D$146,SBR!AN$4,'Mar16-Aug16 Billed-RETAIL'!$E$5:$E$146,SBR!$A19)</f>
        <v>0</v>
      </c>
      <c r="AO19" s="134">
        <f>SUMIFS('Mar16-Aug16 Billed-RETAIL'!$AZ$5:$AZ$146,'Mar16-Aug16 Billed-RETAIL'!$D$5:$D$146,SBR!AO$4,'Mar16-Aug16 Billed-RETAIL'!$E$5:$E$146,SBR!$A19)</f>
        <v>35180.11</v>
      </c>
      <c r="AP19" s="134">
        <f>SUMIFS('Mar16-Aug16 Billed-RETAIL'!$AZ$5:$AZ$146,'Mar16-Aug16 Billed-RETAIL'!$D$5:$D$146,SBR!AP$4,'Mar16-Aug16 Billed-RETAIL'!$E$5:$E$146,SBR!$A19)</f>
        <v>558376.61</v>
      </c>
      <c r="AQ19" s="134">
        <f>SUMIFS('Mar16-Aug16 Billed-RETAIL'!$AZ$5:$AZ$146,'Mar16-Aug16 Billed-RETAIL'!$D$5:$D$146,SBR!AQ$4,'Mar16-Aug16 Billed-RETAIL'!$E$5:$E$146,SBR!$A19)</f>
        <v>444969.05</v>
      </c>
      <c r="AR19" s="134">
        <f>SUMIFS('Mar16-Aug16 Billed-RETAIL'!$AZ$5:$AZ$146,'Mar16-Aug16 Billed-RETAIL'!$D$5:$D$146,SBR!AR$4,'Mar16-Aug16 Billed-RETAIL'!$E$5:$E$146,SBR!$A19)</f>
        <v>425925.9</v>
      </c>
      <c r="AS19" s="134"/>
      <c r="AT19" s="134"/>
      <c r="AU19" s="134"/>
      <c r="AV19" s="134"/>
      <c r="AW19" s="134"/>
      <c r="AX19" s="134"/>
      <c r="AY19" s="135"/>
      <c r="AZ19" s="135"/>
      <c r="BA19" s="518">
        <f t="shared" si="22"/>
        <v>0</v>
      </c>
      <c r="BB19" s="518">
        <f t="shared" si="22"/>
        <v>0</v>
      </c>
      <c r="BC19" s="518">
        <f t="shared" si="22"/>
        <v>-1.62</v>
      </c>
      <c r="BD19" s="518">
        <f t="shared" si="22"/>
        <v>2756.97</v>
      </c>
      <c r="BE19" s="518">
        <f t="shared" si="22"/>
        <v>584.64</v>
      </c>
      <c r="BF19" s="518">
        <f t="shared" si="22"/>
        <v>246.79</v>
      </c>
      <c r="BG19" s="518">
        <f>SUM(BA19:BF19)</f>
        <v>3586.7799999999997</v>
      </c>
    </row>
    <row r="20" spans="1:59" x14ac:dyDescent="0.25">
      <c r="A20" s="89" t="s">
        <v>42</v>
      </c>
      <c r="B20" s="196" t="s">
        <v>992</v>
      </c>
      <c r="C20" s="159">
        <f t="shared" si="23"/>
        <v>0</v>
      </c>
      <c r="D20" s="170">
        <f t="shared" si="14"/>
        <v>0</v>
      </c>
      <c r="E20" s="159">
        <f t="shared" si="3"/>
        <v>38925.56</v>
      </c>
      <c r="F20" s="138"/>
      <c r="G20" s="130">
        <f t="shared" si="17"/>
        <v>0</v>
      </c>
      <c r="H20" s="131">
        <f t="shared" si="15"/>
        <v>0</v>
      </c>
      <c r="I20" s="130">
        <f t="shared" si="4"/>
        <v>5108.24</v>
      </c>
      <c r="J20" s="138"/>
      <c r="K20" s="130">
        <f t="shared" si="5"/>
        <v>0</v>
      </c>
      <c r="L20" s="131">
        <f t="shared" si="6"/>
        <v>0</v>
      </c>
      <c r="M20" s="130">
        <f t="shared" si="7"/>
        <v>33776.200000000004</v>
      </c>
      <c r="O20" s="466"/>
      <c r="P20" s="466"/>
      <c r="Q20" s="466"/>
      <c r="R20" s="466"/>
      <c r="S20" s="466"/>
      <c r="T20" s="466"/>
      <c r="U20" s="160"/>
      <c r="V20" s="160"/>
      <c r="W20" s="160"/>
      <c r="X20" s="160"/>
      <c r="Y20" s="160"/>
      <c r="Z20" s="160"/>
      <c r="AA20" s="151">
        <f>+'Mar16-Aug16 FT-TS-Cashout-LG&amp;E'!I486</f>
        <v>0</v>
      </c>
      <c r="AB20" s="151">
        <f>+'Mar16-Aug16 FT-TS-Cashout-LG&amp;E'!J486</f>
        <v>0</v>
      </c>
      <c r="AC20" s="151">
        <f>+'Mar16-Aug16 FT-TS-Cashout-LG&amp;E'!K486</f>
        <v>0</v>
      </c>
      <c r="AD20" s="151">
        <f>+'Mar16-Aug16 FT-TS-Cashout-LG&amp;E'!L486</f>
        <v>0</v>
      </c>
      <c r="AE20" s="151">
        <f>+'Mar16-Aug16 FT-TS-Cashout-LG&amp;E'!M486</f>
        <v>0</v>
      </c>
      <c r="AF20" s="151">
        <f>+'Mar16-Aug16 FT-TS-Cashout-LG&amp;E'!N486</f>
        <v>0</v>
      </c>
      <c r="AG20" s="161"/>
      <c r="AH20" s="161"/>
      <c r="AI20" s="161"/>
      <c r="AJ20" s="161"/>
      <c r="AK20" s="161"/>
      <c r="AL20" s="161"/>
      <c r="AM20" s="134">
        <f>'Mar16-Aug16 FT-TS-Cashout-LG&amp;E'!I502</f>
        <v>5108.24</v>
      </c>
      <c r="AN20" s="134">
        <f>'Mar16-Aug16 FT-TS-Cashout-LG&amp;E'!J502</f>
        <v>3239.9</v>
      </c>
      <c r="AO20" s="134">
        <f>'Mar16-Aug16 FT-TS-Cashout-LG&amp;E'!K502</f>
        <v>13781.52</v>
      </c>
      <c r="AP20" s="134">
        <f>'Mar16-Aug16 FT-TS-Cashout-LG&amp;E'!L502</f>
        <v>6386.16</v>
      </c>
      <c r="AQ20" s="134">
        <f>'Mar16-Aug16 FT-TS-Cashout-LG&amp;E'!M502</f>
        <v>6152.88</v>
      </c>
      <c r="AR20" s="152">
        <f>'Mar16-Aug16 FT-TS-Cashout-LG&amp;E'!N502</f>
        <v>4215.74</v>
      </c>
      <c r="AS20" s="134"/>
      <c r="AT20" s="134"/>
      <c r="AU20" s="134"/>
      <c r="AV20" s="134"/>
      <c r="AW20" s="134"/>
      <c r="AX20" s="134"/>
      <c r="AY20" s="135"/>
      <c r="AZ20" s="135"/>
      <c r="BA20" s="518">
        <f t="shared" si="22"/>
        <v>-0.04</v>
      </c>
      <c r="BB20" s="518">
        <f t="shared" si="22"/>
        <v>-0.25</v>
      </c>
      <c r="BC20" s="518">
        <f t="shared" si="22"/>
        <v>-0.64</v>
      </c>
      <c r="BD20" s="518">
        <f t="shared" si="22"/>
        <v>31.53</v>
      </c>
      <c r="BE20" s="518">
        <f t="shared" si="22"/>
        <v>8.08</v>
      </c>
      <c r="BF20" s="518">
        <f t="shared" si="22"/>
        <v>2.44</v>
      </c>
      <c r="BG20" s="518">
        <f t="shared" si="2"/>
        <v>41.12</v>
      </c>
    </row>
    <row r="21" spans="1:59" x14ac:dyDescent="0.25">
      <c r="A21" s="89" t="s">
        <v>42</v>
      </c>
      <c r="B21" s="196" t="s">
        <v>1021</v>
      </c>
      <c r="C21" s="189">
        <f t="shared" si="23"/>
        <v>0</v>
      </c>
      <c r="D21" s="673">
        <f t="shared" si="14"/>
        <v>0</v>
      </c>
      <c r="E21" s="189">
        <f t="shared" si="3"/>
        <v>2594.8200000000002</v>
      </c>
      <c r="F21" s="138"/>
      <c r="G21" s="138">
        <f>O21+W21+X21+Y21+Z21</f>
        <v>0</v>
      </c>
      <c r="H21" s="562">
        <f>AA21+AI21+AJ21+AK21+AL21</f>
        <v>0</v>
      </c>
      <c r="I21" s="138">
        <f>AM21+AU21+AV21+AW21+AX21</f>
        <v>425.08000000000004</v>
      </c>
      <c r="J21" s="138"/>
      <c r="K21" s="138">
        <f>SUM(P21:V21)</f>
        <v>0</v>
      </c>
      <c r="L21" s="562">
        <f>SUM(AB21:AH21)</f>
        <v>0</v>
      </c>
      <c r="M21" s="138">
        <f>SUM(AN21:AT21)</f>
        <v>2169.7400000000002</v>
      </c>
      <c r="N21" s="50"/>
      <c r="O21" s="466"/>
      <c r="P21" s="466"/>
      <c r="Q21" s="466"/>
      <c r="R21" s="466"/>
      <c r="S21" s="466"/>
      <c r="T21" s="466"/>
      <c r="U21" s="683"/>
      <c r="V21" s="683"/>
      <c r="W21" s="683"/>
      <c r="X21" s="683"/>
      <c r="Y21" s="683"/>
      <c r="Z21" s="683"/>
      <c r="AA21" s="151"/>
      <c r="AB21" s="151"/>
      <c r="AC21" s="151"/>
      <c r="AD21" s="151"/>
      <c r="AE21" s="151"/>
      <c r="AF21" s="151"/>
      <c r="AG21" s="161"/>
      <c r="AH21" s="161"/>
      <c r="AI21" s="161"/>
      <c r="AJ21" s="161"/>
      <c r="AK21" s="161"/>
      <c r="AL21" s="161"/>
      <c r="AM21" s="152">
        <f>'Mar16-Aug16 FT-TS-Cashout-LG&amp;E'!I548</f>
        <v>425.08000000000004</v>
      </c>
      <c r="AN21" s="152">
        <f>'Mar16-Aug16 FT-TS-Cashout-LG&amp;E'!J548</f>
        <v>425.08000000000004</v>
      </c>
      <c r="AO21" s="152">
        <f>'Mar16-Aug16 FT-TS-Cashout-LG&amp;E'!K548</f>
        <v>426.03999999999996</v>
      </c>
      <c r="AP21" s="152">
        <f>'Mar16-Aug16 FT-TS-Cashout-LG&amp;E'!L548</f>
        <v>439.54</v>
      </c>
      <c r="AQ21" s="152">
        <f>'Mar16-Aug16 FT-TS-Cashout-LG&amp;E'!M548</f>
        <v>439.54</v>
      </c>
      <c r="AR21" s="152">
        <f>'Mar16-Aug16 FT-TS-Cashout-LG&amp;E'!N548</f>
        <v>439.54</v>
      </c>
      <c r="AS21" s="152"/>
      <c r="AT21" s="152"/>
      <c r="AU21" s="152"/>
      <c r="AV21" s="152"/>
      <c r="AW21" s="152"/>
      <c r="AX21" s="152"/>
      <c r="AY21" s="135"/>
      <c r="AZ21" s="135"/>
      <c r="BA21" s="518"/>
      <c r="BB21" s="518"/>
      <c r="BC21" s="518"/>
      <c r="BD21" s="518"/>
      <c r="BE21" s="518"/>
      <c r="BF21" s="518"/>
      <c r="BG21" s="518"/>
    </row>
    <row r="22" spans="1:59" x14ac:dyDescent="0.25">
      <c r="A22" s="89" t="s">
        <v>50</v>
      </c>
      <c r="B22" s="153" t="s">
        <v>1039</v>
      </c>
      <c r="C22" s="159">
        <f>SUM(O22:Z22)</f>
        <v>0</v>
      </c>
      <c r="D22" s="170">
        <f>SUM(AA22:AL22)</f>
        <v>4.3</v>
      </c>
      <c r="E22" s="159">
        <f>SUM(AM22:AX22)+BG22</f>
        <v>12.05</v>
      </c>
      <c r="F22" s="138"/>
      <c r="G22" s="130">
        <f>O22+W22+X22+Y22+Z22</f>
        <v>0</v>
      </c>
      <c r="H22" s="131">
        <f>AA23+AI22+AJ22+AK22+AL22</f>
        <v>1296.8</v>
      </c>
      <c r="I22" s="130" t="e">
        <f>#REF!+AU22+AV22+AW22+AX22</f>
        <v>#REF!</v>
      </c>
      <c r="J22" s="138"/>
      <c r="K22" s="130">
        <f>SUM(P22:V22)</f>
        <v>0</v>
      </c>
      <c r="L22" s="131">
        <f>SUM(AB22:AH22)</f>
        <v>0</v>
      </c>
      <c r="M22" s="130">
        <f>SUM(AN22:AT22)</f>
        <v>0</v>
      </c>
      <c r="O22" s="466"/>
      <c r="P22" s="467"/>
      <c r="Q22" s="467"/>
      <c r="R22" s="467"/>
      <c r="S22" s="467"/>
      <c r="T22" s="467"/>
      <c r="U22" s="160"/>
      <c r="V22" s="160"/>
      <c r="W22" s="160"/>
      <c r="X22" s="160"/>
      <c r="Y22" s="160"/>
      <c r="Z22" s="160"/>
      <c r="AA22" s="1032">
        <f>'Mar16-Aug16 FT-TS-Cashout-LG&amp;E'!I390</f>
        <v>4.3</v>
      </c>
      <c r="AB22" s="1032">
        <f>'Mar16-Aug16 FT-TS-Cashout-LG&amp;E'!J390</f>
        <v>0</v>
      </c>
      <c r="AC22" s="1032">
        <f>'Mar16-Aug16 FT-TS-Cashout-LG&amp;E'!K390</f>
        <v>0</v>
      </c>
      <c r="AD22" s="1032">
        <f>'Mar16-Aug16 FT-TS-Cashout-LG&amp;E'!L390</f>
        <v>0</v>
      </c>
      <c r="AE22" s="1032">
        <f>'Mar16-Aug16 FT-TS-Cashout-LG&amp;E'!M390</f>
        <v>0</v>
      </c>
      <c r="AF22" s="1032">
        <f>'Mar16-Aug16 FT-TS-Cashout-LG&amp;E'!N390</f>
        <v>0</v>
      </c>
      <c r="AG22" s="1033"/>
      <c r="AH22" s="1033"/>
      <c r="AI22" s="1033"/>
      <c r="AJ22" s="1033"/>
      <c r="AK22" s="1033"/>
      <c r="AL22" s="1033"/>
      <c r="AM22" s="134">
        <f>'Mar16-Aug16 FT-TS-Cashout-LG&amp;E'!I398</f>
        <v>12.05</v>
      </c>
      <c r="AN22" s="134">
        <f>'Mar16-Aug16 FT-TS-Cashout-LG&amp;E'!J398</f>
        <v>0</v>
      </c>
      <c r="AO22" s="134">
        <f>'Mar16-Aug16 FT-TS-Cashout-LG&amp;E'!K398</f>
        <v>0</v>
      </c>
      <c r="AP22" s="134">
        <f>'Mar16-Aug16 FT-TS-Cashout-LG&amp;E'!L398</f>
        <v>0</v>
      </c>
      <c r="AQ22" s="134">
        <f>'Mar16-Aug16 FT-TS-Cashout-LG&amp;E'!M398</f>
        <v>0</v>
      </c>
      <c r="AR22" s="134">
        <f>'Mar16-Aug16 FT-TS-Cashout-LG&amp;E'!N398</f>
        <v>0</v>
      </c>
      <c r="AS22" s="152"/>
      <c r="AT22" s="152"/>
      <c r="AU22" s="152"/>
      <c r="AV22" s="152"/>
      <c r="AW22" s="152"/>
      <c r="AX22" s="152"/>
      <c r="AY22" s="135"/>
      <c r="AZ22" s="135"/>
      <c r="BA22" s="518"/>
      <c r="BB22" s="518"/>
      <c r="BC22" s="518"/>
      <c r="BD22" s="518"/>
      <c r="BE22" s="518"/>
      <c r="BF22" s="518"/>
      <c r="BG22" s="518"/>
    </row>
    <row r="23" spans="1:59" x14ac:dyDescent="0.25">
      <c r="A23" s="89" t="s">
        <v>52</v>
      </c>
      <c r="B23" s="153" t="s">
        <v>765</v>
      </c>
      <c r="C23" s="173">
        <f>SUM(O23:Z23)</f>
        <v>0</v>
      </c>
      <c r="D23" s="174">
        <f>SUM(AA23:AL23)</f>
        <v>2098.7000000000003</v>
      </c>
      <c r="E23" s="173">
        <f>SUM(AM23:AX23)+BG23</f>
        <v>46744.28</v>
      </c>
      <c r="F23" s="138"/>
      <c r="G23" s="130">
        <f>O23+W23+X23+Y23+Z23</f>
        <v>0</v>
      </c>
      <c r="H23" s="131">
        <f>AA23+AI23+AJ23+AK23+AL23</f>
        <v>1296.8</v>
      </c>
      <c r="I23" s="130">
        <f>AM23+AU23+AV23+AW23+AX23</f>
        <v>3626.5</v>
      </c>
      <c r="J23" s="130"/>
      <c r="K23" s="130">
        <f>SUM(P23:V23)</f>
        <v>0</v>
      </c>
      <c r="L23" s="131">
        <f>SUM(AB23:AH23)</f>
        <v>801.89999999999986</v>
      </c>
      <c r="M23" s="130">
        <f>SUM(AN23:AT23)</f>
        <v>42987.26</v>
      </c>
      <c r="O23" s="139"/>
      <c r="P23" s="154"/>
      <c r="Q23" s="154"/>
      <c r="R23" s="154"/>
      <c r="S23" s="154"/>
      <c r="T23" s="154"/>
      <c r="U23" s="531"/>
      <c r="V23" s="531"/>
      <c r="W23" s="531"/>
      <c r="X23" s="531"/>
      <c r="Y23" s="531"/>
      <c r="Z23" s="531"/>
      <c r="AA23" s="1034">
        <f>'Mar16-Aug16 FT-TS-Cashout-LG&amp;E'!I369</f>
        <v>1296.8</v>
      </c>
      <c r="AB23" s="1034">
        <f>'Mar16-Aug16 FT-TS-Cashout-LG&amp;E'!J369</f>
        <v>43.8</v>
      </c>
      <c r="AC23" s="1034">
        <f>'Mar16-Aug16 FT-TS-Cashout-LG&amp;E'!K369</f>
        <v>637.9</v>
      </c>
      <c r="AD23" s="1034">
        <f>'Mar16-Aug16 FT-TS-Cashout-LG&amp;E'!L369</f>
        <v>41.9</v>
      </c>
      <c r="AE23" s="1034">
        <f>'Mar16-Aug16 FT-TS-Cashout-LG&amp;E'!M369</f>
        <v>78.3</v>
      </c>
      <c r="AF23" s="1034">
        <v>0</v>
      </c>
      <c r="AG23" s="1035"/>
      <c r="AH23" s="1035"/>
      <c r="AI23" s="1035"/>
      <c r="AJ23" s="1035"/>
      <c r="AK23" s="1035"/>
      <c r="AL23" s="1035"/>
      <c r="AM23" s="141">
        <f>'Mar16-Aug16 FT-TS-Cashout-LG&amp;E'!I380</f>
        <v>3626.5</v>
      </c>
      <c r="AN23" s="141">
        <f>'Mar16-Aug16 FT-TS-Cashout-LG&amp;E'!J380</f>
        <v>103.16</v>
      </c>
      <c r="AO23" s="141">
        <f>'Mar16-Aug16 FT-TS-Cashout-LG&amp;E'!K380</f>
        <v>1571.14</v>
      </c>
      <c r="AP23" s="141">
        <f>'Mar16-Aug16 FT-TS-Cashout-LG&amp;E'!L380</f>
        <v>21340.74</v>
      </c>
      <c r="AQ23" s="141">
        <f>'Mar16-Aug16 FT-TS-Cashout-LG&amp;E'!M380</f>
        <v>18631.240000000002</v>
      </c>
      <c r="AR23" s="141">
        <f>'Mar16-Aug16 FT-TS-Cashout-LG&amp;E'!N380</f>
        <v>1340.98</v>
      </c>
      <c r="AS23" s="141"/>
      <c r="AT23" s="141"/>
      <c r="AU23" s="141"/>
      <c r="AV23" s="141"/>
      <c r="AW23" s="141"/>
      <c r="AX23" s="141"/>
      <c r="AY23" s="135"/>
      <c r="AZ23" s="135"/>
      <c r="BA23" s="518">
        <f t="shared" ref="BA23:BF23" si="24">ROUND((AM23/SUM(AM$9+AM$16+AM$24+AM$34+AM$35))*BA$5,2)</f>
        <v>-0.03</v>
      </c>
      <c r="BB23" s="518">
        <f t="shared" si="24"/>
        <v>-0.01</v>
      </c>
      <c r="BC23" s="518">
        <f t="shared" si="24"/>
        <v>-7.0000000000000007E-2</v>
      </c>
      <c r="BD23" s="518">
        <f t="shared" si="24"/>
        <v>105.37</v>
      </c>
      <c r="BE23" s="518">
        <f t="shared" si="24"/>
        <v>24.48</v>
      </c>
      <c r="BF23" s="518">
        <f t="shared" si="24"/>
        <v>0.78</v>
      </c>
      <c r="BG23" s="518">
        <f>SUM(BA23:BF23)</f>
        <v>130.52000000000001</v>
      </c>
    </row>
    <row r="24" spans="1:59" x14ac:dyDescent="0.25">
      <c r="B24" s="142" t="s">
        <v>456</v>
      </c>
      <c r="C24" s="159">
        <f t="shared" si="23"/>
        <v>2915</v>
      </c>
      <c r="D24" s="170">
        <f t="shared" si="14"/>
        <v>1403326.2374288815</v>
      </c>
      <c r="E24" s="159">
        <f t="shared" si="3"/>
        <v>9791792.7700000014</v>
      </c>
      <c r="F24" s="130"/>
      <c r="G24" s="130">
        <f t="shared" si="17"/>
        <v>1271</v>
      </c>
      <c r="H24" s="131">
        <f t="shared" si="15"/>
        <v>804248.87056927721</v>
      </c>
      <c r="I24" s="130">
        <f t="shared" si="4"/>
        <v>5799766.1699999999</v>
      </c>
      <c r="J24" s="130"/>
      <c r="K24" s="130">
        <f t="shared" si="5"/>
        <v>1644</v>
      </c>
      <c r="L24" s="131">
        <f t="shared" si="6"/>
        <v>599077.36685960426</v>
      </c>
      <c r="M24" s="130">
        <f t="shared" si="7"/>
        <v>3988495.5500000003</v>
      </c>
      <c r="O24" s="143">
        <f>SUM(O18:O23)</f>
        <v>247</v>
      </c>
      <c r="P24" s="143">
        <f t="shared" ref="P24:Z24" si="25">SUM(P18:P23)</f>
        <v>245</v>
      </c>
      <c r="Q24" s="143">
        <f t="shared" si="25"/>
        <v>238</v>
      </c>
      <c r="R24" s="143">
        <f t="shared" si="25"/>
        <v>237</v>
      </c>
      <c r="S24" s="143">
        <f t="shared" si="25"/>
        <v>239</v>
      </c>
      <c r="T24" s="143">
        <f t="shared" si="25"/>
        <v>176</v>
      </c>
      <c r="U24" s="143">
        <f t="shared" si="25"/>
        <v>254</v>
      </c>
      <c r="V24" s="143">
        <f t="shared" si="25"/>
        <v>255</v>
      </c>
      <c r="W24" s="143">
        <f t="shared" si="25"/>
        <v>255</v>
      </c>
      <c r="X24" s="143">
        <f t="shared" si="25"/>
        <v>256</v>
      </c>
      <c r="Y24" s="143">
        <f t="shared" si="25"/>
        <v>256</v>
      </c>
      <c r="Z24" s="143">
        <f t="shared" si="25"/>
        <v>257</v>
      </c>
      <c r="AA24" s="128">
        <f>SUM(AA18:AA23)</f>
        <v>116622.80000000002</v>
      </c>
      <c r="AB24" s="128">
        <f t="shared" ref="AB24:AL24" si="26">SUM(AB18:AB23)</f>
        <v>92494.500000000015</v>
      </c>
      <c r="AC24" s="128">
        <f t="shared" si="26"/>
        <v>83459.399999999994</v>
      </c>
      <c r="AD24" s="128">
        <f t="shared" si="26"/>
        <v>82252.400000000009</v>
      </c>
      <c r="AE24" s="128">
        <f t="shared" si="26"/>
        <v>66772.100000000006</v>
      </c>
      <c r="AF24" s="128">
        <f t="shared" si="26"/>
        <v>60103.400000000009</v>
      </c>
      <c r="AG24" s="128">
        <f t="shared" si="26"/>
        <v>84700.396485151839</v>
      </c>
      <c r="AH24" s="128">
        <f t="shared" si="26"/>
        <v>129295.1703744524</v>
      </c>
      <c r="AI24" s="128">
        <f t="shared" si="26"/>
        <v>149090.56876971852</v>
      </c>
      <c r="AJ24" s="128">
        <f t="shared" si="26"/>
        <v>179787.34460673365</v>
      </c>
      <c r="AK24" s="128">
        <f t="shared" si="26"/>
        <v>186173.45627917501</v>
      </c>
      <c r="AL24" s="128">
        <f t="shared" si="26"/>
        <v>172574.70091364998</v>
      </c>
      <c r="AM24" s="144">
        <f>SUM(AM18:AM23)</f>
        <v>731928</v>
      </c>
      <c r="AN24" s="144">
        <f t="shared" ref="AN24:AX24" si="27">SUM(AN18:AN23)</f>
        <v>561957.94000000006</v>
      </c>
      <c r="AO24" s="144">
        <f t="shared" si="27"/>
        <v>532814.68000000005</v>
      </c>
      <c r="AP24" s="144">
        <f t="shared" si="27"/>
        <v>556560.44000000006</v>
      </c>
      <c r="AQ24" s="144">
        <f t="shared" si="27"/>
        <v>470192.70999999996</v>
      </c>
      <c r="AR24" s="144">
        <f t="shared" si="27"/>
        <v>416501.94</v>
      </c>
      <c r="AS24" s="144">
        <f t="shared" si="27"/>
        <v>562921.93000000005</v>
      </c>
      <c r="AT24" s="144">
        <f t="shared" si="27"/>
        <v>887545.91</v>
      </c>
      <c r="AU24" s="144">
        <f t="shared" si="27"/>
        <v>1110356.4099999999</v>
      </c>
      <c r="AV24" s="144">
        <f t="shared" si="27"/>
        <v>1344414.47</v>
      </c>
      <c r="AW24" s="144">
        <f t="shared" si="27"/>
        <v>1322456.96</v>
      </c>
      <c r="AX24" s="144">
        <f t="shared" si="27"/>
        <v>1290610.33</v>
      </c>
      <c r="AY24" s="135"/>
      <c r="AZ24" s="135"/>
      <c r="BA24" s="522">
        <f>SUM(BA18:BA23)</f>
        <v>-6.0100000000000007</v>
      </c>
      <c r="BB24" s="522">
        <f>SUM(BB18:BB23)</f>
        <v>-42.48</v>
      </c>
      <c r="BC24" s="522">
        <f t="shared" ref="BC24:BF24" si="28">SUM(BC18:BC23)</f>
        <v>-24.57</v>
      </c>
      <c r="BD24" s="522">
        <f t="shared" si="28"/>
        <v>2745.83</v>
      </c>
      <c r="BE24" s="522">
        <f t="shared" si="28"/>
        <v>617.20000000000005</v>
      </c>
      <c r="BF24" s="522">
        <f t="shared" si="28"/>
        <v>241.07999999999998</v>
      </c>
      <c r="BG24" s="518">
        <f t="shared" si="2"/>
        <v>3531.05</v>
      </c>
    </row>
    <row r="25" spans="1:59" x14ac:dyDescent="0.25">
      <c r="B25" s="142"/>
      <c r="C25" s="159"/>
      <c r="D25" s="170"/>
      <c r="E25" s="159"/>
      <c r="F25" s="130"/>
      <c r="G25" s="130"/>
      <c r="H25" s="131"/>
      <c r="I25" s="130"/>
      <c r="J25" s="130"/>
      <c r="K25" s="130"/>
      <c r="L25" s="131"/>
      <c r="M25" s="130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44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35"/>
      <c r="AZ25" s="135"/>
      <c r="BA25" s="519"/>
      <c r="BB25" s="519"/>
      <c r="BC25" s="519"/>
      <c r="BD25" s="519"/>
      <c r="BE25" s="519"/>
      <c r="BF25" s="519"/>
      <c r="BG25" s="518"/>
    </row>
    <row r="26" spans="1:59" x14ac:dyDescent="0.25">
      <c r="A26" s="89" t="s">
        <v>68</v>
      </c>
      <c r="B26" s="89" t="s">
        <v>996</v>
      </c>
      <c r="C26" s="159">
        <f>SUM(O26:Z26)</f>
        <v>12</v>
      </c>
      <c r="D26" s="170">
        <f>SUM(AA26:AL26)</f>
        <v>7.5</v>
      </c>
      <c r="E26" s="159">
        <f>SUM(AM26:AX26)+BG26</f>
        <v>7043.91</v>
      </c>
      <c r="F26" s="130"/>
      <c r="G26" s="130">
        <f>O26+W26+X26+Y26+Z26</f>
        <v>5</v>
      </c>
      <c r="H26" s="131">
        <f>AA26+AI26+AJ26+AK26+AL26</f>
        <v>3.0000000000000004</v>
      </c>
      <c r="I26" s="130">
        <f>AM26+AU26+AV26+AW26+AX26</f>
        <v>2934.0600000000004</v>
      </c>
      <c r="J26" s="130"/>
      <c r="K26" s="130">
        <f>SUM(P26:V26)</f>
        <v>7</v>
      </c>
      <c r="L26" s="131">
        <f>SUM(AB26:AH26)</f>
        <v>4.5000000000000009</v>
      </c>
      <c r="M26" s="130">
        <f>SUM(AN26:AT26)</f>
        <v>4105.91</v>
      </c>
      <c r="O26" s="139">
        <f>SUMIFS('Mar16-Aug16 Billed-RETAIL'!$H$5:$H$143,'Mar16-Aug16 Billed-RETAIL'!$D$5:$D$143,SBR!O$4,'Mar16-Aug16 Billed-RETAIL'!$E$5:$E$143,SBR!$A26)+SUMIFS('Mar16-Aug16 Billed-RETAIL'!$J$5:$J$143,'Mar16-Aug16 Billed-RETAIL'!$D$5:$D$143,SBR!O$4,'Mar16-Aug16 Billed-RETAIL'!$E$5:$E$143,SBR!$A26)+SUMIFS('Mar16-Aug16 Billed-RETAIL'!$AG$5:$AG$143,'Mar16-Aug16 Billed-RETAIL'!$D$5:$D$143,SBR!O$4,'Mar16-Aug16 Billed-RETAIL'!$E$5:$E$143,SBR!$A26)+SUMIFS('Mar16-Aug16 Billed-RETAIL'!$AH$5:$AH$143,'Mar16-Aug16 Billed-RETAIL'!$D$5:$D$143,SBR!O$4,'Mar16-Aug16 Billed-RETAIL'!$E$5:$E$143,SBR!$A26)</f>
        <v>1</v>
      </c>
      <c r="P26" s="139">
        <f>SUMIFS('Mar16-Aug16 Billed-RETAIL'!$H$5:$H$143,'Mar16-Aug16 Billed-RETAIL'!$D$5:$D$143,SBR!P$4,'Mar16-Aug16 Billed-RETAIL'!$E$5:$E$143,SBR!$A26)+SUMIFS('Mar16-Aug16 Billed-RETAIL'!$J$5:$J$143,'Mar16-Aug16 Billed-RETAIL'!$D$5:$D$143,SBR!P$4,'Mar16-Aug16 Billed-RETAIL'!$E$5:$E$143,SBR!$A26)+SUMIFS('Mar16-Aug16 Billed-RETAIL'!$AG$5:$AG$143,'Mar16-Aug16 Billed-RETAIL'!$D$5:$D$143,SBR!P$4,'Mar16-Aug16 Billed-RETAIL'!$E$5:$E$143,SBR!$A26)+SUMIFS('Mar16-Aug16 Billed-RETAIL'!$AH$5:$AH$143,'Mar16-Aug16 Billed-RETAIL'!$D$5:$D$143,SBR!P$4,'Mar16-Aug16 Billed-RETAIL'!$E$5:$E$143,SBR!$A26)</f>
        <v>1</v>
      </c>
      <c r="Q26" s="139">
        <f>SUMIFS('Mar16-Aug16 Billed-RETAIL'!$H$5:$H$143,'Mar16-Aug16 Billed-RETAIL'!$D$5:$D$143,SBR!Q$4,'Mar16-Aug16 Billed-RETAIL'!$E$5:$E$143,SBR!$A26)+SUMIFS('Mar16-Aug16 Billed-RETAIL'!$J$5:$J$143,'Mar16-Aug16 Billed-RETAIL'!$D$5:$D$143,SBR!Q$4,'Mar16-Aug16 Billed-RETAIL'!$E$5:$E$143,SBR!$A26)+SUMIFS('Mar16-Aug16 Billed-RETAIL'!$AG$5:$AG$143,'Mar16-Aug16 Billed-RETAIL'!$D$5:$D$143,SBR!Q$4,'Mar16-Aug16 Billed-RETAIL'!$E$5:$E$143,SBR!$A26)+SUMIFS('Mar16-Aug16 Billed-RETAIL'!$AH$5:$AH$143,'Mar16-Aug16 Billed-RETAIL'!$D$5:$D$143,SBR!Q$4,'Mar16-Aug16 Billed-RETAIL'!$E$5:$E$143,SBR!$A26)</f>
        <v>1</v>
      </c>
      <c r="R26" s="139">
        <f>SUMIFS('Mar16-Aug16 Billed-RETAIL'!$H$5:$H$143,'Mar16-Aug16 Billed-RETAIL'!$D$5:$D$143,SBR!R$4,'Mar16-Aug16 Billed-RETAIL'!$E$5:$E$143,SBR!$A26)+SUMIFS('Mar16-Aug16 Billed-RETAIL'!$J$5:$J$143,'Mar16-Aug16 Billed-RETAIL'!$D$5:$D$143,SBR!R$4,'Mar16-Aug16 Billed-RETAIL'!$E$5:$E$143,SBR!$A26)+SUMIFS('Mar16-Aug16 Billed-RETAIL'!$AG$5:$AG$143,'Mar16-Aug16 Billed-RETAIL'!$D$5:$D$143,SBR!R$4,'Mar16-Aug16 Billed-RETAIL'!$E$5:$E$143,SBR!$A26)+SUMIFS('Mar16-Aug16 Billed-RETAIL'!$AH$5:$AH$143,'Mar16-Aug16 Billed-RETAIL'!$D$5:$D$143,SBR!R$4,'Mar16-Aug16 Billed-RETAIL'!$E$5:$E$143,SBR!$A26)</f>
        <v>1</v>
      </c>
      <c r="S26" s="139">
        <f>SUMIFS('Mar16-Aug16 Billed-RETAIL'!$H$5:$H$143,'Mar16-Aug16 Billed-RETAIL'!$D$5:$D$143,SBR!S$4,'Mar16-Aug16 Billed-RETAIL'!$E$5:$E$143,SBR!$A26)+SUMIFS('Mar16-Aug16 Billed-RETAIL'!$J$5:$J$143,'Mar16-Aug16 Billed-RETAIL'!$D$5:$D$143,SBR!S$4,'Mar16-Aug16 Billed-RETAIL'!$E$5:$E$143,SBR!$A26)+SUMIFS('Mar16-Aug16 Billed-RETAIL'!$AG$5:$AG$143,'Mar16-Aug16 Billed-RETAIL'!$D$5:$D$143,SBR!S$4,'Mar16-Aug16 Billed-RETAIL'!$E$5:$E$143,SBR!$A26)+SUMIFS('Mar16-Aug16 Billed-RETAIL'!$AH$5:$AH$143,'Mar16-Aug16 Billed-RETAIL'!$D$5:$D$143,SBR!S$4,'Mar16-Aug16 Billed-RETAIL'!$E$5:$E$143,SBR!$A26)</f>
        <v>1</v>
      </c>
      <c r="T26" s="139">
        <f>SUMIFS('Mar16-Aug16 Billed-RETAIL'!$H$5:$H$143,'Mar16-Aug16 Billed-RETAIL'!$D$5:$D$143,SBR!T$4,'Mar16-Aug16 Billed-RETAIL'!$E$5:$E$143,SBR!$A26)+SUMIFS('Mar16-Aug16 Billed-RETAIL'!$J$5:$J$143,'Mar16-Aug16 Billed-RETAIL'!$D$5:$D$143,SBR!T$4,'Mar16-Aug16 Billed-RETAIL'!$E$5:$E$143,SBR!$A26)+SUMIFS('Mar16-Aug16 Billed-RETAIL'!$AG$5:$AG$143,'Mar16-Aug16 Billed-RETAIL'!$D$5:$D$143,SBR!T$4,'Mar16-Aug16 Billed-RETAIL'!$E$5:$E$143,SBR!$A26)+SUMIFS('Mar16-Aug16 Billed-RETAIL'!$AH$5:$AH$143,'Mar16-Aug16 Billed-RETAIL'!$D$5:$D$143,SBR!T$4,'Mar16-Aug16 Billed-RETAIL'!$E$5:$E$143,SBR!$A26)</f>
        <v>1</v>
      </c>
      <c r="U26" s="139">
        <f>SUMIFS('Mar16-Aug16 Billed-RETAIL'!$H$5:$H$143,'Mar16-Aug16 Billed-RETAIL'!$D$5:$D$143,SBR!U$4,'Mar16-Aug16 Billed-RETAIL'!$E$5:$E$143,SBR!$A26)+SUMIFS('Mar16-Aug16 Billed-RETAIL'!$J$5:$J$143,'Mar16-Aug16 Billed-RETAIL'!$D$5:$D$143,SBR!U$4,'Mar16-Aug16 Billed-RETAIL'!$E$5:$E$143,SBR!$A26)+SUMIFS('Mar16-Aug16 Billed-RETAIL'!$AG$5:$AG$143,'Mar16-Aug16 Billed-RETAIL'!$D$5:$D$143,SBR!U$4,'Mar16-Aug16 Billed-RETAIL'!$E$5:$E$143,SBR!$A26)+SUMIFS('Mar16-Aug16 Billed-RETAIL'!$AH$5:$AH$143,'Mar16-Aug16 Billed-RETAIL'!$D$5:$D$143,SBR!U$4,'Mar16-Aug16 Billed-RETAIL'!$E$5:$E$143,SBR!$A26)</f>
        <v>1</v>
      </c>
      <c r="V26" s="139">
        <f>SUMIFS('Mar16-Aug16 Billed-RETAIL'!$H$5:$H$143,'Mar16-Aug16 Billed-RETAIL'!$D$5:$D$143,SBR!V$4,'Mar16-Aug16 Billed-RETAIL'!$E$5:$E$143,SBR!$A26)+SUMIFS('Mar16-Aug16 Billed-RETAIL'!$J$5:$J$143,'Mar16-Aug16 Billed-RETAIL'!$D$5:$D$143,SBR!V$4,'Mar16-Aug16 Billed-RETAIL'!$E$5:$E$143,SBR!$A26)+SUMIFS('Mar16-Aug16 Billed-RETAIL'!$AG$5:$AG$143,'Mar16-Aug16 Billed-RETAIL'!$D$5:$D$143,SBR!V$4,'Mar16-Aug16 Billed-RETAIL'!$E$5:$E$143,SBR!$A26)+SUMIFS('Mar16-Aug16 Billed-RETAIL'!$AH$5:$AH$143,'Mar16-Aug16 Billed-RETAIL'!$D$5:$D$143,SBR!V$4,'Mar16-Aug16 Billed-RETAIL'!$E$5:$E$143,SBR!$A26)</f>
        <v>1</v>
      </c>
      <c r="W26" s="139">
        <f>SUMIFS('Mar16-Aug16 Billed-RETAIL'!$H$5:$H$143,'Mar16-Aug16 Billed-RETAIL'!$D$5:$D$143,SBR!W$4,'Mar16-Aug16 Billed-RETAIL'!$E$5:$E$143,SBR!$A26)+SUMIFS('Mar16-Aug16 Billed-RETAIL'!$J$5:$J$143,'Mar16-Aug16 Billed-RETAIL'!$D$5:$D$143,SBR!W$4,'Mar16-Aug16 Billed-RETAIL'!$E$5:$E$143,SBR!$A26)+SUMIFS('Mar16-Aug16 Billed-RETAIL'!$AG$5:$AG$143,'Mar16-Aug16 Billed-RETAIL'!$D$5:$D$143,SBR!W$4,'Mar16-Aug16 Billed-RETAIL'!$E$5:$E$143,SBR!$A26)+SUMIFS('Mar16-Aug16 Billed-RETAIL'!$AH$5:$AH$143,'Mar16-Aug16 Billed-RETAIL'!$D$5:$D$143,SBR!W$4,'Mar16-Aug16 Billed-RETAIL'!$E$5:$E$143,SBR!$A26)</f>
        <v>1</v>
      </c>
      <c r="X26" s="139">
        <f>SUMIFS('Mar16-Aug16 Billed-RETAIL'!$H$5:$H$143,'Mar16-Aug16 Billed-RETAIL'!$D$5:$D$143,SBR!X$4,'Mar16-Aug16 Billed-RETAIL'!$E$5:$E$143,SBR!$A26)+SUMIFS('Mar16-Aug16 Billed-RETAIL'!$J$5:$J$143,'Mar16-Aug16 Billed-RETAIL'!$D$5:$D$143,SBR!X$4,'Mar16-Aug16 Billed-RETAIL'!$E$5:$E$143,SBR!$A26)+SUMIFS('Mar16-Aug16 Billed-RETAIL'!$AG$5:$AG$143,'Mar16-Aug16 Billed-RETAIL'!$D$5:$D$143,SBR!X$4,'Mar16-Aug16 Billed-RETAIL'!$E$5:$E$143,SBR!$A26)+SUMIFS('Mar16-Aug16 Billed-RETAIL'!$AH$5:$AH$143,'Mar16-Aug16 Billed-RETAIL'!$D$5:$D$143,SBR!X$4,'Mar16-Aug16 Billed-RETAIL'!$E$5:$E$143,SBR!$A26)</f>
        <v>1</v>
      </c>
      <c r="Y26" s="139">
        <f>SUMIFS('Mar16-Aug16 Billed-RETAIL'!$H$5:$H$143,'Mar16-Aug16 Billed-RETAIL'!$D$5:$D$143,SBR!Y$4,'Mar16-Aug16 Billed-RETAIL'!$E$5:$E$143,SBR!$A26)+SUMIFS('Mar16-Aug16 Billed-RETAIL'!$J$5:$J$143,'Mar16-Aug16 Billed-RETAIL'!$D$5:$D$143,SBR!Y$4,'Mar16-Aug16 Billed-RETAIL'!$E$5:$E$143,SBR!$A26)+SUMIFS('Mar16-Aug16 Billed-RETAIL'!$AG$5:$AG$143,'Mar16-Aug16 Billed-RETAIL'!$D$5:$D$143,SBR!Y$4,'Mar16-Aug16 Billed-RETAIL'!$E$5:$E$143,SBR!$A26)+SUMIFS('Mar16-Aug16 Billed-RETAIL'!$AH$5:$AH$143,'Mar16-Aug16 Billed-RETAIL'!$D$5:$D$143,SBR!Y$4,'Mar16-Aug16 Billed-RETAIL'!$E$5:$E$143,SBR!$A26)</f>
        <v>1</v>
      </c>
      <c r="Z26" s="139">
        <f>SUMIFS('Mar16-Aug16 Billed-RETAIL'!$H$5:$H$143,'Mar16-Aug16 Billed-RETAIL'!$D$5:$D$143,SBR!Z$4,'Mar16-Aug16 Billed-RETAIL'!$E$5:$E$143,SBR!$A26)+SUMIFS('Mar16-Aug16 Billed-RETAIL'!$J$5:$J$143,'Mar16-Aug16 Billed-RETAIL'!$D$5:$D$143,SBR!Z$4,'Mar16-Aug16 Billed-RETAIL'!$E$5:$E$143,SBR!$A26)+SUMIFS('Mar16-Aug16 Billed-RETAIL'!$AG$5:$AG$143,'Mar16-Aug16 Billed-RETAIL'!$D$5:$D$143,SBR!Z$4,'Mar16-Aug16 Billed-RETAIL'!$E$5:$E$143,SBR!$A26)+SUMIFS('Mar16-Aug16 Billed-RETAIL'!$AH$5:$AH$143,'Mar16-Aug16 Billed-RETAIL'!$D$5:$D$143,SBR!Z$4,'Mar16-Aug16 Billed-RETAIL'!$E$5:$E$143,SBR!$A26)</f>
        <v>1</v>
      </c>
      <c r="AA26" s="140">
        <f>(SUMIFS('Mar16-Aug16 Billed-RETAIL'!$K$5:$K$220,'Mar16-Aug16 Billed-RETAIL'!$D$5:$D$220,SBR!AA$4,'Mar16-Aug16 Billed-RETAIL'!$E$5:$E$220,SBR!$A26)+SUMIFS('Mar16-Aug16 Billed-RETAIL'!$L$5:$L$220,'Mar16-Aug16 Billed-RETAIL'!$D$5:$D$220,SBR!AA$4,'Mar16-Aug16 Billed-RETAIL'!$E$5:$E$220,SBR!$A26))*0.1</f>
        <v>0.60000000000000009</v>
      </c>
      <c r="AB26" s="140">
        <f>(SUMIFS('Mar16-Aug16 Billed-RETAIL'!$K$5:$K$220,'Mar16-Aug16 Billed-RETAIL'!$D$5:$D$220,SBR!AB$4,'Mar16-Aug16 Billed-RETAIL'!$E$5:$E$220,SBR!$A26)+SUMIFS('Mar16-Aug16 Billed-RETAIL'!$L$5:$L$220,'Mar16-Aug16 Billed-RETAIL'!$D$5:$D$220,SBR!AB$4,'Mar16-Aug16 Billed-RETAIL'!$E$5:$E$220,SBR!$A26))*0.1</f>
        <v>0.60000000000000009</v>
      </c>
      <c r="AC26" s="140">
        <f>(SUMIFS('Mar16-Aug16 Billed-RETAIL'!$K$5:$K$220,'Mar16-Aug16 Billed-RETAIL'!$D$5:$D$220,SBR!AC$4,'Mar16-Aug16 Billed-RETAIL'!$E$5:$E$220,SBR!$A26)+SUMIFS('Mar16-Aug16 Billed-RETAIL'!$L$5:$L$220,'Mar16-Aug16 Billed-RETAIL'!$D$5:$D$220,SBR!AC$4,'Mar16-Aug16 Billed-RETAIL'!$E$5:$E$220,SBR!$A26))*0.1</f>
        <v>0.60000000000000009</v>
      </c>
      <c r="AD26" s="140">
        <f>(SUMIFS('Mar16-Aug16 Billed-RETAIL'!$K$5:$K$220,'Mar16-Aug16 Billed-RETAIL'!$D$5:$D$220,SBR!AD$4,'Mar16-Aug16 Billed-RETAIL'!$E$5:$E$220,SBR!$A26)+SUMIFS('Mar16-Aug16 Billed-RETAIL'!$L$5:$L$220,'Mar16-Aug16 Billed-RETAIL'!$D$5:$D$220,SBR!AD$4,'Mar16-Aug16 Billed-RETAIL'!$E$5:$E$220,SBR!$A26))*0.1</f>
        <v>0.70000000000000007</v>
      </c>
      <c r="AE26" s="140">
        <f>(SUMIFS('Mar16-Aug16 Billed-RETAIL'!$K$5:$K$220,'Mar16-Aug16 Billed-RETAIL'!$D$5:$D$220,SBR!AE$4,'Mar16-Aug16 Billed-RETAIL'!$E$5:$E$220,SBR!$A26)+SUMIFS('Mar16-Aug16 Billed-RETAIL'!$L$5:$L$220,'Mar16-Aug16 Billed-RETAIL'!$D$5:$D$220,SBR!AE$4,'Mar16-Aug16 Billed-RETAIL'!$E$5:$E$220,SBR!$A26))*0.1</f>
        <v>0.70000000000000007</v>
      </c>
      <c r="AF26" s="140">
        <f>(SUMIFS('Mar16-Aug16 Billed-RETAIL'!$K$5:$K$220,'Mar16-Aug16 Billed-RETAIL'!$D$5:$D$220,SBR!AF$4,'Mar16-Aug16 Billed-RETAIL'!$E$5:$E$220,SBR!$A26)+SUMIFS('Mar16-Aug16 Billed-RETAIL'!$L$5:$L$220,'Mar16-Aug16 Billed-RETAIL'!$D$5:$D$220,SBR!AF$4,'Mar16-Aug16 Billed-RETAIL'!$E$5:$E$220,SBR!$A26))*0.1</f>
        <v>0.70000000000000007</v>
      </c>
      <c r="AG26" s="140">
        <f>(SUMIFS('Mar16-Aug16 Billed-RETAIL'!$K$5:$K$220,'Mar16-Aug16 Billed-RETAIL'!$D$5:$D$220,SBR!AG$4,'Mar16-Aug16 Billed-RETAIL'!$E$5:$E$220,SBR!$A26)+SUMIFS('Mar16-Aug16 Billed-RETAIL'!$L$5:$L$220,'Mar16-Aug16 Billed-RETAIL'!$D$5:$D$220,SBR!AG$4,'Mar16-Aug16 Billed-RETAIL'!$E$5:$E$220,SBR!$A26))*0.1</f>
        <v>0.60000000000000009</v>
      </c>
      <c r="AH26" s="140">
        <f>(SUMIFS('Mar16-Aug16 Billed-RETAIL'!$K$5:$K$220,'Mar16-Aug16 Billed-RETAIL'!$D$5:$D$220,SBR!AH$4,'Mar16-Aug16 Billed-RETAIL'!$E$5:$E$220,SBR!$A26)+SUMIFS('Mar16-Aug16 Billed-RETAIL'!$L$5:$L$220,'Mar16-Aug16 Billed-RETAIL'!$D$5:$D$220,SBR!AH$4,'Mar16-Aug16 Billed-RETAIL'!$E$5:$E$220,SBR!$A26))*0.1</f>
        <v>0.60000000000000009</v>
      </c>
      <c r="AI26" s="140">
        <f>(SUMIFS('Mar16-Aug16 Billed-RETAIL'!$K$5:$K$220,'Mar16-Aug16 Billed-RETAIL'!$D$5:$D$220,SBR!AI$4,'Mar16-Aug16 Billed-RETAIL'!$E$5:$E$220,SBR!$A26)+SUMIFS('Mar16-Aug16 Billed-RETAIL'!$L$5:$L$220,'Mar16-Aug16 Billed-RETAIL'!$D$5:$D$220,SBR!AI$4,'Mar16-Aug16 Billed-RETAIL'!$E$5:$E$220,SBR!$A26))*0.1</f>
        <v>0.60000000000000009</v>
      </c>
      <c r="AJ26" s="140">
        <f>(SUMIFS('Mar16-Aug16 Billed-RETAIL'!$K$5:$K$220,'Mar16-Aug16 Billed-RETAIL'!$D$5:$D$220,SBR!AJ$4,'Mar16-Aug16 Billed-RETAIL'!$E$5:$E$220,SBR!$A26)+SUMIFS('Mar16-Aug16 Billed-RETAIL'!$L$5:$L$220,'Mar16-Aug16 Billed-RETAIL'!$D$5:$D$220,SBR!AJ$4,'Mar16-Aug16 Billed-RETAIL'!$E$5:$E$220,SBR!$A26))*0.1</f>
        <v>0.60000000000000009</v>
      </c>
      <c r="AK26" s="140">
        <f>(SUMIFS('Mar16-Aug16 Billed-RETAIL'!$K$5:$K$220,'Mar16-Aug16 Billed-RETAIL'!$D$5:$D$220,SBR!AK$4,'Mar16-Aug16 Billed-RETAIL'!$E$5:$E$220,SBR!$A26)+SUMIFS('Mar16-Aug16 Billed-RETAIL'!$L$5:$L$220,'Mar16-Aug16 Billed-RETAIL'!$D$5:$D$220,SBR!AK$4,'Mar16-Aug16 Billed-RETAIL'!$E$5:$E$220,SBR!$A26))*0.1</f>
        <v>0.60000000000000009</v>
      </c>
      <c r="AL26" s="140">
        <f>(SUMIFS('Mar16-Aug16 Billed-RETAIL'!$K$5:$K$220,'Mar16-Aug16 Billed-RETAIL'!$D$5:$D$220,SBR!AL$4,'Mar16-Aug16 Billed-RETAIL'!$E$5:$E$220,SBR!$A26)+SUMIFS('Mar16-Aug16 Billed-RETAIL'!$L$5:$L$220,'Mar16-Aug16 Billed-RETAIL'!$D$5:$D$220,SBR!AL$4,'Mar16-Aug16 Billed-RETAIL'!$E$5:$E$220,SBR!$A26))*0.1</f>
        <v>0.60000000000000009</v>
      </c>
      <c r="AM26" s="141">
        <f>SUMIFS('Mar16-Aug16 Billed-RETAIL'!$AZ$5:$AZ$146,'Mar16-Aug16 Billed-RETAIL'!$D$5:$D$146,SBR!AM$4,'Mar16-Aug16 Billed-RETAIL'!$E$5:$E$146,SBR!$A26)</f>
        <v>586.14</v>
      </c>
      <c r="AN26" s="141">
        <f>SUMIFS('Mar16-Aug16 Billed-RETAIL'!$AZ$5:$AZ$146,'Mar16-Aug16 Billed-RETAIL'!$D$5:$D$146,SBR!AN$4,'Mar16-Aug16 Billed-RETAIL'!$E$5:$E$146,SBR!$A26)</f>
        <v>586.14</v>
      </c>
      <c r="AO26" s="141">
        <f>SUMIFS('Mar16-Aug16 Billed-RETAIL'!$AZ$5:$AZ$146,'Mar16-Aug16 Billed-RETAIL'!$D$5:$D$146,SBR!AO$4,'Mar16-Aug16 Billed-RETAIL'!$E$5:$E$146,SBR!$A26)</f>
        <v>586.26</v>
      </c>
      <c r="AP26" s="141">
        <f>SUMIFS('Mar16-Aug16 Billed-RETAIL'!$AZ$5:$AZ$146,'Mar16-Aug16 Billed-RETAIL'!$D$5:$D$146,SBR!AP$4,'Mar16-Aug16 Billed-RETAIL'!$E$5:$E$146,SBR!$A26)</f>
        <v>586.69000000000005</v>
      </c>
      <c r="AQ26" s="141">
        <f>SUMIFS('Mar16-Aug16 Billed-RETAIL'!$AZ$5:$AZ$146,'Mar16-Aug16 Billed-RETAIL'!$D$5:$D$146,SBR!AQ$4,'Mar16-Aug16 Billed-RETAIL'!$E$5:$E$146,SBR!$A26)</f>
        <v>586.69000000000005</v>
      </c>
      <c r="AR26" s="141">
        <f>SUMIFS('Mar16-Aug16 Billed-RETAIL'!$AZ$5:$AZ$146,'Mar16-Aug16 Billed-RETAIL'!$D$5:$D$146,SBR!AR$4,'Mar16-Aug16 Billed-RETAIL'!$E$5:$E$146,SBR!$A26)</f>
        <v>586.84</v>
      </c>
      <c r="AS26" s="141">
        <f>SUMIFS('Mar16-Aug16 Billed-RETAIL'!$AZ$5:$AZ$146,'Mar16-Aug16 Billed-RETAIL'!$D$5:$D$146,SBR!AS$4,'Mar16-Aug16 Billed-RETAIL'!$E$5:$E$146,SBR!$A26)</f>
        <v>586.54</v>
      </c>
      <c r="AT26" s="141">
        <f>SUMIFS('Mar16-Aug16 Billed-RETAIL'!$AZ$5:$AZ$146,'Mar16-Aug16 Billed-RETAIL'!$D$5:$D$146,SBR!AT$4,'Mar16-Aug16 Billed-RETAIL'!$E$5:$E$146,SBR!$A26)</f>
        <v>586.75</v>
      </c>
      <c r="AU26" s="141">
        <f>SUMIFS('Mar16-Aug16 Billed-RETAIL'!$AZ$5:$AZ$146,'Mar16-Aug16 Billed-RETAIL'!$D$5:$D$146,SBR!AU$4,'Mar16-Aug16 Billed-RETAIL'!$E$5:$E$146,SBR!$A26)</f>
        <v>587.03</v>
      </c>
      <c r="AV26" s="141">
        <f>SUMIFS('Mar16-Aug16 Billed-RETAIL'!$AZ$5:$AZ$146,'Mar16-Aug16 Billed-RETAIL'!$D$5:$D$146,SBR!AV$4,'Mar16-Aug16 Billed-RETAIL'!$E$5:$E$146,SBR!$A26)</f>
        <v>587.08000000000004</v>
      </c>
      <c r="AW26" s="141">
        <f>SUMIFS('Mar16-Aug16 Billed-RETAIL'!$AZ$5:$AZ$146,'Mar16-Aug16 Billed-RETAIL'!$D$5:$D$146,SBR!AW$4,'Mar16-Aug16 Billed-RETAIL'!$E$5:$E$146,SBR!$A26)</f>
        <v>586.79999999999995</v>
      </c>
      <c r="AX26" s="141">
        <f>SUMIFS('Mar16-Aug16 Billed-RETAIL'!$AZ$5:$AZ$146,'Mar16-Aug16 Billed-RETAIL'!$D$5:$D$146,SBR!AX$4,'Mar16-Aug16 Billed-RETAIL'!$E$5:$E$146,SBR!$A26)</f>
        <v>587.01</v>
      </c>
      <c r="AY26" s="135"/>
      <c r="AZ26" s="135"/>
      <c r="BA26" s="518">
        <f>ROUND((AM26/SUM(AM$9+AM$16+AM$24+AM$34))*BA$5,2)</f>
        <v>0</v>
      </c>
      <c r="BB26" s="518">
        <f>ROUND((AN26/SUM(AN$9+AN$16+AN$24+AN$34+AN$35))*BB$5,2)</f>
        <v>-0.04</v>
      </c>
      <c r="BC26" s="518">
        <f>ROUND((AO26/SUM(AO$9+AO$16+AO$24+AO$34+AO$35))*BC$5,2)</f>
        <v>-0.03</v>
      </c>
      <c r="BD26" s="518">
        <f>ROUND((AP26/SUM(AP$9+AP$16+AP$24+AP$34+AP$35))*BD$5,2)</f>
        <v>2.9</v>
      </c>
      <c r="BE26" s="518">
        <f>ROUND((AQ26/SUM(AQ$9+AQ$16+AQ$24+AQ$34+AQ$35))*BE$5,2)</f>
        <v>0.77</v>
      </c>
      <c r="BF26" s="518">
        <f>ROUND((AR26/SUM(AR$9+AR$16+AR$24+AR$34+AR$35))*BF$5,2)</f>
        <v>0.34</v>
      </c>
      <c r="BG26" s="518">
        <f>SUM(BA26:BF26)</f>
        <v>3.94</v>
      </c>
    </row>
    <row r="27" spans="1:59" x14ac:dyDescent="0.25">
      <c r="A27" s="89"/>
      <c r="B27" s="142" t="s">
        <v>1194</v>
      </c>
      <c r="C27" s="159"/>
      <c r="D27" s="170"/>
      <c r="E27" s="159"/>
      <c r="F27" s="130"/>
      <c r="G27" s="130"/>
      <c r="H27" s="131"/>
      <c r="I27" s="130"/>
      <c r="J27" s="130"/>
      <c r="K27" s="130"/>
      <c r="L27" s="131"/>
      <c r="M27" s="130"/>
      <c r="O27" s="132">
        <f>O26</f>
        <v>1</v>
      </c>
      <c r="P27" s="132">
        <f t="shared" ref="P27:AX27" si="29">P26</f>
        <v>1</v>
      </c>
      <c r="Q27" s="132">
        <f t="shared" si="29"/>
        <v>1</v>
      </c>
      <c r="R27" s="132">
        <f t="shared" si="29"/>
        <v>1</v>
      </c>
      <c r="S27" s="132">
        <f t="shared" si="29"/>
        <v>1</v>
      </c>
      <c r="T27" s="132">
        <f t="shared" si="29"/>
        <v>1</v>
      </c>
      <c r="U27" s="132">
        <f t="shared" si="29"/>
        <v>1</v>
      </c>
      <c r="V27" s="132">
        <f t="shared" si="29"/>
        <v>1</v>
      </c>
      <c r="W27" s="132">
        <f t="shared" si="29"/>
        <v>1</v>
      </c>
      <c r="X27" s="132">
        <f t="shared" si="29"/>
        <v>1</v>
      </c>
      <c r="Y27" s="132">
        <f t="shared" si="29"/>
        <v>1</v>
      </c>
      <c r="Z27" s="132">
        <f t="shared" si="29"/>
        <v>1</v>
      </c>
      <c r="AA27" s="128">
        <f t="shared" si="29"/>
        <v>0.60000000000000009</v>
      </c>
      <c r="AB27" s="128">
        <f t="shared" si="29"/>
        <v>0.60000000000000009</v>
      </c>
      <c r="AC27" s="128">
        <f t="shared" si="29"/>
        <v>0.60000000000000009</v>
      </c>
      <c r="AD27" s="128">
        <f t="shared" si="29"/>
        <v>0.70000000000000007</v>
      </c>
      <c r="AE27" s="128">
        <f t="shared" si="29"/>
        <v>0.70000000000000007</v>
      </c>
      <c r="AF27" s="128">
        <f t="shared" si="29"/>
        <v>0.70000000000000007</v>
      </c>
      <c r="AG27" s="128">
        <f t="shared" si="29"/>
        <v>0.60000000000000009</v>
      </c>
      <c r="AH27" s="128">
        <f t="shared" si="29"/>
        <v>0.60000000000000009</v>
      </c>
      <c r="AI27" s="128">
        <f t="shared" si="29"/>
        <v>0.60000000000000009</v>
      </c>
      <c r="AJ27" s="128">
        <f t="shared" si="29"/>
        <v>0.60000000000000009</v>
      </c>
      <c r="AK27" s="128">
        <f t="shared" si="29"/>
        <v>0.60000000000000009</v>
      </c>
      <c r="AL27" s="128">
        <f t="shared" si="29"/>
        <v>0.60000000000000009</v>
      </c>
      <c r="AM27" s="152">
        <f t="shared" si="29"/>
        <v>586.14</v>
      </c>
      <c r="AN27" s="152">
        <f t="shared" si="29"/>
        <v>586.14</v>
      </c>
      <c r="AO27" s="152">
        <f t="shared" si="29"/>
        <v>586.26</v>
      </c>
      <c r="AP27" s="152">
        <f t="shared" si="29"/>
        <v>586.69000000000005</v>
      </c>
      <c r="AQ27" s="152">
        <f t="shared" si="29"/>
        <v>586.69000000000005</v>
      </c>
      <c r="AR27" s="152">
        <f t="shared" si="29"/>
        <v>586.84</v>
      </c>
      <c r="AS27" s="152">
        <f t="shared" si="29"/>
        <v>586.54</v>
      </c>
      <c r="AT27" s="152">
        <f t="shared" si="29"/>
        <v>586.75</v>
      </c>
      <c r="AU27" s="152">
        <f t="shared" si="29"/>
        <v>587.03</v>
      </c>
      <c r="AV27" s="152">
        <f t="shared" si="29"/>
        <v>587.08000000000004</v>
      </c>
      <c r="AW27" s="152">
        <f t="shared" si="29"/>
        <v>586.79999999999995</v>
      </c>
      <c r="AX27" s="152">
        <f t="shared" si="29"/>
        <v>587.01</v>
      </c>
      <c r="AY27" s="135"/>
      <c r="AZ27" s="135"/>
      <c r="BA27" s="518"/>
      <c r="BB27" s="518"/>
      <c r="BC27" s="518"/>
      <c r="BD27" s="518"/>
      <c r="BE27" s="518"/>
      <c r="BF27" s="518"/>
      <c r="BG27" s="518"/>
    </row>
    <row r="28" spans="1:59" x14ac:dyDescent="0.25">
      <c r="B28" s="142"/>
      <c r="C28" s="159"/>
      <c r="D28" s="170"/>
      <c r="E28" s="159"/>
      <c r="F28" s="130"/>
      <c r="G28" s="130"/>
      <c r="H28" s="131"/>
      <c r="I28" s="130"/>
      <c r="J28" s="130"/>
      <c r="K28" s="130"/>
      <c r="L28" s="131"/>
      <c r="M28" s="130"/>
      <c r="O28" s="143"/>
      <c r="P28" s="143"/>
      <c r="Q28" s="143"/>
      <c r="R28" s="143"/>
      <c r="S28" s="143"/>
      <c r="T28" s="143"/>
      <c r="U28" s="160"/>
      <c r="V28" s="160"/>
      <c r="W28" s="160"/>
      <c r="X28" s="160"/>
      <c r="Y28" s="160"/>
      <c r="Z28" s="160"/>
      <c r="AA28" s="149"/>
      <c r="AB28" s="149"/>
      <c r="AC28" s="149"/>
      <c r="AD28" s="149"/>
      <c r="AE28" s="149"/>
      <c r="AF28" s="149"/>
      <c r="AG28" s="161"/>
      <c r="AH28" s="161"/>
      <c r="AI28" s="161"/>
      <c r="AJ28" s="161"/>
      <c r="AK28" s="161"/>
      <c r="AL28" s="161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35"/>
      <c r="AZ28" s="135"/>
      <c r="BA28" s="517"/>
      <c r="BB28" s="517"/>
      <c r="BC28" s="517"/>
      <c r="BD28" s="517"/>
      <c r="BE28" s="517"/>
      <c r="BF28" s="517"/>
      <c r="BG28" s="518"/>
    </row>
    <row r="29" spans="1:59" x14ac:dyDescent="0.25">
      <c r="A29" s="195" t="s">
        <v>18</v>
      </c>
      <c r="B29" s="155" t="s">
        <v>453</v>
      </c>
      <c r="C29" s="159">
        <f t="shared" ref="C29:C34" si="30">SUM(O29:Z29)</f>
        <v>24</v>
      </c>
      <c r="D29" s="170">
        <f t="shared" si="14"/>
        <v>100502.04992384731</v>
      </c>
      <c r="E29" s="159">
        <f t="shared" si="3"/>
        <v>614454.35834399052</v>
      </c>
      <c r="F29" s="138"/>
      <c r="G29" s="130">
        <f t="shared" si="17"/>
        <v>10</v>
      </c>
      <c r="H29" s="131">
        <f t="shared" si="15"/>
        <v>55217.417555108943</v>
      </c>
      <c r="I29" s="130">
        <f t="shared" si="4"/>
        <v>353902.8303268723</v>
      </c>
      <c r="J29" s="138"/>
      <c r="K29" s="130">
        <f t="shared" si="5"/>
        <v>14</v>
      </c>
      <c r="L29" s="131">
        <f t="shared" si="6"/>
        <v>45284.632368738385</v>
      </c>
      <c r="M29" s="130">
        <f t="shared" si="7"/>
        <v>260432.81801711835</v>
      </c>
      <c r="O29" s="466">
        <f>SUMIFS('Mar16-Aug16 Billed-RETAIL'!$H$5:$H$143,'Mar16-Aug16 Billed-RETAIL'!$D$5:$D$143,SBR!O$4,'Mar16-Aug16 Billed-RETAIL'!$E$5:$E$143,SBR!$A29)+SUMIFS('Mar16-Aug16 Billed-RETAIL'!$AG$5:$AG$143,'Mar16-Aug16 Billed-RETAIL'!$D$5:$D$143,SBR!O$4,'Mar16-Aug16 Billed-RETAIL'!$E$5:$E$143,SBR!$A29)</f>
        <v>2</v>
      </c>
      <c r="P29" s="466">
        <f>SUMIFS('Mar16-Aug16 Billed-RETAIL'!$H$5:$H$143,'Mar16-Aug16 Billed-RETAIL'!$D$5:$D$143,SBR!P$4,'Mar16-Aug16 Billed-RETAIL'!$E$5:$E$143,SBR!$A29)+SUMIFS('Mar16-Aug16 Billed-RETAIL'!$AG$5:$AG$143,'Mar16-Aug16 Billed-RETAIL'!$D$5:$D$143,SBR!P$4,'Mar16-Aug16 Billed-RETAIL'!$E$5:$E$143,SBR!$A29)</f>
        <v>2</v>
      </c>
      <c r="Q29" s="466">
        <f>SUMIFS('Mar16-Aug16 Billed-RETAIL'!$H$5:$H$143,'Mar16-Aug16 Billed-RETAIL'!$D$5:$D$143,SBR!Q$4,'Mar16-Aug16 Billed-RETAIL'!$E$5:$E$143,SBR!$A29)+SUMIFS('Mar16-Aug16 Billed-RETAIL'!$AG$5:$AG$143,'Mar16-Aug16 Billed-RETAIL'!$D$5:$D$143,SBR!Q$4,'Mar16-Aug16 Billed-RETAIL'!$E$5:$E$143,SBR!$A29)</f>
        <v>2</v>
      </c>
      <c r="R29" s="466">
        <f>SUMIFS('Mar16-Aug16 Billed-RETAIL'!$H$5:$H$143,'Mar16-Aug16 Billed-RETAIL'!$D$5:$D$143,SBR!R$4,'Mar16-Aug16 Billed-RETAIL'!$E$5:$E$143,SBR!$A29)+SUMIFS('Mar16-Aug16 Billed-RETAIL'!$AG$5:$AG$143,'Mar16-Aug16 Billed-RETAIL'!$D$5:$D$143,SBR!R$4,'Mar16-Aug16 Billed-RETAIL'!$E$5:$E$143,SBR!$A29)</f>
        <v>2</v>
      </c>
      <c r="S29" s="466">
        <f>SUMIFS('Mar16-Aug16 Billed-RETAIL'!$H$5:$H$143,'Mar16-Aug16 Billed-RETAIL'!$D$5:$D$143,SBR!S$4,'Mar16-Aug16 Billed-RETAIL'!$E$5:$E$143,SBR!$A29)+SUMIFS('Mar16-Aug16 Billed-RETAIL'!$AG$5:$AG$143,'Mar16-Aug16 Billed-RETAIL'!$D$5:$D$143,SBR!S$4,'Mar16-Aug16 Billed-RETAIL'!$E$5:$E$143,SBR!$A29)</f>
        <v>2</v>
      </c>
      <c r="T29" s="466">
        <f>SUMIFS('Mar16-Aug16 Billed-RETAIL'!$H$5:$H$143,'Mar16-Aug16 Billed-RETAIL'!$D$5:$D$143,SBR!T$4,'Mar16-Aug16 Billed-RETAIL'!$E$5:$E$143,SBR!$A29)+SUMIFS('Mar16-Aug16 Billed-RETAIL'!$AG$5:$AG$143,'Mar16-Aug16 Billed-RETAIL'!$D$5:$D$143,SBR!T$4,'Mar16-Aug16 Billed-RETAIL'!$E$5:$E$143,SBR!$A29)</f>
        <v>2</v>
      </c>
      <c r="U29" s="466">
        <f>SUMIFS('Mar16-Aug16 Billed-RETAIL'!$H$5:$H$143,'Mar16-Aug16 Billed-RETAIL'!$D$5:$D$143,SBR!U$4,'Mar16-Aug16 Billed-RETAIL'!$E$5:$E$143,SBR!$A29)+SUMIFS('Mar16-Aug16 Billed-RETAIL'!$AG$5:$AG$143,'Mar16-Aug16 Billed-RETAIL'!$D$5:$D$143,SBR!U$4,'Mar16-Aug16 Billed-RETAIL'!$E$5:$E$143,SBR!$A29)</f>
        <v>2</v>
      </c>
      <c r="V29" s="466">
        <f>SUMIFS('Mar16-Aug16 Billed-RETAIL'!$H$5:$H$143,'Mar16-Aug16 Billed-RETAIL'!$D$5:$D$143,SBR!V$4,'Mar16-Aug16 Billed-RETAIL'!$E$5:$E$143,SBR!$A29)+SUMIFS('Mar16-Aug16 Billed-RETAIL'!$AG$5:$AG$143,'Mar16-Aug16 Billed-RETAIL'!$D$5:$D$143,SBR!V$4,'Mar16-Aug16 Billed-RETAIL'!$E$5:$E$143,SBR!$A29)</f>
        <v>2</v>
      </c>
      <c r="W29" s="466">
        <f>SUMIFS('Mar16-Aug16 Billed-RETAIL'!$H$5:$H$143,'Mar16-Aug16 Billed-RETAIL'!$D$5:$D$143,SBR!W$4,'Mar16-Aug16 Billed-RETAIL'!$E$5:$E$143,SBR!$A29)+SUMIFS('Mar16-Aug16 Billed-RETAIL'!$AG$5:$AG$143,'Mar16-Aug16 Billed-RETAIL'!$D$5:$D$143,SBR!W$4,'Mar16-Aug16 Billed-RETAIL'!$E$5:$E$143,SBR!$A29)</f>
        <v>2</v>
      </c>
      <c r="X29" s="466">
        <f>SUMIFS('Mar16-Aug16 Billed-RETAIL'!$H$5:$H$143,'Mar16-Aug16 Billed-RETAIL'!$D$5:$D$143,SBR!X$4,'Mar16-Aug16 Billed-RETAIL'!$E$5:$E$143,SBR!$A29)+SUMIFS('Mar16-Aug16 Billed-RETAIL'!$AG$5:$AG$143,'Mar16-Aug16 Billed-RETAIL'!$D$5:$D$143,SBR!X$4,'Mar16-Aug16 Billed-RETAIL'!$E$5:$E$143,SBR!$A29)</f>
        <v>2</v>
      </c>
      <c r="Y29" s="466">
        <f>SUMIFS('Mar16-Aug16 Billed-RETAIL'!$H$5:$H$143,'Mar16-Aug16 Billed-RETAIL'!$D$5:$D$143,SBR!Y$4,'Mar16-Aug16 Billed-RETAIL'!$E$5:$E$143,SBR!$A29)+SUMIFS('Mar16-Aug16 Billed-RETAIL'!$AG$5:$AG$143,'Mar16-Aug16 Billed-RETAIL'!$D$5:$D$143,SBR!Y$4,'Mar16-Aug16 Billed-RETAIL'!$E$5:$E$143,SBR!$A29)</f>
        <v>2</v>
      </c>
      <c r="Z29" s="466">
        <f>SUMIFS('Mar16-Aug16 Billed-RETAIL'!$H$5:$H$143,'Mar16-Aug16 Billed-RETAIL'!$D$5:$D$143,SBR!Z$4,'Mar16-Aug16 Billed-RETAIL'!$E$5:$E$143,SBR!$A29)+SUMIFS('Mar16-Aug16 Billed-RETAIL'!$AG$5:$AG$143,'Mar16-Aug16 Billed-RETAIL'!$D$5:$D$143,SBR!Z$4,'Mar16-Aug16 Billed-RETAIL'!$E$5:$E$143,SBR!$A29)</f>
        <v>2</v>
      </c>
      <c r="AA29" s="151">
        <f>(SUMIFS('Mar16-Aug16 Billed-RETAIL'!$K$5:$K$220,'Mar16-Aug16 Billed-RETAIL'!$D$5:$D$220,SBR!AA$4,'Mar16-Aug16 Billed-RETAIL'!$E$5:$E$220,SBR!$A29)+SUMIFS('Mar16-Aug16 Billed-RETAIL'!$L$5:$L$220,'Mar16-Aug16 Billed-RETAIL'!$D$5:$D$220,SBR!AA$4,'Mar16-Aug16 Billed-RETAIL'!$E$5:$E$220,SBR!$A29))*0.1</f>
        <v>5920.6</v>
      </c>
      <c r="AB29" s="151">
        <f>(SUMIFS('Mar16-Aug16 Billed-RETAIL'!$K$5:$K$220,'Mar16-Aug16 Billed-RETAIL'!$D$5:$D$220,SBR!AB$4,'Mar16-Aug16 Billed-RETAIL'!$E$5:$E$220,SBR!$A29)+SUMIFS('Mar16-Aug16 Billed-RETAIL'!$L$5:$L$220,'Mar16-Aug16 Billed-RETAIL'!$D$5:$D$220,SBR!AB$4,'Mar16-Aug16 Billed-RETAIL'!$E$5:$E$220,SBR!$A29))*0.1</f>
        <v>4415.1000000000004</v>
      </c>
      <c r="AC29" s="151">
        <f>(SUMIFS('Mar16-Aug16 Billed-RETAIL'!$K$5:$K$220,'Mar16-Aug16 Billed-RETAIL'!$D$5:$D$220,SBR!AC$4,'Mar16-Aug16 Billed-RETAIL'!$E$5:$E$220,SBR!$A29)+SUMIFS('Mar16-Aug16 Billed-RETAIL'!$L$5:$L$220,'Mar16-Aug16 Billed-RETAIL'!$D$5:$D$220,SBR!AC$4,'Mar16-Aug16 Billed-RETAIL'!$E$5:$E$220,SBR!$A29))*0.1</f>
        <v>3522.2000000000003</v>
      </c>
      <c r="AD29" s="151">
        <f>(SUMIFS('Mar16-Aug16 Billed-RETAIL'!$K$5:$K$220,'Mar16-Aug16 Billed-RETAIL'!$D$5:$D$220,SBR!AD$4,'Mar16-Aug16 Billed-RETAIL'!$E$5:$E$220,SBR!$A29)+SUMIFS('Mar16-Aug16 Billed-RETAIL'!$L$5:$L$220,'Mar16-Aug16 Billed-RETAIL'!$D$5:$D$220,SBR!AD$4,'Mar16-Aug16 Billed-RETAIL'!$E$5:$E$220,SBR!$A29))*0.1</f>
        <v>2665.3</v>
      </c>
      <c r="AE29" s="151">
        <f>(SUMIFS('Mar16-Aug16 Billed-RETAIL'!$K$5:$K$220,'Mar16-Aug16 Billed-RETAIL'!$D$5:$D$220,SBR!AE$4,'Mar16-Aug16 Billed-RETAIL'!$E$5:$E$220,SBR!$A29)+SUMIFS('Mar16-Aug16 Billed-RETAIL'!$L$5:$L$220,'Mar16-Aug16 Billed-RETAIL'!$D$5:$D$220,SBR!AE$4,'Mar16-Aug16 Billed-RETAIL'!$E$5:$E$220,SBR!$A29))*0.1</f>
        <v>2790.9</v>
      </c>
      <c r="AF29" s="151">
        <f>(SUMIFS('Mar16-Aug16 Billed-RETAIL'!$K$5:$K$220,'Mar16-Aug16 Billed-RETAIL'!$D$5:$D$220,SBR!AF$4,'Mar16-Aug16 Billed-RETAIL'!$E$5:$E$220,SBR!$A29)+SUMIFS('Mar16-Aug16 Billed-RETAIL'!$L$5:$L$220,'Mar16-Aug16 Billed-RETAIL'!$D$5:$D$220,SBR!AF$4,'Mar16-Aug16 Billed-RETAIL'!$E$5:$E$220,SBR!$A29))*0.1</f>
        <v>2523</v>
      </c>
      <c r="AG29" s="151">
        <f>(SUMIFS('Mar16-Aug16 Billed-RETAIL'!$K$5:$K$146,'Mar16-Aug16 Billed-RETAIL'!$D$5:$D$146,SBR!AG$4,'Mar16-Aug16 Billed-RETAIL'!$E$5:$E$146,SBR!$A29)+SUMIFS('Mar16-Aug16 Billed-RETAIL'!$K$5:$K$146,'Mar16-Aug16 Billed-RETAIL'!$D$5:$D$146,SBR!AG$4,'Mar16-Aug16 Billed-RETAIL'!$E$5:$E$146,SBR!$A30))*0.1</f>
        <v>13316.636065363678</v>
      </c>
      <c r="AH29" s="151">
        <f>(SUMIFS('Mar16-Aug16 Billed-RETAIL'!$K$5:$K$146,'Mar16-Aug16 Billed-RETAIL'!$D$5:$D$146,SBR!AH$4,'Mar16-Aug16 Billed-RETAIL'!$E$5:$E$146,SBR!$A29)+SUMIFS('Mar16-Aug16 Billed-RETAIL'!$K$5:$K$146,'Mar16-Aug16 Billed-RETAIL'!$D$5:$D$146,SBR!AH$4,'Mar16-Aug16 Billed-RETAIL'!$E$5:$E$146,SBR!$A30))*0.1</f>
        <v>16051.496303374703</v>
      </c>
      <c r="AI29" s="151">
        <f>(SUMIFS('Mar16-Aug16 Billed-RETAIL'!$K$5:$K$146,'Mar16-Aug16 Billed-RETAIL'!$D$5:$D$146,SBR!AI$4,'Mar16-Aug16 Billed-RETAIL'!$E$5:$E$146,SBR!$A29)+SUMIFS('Mar16-Aug16 Billed-RETAIL'!$K$5:$K$146,'Mar16-Aug16 Billed-RETAIL'!$D$5:$D$146,SBR!AI$4,'Mar16-Aug16 Billed-RETAIL'!$E$5:$E$146,SBR!$A30))*0.1</f>
        <v>16445.423080806486</v>
      </c>
      <c r="AJ29" s="151">
        <f>(SUMIFS('Mar16-Aug16 Billed-RETAIL'!$K$5:$K$146,'Mar16-Aug16 Billed-RETAIL'!$D$5:$D$146,SBR!AJ$4,'Mar16-Aug16 Billed-RETAIL'!$E$5:$E$146,SBR!$A29)+SUMIFS('Mar16-Aug16 Billed-RETAIL'!$K$5:$K$146,'Mar16-Aug16 Billed-RETAIL'!$D$5:$D$146,SBR!AJ$4,'Mar16-Aug16 Billed-RETAIL'!$E$5:$E$146,SBR!$A30))*0.1</f>
        <v>12600.718051137785</v>
      </c>
      <c r="AK29" s="151">
        <f>(SUMIFS('Mar16-Aug16 Billed-RETAIL'!$K$5:$K$146,'Mar16-Aug16 Billed-RETAIL'!$D$5:$D$146,SBR!AK$4,'Mar16-Aug16 Billed-RETAIL'!$E$5:$E$146,SBR!$A29)+SUMIFS('Mar16-Aug16 Billed-RETAIL'!$K$5:$K$146,'Mar16-Aug16 Billed-RETAIL'!$D$5:$D$146,SBR!AK$4,'Mar16-Aug16 Billed-RETAIL'!$E$5:$E$146,SBR!$A30))*0.1</f>
        <v>11020.617180533085</v>
      </c>
      <c r="AL29" s="151">
        <f>(SUMIFS('Mar16-Aug16 Billed-RETAIL'!$K$5:$K$146,'Mar16-Aug16 Billed-RETAIL'!$D$5:$D$146,SBR!AL$4,'Mar16-Aug16 Billed-RETAIL'!$E$5:$E$146,SBR!$A29)+SUMIFS('Mar16-Aug16 Billed-RETAIL'!$K$5:$K$146,'Mar16-Aug16 Billed-RETAIL'!$D$5:$D$146,SBR!AL$4,'Mar16-Aug16 Billed-RETAIL'!$E$5:$E$146,SBR!$A30))*0.1</f>
        <v>9230.0592426315852</v>
      </c>
      <c r="AM29" s="152">
        <f>SUMIFS('Mar16-Aug16 Billed-RETAIL'!$AZ$5:$AZ$146,'Mar16-Aug16 Billed-RETAIL'!$D$5:$D$146,SBR!AM$4,'Mar16-Aug16 Billed-RETAIL'!$E$5:$E$146,SBR!$A29)</f>
        <v>29507.33</v>
      </c>
      <c r="AN29" s="152">
        <f>SUMIFS('Mar16-Aug16 Billed-RETAIL'!$AZ$5:$AZ$146,'Mar16-Aug16 Billed-RETAIL'!$D$5:$D$146,SBR!AN$4,'Mar16-Aug16 Billed-RETAIL'!$E$5:$E$146,SBR!$A29)</f>
        <v>23576.07</v>
      </c>
      <c r="AO29" s="152">
        <f>SUMIFS('Mar16-Aug16 Billed-RETAIL'!$AZ$5:$AZ$146,'Mar16-Aug16 Billed-RETAIL'!$D$5:$D$146,SBR!AO$4,'Mar16-Aug16 Billed-RETAIL'!$E$5:$E$146,SBR!$A29)</f>
        <v>20780.41</v>
      </c>
      <c r="AP29" s="152">
        <f>SUMIFS('Mar16-Aug16 Billed-RETAIL'!$AZ$5:$AZ$146,'Mar16-Aug16 Billed-RETAIL'!$D$5:$D$146,SBR!AP$4,'Mar16-Aug16 Billed-RETAIL'!$E$5:$E$146,SBR!$A29)</f>
        <v>17724.240000000002</v>
      </c>
      <c r="AQ29" s="152">
        <f>SUMIFS('Mar16-Aug16 Billed-RETAIL'!$AZ$5:$AZ$146,'Mar16-Aug16 Billed-RETAIL'!$D$5:$D$146,SBR!AQ$4,'Mar16-Aug16 Billed-RETAIL'!$E$5:$E$146,SBR!$A29)</f>
        <v>18254.21</v>
      </c>
      <c r="AR29" s="152">
        <f>SUMIFS('Mar16-Aug16 Billed-RETAIL'!$AZ$5:$AZ$146,'Mar16-Aug16 Billed-RETAIL'!$D$5:$D$146,SBR!AR$4,'Mar16-Aug16 Billed-RETAIL'!$E$5:$E$146,SBR!$A29)</f>
        <v>17598.82</v>
      </c>
      <c r="AS29" s="152">
        <f>SUMIFS('Mar16-Aug16 Billed-RETAIL'!$AZ$5:$AZ$146,'Mar16-Aug16 Billed-RETAIL'!$D$5:$D$146,SBR!AS$4,'Mar16-Aug16 Billed-RETAIL'!$E$5:$E$146,SBR!$A29)</f>
        <v>71502.229468247446</v>
      </c>
      <c r="AT29" s="152">
        <f>SUMIFS('Mar16-Aug16 Billed-RETAIL'!$AZ$5:$AZ$146,'Mar16-Aug16 Billed-RETAIL'!$D$5:$D$146,SBR!AT$4,'Mar16-Aug16 Billed-RETAIL'!$E$5:$E$146,SBR!$A29)</f>
        <v>90996.838548870903</v>
      </c>
      <c r="AU29" s="152">
        <f>SUMIFS('Mar16-Aug16 Billed-RETAIL'!$AZ$5:$AZ$146,'Mar16-Aug16 Billed-RETAIL'!$D$5:$D$146,SBR!AU$4,'Mar16-Aug16 Billed-RETAIL'!$E$5:$E$146,SBR!$A29)</f>
        <v>102386.62055922105</v>
      </c>
      <c r="AV29" s="152">
        <f>SUMIFS('Mar16-Aug16 Billed-RETAIL'!$AZ$5:$AZ$146,'Mar16-Aug16 Billed-RETAIL'!$D$5:$D$146,SBR!AV$4,'Mar16-Aug16 Billed-RETAIL'!$E$5:$E$146,SBR!$A29)</f>
        <v>83241.339832988568</v>
      </c>
      <c r="AW29" s="152">
        <f>SUMIFS('Mar16-Aug16 Billed-RETAIL'!$AZ$5:$AZ$146,'Mar16-Aug16 Billed-RETAIL'!$D$5:$D$146,SBR!AW$4,'Mar16-Aug16 Billed-RETAIL'!$E$5:$E$146,SBR!$A29)</f>
        <v>71915.312420194299</v>
      </c>
      <c r="AX29" s="152">
        <f>SUMIFS('Mar16-Aug16 Billed-RETAIL'!$AZ$5:$AZ$146,'Mar16-Aug16 Billed-RETAIL'!$D$5:$D$146,SBR!AX$4,'Mar16-Aug16 Billed-RETAIL'!$E$5:$E$146,SBR!$A29)</f>
        <v>66852.227514468337</v>
      </c>
      <c r="AY29" s="135"/>
      <c r="AZ29" s="135"/>
      <c r="BA29" s="518">
        <f t="shared" ref="BA29:BF33" si="31">ROUND((AM29/SUM(AM$9+AM$16+AM$24+AM$34+AM$35))*BA$5,2)</f>
        <v>-0.24</v>
      </c>
      <c r="BB29" s="518">
        <f t="shared" si="31"/>
        <v>-1.78</v>
      </c>
      <c r="BC29" s="518">
        <f t="shared" si="31"/>
        <v>-0.96</v>
      </c>
      <c r="BD29" s="518">
        <f t="shared" si="31"/>
        <v>87.51</v>
      </c>
      <c r="BE29" s="518">
        <f t="shared" si="31"/>
        <v>23.98</v>
      </c>
      <c r="BF29" s="518">
        <f t="shared" si="31"/>
        <v>10.199999999999999</v>
      </c>
      <c r="BG29" s="518">
        <f t="shared" si="2"/>
        <v>118.71000000000001</v>
      </c>
    </row>
    <row r="30" spans="1:59" x14ac:dyDescent="0.25">
      <c r="A30" s="195" t="s">
        <v>22</v>
      </c>
      <c r="B30" s="155" t="s">
        <v>455</v>
      </c>
      <c r="C30" s="159">
        <f t="shared" si="30"/>
        <v>18</v>
      </c>
      <c r="D30" s="170">
        <f t="shared" si="14"/>
        <v>12091.300000000001</v>
      </c>
      <c r="E30" s="159">
        <f t="shared" si="3"/>
        <v>67090.39</v>
      </c>
      <c r="F30" s="138"/>
      <c r="G30" s="130">
        <f t="shared" si="17"/>
        <v>11</v>
      </c>
      <c r="H30" s="131">
        <f t="shared" si="15"/>
        <v>3907.7000000000003</v>
      </c>
      <c r="I30" s="130">
        <f t="shared" si="4"/>
        <v>24648.25</v>
      </c>
      <c r="J30" s="138"/>
      <c r="K30" s="130">
        <f t="shared" si="5"/>
        <v>7</v>
      </c>
      <c r="L30" s="131">
        <f t="shared" si="6"/>
        <v>8183.6</v>
      </c>
      <c r="M30" s="130">
        <f t="shared" si="7"/>
        <v>42445.05</v>
      </c>
      <c r="O30" s="466">
        <f>SUMIFS('Mar16-Aug16 Billed-RETAIL'!$H$5:$H$143,'Mar16-Aug16 Billed-RETAIL'!$D$5:$D$143,SBR!O$4,'Mar16-Aug16 Billed-RETAIL'!$E$5:$E$143,SBR!$A30)+SUMIFS('Mar16-Aug16 Billed-RETAIL'!$AG$5:$AG$143,'Mar16-Aug16 Billed-RETAIL'!$D$5:$D$143,SBR!O$4,'Mar16-Aug16 Billed-RETAIL'!$E$5:$E$143,SBR!$A30)</f>
        <v>3</v>
      </c>
      <c r="P30" s="466">
        <f>SUMIFS('Mar16-Aug16 Billed-RETAIL'!$H$5:$H$143,'Mar16-Aug16 Billed-RETAIL'!$D$5:$D$143,SBR!P$4,'Mar16-Aug16 Billed-RETAIL'!$E$5:$E$143,SBR!$A30)+SUMIFS('Mar16-Aug16 Billed-RETAIL'!$AG$5:$AG$143,'Mar16-Aug16 Billed-RETAIL'!$D$5:$D$143,SBR!P$4,'Mar16-Aug16 Billed-RETAIL'!$E$5:$E$143,SBR!$A30)</f>
        <v>2</v>
      </c>
      <c r="Q30" s="466">
        <f>SUMIFS('Mar16-Aug16 Billed-RETAIL'!$H$5:$H$143,'Mar16-Aug16 Billed-RETAIL'!$D$5:$D$143,SBR!Q$4,'Mar16-Aug16 Billed-RETAIL'!$E$5:$E$143,SBR!$A30)+SUMIFS('Mar16-Aug16 Billed-RETAIL'!$AG$5:$AG$143,'Mar16-Aug16 Billed-RETAIL'!$D$5:$D$143,SBR!Q$4,'Mar16-Aug16 Billed-RETAIL'!$E$5:$E$143,SBR!$A30)</f>
        <v>1</v>
      </c>
      <c r="R30" s="466">
        <f>SUMIFS('Mar16-Aug16 Billed-RETAIL'!$H$5:$H$143,'Mar16-Aug16 Billed-RETAIL'!$D$5:$D$143,SBR!R$4,'Mar16-Aug16 Billed-RETAIL'!$E$5:$E$143,SBR!$A30)+SUMIFS('Mar16-Aug16 Billed-RETAIL'!$AG$5:$AG$143,'Mar16-Aug16 Billed-RETAIL'!$D$5:$D$143,SBR!R$4,'Mar16-Aug16 Billed-RETAIL'!$E$5:$E$143,SBR!$A30)</f>
        <v>0</v>
      </c>
      <c r="S30" s="466">
        <f>SUMIFS('Mar16-Aug16 Billed-RETAIL'!$H$5:$H$143,'Mar16-Aug16 Billed-RETAIL'!$D$5:$D$143,SBR!S$4,'Mar16-Aug16 Billed-RETAIL'!$E$5:$E$143,SBR!$A30)+SUMIFS('Mar16-Aug16 Billed-RETAIL'!$AG$5:$AG$143,'Mar16-Aug16 Billed-RETAIL'!$D$5:$D$143,SBR!S$4,'Mar16-Aug16 Billed-RETAIL'!$E$5:$E$143,SBR!$A30)</f>
        <v>0</v>
      </c>
      <c r="T30" s="466">
        <f>SUMIFS('Mar16-Aug16 Billed-RETAIL'!$H$5:$H$143,'Mar16-Aug16 Billed-RETAIL'!$D$5:$D$143,SBR!T$4,'Mar16-Aug16 Billed-RETAIL'!$E$5:$E$143,SBR!$A30)+SUMIFS('Mar16-Aug16 Billed-RETAIL'!$AG$5:$AG$143,'Mar16-Aug16 Billed-RETAIL'!$D$5:$D$143,SBR!T$4,'Mar16-Aug16 Billed-RETAIL'!$E$5:$E$143,SBR!$A30)</f>
        <v>0</v>
      </c>
      <c r="U30" s="466">
        <f>SUMIFS('Mar16-Aug16 Billed-RETAIL'!$H$5:$H$143,'Mar16-Aug16 Billed-RETAIL'!$D$5:$D$143,SBR!U$4,'Mar16-Aug16 Billed-RETAIL'!$E$5:$E$143,SBR!$A30)+SUMIFS('Mar16-Aug16 Billed-RETAIL'!$AG$5:$AG$143,'Mar16-Aug16 Billed-RETAIL'!$D$5:$D$143,SBR!U$4,'Mar16-Aug16 Billed-RETAIL'!$E$5:$E$143,SBR!$A30)</f>
        <v>2</v>
      </c>
      <c r="V30" s="466">
        <f>SUMIFS('Mar16-Aug16 Billed-RETAIL'!$H$5:$H$143,'Mar16-Aug16 Billed-RETAIL'!$D$5:$D$143,SBR!V$4,'Mar16-Aug16 Billed-RETAIL'!$E$5:$E$143,SBR!$A30)+SUMIFS('Mar16-Aug16 Billed-RETAIL'!$AG$5:$AG$143,'Mar16-Aug16 Billed-RETAIL'!$D$5:$D$143,SBR!V$4,'Mar16-Aug16 Billed-RETAIL'!$E$5:$E$143,SBR!$A30)</f>
        <v>2</v>
      </c>
      <c r="W30" s="466">
        <f>SUMIFS('Mar16-Aug16 Billed-RETAIL'!$H$5:$H$143,'Mar16-Aug16 Billed-RETAIL'!$D$5:$D$143,SBR!W$4,'Mar16-Aug16 Billed-RETAIL'!$E$5:$E$143,SBR!$A30)+SUMIFS('Mar16-Aug16 Billed-RETAIL'!$AG$5:$AG$143,'Mar16-Aug16 Billed-RETAIL'!$D$5:$D$143,SBR!W$4,'Mar16-Aug16 Billed-RETAIL'!$E$5:$E$143,SBR!$A30)</f>
        <v>2</v>
      </c>
      <c r="X30" s="466">
        <f>SUMIFS('Mar16-Aug16 Billed-RETAIL'!$H$5:$H$143,'Mar16-Aug16 Billed-RETAIL'!$D$5:$D$143,SBR!X$4,'Mar16-Aug16 Billed-RETAIL'!$E$5:$E$143,SBR!$A30)+SUMIFS('Mar16-Aug16 Billed-RETAIL'!$AG$5:$AG$143,'Mar16-Aug16 Billed-RETAIL'!$D$5:$D$143,SBR!X$4,'Mar16-Aug16 Billed-RETAIL'!$E$5:$E$143,SBR!$A30)</f>
        <v>2</v>
      </c>
      <c r="Y30" s="466">
        <f>SUMIFS('Mar16-Aug16 Billed-RETAIL'!$H$5:$H$143,'Mar16-Aug16 Billed-RETAIL'!$D$5:$D$143,SBR!Y$4,'Mar16-Aug16 Billed-RETAIL'!$E$5:$E$143,SBR!$A30)+SUMIFS('Mar16-Aug16 Billed-RETAIL'!$AG$5:$AG$143,'Mar16-Aug16 Billed-RETAIL'!$D$5:$D$143,SBR!Y$4,'Mar16-Aug16 Billed-RETAIL'!$E$5:$E$143,SBR!$A30)</f>
        <v>2</v>
      </c>
      <c r="Z30" s="466">
        <f>SUMIFS('Mar16-Aug16 Billed-RETAIL'!$H$5:$H$143,'Mar16-Aug16 Billed-RETAIL'!$D$5:$D$143,SBR!Z$4,'Mar16-Aug16 Billed-RETAIL'!$E$5:$E$143,SBR!$A30)+SUMIFS('Mar16-Aug16 Billed-RETAIL'!$AG$5:$AG$143,'Mar16-Aug16 Billed-RETAIL'!$D$5:$D$143,SBR!Z$4,'Mar16-Aug16 Billed-RETAIL'!$E$5:$E$143,SBR!$A30)</f>
        <v>2</v>
      </c>
      <c r="AA30" s="151">
        <f>(SUMIFS('Mar16-Aug16 Billed-RETAIL'!$K$5:$K$220,'Mar16-Aug16 Billed-RETAIL'!$D$5:$D$220,SBR!AA$4,'Mar16-Aug16 Billed-RETAIL'!$E$5:$E$220,SBR!$A30)+SUMIFS('Mar16-Aug16 Billed-RETAIL'!$L$5:$L$220,'Mar16-Aug16 Billed-RETAIL'!$D$5:$D$220,SBR!AA$4,'Mar16-Aug16 Billed-RETAIL'!$E$5:$E$220,SBR!$A30))*0.1</f>
        <v>3907.7000000000003</v>
      </c>
      <c r="AB30" s="151">
        <f>(SUMIFS('Mar16-Aug16 Billed-RETAIL'!$K$5:$K$220,'Mar16-Aug16 Billed-RETAIL'!$D$5:$D$220,SBR!AB$4,'Mar16-Aug16 Billed-RETAIL'!$E$5:$E$220,SBR!$A30)+SUMIFS('Mar16-Aug16 Billed-RETAIL'!$L$5:$L$220,'Mar16-Aug16 Billed-RETAIL'!$D$5:$D$220,SBR!AB$4,'Mar16-Aug16 Billed-RETAIL'!$E$5:$E$220,SBR!$A30))*0.1</f>
        <v>4873.4000000000005</v>
      </c>
      <c r="AC30" s="151">
        <f>(SUMIFS('Mar16-Aug16 Billed-RETAIL'!$K$5:$K$220,'Mar16-Aug16 Billed-RETAIL'!$D$5:$D$220,SBR!AC$4,'Mar16-Aug16 Billed-RETAIL'!$E$5:$E$220,SBR!$A30)+SUMIFS('Mar16-Aug16 Billed-RETAIL'!$L$5:$L$220,'Mar16-Aug16 Billed-RETAIL'!$D$5:$D$220,SBR!AC$4,'Mar16-Aug16 Billed-RETAIL'!$E$5:$E$220,SBR!$A30))*0.1</f>
        <v>3310.2000000000003</v>
      </c>
      <c r="AD30" s="151">
        <f>(SUMIFS('Mar16-Aug16 Billed-RETAIL'!$K$5:$K$220,'Mar16-Aug16 Billed-RETAIL'!$D$5:$D$220,SBR!AD$4,'Mar16-Aug16 Billed-RETAIL'!$E$5:$E$220,SBR!$A30)+SUMIFS('Mar16-Aug16 Billed-RETAIL'!$L$5:$L$220,'Mar16-Aug16 Billed-RETAIL'!$D$5:$D$220,SBR!AD$4,'Mar16-Aug16 Billed-RETAIL'!$E$5:$E$220,SBR!$A30))*0.1</f>
        <v>0</v>
      </c>
      <c r="AE30" s="151"/>
      <c r="AF30" s="151"/>
      <c r="AG30" s="151"/>
      <c r="AH30" s="151"/>
      <c r="AI30" s="151"/>
      <c r="AJ30" s="151"/>
      <c r="AK30" s="151"/>
      <c r="AL30" s="151"/>
      <c r="AM30" s="152">
        <f>SUMIFS('Mar16-Aug16 Billed-RETAIL'!$AZ$5:$AZ$146,'Mar16-Aug16 Billed-RETAIL'!$D$5:$D$146,SBR!AM$4,'Mar16-Aug16 Billed-RETAIL'!$E$5:$E$146,SBR!$A30)</f>
        <v>24648.25</v>
      </c>
      <c r="AN30" s="152">
        <f>SUMIFS('Mar16-Aug16 Billed-RETAIL'!$AZ$5:$AZ$146,'Mar16-Aug16 Billed-RETAIL'!$D$5:$D$146,SBR!AN$4,'Mar16-Aug16 Billed-RETAIL'!$E$5:$E$146,SBR!$A30)</f>
        <v>25354.43</v>
      </c>
      <c r="AO30" s="152">
        <f>SUMIFS('Mar16-Aug16 Billed-RETAIL'!$AZ$5:$AZ$146,'Mar16-Aug16 Billed-RETAIL'!$D$5:$D$146,SBR!AO$4,'Mar16-Aug16 Billed-RETAIL'!$E$5:$E$146,SBR!$A30)</f>
        <v>17090.62</v>
      </c>
      <c r="AP30" s="152">
        <f>SUMIFS('Mar16-Aug16 Billed-RETAIL'!$AZ$5:$AZ$146,'Mar16-Aug16 Billed-RETAIL'!$D$5:$D$146,SBR!AP$4,'Mar16-Aug16 Billed-RETAIL'!$E$5:$E$146,SBR!$A30)</f>
        <v>0</v>
      </c>
      <c r="AQ30" s="152">
        <f>SUMIFS('Mar16-Aug16 Billed-RETAIL'!$AZ$5:$AZ$146,'Mar16-Aug16 Billed-RETAIL'!$D$5:$D$146,SBR!AQ$4,'Mar16-Aug16 Billed-RETAIL'!$E$5:$E$146,SBR!$A30)</f>
        <v>0</v>
      </c>
      <c r="AR30" s="152">
        <f>SUMIFS('Mar16-Aug16 Billed-RETAIL'!$AZ$5:$AZ$146,'Mar16-Aug16 Billed-RETAIL'!$D$5:$D$146,SBR!AR$4,'Mar16-Aug16 Billed-RETAIL'!$E$5:$E$146,SBR!$A30)</f>
        <v>0</v>
      </c>
      <c r="AS30" s="152"/>
      <c r="AT30" s="152"/>
      <c r="AU30" s="152"/>
      <c r="AV30" s="152"/>
      <c r="AW30" s="152"/>
      <c r="AX30" s="152"/>
      <c r="AY30" s="135"/>
      <c r="AZ30" s="135"/>
      <c r="BA30" s="518">
        <f t="shared" si="31"/>
        <v>-0.2</v>
      </c>
      <c r="BB30" s="518">
        <f t="shared" si="31"/>
        <v>-1.92</v>
      </c>
      <c r="BC30" s="518">
        <f t="shared" si="31"/>
        <v>-0.79</v>
      </c>
      <c r="BD30" s="518">
        <f t="shared" si="31"/>
        <v>0</v>
      </c>
      <c r="BE30" s="518">
        <f t="shared" si="31"/>
        <v>0</v>
      </c>
      <c r="BF30" s="518">
        <f t="shared" si="31"/>
        <v>0</v>
      </c>
      <c r="BG30" s="518">
        <f>SUM(BA30:BF30)</f>
        <v>-2.91</v>
      </c>
    </row>
    <row r="31" spans="1:59" x14ac:dyDescent="0.25">
      <c r="A31" s="195" t="s">
        <v>872</v>
      </c>
      <c r="B31" s="155" t="s">
        <v>455</v>
      </c>
      <c r="C31" s="189">
        <f t="shared" si="30"/>
        <v>7</v>
      </c>
      <c r="D31" s="673">
        <f t="shared" si="14"/>
        <v>21849.200000000001</v>
      </c>
      <c r="E31" s="189">
        <f t="shared" si="3"/>
        <v>117142.50000000001</v>
      </c>
      <c r="F31" s="138"/>
      <c r="G31" s="138">
        <f t="shared" si="17"/>
        <v>0</v>
      </c>
      <c r="H31" s="562">
        <f t="shared" si="15"/>
        <v>0</v>
      </c>
      <c r="I31" s="138">
        <f t="shared" si="4"/>
        <v>0</v>
      </c>
      <c r="J31" s="138"/>
      <c r="K31" s="138">
        <f t="shared" si="5"/>
        <v>7</v>
      </c>
      <c r="L31" s="562">
        <f t="shared" si="6"/>
        <v>21849.200000000001</v>
      </c>
      <c r="M31" s="138">
        <f t="shared" si="7"/>
        <v>116901.73000000001</v>
      </c>
      <c r="N31" s="50"/>
      <c r="O31" s="466">
        <f>SUMIFS('Mar16-Aug16 Billed-RETAIL'!$H$5:$H$143,'Mar16-Aug16 Billed-RETAIL'!$D$5:$D$143,SBR!O$4,'Mar16-Aug16 Billed-RETAIL'!$E$5:$E$143,SBR!$A31)+SUMIFS('Mar16-Aug16 Billed-RETAIL'!$AG$5:$AG$143,'Mar16-Aug16 Billed-RETAIL'!$D$5:$D$143,SBR!O$4,'Mar16-Aug16 Billed-RETAIL'!$E$5:$E$143,SBR!$A31)</f>
        <v>0</v>
      </c>
      <c r="P31" s="466">
        <f>SUMIFS('Mar16-Aug16 Billed-RETAIL'!$H$5:$H$143,'Mar16-Aug16 Billed-RETAIL'!$D$5:$D$143,SBR!P$4,'Mar16-Aug16 Billed-RETAIL'!$E$5:$E$143,SBR!$A31)+SUMIFS('Mar16-Aug16 Billed-RETAIL'!$AG$5:$AG$143,'Mar16-Aug16 Billed-RETAIL'!$D$5:$D$143,SBR!P$4,'Mar16-Aug16 Billed-RETAIL'!$E$5:$E$143,SBR!$A31)</f>
        <v>0</v>
      </c>
      <c r="Q31" s="466">
        <f>SUMIFS('Mar16-Aug16 Billed-RETAIL'!$H$5:$H$143,'Mar16-Aug16 Billed-RETAIL'!$D$5:$D$143,SBR!Q$4,'Mar16-Aug16 Billed-RETAIL'!$E$5:$E$143,SBR!$A31)+SUMIFS('Mar16-Aug16 Billed-RETAIL'!$AG$5:$AG$143,'Mar16-Aug16 Billed-RETAIL'!$D$5:$D$143,SBR!Q$4,'Mar16-Aug16 Billed-RETAIL'!$E$5:$E$143,SBR!$A31)</f>
        <v>1</v>
      </c>
      <c r="R31" s="466">
        <f>SUMIFS('Mar16-Aug16 Billed-RETAIL'!$H$5:$H$143,'Mar16-Aug16 Billed-RETAIL'!$D$5:$D$143,SBR!R$4,'Mar16-Aug16 Billed-RETAIL'!$E$5:$E$143,SBR!$A31)+SUMIFS('Mar16-Aug16 Billed-RETAIL'!$AG$5:$AG$143,'Mar16-Aug16 Billed-RETAIL'!$D$5:$D$143,SBR!R$4,'Mar16-Aug16 Billed-RETAIL'!$E$5:$E$143,SBR!$A31)</f>
        <v>2</v>
      </c>
      <c r="S31" s="466">
        <f>SUMIFS('Mar16-Aug16 Billed-RETAIL'!$H$5:$H$143,'Mar16-Aug16 Billed-RETAIL'!$D$5:$D$143,SBR!S$4,'Mar16-Aug16 Billed-RETAIL'!$E$5:$E$143,SBR!$A31)+SUMIFS('Mar16-Aug16 Billed-RETAIL'!$AG$5:$AG$143,'Mar16-Aug16 Billed-RETAIL'!$D$5:$D$143,SBR!S$4,'Mar16-Aug16 Billed-RETAIL'!$E$5:$E$143,SBR!$A31)</f>
        <v>2</v>
      </c>
      <c r="T31" s="466">
        <f>SUMIFS('Mar16-Aug16 Billed-RETAIL'!$H$5:$H$143,'Mar16-Aug16 Billed-RETAIL'!$D$5:$D$143,SBR!T$4,'Mar16-Aug16 Billed-RETAIL'!$E$5:$E$143,SBR!$A31)+SUMIFS('Mar16-Aug16 Billed-RETAIL'!$AG$5:$AG$143,'Mar16-Aug16 Billed-RETAIL'!$D$5:$D$143,SBR!T$4,'Mar16-Aug16 Billed-RETAIL'!$E$5:$E$143,SBR!$A31)</f>
        <v>2</v>
      </c>
      <c r="U31" s="466">
        <f>SUMIFS('Mar16-Aug16 Billed-RETAIL'!$H$5:$H$143,'Mar16-Aug16 Billed-RETAIL'!$D$5:$D$143,SBR!U$4,'Mar16-Aug16 Billed-RETAIL'!$E$5:$E$143,SBR!$A31)+SUMIFS('Mar16-Aug16 Billed-RETAIL'!$AG$5:$AG$143,'Mar16-Aug16 Billed-RETAIL'!$D$5:$D$143,SBR!U$4,'Mar16-Aug16 Billed-RETAIL'!$E$5:$E$143,SBR!$A31)</f>
        <v>0</v>
      </c>
      <c r="V31" s="466">
        <f>SUMIFS('Mar16-Aug16 Billed-RETAIL'!$H$5:$H$143,'Mar16-Aug16 Billed-RETAIL'!$D$5:$D$143,SBR!V$4,'Mar16-Aug16 Billed-RETAIL'!$E$5:$E$143,SBR!$A31)+SUMIFS('Mar16-Aug16 Billed-RETAIL'!$AG$5:$AG$143,'Mar16-Aug16 Billed-RETAIL'!$D$5:$D$143,SBR!V$4,'Mar16-Aug16 Billed-RETAIL'!$E$5:$E$143,SBR!$A31)</f>
        <v>0</v>
      </c>
      <c r="W31" s="466">
        <f>SUMIFS('Mar16-Aug16 Billed-RETAIL'!$H$5:$H$143,'Mar16-Aug16 Billed-RETAIL'!$D$5:$D$143,SBR!W$4,'Mar16-Aug16 Billed-RETAIL'!$E$5:$E$143,SBR!$A31)+SUMIFS('Mar16-Aug16 Billed-RETAIL'!$AG$5:$AG$143,'Mar16-Aug16 Billed-RETAIL'!$D$5:$D$143,SBR!W$4,'Mar16-Aug16 Billed-RETAIL'!$E$5:$E$143,SBR!$A31)</f>
        <v>0</v>
      </c>
      <c r="X31" s="466">
        <f>SUMIFS('Mar16-Aug16 Billed-RETAIL'!$H$5:$H$143,'Mar16-Aug16 Billed-RETAIL'!$D$5:$D$143,SBR!X$4,'Mar16-Aug16 Billed-RETAIL'!$E$5:$E$143,SBR!$A31)+SUMIFS('Mar16-Aug16 Billed-RETAIL'!$AG$5:$AG$143,'Mar16-Aug16 Billed-RETAIL'!$D$5:$D$143,SBR!X$4,'Mar16-Aug16 Billed-RETAIL'!$E$5:$E$143,SBR!$A31)</f>
        <v>0</v>
      </c>
      <c r="Y31" s="466">
        <f>SUMIFS('Mar16-Aug16 Billed-RETAIL'!$H$5:$H$143,'Mar16-Aug16 Billed-RETAIL'!$D$5:$D$143,SBR!Y$4,'Mar16-Aug16 Billed-RETAIL'!$E$5:$E$143,SBR!$A31)+SUMIFS('Mar16-Aug16 Billed-RETAIL'!$AG$5:$AG$143,'Mar16-Aug16 Billed-RETAIL'!$D$5:$D$143,SBR!Y$4,'Mar16-Aug16 Billed-RETAIL'!$E$5:$E$143,SBR!$A31)</f>
        <v>0</v>
      </c>
      <c r="Z31" s="466">
        <f>SUMIFS('Mar16-Aug16 Billed-RETAIL'!$H$5:$H$143,'Mar16-Aug16 Billed-RETAIL'!$D$5:$D$143,SBR!Z$4,'Mar16-Aug16 Billed-RETAIL'!$E$5:$E$143,SBR!$A31)+SUMIFS('Mar16-Aug16 Billed-RETAIL'!$AG$5:$AG$143,'Mar16-Aug16 Billed-RETAIL'!$D$5:$D$143,SBR!Z$4,'Mar16-Aug16 Billed-RETAIL'!$E$5:$E$143,SBR!$A31)</f>
        <v>0</v>
      </c>
      <c r="AA31" s="151">
        <f>(SUMIFS('Mar16-Aug16 Billed-RETAIL'!$K$5:$K$220,'Mar16-Aug16 Billed-RETAIL'!$D$5:$D$220,SBR!AA$4,'Mar16-Aug16 Billed-RETAIL'!$E$5:$E$220,SBR!$A31)+SUMIFS('Mar16-Aug16 Billed-RETAIL'!$L$5:$L$220,'Mar16-Aug16 Billed-RETAIL'!$D$5:$D$220,SBR!AA$4,'Mar16-Aug16 Billed-RETAIL'!$E$5:$E$220,SBR!$A31))*0.1</f>
        <v>0</v>
      </c>
      <c r="AB31" s="151">
        <f>(SUMIFS('Mar16-Aug16 Billed-RETAIL'!$K$5:$K$220,'Mar16-Aug16 Billed-RETAIL'!$D$5:$D$220,SBR!AB$4,'Mar16-Aug16 Billed-RETAIL'!$E$5:$E$220,SBR!$A31)+SUMIFS('Mar16-Aug16 Billed-RETAIL'!$L$5:$L$220,'Mar16-Aug16 Billed-RETAIL'!$D$5:$D$220,SBR!AB$4,'Mar16-Aug16 Billed-RETAIL'!$E$5:$E$220,SBR!$A31))*0.1</f>
        <v>0</v>
      </c>
      <c r="AC31" s="151">
        <f>(SUMIFS('Mar16-Aug16 Billed-RETAIL'!$K$5:$K$220,'Mar16-Aug16 Billed-RETAIL'!$D$5:$D$220,SBR!AC$4,'Mar16-Aug16 Billed-RETAIL'!$E$5:$E$220,SBR!$A31)+SUMIFS('Mar16-Aug16 Billed-RETAIL'!$L$5:$L$220,'Mar16-Aug16 Billed-RETAIL'!$D$5:$D$220,SBR!AC$4,'Mar16-Aug16 Billed-RETAIL'!$E$5:$E$220,SBR!$A31))*0.1</f>
        <v>2883.9</v>
      </c>
      <c r="AD31" s="151">
        <f>(SUMIFS('Mar16-Aug16 Billed-RETAIL'!$K$5:$K$220,'Mar16-Aug16 Billed-RETAIL'!$D$5:$D$220,SBR!AD$4,'Mar16-Aug16 Billed-RETAIL'!$E$5:$E$220,SBR!$A31)+SUMIFS('Mar16-Aug16 Billed-RETAIL'!$L$5:$L$220,'Mar16-Aug16 Billed-RETAIL'!$D$5:$D$220,SBR!AD$4,'Mar16-Aug16 Billed-RETAIL'!$E$5:$E$220,SBR!$A31))*0.1</f>
        <v>7558.4000000000005</v>
      </c>
      <c r="AE31" s="151">
        <f>(SUMIFS('Mar16-Aug16 Billed-RETAIL'!$K$5:$K$220,'Mar16-Aug16 Billed-RETAIL'!$D$5:$D$220,SBR!AE$4,'Mar16-Aug16 Billed-RETAIL'!$E$5:$E$220,SBR!$A31)+SUMIFS('Mar16-Aug16 Billed-RETAIL'!$L$5:$L$220,'Mar16-Aug16 Billed-RETAIL'!$D$5:$D$220,SBR!AE$4,'Mar16-Aug16 Billed-RETAIL'!$E$5:$E$220,SBR!$A31))*0.1</f>
        <v>3504.6000000000004</v>
      </c>
      <c r="AF31" s="151">
        <f>(SUMIFS('Mar16-Aug16 Billed-RETAIL'!$K$5:$K$220,'Mar16-Aug16 Billed-RETAIL'!$D$5:$D$220,SBR!AF$4,'Mar16-Aug16 Billed-RETAIL'!$E$5:$E$220,SBR!$A31)+SUMIFS('Mar16-Aug16 Billed-RETAIL'!$L$5:$L$220,'Mar16-Aug16 Billed-RETAIL'!$D$5:$D$220,SBR!AF$4,'Mar16-Aug16 Billed-RETAIL'!$E$5:$E$220,SBR!$A31))*0.1</f>
        <v>7902.3</v>
      </c>
      <c r="AG31" s="151">
        <f>(SUMIFS('Mar16-Aug16 Billed-RETAIL'!$K$5:$K$220,'Mar16-Aug16 Billed-RETAIL'!$D$5:$D$220,SBR!AG$4,'Mar16-Aug16 Billed-RETAIL'!$E$5:$E$220,SBR!$A31)+SUMIFS('Mar16-Aug16 Billed-RETAIL'!$L$5:$L$220,'Mar16-Aug16 Billed-RETAIL'!$D$5:$D$220,SBR!AG$4,'Mar16-Aug16 Billed-RETAIL'!$E$5:$E$220,SBR!$A31))*0.1</f>
        <v>0</v>
      </c>
      <c r="AH31" s="151">
        <f>(SUMIFS('Mar16-Aug16 Billed-RETAIL'!$K$5:$K$220,'Mar16-Aug16 Billed-RETAIL'!$D$5:$D$220,SBR!AH$4,'Mar16-Aug16 Billed-RETAIL'!$E$5:$E$220,SBR!$A31)+SUMIFS('Mar16-Aug16 Billed-RETAIL'!$L$5:$L$220,'Mar16-Aug16 Billed-RETAIL'!$D$5:$D$220,SBR!AH$4,'Mar16-Aug16 Billed-RETAIL'!$E$5:$E$220,SBR!$A31))*0.1</f>
        <v>0</v>
      </c>
      <c r="AI31" s="151">
        <f>(SUMIFS('Mar16-Aug16 Billed-RETAIL'!$K$5:$K$220,'Mar16-Aug16 Billed-RETAIL'!$D$5:$D$220,SBR!AI$4,'Mar16-Aug16 Billed-RETAIL'!$E$5:$E$220,SBR!$A31)+SUMIFS('Mar16-Aug16 Billed-RETAIL'!$L$5:$L$220,'Mar16-Aug16 Billed-RETAIL'!$D$5:$D$220,SBR!AI$4,'Mar16-Aug16 Billed-RETAIL'!$E$5:$E$220,SBR!$A31))*0.1</f>
        <v>0</v>
      </c>
      <c r="AJ31" s="151">
        <f>(SUMIFS('Mar16-Aug16 Billed-RETAIL'!$K$5:$K$220,'Mar16-Aug16 Billed-RETAIL'!$D$5:$D$220,SBR!AJ$4,'Mar16-Aug16 Billed-RETAIL'!$E$5:$E$220,SBR!$A31)+SUMIFS('Mar16-Aug16 Billed-RETAIL'!$L$5:$L$220,'Mar16-Aug16 Billed-RETAIL'!$D$5:$D$220,SBR!AJ$4,'Mar16-Aug16 Billed-RETAIL'!$E$5:$E$220,SBR!$A31))*0.1</f>
        <v>0</v>
      </c>
      <c r="AK31" s="151">
        <f>(SUMIFS('Mar16-Aug16 Billed-RETAIL'!$K$5:$K$220,'Mar16-Aug16 Billed-RETAIL'!$D$5:$D$220,SBR!AK$4,'Mar16-Aug16 Billed-RETAIL'!$E$5:$E$220,SBR!$A31)+SUMIFS('Mar16-Aug16 Billed-RETAIL'!$L$5:$L$220,'Mar16-Aug16 Billed-RETAIL'!$D$5:$D$220,SBR!AK$4,'Mar16-Aug16 Billed-RETAIL'!$E$5:$E$220,SBR!$A31))*0.1</f>
        <v>0</v>
      </c>
      <c r="AL31" s="151">
        <f>(SUMIFS('Mar16-Aug16 Billed-RETAIL'!$K$5:$K$220,'Mar16-Aug16 Billed-RETAIL'!$D$5:$D$220,SBR!AL$4,'Mar16-Aug16 Billed-RETAIL'!$E$5:$E$220,SBR!$A31)+SUMIFS('Mar16-Aug16 Billed-RETAIL'!$L$5:$L$220,'Mar16-Aug16 Billed-RETAIL'!$D$5:$D$220,SBR!AL$4,'Mar16-Aug16 Billed-RETAIL'!$E$5:$E$220,SBR!$A31))*0.1</f>
        <v>0</v>
      </c>
      <c r="AM31" s="152">
        <f>SUMIFS('Mar16-Aug16 Billed-RETAIL'!$AZ$5:$AZ$146,'Mar16-Aug16 Billed-RETAIL'!$D$5:$D$146,SBR!AM$4,'Mar16-Aug16 Billed-RETAIL'!$E$5:$E$146,SBR!$A31)</f>
        <v>0</v>
      </c>
      <c r="AN31" s="152">
        <f>SUMIFS('Mar16-Aug16 Billed-RETAIL'!$AZ$5:$AZ$146,'Mar16-Aug16 Billed-RETAIL'!$D$5:$D$146,SBR!AN$4,'Mar16-Aug16 Billed-RETAIL'!$E$5:$E$146,SBR!$A31)</f>
        <v>0</v>
      </c>
      <c r="AO31" s="152">
        <f>SUMIFS('Mar16-Aug16 Billed-RETAIL'!$AZ$5:$AZ$146,'Mar16-Aug16 Billed-RETAIL'!$D$5:$D$146,SBR!AO$4,'Mar16-Aug16 Billed-RETAIL'!$E$5:$E$146,SBR!$A31)</f>
        <v>15339.28</v>
      </c>
      <c r="AP31" s="152">
        <f>SUMIFS('Mar16-Aug16 Billed-RETAIL'!$AZ$5:$AZ$146,'Mar16-Aug16 Billed-RETAIL'!$D$5:$D$146,SBR!AP$4,'Mar16-Aug16 Billed-RETAIL'!$E$5:$E$146,SBR!$A31)</f>
        <v>38328.080000000002</v>
      </c>
      <c r="AQ31" s="152">
        <f>SUMIFS('Mar16-Aug16 Billed-RETAIL'!$AZ$5:$AZ$146,'Mar16-Aug16 Billed-RETAIL'!$D$5:$D$146,SBR!AQ$4,'Mar16-Aug16 Billed-RETAIL'!$E$5:$E$146,SBR!$A31)</f>
        <v>21245.77</v>
      </c>
      <c r="AR31" s="152">
        <f>SUMIFS('Mar16-Aug16 Billed-RETAIL'!$AZ$5:$AZ$146,'Mar16-Aug16 Billed-RETAIL'!$D$5:$D$146,SBR!AR$4,'Mar16-Aug16 Billed-RETAIL'!$E$5:$E$146,SBR!$A31)</f>
        <v>41988.6</v>
      </c>
      <c r="AS31" s="152">
        <f>SUMIFS('Mar16-Aug16 Billed-RETAIL'!$AZ$5:$AZ$146,'Mar16-Aug16 Billed-RETAIL'!$D$5:$D$146,SBR!AS$4,'Mar16-Aug16 Billed-RETAIL'!$E$5:$E$146,SBR!$A31)</f>
        <v>0</v>
      </c>
      <c r="AT31" s="152">
        <f>SUMIFS('Mar16-Aug16 Billed-RETAIL'!$AZ$5:$AZ$146,'Mar16-Aug16 Billed-RETAIL'!$D$5:$D$146,SBR!AT$4,'Mar16-Aug16 Billed-RETAIL'!$E$5:$E$146,SBR!$A31)</f>
        <v>0</v>
      </c>
      <c r="AU31" s="152">
        <f>SUMIFS('Mar16-Aug16 Billed-RETAIL'!$AZ$5:$AZ$146,'Mar16-Aug16 Billed-RETAIL'!$D$5:$D$146,SBR!AU$4,'Mar16-Aug16 Billed-RETAIL'!$E$5:$E$146,SBR!$A31)</f>
        <v>0</v>
      </c>
      <c r="AV31" s="152">
        <f>SUMIFS('Mar16-Aug16 Billed-RETAIL'!$AZ$5:$AZ$146,'Mar16-Aug16 Billed-RETAIL'!$D$5:$D$146,SBR!AV$4,'Mar16-Aug16 Billed-RETAIL'!$E$5:$E$146,SBR!$A31)</f>
        <v>0</v>
      </c>
      <c r="AW31" s="152">
        <f>SUMIFS('Mar16-Aug16 Billed-RETAIL'!$AZ$5:$AZ$146,'Mar16-Aug16 Billed-RETAIL'!$D$5:$D$146,SBR!AW$4,'Mar16-Aug16 Billed-RETAIL'!$E$5:$E$146,SBR!$A31)</f>
        <v>0</v>
      </c>
      <c r="AX31" s="152">
        <f>SUMIFS('Mar16-Aug16 Billed-RETAIL'!$AZ$5:$AZ$146,'Mar16-Aug16 Billed-RETAIL'!$D$5:$D$146,SBR!AX$4,'Mar16-Aug16 Billed-RETAIL'!$E$5:$E$146,SBR!$A31)</f>
        <v>0</v>
      </c>
      <c r="AY31" s="135"/>
      <c r="AZ31" s="135"/>
      <c r="BA31" s="518">
        <f t="shared" si="31"/>
        <v>0</v>
      </c>
      <c r="BB31" s="518">
        <f t="shared" si="31"/>
        <v>0</v>
      </c>
      <c r="BC31" s="518">
        <f t="shared" si="31"/>
        <v>-0.71</v>
      </c>
      <c r="BD31" s="518">
        <f t="shared" si="31"/>
        <v>189.24</v>
      </c>
      <c r="BE31" s="518">
        <f t="shared" si="31"/>
        <v>27.91</v>
      </c>
      <c r="BF31" s="518">
        <f t="shared" si="31"/>
        <v>24.33</v>
      </c>
      <c r="BG31" s="519">
        <f t="shared" si="2"/>
        <v>240.76999999999998</v>
      </c>
    </row>
    <row r="32" spans="1:59" x14ac:dyDescent="0.25">
      <c r="A32" s="89" t="s">
        <v>1003</v>
      </c>
      <c r="B32" s="196" t="s">
        <v>991</v>
      </c>
      <c r="C32" s="159">
        <f t="shared" si="30"/>
        <v>0</v>
      </c>
      <c r="D32" s="170">
        <f>SUM(AA32:AL32)</f>
        <v>0</v>
      </c>
      <c r="E32" s="159">
        <f>SUM(AM32:AX32)+BG32</f>
        <v>19013.309999999998</v>
      </c>
      <c r="F32" s="138"/>
      <c r="G32" s="130">
        <f>O32+W32+X32+Y32+Z32</f>
        <v>0</v>
      </c>
      <c r="H32" s="131">
        <f>AA32+AI32+AJ32+AK32+AL32</f>
        <v>0</v>
      </c>
      <c r="I32" s="130">
        <f>AM32+AU32+AV32+AW32+AX32</f>
        <v>3088.31</v>
      </c>
      <c r="J32" s="138"/>
      <c r="K32" s="130">
        <f>SUM(P32:V32)</f>
        <v>0</v>
      </c>
      <c r="L32" s="131">
        <f>SUM(AB32:AH32)</f>
        <v>0</v>
      </c>
      <c r="M32" s="130">
        <f>SUM(AN32:AT32)</f>
        <v>15903.269999999997</v>
      </c>
      <c r="O32" s="466"/>
      <c r="P32" s="466"/>
      <c r="Q32" s="466"/>
      <c r="R32" s="466"/>
      <c r="S32" s="466"/>
      <c r="T32" s="466"/>
      <c r="U32" s="160"/>
      <c r="V32" s="160"/>
      <c r="W32" s="160"/>
      <c r="X32" s="160"/>
      <c r="Y32" s="160"/>
      <c r="Z32" s="160"/>
      <c r="AA32" s="151"/>
      <c r="AB32" s="151"/>
      <c r="AC32" s="151"/>
      <c r="AD32" s="151"/>
      <c r="AE32" s="151"/>
      <c r="AF32" s="151"/>
      <c r="AG32" s="161"/>
      <c r="AH32" s="161"/>
      <c r="AI32" s="161"/>
      <c r="AJ32" s="161"/>
      <c r="AK32" s="161"/>
      <c r="AL32" s="161"/>
      <c r="AM32" s="134">
        <f>'Mar16-Aug16 FT-TS-Cashout-LG&amp;E'!I519</f>
        <v>3088.31</v>
      </c>
      <c r="AN32" s="134">
        <f>'Mar16-Aug16 FT-TS-Cashout-LG&amp;E'!J519</f>
        <v>3088.31</v>
      </c>
      <c r="AO32" s="134">
        <f>'Mar16-Aug16 FT-TS-Cashout-LG&amp;E'!K519</f>
        <v>3098.35</v>
      </c>
      <c r="AP32" s="134">
        <f>'Mar16-Aug16 FT-TS-Cashout-LG&amp;E'!L519</f>
        <v>3238.87</v>
      </c>
      <c r="AQ32" s="134">
        <f>'Mar16-Aug16 FT-TS-Cashout-LG&amp;E'!M519</f>
        <v>3238.87</v>
      </c>
      <c r="AR32" s="134">
        <f>'Mar16-Aug16 FT-TS-Cashout-LG&amp;E'!N519</f>
        <v>3238.87</v>
      </c>
      <c r="AS32" s="152"/>
      <c r="AT32" s="152"/>
      <c r="AU32" s="152"/>
      <c r="AV32" s="152"/>
      <c r="AW32" s="152"/>
      <c r="AX32" s="152"/>
      <c r="AY32" s="135"/>
      <c r="AZ32" s="135"/>
      <c r="BA32" s="518">
        <f t="shared" si="31"/>
        <v>-0.03</v>
      </c>
      <c r="BB32" s="518">
        <f t="shared" si="31"/>
        <v>-0.23</v>
      </c>
      <c r="BC32" s="518">
        <f t="shared" si="31"/>
        <v>-0.14000000000000001</v>
      </c>
      <c r="BD32" s="518">
        <f t="shared" si="31"/>
        <v>15.99</v>
      </c>
      <c r="BE32" s="518">
        <f t="shared" si="31"/>
        <v>4.26</v>
      </c>
      <c r="BF32" s="518">
        <f t="shared" si="31"/>
        <v>1.88</v>
      </c>
      <c r="BG32" s="518">
        <f>SUM(BA32:BF32)</f>
        <v>21.73</v>
      </c>
    </row>
    <row r="33" spans="1:59" x14ac:dyDescent="0.25">
      <c r="A33" s="89" t="s">
        <v>1003</v>
      </c>
      <c r="B33" s="196" t="s">
        <v>993</v>
      </c>
      <c r="C33" s="173">
        <f t="shared" si="30"/>
        <v>0</v>
      </c>
      <c r="D33" s="174">
        <f>SUM(AA33:AL33)</f>
        <v>0</v>
      </c>
      <c r="E33" s="173">
        <f>SUM(AM33:AX33)+BG33</f>
        <v>19013.309999999998</v>
      </c>
      <c r="F33" s="138"/>
      <c r="G33" s="136">
        <f>O33+W33+X33+Y33+Z33</f>
        <v>0</v>
      </c>
      <c r="H33" s="137">
        <f>AA33+AI33+AJ33+AK33+AL33</f>
        <v>0</v>
      </c>
      <c r="I33" s="136">
        <f>AM33+AU33+AV33+AW33+AX33</f>
        <v>3088.31</v>
      </c>
      <c r="J33" s="138"/>
      <c r="K33" s="136">
        <f>SUM(P33:V33)</f>
        <v>0</v>
      </c>
      <c r="L33" s="137">
        <f>SUM(AB33:AH33)</f>
        <v>0</v>
      </c>
      <c r="M33" s="136">
        <f>SUM(AN33:AT33)</f>
        <v>15903.269999999997</v>
      </c>
      <c r="O33" s="139"/>
      <c r="P33" s="139"/>
      <c r="Q33" s="139"/>
      <c r="R33" s="139"/>
      <c r="S33" s="139"/>
      <c r="T33" s="139"/>
      <c r="U33" s="531"/>
      <c r="V33" s="531"/>
      <c r="W33" s="531"/>
      <c r="X33" s="531"/>
      <c r="Y33" s="531"/>
      <c r="Z33" s="531"/>
      <c r="AA33" s="140"/>
      <c r="AB33" s="140"/>
      <c r="AC33" s="140"/>
      <c r="AD33" s="140"/>
      <c r="AE33" s="140"/>
      <c r="AF33" s="140"/>
      <c r="AG33" s="532"/>
      <c r="AH33" s="532"/>
      <c r="AI33" s="532"/>
      <c r="AJ33" s="532"/>
      <c r="AK33" s="532"/>
      <c r="AL33" s="532"/>
      <c r="AM33" s="141">
        <f>'Mar16-Aug16 FT-TS-Cashout-LG&amp;E'!I566</f>
        <v>3088.31</v>
      </c>
      <c r="AN33" s="141">
        <f>'Mar16-Aug16 FT-TS-Cashout-LG&amp;E'!J566</f>
        <v>3088.31</v>
      </c>
      <c r="AO33" s="141">
        <f>'Mar16-Aug16 FT-TS-Cashout-LG&amp;E'!K566</f>
        <v>3098.35</v>
      </c>
      <c r="AP33" s="141">
        <f>'Mar16-Aug16 FT-TS-Cashout-LG&amp;E'!L566</f>
        <v>3238.87</v>
      </c>
      <c r="AQ33" s="141">
        <f>'Mar16-Aug16 FT-TS-Cashout-LG&amp;E'!M566</f>
        <v>3238.87</v>
      </c>
      <c r="AR33" s="141">
        <f>'Mar16-Aug16 FT-TS-Cashout-LG&amp;E'!N566</f>
        <v>3238.87</v>
      </c>
      <c r="AS33" s="141"/>
      <c r="AT33" s="141"/>
      <c r="AU33" s="141"/>
      <c r="AV33" s="141"/>
      <c r="AW33" s="141"/>
      <c r="AX33" s="141"/>
      <c r="AY33" s="135"/>
      <c r="AZ33" s="135"/>
      <c r="BA33" s="518">
        <f t="shared" si="31"/>
        <v>-0.03</v>
      </c>
      <c r="BB33" s="518">
        <f t="shared" si="31"/>
        <v>-0.23</v>
      </c>
      <c r="BC33" s="518">
        <f t="shared" si="31"/>
        <v>-0.14000000000000001</v>
      </c>
      <c r="BD33" s="518">
        <f t="shared" si="31"/>
        <v>15.99</v>
      </c>
      <c r="BE33" s="518">
        <f t="shared" si="31"/>
        <v>4.26</v>
      </c>
      <c r="BF33" s="518">
        <f t="shared" si="31"/>
        <v>1.88</v>
      </c>
      <c r="BG33" s="539">
        <f>SUM(BA33:BF33)</f>
        <v>21.73</v>
      </c>
    </row>
    <row r="34" spans="1:59" x14ac:dyDescent="0.25">
      <c r="A34" s="195"/>
      <c r="B34" s="156" t="s">
        <v>467</v>
      </c>
      <c r="C34" s="159">
        <f t="shared" si="30"/>
        <v>49</v>
      </c>
      <c r="D34" s="170">
        <f t="shared" si="14"/>
        <v>134442.54992384731</v>
      </c>
      <c r="E34" s="159">
        <f t="shared" si="3"/>
        <v>836713.86834399065</v>
      </c>
      <c r="F34" s="138"/>
      <c r="G34" s="130">
        <f t="shared" si="17"/>
        <v>21</v>
      </c>
      <c r="H34" s="131">
        <f t="shared" si="15"/>
        <v>59125.11755510894</v>
      </c>
      <c r="I34" s="130">
        <f t="shared" si="4"/>
        <v>384727.70032687229</v>
      </c>
      <c r="J34" s="138"/>
      <c r="K34" s="130">
        <f t="shared" si="5"/>
        <v>28</v>
      </c>
      <c r="L34" s="131">
        <f t="shared" si="6"/>
        <v>75317.432368738388</v>
      </c>
      <c r="M34" s="130">
        <f t="shared" si="7"/>
        <v>451586.13801711833</v>
      </c>
      <c r="O34" s="143">
        <f>SUM(O29:O33)</f>
        <v>5</v>
      </c>
      <c r="P34" s="143">
        <f t="shared" ref="P34:Z34" si="32">SUM(P29:P33)</f>
        <v>4</v>
      </c>
      <c r="Q34" s="143">
        <f t="shared" si="32"/>
        <v>4</v>
      </c>
      <c r="R34" s="143">
        <f t="shared" si="32"/>
        <v>4</v>
      </c>
      <c r="S34" s="143">
        <f t="shared" si="32"/>
        <v>4</v>
      </c>
      <c r="T34" s="143">
        <f t="shared" si="32"/>
        <v>4</v>
      </c>
      <c r="U34" s="143">
        <f t="shared" si="32"/>
        <v>4</v>
      </c>
      <c r="V34" s="143">
        <f t="shared" si="32"/>
        <v>4</v>
      </c>
      <c r="W34" s="143">
        <f t="shared" si="32"/>
        <v>4</v>
      </c>
      <c r="X34" s="143">
        <f t="shared" si="32"/>
        <v>4</v>
      </c>
      <c r="Y34" s="143">
        <f t="shared" si="32"/>
        <v>4</v>
      </c>
      <c r="Z34" s="143">
        <f t="shared" si="32"/>
        <v>4</v>
      </c>
      <c r="AA34" s="128">
        <f>SUM(AA29:AA33)</f>
        <v>9828.3000000000011</v>
      </c>
      <c r="AB34" s="128">
        <f t="shared" ref="AB34:AL34" si="33">SUM(AB29:AB33)</f>
        <v>9288.5</v>
      </c>
      <c r="AC34" s="128">
        <f t="shared" si="33"/>
        <v>9716.3000000000011</v>
      </c>
      <c r="AD34" s="128">
        <f t="shared" si="33"/>
        <v>10223.700000000001</v>
      </c>
      <c r="AE34" s="128">
        <f t="shared" si="33"/>
        <v>6295.5</v>
      </c>
      <c r="AF34" s="128">
        <f t="shared" si="33"/>
        <v>10425.299999999999</v>
      </c>
      <c r="AG34" s="128">
        <f t="shared" si="33"/>
        <v>13316.636065363678</v>
      </c>
      <c r="AH34" s="128">
        <f t="shared" si="33"/>
        <v>16051.496303374703</v>
      </c>
      <c r="AI34" s="128">
        <f t="shared" si="33"/>
        <v>16445.423080806486</v>
      </c>
      <c r="AJ34" s="128">
        <f t="shared" si="33"/>
        <v>12600.718051137785</v>
      </c>
      <c r="AK34" s="128">
        <f t="shared" si="33"/>
        <v>11020.617180533085</v>
      </c>
      <c r="AL34" s="128">
        <f t="shared" si="33"/>
        <v>9230.0592426315852</v>
      </c>
      <c r="AM34" s="144">
        <f>SUM(AM29:AM33)</f>
        <v>60332.2</v>
      </c>
      <c r="AN34" s="144">
        <f t="shared" ref="AN34:AX34" si="34">SUM(AN29:AN33)</f>
        <v>55107.119999999995</v>
      </c>
      <c r="AO34" s="144">
        <f t="shared" si="34"/>
        <v>59407.009999999995</v>
      </c>
      <c r="AP34" s="144">
        <f t="shared" si="34"/>
        <v>62530.060000000012</v>
      </c>
      <c r="AQ34" s="144">
        <f t="shared" si="34"/>
        <v>45977.72</v>
      </c>
      <c r="AR34" s="144">
        <f t="shared" si="34"/>
        <v>66065.16</v>
      </c>
      <c r="AS34" s="144">
        <f t="shared" si="34"/>
        <v>71502.229468247446</v>
      </c>
      <c r="AT34" s="144">
        <f t="shared" si="34"/>
        <v>90996.838548870903</v>
      </c>
      <c r="AU34" s="144">
        <f t="shared" si="34"/>
        <v>102386.62055922105</v>
      </c>
      <c r="AV34" s="144">
        <f t="shared" si="34"/>
        <v>83241.339832988568</v>
      </c>
      <c r="AW34" s="144">
        <f t="shared" si="34"/>
        <v>71915.312420194299</v>
      </c>
      <c r="AX34" s="144">
        <f t="shared" si="34"/>
        <v>66852.227514468337</v>
      </c>
      <c r="AY34" s="135"/>
      <c r="AZ34" s="135"/>
      <c r="BA34" s="522">
        <f t="shared" ref="BA34:BF34" si="35">SUM(BA29:BA33)</f>
        <v>-0.5</v>
      </c>
      <c r="BB34" s="522">
        <f t="shared" si="35"/>
        <v>-4.16</v>
      </c>
      <c r="BC34" s="522">
        <f t="shared" si="35"/>
        <v>-2.74</v>
      </c>
      <c r="BD34" s="522">
        <f t="shared" si="35"/>
        <v>308.73</v>
      </c>
      <c r="BE34" s="522">
        <f t="shared" si="35"/>
        <v>60.41</v>
      </c>
      <c r="BF34" s="522">
        <f t="shared" si="35"/>
        <v>38.290000000000006</v>
      </c>
      <c r="BG34" s="518">
        <f t="shared" si="2"/>
        <v>400.03000000000003</v>
      </c>
    </row>
    <row r="35" spans="1:59" x14ac:dyDescent="0.25">
      <c r="A35" s="195"/>
      <c r="B35" s="158"/>
      <c r="C35" s="73"/>
      <c r="D35" s="73"/>
      <c r="E35" s="73"/>
      <c r="F35" s="130"/>
      <c r="G35" s="130"/>
      <c r="H35" s="131"/>
      <c r="I35" s="130"/>
      <c r="J35" s="130"/>
      <c r="K35" s="130"/>
      <c r="L35" s="131"/>
      <c r="M35" s="130"/>
      <c r="O35" s="143"/>
      <c r="P35" s="143"/>
      <c r="Q35" s="143"/>
      <c r="R35" s="143"/>
      <c r="S35" s="143"/>
      <c r="T35" s="143"/>
      <c r="U35" s="160"/>
      <c r="V35" s="160"/>
      <c r="W35" s="160"/>
      <c r="X35" s="160"/>
      <c r="Y35" s="160"/>
      <c r="Z35" s="160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35"/>
      <c r="AZ35" s="135"/>
      <c r="BA35" s="519"/>
      <c r="BB35" s="519"/>
      <c r="BC35" s="519"/>
      <c r="BD35" s="519"/>
      <c r="BE35" s="519"/>
      <c r="BF35" s="519"/>
      <c r="BG35" s="513"/>
    </row>
    <row r="36" spans="1:59" x14ac:dyDescent="0.25">
      <c r="A36" s="195"/>
      <c r="B36" s="158" t="s">
        <v>597</v>
      </c>
      <c r="C36" s="159"/>
      <c r="D36" s="170"/>
      <c r="E36" s="159"/>
      <c r="F36" s="130"/>
      <c r="G36" s="130"/>
      <c r="H36" s="131"/>
      <c r="I36" s="130"/>
      <c r="J36" s="130"/>
      <c r="K36" s="130"/>
      <c r="L36" s="131"/>
      <c r="M36" s="13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1">
        <f t="shared" ref="AA36:AL36" si="36">+AA9+AA16+AA24+AA34+AA35</f>
        <v>3903527.8</v>
      </c>
      <c r="AB36" s="161">
        <f t="shared" si="36"/>
        <v>2269306.8000000003</v>
      </c>
      <c r="AC36" s="161">
        <f t="shared" si="36"/>
        <v>1273629</v>
      </c>
      <c r="AD36" s="161">
        <f t="shared" si="36"/>
        <v>958632.79999999993</v>
      </c>
      <c r="AE36" s="161">
        <f t="shared" si="36"/>
        <v>709672.4</v>
      </c>
      <c r="AF36" s="161">
        <f t="shared" si="36"/>
        <v>669027.9</v>
      </c>
      <c r="AG36" s="161">
        <f t="shared" si="36"/>
        <v>772274.73810310848</v>
      </c>
      <c r="AH36" s="161">
        <f t="shared" si="36"/>
        <v>1352572.107944404</v>
      </c>
      <c r="AI36" s="161">
        <f t="shared" si="36"/>
        <v>2926233.0327330516</v>
      </c>
      <c r="AJ36" s="161">
        <f t="shared" si="36"/>
        <v>5258114.3918891009</v>
      </c>
      <c r="AK36" s="161">
        <f t="shared" si="36"/>
        <v>6563204.4978764281</v>
      </c>
      <c r="AL36" s="161">
        <f t="shared" si="36"/>
        <v>5610172.3885559216</v>
      </c>
      <c r="AM36" s="144">
        <f>+AM9+AM16+AM24+AM34+AM26</f>
        <v>32353222.340000004</v>
      </c>
      <c r="AN36" s="144">
        <f>+AN9+AN16+AN24+AN34+AN35</f>
        <v>21922110.75</v>
      </c>
      <c r="AO36" s="144">
        <f>+AO9+AO16+AO24+AO34+AO35</f>
        <v>14966222.339999998</v>
      </c>
      <c r="AP36" s="144">
        <f t="shared" ref="AP36:AX36" si="37">+AP9+AP16+AP24+AP34</f>
        <v>13248188.35</v>
      </c>
      <c r="AQ36" s="144">
        <f t="shared" si="37"/>
        <v>11684561.020000001</v>
      </c>
      <c r="AR36" s="144">
        <f t="shared" si="37"/>
        <v>11574536.439999999</v>
      </c>
      <c r="AS36" s="144">
        <f t="shared" si="37"/>
        <v>12149856.379468245</v>
      </c>
      <c r="AT36" s="144">
        <f t="shared" si="37"/>
        <v>16460056.818548871</v>
      </c>
      <c r="AU36" s="144">
        <f t="shared" si="37"/>
        <v>28722531.750559222</v>
      </c>
      <c r="AV36" s="144">
        <f t="shared" si="37"/>
        <v>46419870.569832988</v>
      </c>
      <c r="AW36" s="144">
        <f t="shared" si="37"/>
        <v>53463687.252420202</v>
      </c>
      <c r="AX36" s="144">
        <f t="shared" si="37"/>
        <v>48706728.767514467</v>
      </c>
      <c r="AY36" s="135"/>
      <c r="AZ36" s="135"/>
      <c r="BA36" s="518"/>
      <c r="BB36" s="518"/>
      <c r="BC36" s="518"/>
      <c r="BD36" s="518"/>
      <c r="BE36" s="518"/>
      <c r="BF36" s="518"/>
      <c r="BG36" s="513"/>
    </row>
    <row r="37" spans="1:59" x14ac:dyDescent="0.25">
      <c r="A37" s="195"/>
      <c r="B37" s="462" t="s">
        <v>475</v>
      </c>
      <c r="C37" s="173"/>
      <c r="D37" s="174">
        <f>SUM(AA37:AL37)</f>
        <v>0</v>
      </c>
      <c r="E37" s="173">
        <f>SUM(AM37:AX37)+BG37</f>
        <v>84856.639999999999</v>
      </c>
      <c r="F37" s="130"/>
      <c r="G37" s="136">
        <f t="shared" ref="G37:G42" si="38">O37+W37+X37+Y37+Z37</f>
        <v>0</v>
      </c>
      <c r="H37" s="137">
        <f>AA37+AI37+AJ37+AK37+AL37</f>
        <v>0</v>
      </c>
      <c r="I37" s="136">
        <f t="shared" ref="I37:I42" si="39">AM37+AU37+AV37+AW37+AX37</f>
        <v>-265.67</v>
      </c>
      <c r="J37" s="130"/>
      <c r="K37" s="136">
        <f t="shared" ref="K37:K42" si="40">SUM(P37:V37)</f>
        <v>0</v>
      </c>
      <c r="L37" s="137">
        <f t="shared" ref="L37:L42" si="41">SUM(AB37:AH37)</f>
        <v>0</v>
      </c>
      <c r="M37" s="136">
        <f t="shared" ref="M37:M42" si="42">SUM(AN37:AT37)</f>
        <v>85122.31</v>
      </c>
      <c r="O37" s="154"/>
      <c r="P37" s="154"/>
      <c r="Q37" s="154"/>
      <c r="R37" s="154"/>
      <c r="S37" s="154"/>
      <c r="T37" s="154"/>
      <c r="U37" s="531"/>
      <c r="V37" s="531"/>
      <c r="W37" s="531"/>
      <c r="X37" s="531"/>
      <c r="Y37" s="531"/>
      <c r="Z37" s="531"/>
      <c r="AA37" s="678"/>
      <c r="AB37" s="175"/>
      <c r="AC37" s="175"/>
      <c r="AD37" s="175"/>
      <c r="AE37" s="175"/>
      <c r="AF37" s="175"/>
      <c r="AG37" s="532"/>
      <c r="AH37" s="532"/>
      <c r="AI37" s="532"/>
      <c r="AJ37" s="532"/>
      <c r="AK37" s="532"/>
      <c r="AL37" s="532"/>
      <c r="AM37" s="141">
        <v>-265.67</v>
      </c>
      <c r="AN37" s="141">
        <v>-1658.32</v>
      </c>
      <c r="AO37" s="141">
        <f>22.36-713.19</f>
        <v>-690.83</v>
      </c>
      <c r="AP37" s="141">
        <f>66341.74-929.06</f>
        <v>65412.680000000008</v>
      </c>
      <c r="AQ37" s="141">
        <f>15251.89+100.38</f>
        <v>15352.269999999999</v>
      </c>
      <c r="AR37" s="141">
        <f>7627.94-921.43</f>
        <v>6706.5099999999993</v>
      </c>
      <c r="AS37" s="141"/>
      <c r="AT37" s="141"/>
      <c r="AU37" s="141"/>
      <c r="AV37" s="141"/>
      <c r="AW37" s="141"/>
      <c r="AX37" s="141"/>
      <c r="AY37" s="135"/>
      <c r="AZ37" s="135"/>
      <c r="BA37" s="517"/>
      <c r="BB37" s="517"/>
      <c r="BC37" s="517"/>
      <c r="BD37" s="517"/>
      <c r="BE37" s="517"/>
      <c r="BF37" s="517"/>
      <c r="BG37" s="517"/>
    </row>
    <row r="38" spans="1:59" x14ac:dyDescent="0.25">
      <c r="A38" s="195"/>
      <c r="B38" s="158"/>
      <c r="C38" s="159"/>
      <c r="D38" s="170"/>
      <c r="E38" s="159"/>
      <c r="F38" s="130"/>
      <c r="G38" s="130"/>
      <c r="H38" s="131"/>
      <c r="I38" s="130"/>
      <c r="J38" s="130"/>
      <c r="K38" s="130"/>
      <c r="L38" s="131"/>
      <c r="M38" s="13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/>
      <c r="AZ38" s="135"/>
      <c r="BA38"/>
      <c r="BB38"/>
      <c r="BC38"/>
      <c r="BD38"/>
      <c r="BE38"/>
      <c r="BF38"/>
      <c r="BG38"/>
    </row>
    <row r="39" spans="1:59" x14ac:dyDescent="0.25">
      <c r="A39" s="195"/>
      <c r="B39" s="158" t="s">
        <v>803</v>
      </c>
      <c r="C39" s="159">
        <f>SUM(O39:Z39)</f>
        <v>0</v>
      </c>
      <c r="D39" s="170">
        <f>SUM(AA39:AL39)</f>
        <v>32266376.700000003</v>
      </c>
      <c r="E39" s="159">
        <f>SUM(AM39:AX39)</f>
        <v>311762884.74000001</v>
      </c>
      <c r="F39" s="130"/>
      <c r="G39" s="130">
        <f t="shared" si="38"/>
        <v>0</v>
      </c>
      <c r="H39" s="131">
        <f>AA39+AI39+AJ39+AK39+AL39</f>
        <v>24261255.699999999</v>
      </c>
      <c r="I39" s="130">
        <f t="shared" si="39"/>
        <v>209668123.25</v>
      </c>
      <c r="J39" s="130"/>
      <c r="K39" s="130">
        <f t="shared" si="40"/>
        <v>0</v>
      </c>
      <c r="L39" s="131">
        <f t="shared" si="41"/>
        <v>8005121</v>
      </c>
      <c r="M39" s="130">
        <f t="shared" si="42"/>
        <v>102094761.49000001</v>
      </c>
      <c r="O39" s="577"/>
      <c r="P39" s="577"/>
      <c r="Q39" s="154"/>
      <c r="R39" s="154"/>
      <c r="S39" s="154"/>
      <c r="T39" s="154"/>
      <c r="U39" s="579"/>
      <c r="V39" s="579"/>
      <c r="W39" s="579"/>
      <c r="X39" s="579"/>
      <c r="Y39" s="579"/>
      <c r="Z39" s="579"/>
      <c r="AA39" s="197">
        <v>3903529</v>
      </c>
      <c r="AB39" s="197">
        <v>2269307</v>
      </c>
      <c r="AC39" s="197">
        <v>1273630</v>
      </c>
      <c r="AD39" s="197">
        <v>958634</v>
      </c>
      <c r="AE39" s="197">
        <v>709673</v>
      </c>
      <c r="AF39" s="197">
        <v>669029</v>
      </c>
      <c r="AG39" s="581">
        <f>7722753*0.1</f>
        <v>772275.3</v>
      </c>
      <c r="AH39" s="581">
        <f>13525727*0.1</f>
        <v>1352572.7000000002</v>
      </c>
      <c r="AI39" s="581">
        <f>29262336*0.1</f>
        <v>2926233.6000000001</v>
      </c>
      <c r="AJ39" s="581">
        <f>52581150*0.1</f>
        <v>5258115</v>
      </c>
      <c r="AK39" s="581">
        <f>65632051*0.1</f>
        <v>6563205.1000000006</v>
      </c>
      <c r="AL39" s="581">
        <f>56101730*0.1</f>
        <v>5610173</v>
      </c>
      <c r="AM39" s="141">
        <v>32352957</v>
      </c>
      <c r="AN39" s="141">
        <v>21921039</v>
      </c>
      <c r="AO39" s="141">
        <v>14966118</v>
      </c>
      <c r="AP39" s="141">
        <v>13314188</v>
      </c>
      <c r="AQ39" s="141">
        <v>11700500</v>
      </c>
      <c r="AR39" s="141">
        <v>11581830</v>
      </c>
      <c r="AS39" s="585">
        <v>12150442.92</v>
      </c>
      <c r="AT39" s="585">
        <v>16460643.57</v>
      </c>
      <c r="AU39" s="585">
        <v>28723118.780000001</v>
      </c>
      <c r="AV39" s="585">
        <v>46420457.649999999</v>
      </c>
      <c r="AW39" s="585">
        <v>53464274.060000002</v>
      </c>
      <c r="AX39" s="585">
        <v>48707315.759999998</v>
      </c>
      <c r="AY39"/>
      <c r="AZ39" s="135"/>
      <c r="BA39"/>
      <c r="BB39"/>
      <c r="BC39"/>
      <c r="BD39"/>
      <c r="BE39"/>
      <c r="BF39"/>
      <c r="BG39"/>
    </row>
    <row r="40" spans="1:59" x14ac:dyDescent="0.25">
      <c r="A40" s="195"/>
      <c r="B40" s="163" t="s">
        <v>549</v>
      </c>
      <c r="C40" s="159">
        <f>SUM(O40:Z40)</f>
        <v>3859403</v>
      </c>
      <c r="D40" s="170">
        <f>SUM(AA40:AL40)</f>
        <v>32266375.357102014</v>
      </c>
      <c r="E40" s="159">
        <f>SUM(AM40:AX40)</f>
        <v>311762883.248344</v>
      </c>
      <c r="G40" s="130">
        <f t="shared" si="38"/>
        <v>1616640</v>
      </c>
      <c r="H40" s="131">
        <f>AA40+AI40+AJ40+AK40+AL40</f>
        <v>24261255.111054502</v>
      </c>
      <c r="I40" s="130">
        <f t="shared" si="39"/>
        <v>209668122.93032688</v>
      </c>
      <c r="K40" s="130">
        <f t="shared" si="40"/>
        <v>2242763</v>
      </c>
      <c r="L40" s="131">
        <f t="shared" si="41"/>
        <v>8005120.2460475117</v>
      </c>
      <c r="M40" s="130">
        <f t="shared" si="42"/>
        <v>102094760.3180171</v>
      </c>
      <c r="O40" s="164">
        <f>O9+O16+O24+O34+O27</f>
        <v>329760</v>
      </c>
      <c r="P40" s="164">
        <f t="shared" ref="P40:Z40" si="43">P9+P16+P24+P34+P27</f>
        <v>321658</v>
      </c>
      <c r="Q40" s="164">
        <f t="shared" si="43"/>
        <v>321383</v>
      </c>
      <c r="R40" s="164">
        <f t="shared" si="43"/>
        <v>320901</v>
      </c>
      <c r="S40" s="164">
        <f t="shared" si="43"/>
        <v>319185</v>
      </c>
      <c r="T40" s="164">
        <f t="shared" si="43"/>
        <v>320970</v>
      </c>
      <c r="U40" s="164">
        <f t="shared" si="43"/>
        <v>319133</v>
      </c>
      <c r="V40" s="164">
        <f t="shared" si="43"/>
        <v>319533</v>
      </c>
      <c r="W40" s="164">
        <f t="shared" si="43"/>
        <v>320382</v>
      </c>
      <c r="X40" s="164">
        <f t="shared" si="43"/>
        <v>321653</v>
      </c>
      <c r="Y40" s="164">
        <f t="shared" si="43"/>
        <v>322296</v>
      </c>
      <c r="Z40" s="164">
        <f t="shared" si="43"/>
        <v>322549</v>
      </c>
      <c r="AA40" s="165">
        <f t="shared" ref="AA40:AF40" si="44">AA9+AA16+AA24+AA34+AA37+AA27</f>
        <v>3903528.4</v>
      </c>
      <c r="AB40" s="165">
        <f t="shared" si="44"/>
        <v>2269307.4000000004</v>
      </c>
      <c r="AC40" s="165">
        <f t="shared" si="44"/>
        <v>1273629.6000000001</v>
      </c>
      <c r="AD40" s="165">
        <f t="shared" si="44"/>
        <v>958633.49999999988</v>
      </c>
      <c r="AE40" s="165">
        <f t="shared" si="44"/>
        <v>709673.1</v>
      </c>
      <c r="AF40" s="165">
        <f t="shared" si="44"/>
        <v>669028.6</v>
      </c>
      <c r="AG40" s="165">
        <f t="shared" ref="AG40:AL40" si="45">AG9+AG16+AG24+AG34+AG27</f>
        <v>772275.33810310846</v>
      </c>
      <c r="AH40" s="165">
        <f t="shared" si="45"/>
        <v>1352572.7079444041</v>
      </c>
      <c r="AI40" s="165">
        <f t="shared" si="45"/>
        <v>2926233.6327330517</v>
      </c>
      <c r="AJ40" s="165">
        <f t="shared" si="45"/>
        <v>5258114.9918891005</v>
      </c>
      <c r="AK40" s="165">
        <f t="shared" si="45"/>
        <v>6563205.0978764277</v>
      </c>
      <c r="AL40" s="165">
        <f t="shared" si="45"/>
        <v>5610172.9885559212</v>
      </c>
      <c r="AM40" s="166">
        <f>AM9+AM16+AM24+AM26+AM34+AM37</f>
        <v>32352956.670000002</v>
      </c>
      <c r="AN40" s="166">
        <f t="shared" ref="AN40:AX40" si="46">AN9+AN16+AN24+AN34+AN37+AN26</f>
        <v>21921038.57</v>
      </c>
      <c r="AO40" s="166">
        <f t="shared" si="46"/>
        <v>14966117.769999998</v>
      </c>
      <c r="AP40" s="166">
        <f t="shared" si="46"/>
        <v>13314187.719999999</v>
      </c>
      <c r="AQ40" s="166">
        <f t="shared" si="46"/>
        <v>11700499.98</v>
      </c>
      <c r="AR40" s="166">
        <f t="shared" si="46"/>
        <v>11581829.789999999</v>
      </c>
      <c r="AS40" s="166">
        <f t="shared" si="46"/>
        <v>12150442.919468245</v>
      </c>
      <c r="AT40" s="166">
        <f t="shared" si="46"/>
        <v>16460643.568548871</v>
      </c>
      <c r="AU40" s="166">
        <f t="shared" si="46"/>
        <v>28723118.780559223</v>
      </c>
      <c r="AV40" s="166">
        <f t="shared" si="46"/>
        <v>46420457.649832986</v>
      </c>
      <c r="AW40" s="166">
        <f t="shared" si="46"/>
        <v>53464274.052420199</v>
      </c>
      <c r="AX40" s="166">
        <f t="shared" si="46"/>
        <v>48707315.777514465</v>
      </c>
      <c r="AY40"/>
      <c r="AZ40" s="135"/>
      <c r="BA40"/>
      <c r="BB40"/>
      <c r="BC40"/>
      <c r="BD40"/>
      <c r="BE40"/>
      <c r="BF40"/>
      <c r="BG40"/>
    </row>
    <row r="41" spans="1:59" x14ac:dyDescent="0.25">
      <c r="A41" s="195"/>
      <c r="B41" s="163"/>
      <c r="C41" s="159">
        <f>+C9+C16+C24+C34</f>
        <v>3859391</v>
      </c>
      <c r="D41" s="170">
        <f>+D9+D16+D24+D34+D37</f>
        <v>32266367.857102018</v>
      </c>
      <c r="E41" s="159">
        <f>SUM(AM41:AX41)</f>
        <v>0</v>
      </c>
      <c r="G41" s="130">
        <f t="shared" si="38"/>
        <v>0</v>
      </c>
      <c r="H41" s="131">
        <f>AA41+AI41+AJ41+AK41+AL41</f>
        <v>0</v>
      </c>
      <c r="I41" s="130">
        <f t="shared" si="39"/>
        <v>0</v>
      </c>
      <c r="K41" s="130">
        <f t="shared" si="40"/>
        <v>0</v>
      </c>
      <c r="L41" s="131">
        <f t="shared" si="41"/>
        <v>0</v>
      </c>
      <c r="M41" s="130">
        <f t="shared" si="42"/>
        <v>0</v>
      </c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/>
      <c r="AZ41" s="135"/>
      <c r="BA41" s="135"/>
    </row>
    <row r="42" spans="1:59" x14ac:dyDescent="0.25">
      <c r="A42" s="195"/>
      <c r="C42" s="159">
        <f>SUM(O42:Z42)</f>
        <v>0</v>
      </c>
      <c r="D42" s="170">
        <f>SUM(AA42:AL42)</f>
        <v>1.3428979869931936</v>
      </c>
      <c r="E42" s="159">
        <f>SUM(AM42:AX42)</f>
        <v>-1.5083439908921719</v>
      </c>
      <c r="G42" s="130">
        <f t="shared" si="38"/>
        <v>0</v>
      </c>
      <c r="H42" s="131">
        <f>AA42+AI42+AJ42+AK42+AL42</f>
        <v>0.58894549962133169</v>
      </c>
      <c r="I42" s="130">
        <f t="shared" si="39"/>
        <v>-0.34032687172293663</v>
      </c>
      <c r="K42" s="130">
        <f t="shared" si="40"/>
        <v>0</v>
      </c>
      <c r="L42" s="131">
        <f t="shared" si="41"/>
        <v>0.75395248737186193</v>
      </c>
      <c r="M42" s="130">
        <f t="shared" si="42"/>
        <v>-1.1680171191692352</v>
      </c>
      <c r="O42" s="164"/>
      <c r="P42" s="164"/>
      <c r="Q42" s="164"/>
      <c r="R42" s="164"/>
      <c r="S42" s="164"/>
      <c r="T42" s="164"/>
      <c r="U42" s="578">
        <f t="shared" ref="U42:Z42" si="47">U41-U39</f>
        <v>0</v>
      </c>
      <c r="V42" s="578">
        <f t="shared" si="47"/>
        <v>0</v>
      </c>
      <c r="W42" s="578">
        <f t="shared" si="47"/>
        <v>0</v>
      </c>
      <c r="X42" s="578">
        <f t="shared" si="47"/>
        <v>0</v>
      </c>
      <c r="Y42" s="578">
        <f t="shared" si="47"/>
        <v>0</v>
      </c>
      <c r="Z42" s="578">
        <f t="shared" si="47"/>
        <v>0</v>
      </c>
      <c r="AA42" s="700">
        <f>+AA39-AA40</f>
        <v>0.60000000009313226</v>
      </c>
      <c r="AB42" s="700">
        <f t="shared" ref="AB42:AL42" si="48">+AB39-AB40</f>
        <v>-0.40000000037252903</v>
      </c>
      <c r="AC42" s="700">
        <f t="shared" si="48"/>
        <v>0.39999999990686774</v>
      </c>
      <c r="AD42" s="700">
        <f t="shared" si="48"/>
        <v>0.50000000011641532</v>
      </c>
      <c r="AE42" s="700">
        <f t="shared" si="48"/>
        <v>-9.9999999976716936E-2</v>
      </c>
      <c r="AF42" s="700">
        <f t="shared" si="48"/>
        <v>0.40000000002328306</v>
      </c>
      <c r="AG42" s="700">
        <f t="shared" si="48"/>
        <v>-3.8103108410723507E-2</v>
      </c>
      <c r="AH42" s="700">
        <f t="shared" si="48"/>
        <v>-7.9444039147347212E-3</v>
      </c>
      <c r="AI42" s="700">
        <f t="shared" si="48"/>
        <v>-3.273305157199502E-2</v>
      </c>
      <c r="AJ42" s="700">
        <f t="shared" si="48"/>
        <v>8.1108994781970978E-3</v>
      </c>
      <c r="AK42" s="700">
        <f t="shared" si="48"/>
        <v>2.123572863638401E-3</v>
      </c>
      <c r="AL42" s="700">
        <f t="shared" si="48"/>
        <v>1.1444078758358955E-2</v>
      </c>
      <c r="AM42" s="684">
        <f t="shared" ref="AM42:AR42" si="49">AM40-AM39</f>
        <v>-0.32999999821186066</v>
      </c>
      <c r="AN42" s="684">
        <f t="shared" si="49"/>
        <v>-0.42999999970197678</v>
      </c>
      <c r="AO42" s="684">
        <f t="shared" si="49"/>
        <v>-0.23000000230967999</v>
      </c>
      <c r="AP42" s="684">
        <f t="shared" si="49"/>
        <v>-0.2800000011920929</v>
      </c>
      <c r="AQ42" s="684">
        <f t="shared" si="49"/>
        <v>-1.9999999552965164E-2</v>
      </c>
      <c r="AR42" s="684">
        <f t="shared" si="49"/>
        <v>-0.21000000089406967</v>
      </c>
      <c r="AS42" s="1040">
        <f t="shared" ref="AS42:AX42" si="50">+AS39-AS40</f>
        <v>5.3175538778305054E-4</v>
      </c>
      <c r="AT42" s="1040">
        <f t="shared" si="50"/>
        <v>1.4511290937662125E-3</v>
      </c>
      <c r="AU42" s="1040">
        <f t="shared" si="50"/>
        <v>-5.5922195315361023E-4</v>
      </c>
      <c r="AV42" s="1040">
        <f t="shared" si="50"/>
        <v>1.6701221466064453E-4</v>
      </c>
      <c r="AW42" s="1040">
        <f t="shared" si="50"/>
        <v>7.579803466796875E-3</v>
      </c>
      <c r="AX42" s="1040">
        <f t="shared" si="50"/>
        <v>-1.7514467239379883E-2</v>
      </c>
      <c r="AY42"/>
      <c r="AZ42" s="135"/>
      <c r="BA42" s="135"/>
    </row>
    <row r="43" spans="1:59" customFormat="1" x14ac:dyDescent="0.25"/>
    <row r="44" spans="1:59" x14ac:dyDescent="0.25">
      <c r="A44" s="195"/>
      <c r="B44" s="123" t="s">
        <v>458</v>
      </c>
      <c r="C44" s="190"/>
      <c r="D44" s="536"/>
      <c r="E44" s="190"/>
      <c r="AS44" s="102"/>
      <c r="AT44" s="102"/>
      <c r="AU44" s="102"/>
      <c r="AV44" s="102"/>
      <c r="AW44" s="102"/>
      <c r="AX44" s="102"/>
      <c r="AY44"/>
      <c r="BA44" s="524">
        <f t="shared" ref="BA44:BF44" si="51">AM50</f>
        <v>0</v>
      </c>
      <c r="BB44" s="524">
        <f t="shared" si="51"/>
        <v>0</v>
      </c>
      <c r="BC44" s="524">
        <f t="shared" si="51"/>
        <v>1092.26</v>
      </c>
      <c r="BD44" s="524">
        <f t="shared" si="51"/>
        <v>0</v>
      </c>
      <c r="BE44" s="524">
        <f t="shared" si="51"/>
        <v>2581.4299999999998</v>
      </c>
      <c r="BF44" s="524">
        <f t="shared" si="51"/>
        <v>12051.49</v>
      </c>
      <c r="BG44" s="525">
        <f>SUM(BA44:BF44)</f>
        <v>15725.18</v>
      </c>
    </row>
    <row r="45" spans="1:59" s="168" customFormat="1" x14ac:dyDescent="0.25">
      <c r="A45" s="195" t="s">
        <v>45</v>
      </c>
      <c r="B45" s="169" t="s">
        <v>1225</v>
      </c>
      <c r="C45" s="159">
        <f>SUM(O45:Z45)</f>
        <v>12</v>
      </c>
      <c r="D45" s="170">
        <f t="shared" ref="D45:D73" si="52">SUM(AA45:AL45)</f>
        <v>230791.09999999998</v>
      </c>
      <c r="E45" s="159">
        <f>SUM(AM45:AX45)+BG45</f>
        <v>3188812.4031799999</v>
      </c>
      <c r="F45" s="159"/>
      <c r="G45" s="130">
        <f t="shared" ref="G45:G73" si="53">O45+W45+X45+Y45+Z45</f>
        <v>5</v>
      </c>
      <c r="H45" s="131">
        <f t="shared" ref="H45:H73" si="54">AA45+AI45+AJ45+AK45+AL45</f>
        <v>100886.9</v>
      </c>
      <c r="I45" s="130">
        <f t="shared" ref="I45:I73" si="55">AM45+AU45+AV45+AW45+AX45</f>
        <v>1361616.05021</v>
      </c>
      <c r="J45" s="159"/>
      <c r="K45" s="130">
        <f>SUM(P45:V45)</f>
        <v>7</v>
      </c>
      <c r="L45" s="131">
        <f t="shared" ref="L45:L73" si="56">SUM(AB45:AH45)</f>
        <v>129904.20000000001</v>
      </c>
      <c r="M45" s="130">
        <f t="shared" ref="M45:M73" si="57">SUM(AN45:AT45)</f>
        <v>1816031.5629699999</v>
      </c>
      <c r="O45" s="132">
        <v>1</v>
      </c>
      <c r="P45" s="132">
        <v>1</v>
      </c>
      <c r="Q45" s="132">
        <v>1</v>
      </c>
      <c r="R45" s="132">
        <v>1</v>
      </c>
      <c r="S45" s="132">
        <v>1</v>
      </c>
      <c r="T45" s="132">
        <v>1</v>
      </c>
      <c r="U45" s="132">
        <f>'Forecasted Customer Cts'!I33</f>
        <v>1</v>
      </c>
      <c r="V45" s="132">
        <f>'Forecasted Customer Cts'!J33</f>
        <v>1</v>
      </c>
      <c r="W45" s="132">
        <f>'Forecasted Customer Cts'!K33</f>
        <v>1</v>
      </c>
      <c r="X45" s="132">
        <f>'Forecasted Customer Cts'!L33</f>
        <v>1</v>
      </c>
      <c r="Y45" s="132">
        <f>'Forecasted Customer Cts'!M33</f>
        <v>1</v>
      </c>
      <c r="Z45" s="132">
        <f>'Forecasted Customer Cts'!N33</f>
        <v>1</v>
      </c>
      <c r="AA45" s="128">
        <f>+'Mar16-Aug16 FT-TS-Cashout-LG&amp;E'!I626</f>
        <v>49614.9</v>
      </c>
      <c r="AB45" s="128">
        <f>+'Mar16-Aug16 FT-TS-Cashout-LG&amp;E'!J626</f>
        <v>14777.2</v>
      </c>
      <c r="AC45" s="128">
        <f>+'Mar16-Aug16 FT-TS-Cashout-LG&amp;E'!K626</f>
        <v>20134.2</v>
      </c>
      <c r="AD45" s="128">
        <f>+'Mar16-Aug16 FT-TS-Cashout-LG&amp;E'!L626</f>
        <v>26813.200000000001</v>
      </c>
      <c r="AE45" s="128">
        <f>+'Mar16-Aug16 FT-TS-Cashout-LG&amp;E'!M626</f>
        <v>23734.799999999999</v>
      </c>
      <c r="AF45" s="128">
        <f>+'Mar16-Aug16 FT-TS-Cashout-LG&amp;E'!N626</f>
        <v>23879.9</v>
      </c>
      <c r="AG45" s="128">
        <f>SUMIFS('Sept16-Feb17 Transport'!$K$7:$K$47,'Sept16-Feb17 Transport'!$E$7:$E$47,SBR!$A45,'Sept16-Feb17 Transport'!$D$7:$D$47,SBR!AG$4)*0.1</f>
        <v>12324.299999999996</v>
      </c>
      <c r="AH45" s="128">
        <f>SUMIFS('Sept16-Feb17 Transport'!$K$7:$K$47,'Sept16-Feb17 Transport'!$E$7:$E$47,SBR!$A45,'Sept16-Feb17 Transport'!$D$7:$D$47,SBR!AH$4)*0.1</f>
        <v>8240.5999999999985</v>
      </c>
      <c r="AI45" s="128">
        <f>SUMIFS('Sept16-Feb17 Transport'!$K$7:$K$47,'Sept16-Feb17 Transport'!$E$7:$E$47,SBR!$A45,'Sept16-Feb17 Transport'!$D$7:$D$47,SBR!AI$4)*0.1</f>
        <v>14564.1</v>
      </c>
      <c r="AJ45" s="128">
        <f>SUMIFS('Sept16-Feb17 Transport'!$K$7:$K$47,'Sept16-Feb17 Transport'!$E$7:$E$47,SBR!$A45,'Sept16-Feb17 Transport'!$D$7:$D$47,SBR!AJ$4)*0.1</f>
        <v>12191.799999999996</v>
      </c>
      <c r="AK45" s="128">
        <f>SUMIFS('Sept16-Feb17 Transport'!$K$7:$K$47,'Sept16-Feb17 Transport'!$E$7:$E$47,SBR!$A45,'Sept16-Feb17 Transport'!$D$7:$D$47,SBR!AK$4)*0.1</f>
        <v>12279.599999999999</v>
      </c>
      <c r="AL45" s="128">
        <f>SUMIFS('Sept16-Feb17 Transport'!$K$7:$K$47,'Sept16-Feb17 Transport'!$E$7:$E$47,SBR!$A45,'Sept16-Feb17 Transport'!$D$7:$D$47,SBR!AL$4)*0.1</f>
        <v>12236.5</v>
      </c>
      <c r="AM45" s="166">
        <f>+'Mar16-Aug16 FT-TS-Cashout-LG&amp;E'!I637</f>
        <v>363924.97021</v>
      </c>
      <c r="AN45" s="166">
        <f>+'Mar16-Aug16 FT-TS-Cashout-LG&amp;E'!J637</f>
        <v>239652.88988</v>
      </c>
      <c r="AO45" s="166">
        <f>+'Mar16-Aug16 FT-TS-Cashout-LG&amp;E'!K637</f>
        <v>264387.27518</v>
      </c>
      <c r="AP45" s="166">
        <f>+'Mar16-Aug16 FT-TS-Cashout-LG&amp;E'!L637</f>
        <v>290074.04427999997</v>
      </c>
      <c r="AQ45" s="166">
        <f>+'Mar16-Aug16 FT-TS-Cashout-LG&amp;E'!M637</f>
        <v>278234.82491999998</v>
      </c>
      <c r="AR45" s="166">
        <f>+'Mar16-Aug16 FT-TS-Cashout-LG&amp;E'!N637</f>
        <v>286162.20870999998</v>
      </c>
      <c r="AS45" s="134">
        <f>SUMIFS('Sept16-Feb17 Transport'!$BC$7:$BC$47,'Sept16-Feb17 Transport'!$E$7:$E$47,SBR!$A45,'Sept16-Feb17 Transport'!$D$7:$D$47,SBR!AS$4)</f>
        <v>234440.71</v>
      </c>
      <c r="AT45" s="134">
        <f>SUMIFS('Sept16-Feb17 Transport'!$BC$7:$BC$47,'Sept16-Feb17 Transport'!$E$7:$E$47,SBR!$A45,'Sept16-Feb17 Transport'!$D$7:$D$47,SBR!AT$4)</f>
        <v>223079.61</v>
      </c>
      <c r="AU45" s="134">
        <f>SUMIFS('Sept16-Feb17 Transport'!$BC$7:$BC$47,'Sept16-Feb17 Transport'!$E$7:$E$47,SBR!$A45,'Sept16-Feb17 Transport'!$D$7:$D$47,SBR!AU$4)</f>
        <v>258757.33</v>
      </c>
      <c r="AV45" s="134">
        <f>SUMIFS('Sept16-Feb17 Transport'!$BC$7:$BC$47,'Sept16-Feb17 Transport'!$E$7:$E$47,SBR!$A45,'Sept16-Feb17 Transport'!$D$7:$D$47,SBR!AV$4)</f>
        <v>248303.58</v>
      </c>
      <c r="AW45" s="134">
        <f>SUMIFS('Sept16-Feb17 Transport'!$BC$7:$BC$47,'Sept16-Feb17 Transport'!$E$7:$E$47,SBR!$A45,'Sept16-Feb17 Transport'!$D$7:$D$47,SBR!AW$4)</f>
        <v>243357.94</v>
      </c>
      <c r="AX45" s="134">
        <f>SUMIFS('Sept16-Feb17 Transport'!$BC$7:$BC$47,'Sept16-Feb17 Transport'!$E$7:$E$47,SBR!$A45,'Sept16-Feb17 Transport'!$D$7:$D$47,SBR!AX$4)</f>
        <v>247272.23</v>
      </c>
      <c r="AY45"/>
      <c r="AZ45" s="167"/>
      <c r="BA45" s="518">
        <f t="shared" ref="BA45:BF47" si="58">ROUND((AM45/AM$48)*BA$44,2)</f>
        <v>0</v>
      </c>
      <c r="BB45" s="518">
        <f t="shared" si="58"/>
        <v>0</v>
      </c>
      <c r="BC45" s="518">
        <f t="shared" si="58"/>
        <v>765.46</v>
      </c>
      <c r="BD45" s="518">
        <f t="shared" si="58"/>
        <v>0</v>
      </c>
      <c r="BE45" s="518">
        <f t="shared" si="58"/>
        <v>1796.55</v>
      </c>
      <c r="BF45" s="518">
        <f t="shared" si="58"/>
        <v>8602.7800000000007</v>
      </c>
      <c r="BG45" s="526">
        <f>SUM(BA45:BF45)</f>
        <v>11164.79</v>
      </c>
    </row>
    <row r="46" spans="1:59" s="168" customFormat="1" x14ac:dyDescent="0.25">
      <c r="A46" s="195" t="s">
        <v>57</v>
      </c>
      <c r="B46" s="169" t="s">
        <v>1226</v>
      </c>
      <c r="C46" s="159">
        <f>SUM(O46:Z46)</f>
        <v>0</v>
      </c>
      <c r="D46" s="170">
        <f t="shared" si="52"/>
        <v>0</v>
      </c>
      <c r="E46" s="159">
        <f>SUM(AM46:AX46)+BG46</f>
        <v>4831.54</v>
      </c>
      <c r="F46" s="159"/>
      <c r="G46" s="130">
        <f t="shared" si="53"/>
        <v>0</v>
      </c>
      <c r="H46" s="131">
        <f t="shared" si="54"/>
        <v>0</v>
      </c>
      <c r="I46" s="130">
        <f t="shared" si="55"/>
        <v>800</v>
      </c>
      <c r="J46" s="159"/>
      <c r="K46" s="130">
        <f>SUM(P46:V46)</f>
        <v>0</v>
      </c>
      <c r="L46" s="131">
        <f t="shared" si="56"/>
        <v>0</v>
      </c>
      <c r="M46" s="130">
        <f t="shared" si="57"/>
        <v>4000</v>
      </c>
      <c r="O46" s="132"/>
      <c r="P46" s="132"/>
      <c r="Q46" s="132"/>
      <c r="R46" s="132"/>
      <c r="S46" s="132"/>
      <c r="T46" s="132"/>
      <c r="U46" s="160"/>
      <c r="V46" s="160"/>
      <c r="W46" s="160"/>
      <c r="X46" s="160"/>
      <c r="Y46" s="160"/>
      <c r="Z46" s="160"/>
      <c r="AA46" s="151">
        <f>+'Mar16-Aug16 FT-TS-Cashout-LG&amp;E'!J608</f>
        <v>0</v>
      </c>
      <c r="AB46" s="151">
        <f>+'Mar16-Aug16 FT-TS-Cashout-LG&amp;E'!K608</f>
        <v>0</v>
      </c>
      <c r="AC46" s="151">
        <f>+'Mar16-Aug16 FT-TS-Cashout-LG&amp;E'!L608</f>
        <v>0</v>
      </c>
      <c r="AD46" s="151">
        <f>+'Mar16-Aug16 FT-TS-Cashout-LG&amp;E'!M608</f>
        <v>0</v>
      </c>
      <c r="AE46" s="151">
        <f>+'Mar16-Aug16 FT-TS-Cashout-LG&amp;E'!N608</f>
        <v>0</v>
      </c>
      <c r="AF46" s="151">
        <f>+'Mar16-Aug16 FT-TS-Cashout-LG&amp;E'!O608</f>
        <v>0</v>
      </c>
      <c r="AG46" s="161"/>
      <c r="AH46" s="161"/>
      <c r="AI46" s="161"/>
      <c r="AJ46" s="161"/>
      <c r="AK46" s="161"/>
      <c r="AL46" s="161"/>
      <c r="AM46" s="166">
        <f>+'Mar16-Aug16 FT-TS-Cashout-LG&amp;E'!J616</f>
        <v>800</v>
      </c>
      <c r="AN46" s="166">
        <f>+'Mar16-Aug16 FT-TS-Cashout-LG&amp;E'!K616</f>
        <v>800</v>
      </c>
      <c r="AO46" s="166">
        <f>+'Mar16-Aug16 FT-TS-Cashout-LG&amp;E'!L616</f>
        <v>800</v>
      </c>
      <c r="AP46" s="166">
        <f>+'Mar16-Aug16 FT-TS-Cashout-LG&amp;E'!M616</f>
        <v>800</v>
      </c>
      <c r="AQ46" s="166">
        <f>+'Mar16-Aug16 FT-TS-Cashout-LG&amp;E'!N616</f>
        <v>800</v>
      </c>
      <c r="AR46" s="166">
        <f>+'Mar16-Aug16 FT-TS-Cashout-LG&amp;E'!O616</f>
        <v>800</v>
      </c>
      <c r="AS46" s="166"/>
      <c r="AT46" s="166"/>
      <c r="AU46" s="166"/>
      <c r="AV46" s="166"/>
      <c r="AW46" s="166"/>
      <c r="AX46" s="166"/>
      <c r="AY46"/>
      <c r="AZ46" s="171"/>
      <c r="BA46" s="518">
        <f t="shared" si="58"/>
        <v>0</v>
      </c>
      <c r="BB46" s="518">
        <f t="shared" si="58"/>
        <v>0</v>
      </c>
      <c r="BC46" s="518">
        <f t="shared" si="58"/>
        <v>2.3199999999999998</v>
      </c>
      <c r="BD46" s="518">
        <f t="shared" si="58"/>
        <v>0</v>
      </c>
      <c r="BE46" s="518">
        <f t="shared" si="58"/>
        <v>5.17</v>
      </c>
      <c r="BF46" s="518">
        <f t="shared" si="58"/>
        <v>24.05</v>
      </c>
      <c r="BG46" s="525">
        <f>SUM(BA46:BF46)</f>
        <v>31.54</v>
      </c>
    </row>
    <row r="47" spans="1:59" s="168" customFormat="1" x14ac:dyDescent="0.25">
      <c r="A47" s="195" t="s">
        <v>57</v>
      </c>
      <c r="B47" s="172" t="s">
        <v>1227</v>
      </c>
      <c r="C47" s="173">
        <f>SUM(O47:Z47)</f>
        <v>7</v>
      </c>
      <c r="D47" s="174">
        <f t="shared" si="52"/>
        <v>835384.6</v>
      </c>
      <c r="E47" s="173">
        <f>SUM(AM47:AX47)+BG47</f>
        <v>909708.96253000002</v>
      </c>
      <c r="F47" s="159"/>
      <c r="G47" s="136">
        <f t="shared" si="53"/>
        <v>1</v>
      </c>
      <c r="H47" s="137">
        <f t="shared" si="54"/>
        <v>301.3</v>
      </c>
      <c r="I47" s="136">
        <f t="shared" si="55"/>
        <v>110942.16</v>
      </c>
      <c r="J47" s="130"/>
      <c r="K47" s="136">
        <f>SUM(P47:V47)</f>
        <v>6</v>
      </c>
      <c r="L47" s="137">
        <f t="shared" si="56"/>
        <v>835083.3</v>
      </c>
      <c r="M47" s="136">
        <f t="shared" si="57"/>
        <v>794237.94253000012</v>
      </c>
      <c r="O47" s="139">
        <v>1</v>
      </c>
      <c r="P47" s="139">
        <v>1</v>
      </c>
      <c r="Q47" s="139">
        <v>1</v>
      </c>
      <c r="R47" s="139">
        <v>1</v>
      </c>
      <c r="S47" s="139">
        <v>1</v>
      </c>
      <c r="T47" s="139">
        <v>1</v>
      </c>
      <c r="U47" s="139">
        <v>1</v>
      </c>
      <c r="V47" s="139"/>
      <c r="W47" s="139"/>
      <c r="X47" s="139"/>
      <c r="Y47" s="139"/>
      <c r="Z47" s="139"/>
      <c r="AA47" s="175">
        <f>+'Mar16-Aug16 FT-TS-Cashout-LG&amp;E'!J580</f>
        <v>301.3</v>
      </c>
      <c r="AB47" s="175">
        <f>+'Mar16-Aug16 FT-TS-Cashout-LG&amp;E'!K580</f>
        <v>18660.099999999999</v>
      </c>
      <c r="AC47" s="175">
        <f>+'Mar16-Aug16 FT-TS-Cashout-LG&amp;E'!L580</f>
        <v>95127.8</v>
      </c>
      <c r="AD47" s="175">
        <f>+'Mar16-Aug16 FT-TS-Cashout-LG&amp;E'!M580</f>
        <v>262356.09999999998</v>
      </c>
      <c r="AE47" s="175">
        <f>+'Mar16-Aug16 FT-TS-Cashout-LG&amp;E'!N580</f>
        <v>270529.59999999998</v>
      </c>
      <c r="AF47" s="175">
        <f>+'Mar16-Aug16 FT-TS-Cashout-LG&amp;E'!O580</f>
        <v>129634.8</v>
      </c>
      <c r="AG47" s="979">
        <f>SUMIFS('Sept16-Feb17 Transport'!$K$7:$K$47,'Sept16-Feb17 Transport'!$E$7:$E$47,SBR!$A47,'Sept16-Feb17 Transport'!$D$7:$D$47,SBR!AG$4)*0.1</f>
        <v>58774.899999999994</v>
      </c>
      <c r="AH47" s="979">
        <f>SUMIFS('Sept16-Feb17 Transport'!$K$7:$K$47,'Sept16-Feb17 Transport'!$E$7:$E$47,SBR!$A47,'Sept16-Feb17 Transport'!$D$7:$D$47,SBR!AH$4)*0.1</f>
        <v>0</v>
      </c>
      <c r="AI47" s="979">
        <f>SUMIFS('Sept16-Feb17 Transport'!$K$7:$K$47,'Sept16-Feb17 Transport'!$E$7:$E$47,SBR!$A47,'Sept16-Feb17 Transport'!$D$7:$D$47,SBR!AI$4)*0.1</f>
        <v>0</v>
      </c>
      <c r="AJ47" s="979">
        <f>SUMIFS('Sept16-Feb17 Transport'!$K$7:$K$47,'Sept16-Feb17 Transport'!$E$7:$E$47,SBR!$A47,'Sept16-Feb17 Transport'!$D$7:$D$47,SBR!AJ$4)*0.1</f>
        <v>0</v>
      </c>
      <c r="AK47" s="979">
        <f>SUMIFS('Sept16-Feb17 Transport'!$K$7:$K$47,'Sept16-Feb17 Transport'!$E$7:$E$47,SBR!$A47,'Sept16-Feb17 Transport'!$D$7:$D$47,SBR!AK$4)*0.1</f>
        <v>0</v>
      </c>
      <c r="AL47" s="979">
        <f>SUMIFS('Sept16-Feb17 Transport'!$K$7:$K$47,'Sept16-Feb17 Transport'!$E$7:$E$47,SBR!$A47,'Sept16-Feb17 Transport'!$D$7:$D$47,SBR!AL$4)*0.1</f>
        <v>0</v>
      </c>
      <c r="AM47" s="176">
        <f>+'Mar16-Aug16 FT-TS-Cashout-LG&amp;E'!J597</f>
        <v>110942.16</v>
      </c>
      <c r="AN47" s="176">
        <f>+'Mar16-Aug16 FT-TS-Cashout-LG&amp;E'!K597</f>
        <v>108359.91000000002</v>
      </c>
      <c r="AO47" s="176">
        <f>+'Mar16-Aug16 FT-TS-Cashout-LG&amp;E'!L597</f>
        <v>112077.09000000001</v>
      </c>
      <c r="AP47" s="176">
        <f>+'Mar16-Aug16 FT-TS-Cashout-LG&amp;E'!M597</f>
        <v>121126.85</v>
      </c>
      <c r="AQ47" s="176">
        <f>+'Mar16-Aug16 FT-TS-Cashout-LG&amp;E'!N597</f>
        <v>120754.87000000001</v>
      </c>
      <c r="AR47" s="176">
        <f>+'Mar16-Aug16 FT-TS-Cashout-LG&amp;E'!O597</f>
        <v>113917.47000000002</v>
      </c>
      <c r="AS47" s="141">
        <f>SUMIFS('Sept16-Feb17 Transport'!$BD$7:$BD$47,'Sept16-Feb17 Transport'!$E$7:$E$47,SBR!$A47,'Sept16-Feb17 Transport'!$D$7:$D$47,SBR!AS$4)</f>
        <v>110861.43253000001</v>
      </c>
      <c r="AT47" s="141">
        <f>SUMIFS('Sept16-Feb17 Transport'!$BC$7:$BC$47,'Sept16-Feb17 Transport'!$E$7:$E$47,SBR!$A47,'Sept16-Feb17 Transport'!$D$7:$D$47,SBR!AT$4)</f>
        <v>107140.32</v>
      </c>
      <c r="AU47" s="141">
        <f>SUMIFS('Sept16-Feb17 Transport'!$BC$7:$BC$47,'Sept16-Feb17 Transport'!$E$7:$E$47,SBR!$A47,'Sept16-Feb17 Transport'!$D$7:$D$47,SBR!AU$4)</f>
        <v>0</v>
      </c>
      <c r="AV47" s="141">
        <f>SUMIFS('Sept16-Feb17 Transport'!$BC$7:$BC$47,'Sept16-Feb17 Transport'!$E$7:$E$47,SBR!$A47,'Sept16-Feb17 Transport'!$D$7:$D$47,SBR!AV$4)</f>
        <v>0</v>
      </c>
      <c r="AW47" s="141">
        <f>SUMIFS('Sept16-Feb17 Transport'!$BC$7:$BC$47,'Sept16-Feb17 Transport'!$E$7:$E$47,SBR!$A47,'Sept16-Feb17 Transport'!$D$7:$D$47,SBR!AW$4)</f>
        <v>0</v>
      </c>
      <c r="AX47" s="141">
        <f>SUMIFS('Sept16-Feb17 Transport'!$BC$7:$BC$47,'Sept16-Feb17 Transport'!$E$7:$E$47,SBR!$A47,'Sept16-Feb17 Transport'!$D$7:$D$47,SBR!AX$4)</f>
        <v>0</v>
      </c>
      <c r="AY47"/>
      <c r="AZ47" s="167"/>
      <c r="BA47" s="518">
        <f t="shared" si="58"/>
        <v>0</v>
      </c>
      <c r="BB47" s="518">
        <f t="shared" si="58"/>
        <v>0</v>
      </c>
      <c r="BC47" s="518">
        <f t="shared" si="58"/>
        <v>324.49</v>
      </c>
      <c r="BD47" s="518">
        <f t="shared" si="58"/>
        <v>0</v>
      </c>
      <c r="BE47" s="518">
        <f t="shared" si="58"/>
        <v>779.71</v>
      </c>
      <c r="BF47" s="518">
        <f t="shared" si="58"/>
        <v>3424.66</v>
      </c>
      <c r="BG47" s="525">
        <f>SUM(BA47:BF47)</f>
        <v>4528.8599999999997</v>
      </c>
    </row>
    <row r="48" spans="1:59" s="168" customFormat="1" x14ac:dyDescent="0.25">
      <c r="A48" s="195"/>
      <c r="B48" s="177" t="s">
        <v>459</v>
      </c>
      <c r="C48" s="159">
        <f>SUM(O48:Z48)</f>
        <v>19</v>
      </c>
      <c r="D48" s="170">
        <f t="shared" si="52"/>
        <v>1066175.7</v>
      </c>
      <c r="E48" s="159">
        <f>SUM(AM48:AX48)+BG48</f>
        <v>4103352.9057099996</v>
      </c>
      <c r="F48" s="159"/>
      <c r="G48" s="130">
        <f t="shared" si="53"/>
        <v>6</v>
      </c>
      <c r="H48" s="131">
        <f t="shared" si="54"/>
        <v>101188.20000000001</v>
      </c>
      <c r="I48" s="130">
        <f t="shared" si="55"/>
        <v>1473358.2102099999</v>
      </c>
      <c r="J48" s="130"/>
      <c r="K48" s="130">
        <f>SUM(P48:V48)</f>
        <v>13</v>
      </c>
      <c r="L48" s="131">
        <f t="shared" si="56"/>
        <v>964987.49999999988</v>
      </c>
      <c r="M48" s="130">
        <f t="shared" si="57"/>
        <v>2614269.5055</v>
      </c>
      <c r="O48" s="132">
        <f>SUM(O45:O47)</f>
        <v>2</v>
      </c>
      <c r="P48" s="132">
        <f t="shared" ref="P48:Z48" si="59">SUM(P45:P47)</f>
        <v>2</v>
      </c>
      <c r="Q48" s="132">
        <f t="shared" si="59"/>
        <v>2</v>
      </c>
      <c r="R48" s="132">
        <f t="shared" si="59"/>
        <v>2</v>
      </c>
      <c r="S48" s="132">
        <f t="shared" si="59"/>
        <v>2</v>
      </c>
      <c r="T48" s="132">
        <f t="shared" si="59"/>
        <v>2</v>
      </c>
      <c r="U48" s="132">
        <f t="shared" si="59"/>
        <v>2</v>
      </c>
      <c r="V48" s="132">
        <f t="shared" si="59"/>
        <v>1</v>
      </c>
      <c r="W48" s="132">
        <f t="shared" si="59"/>
        <v>1</v>
      </c>
      <c r="X48" s="132">
        <f t="shared" si="59"/>
        <v>1</v>
      </c>
      <c r="Y48" s="132">
        <f t="shared" si="59"/>
        <v>1</v>
      </c>
      <c r="Z48" s="132">
        <f t="shared" si="59"/>
        <v>1</v>
      </c>
      <c r="AA48" s="149">
        <f t="shared" ref="AA48:AL48" si="60">SUM(AA45:AA47)</f>
        <v>49916.200000000004</v>
      </c>
      <c r="AB48" s="149">
        <f t="shared" si="60"/>
        <v>33437.300000000003</v>
      </c>
      <c r="AC48" s="149">
        <f t="shared" si="60"/>
        <v>115262</v>
      </c>
      <c r="AD48" s="149">
        <f t="shared" si="60"/>
        <v>289169.3</v>
      </c>
      <c r="AE48" s="149">
        <f t="shared" si="60"/>
        <v>294264.39999999997</v>
      </c>
      <c r="AF48" s="149">
        <f t="shared" si="60"/>
        <v>153514.70000000001</v>
      </c>
      <c r="AG48" s="149">
        <f t="shared" si="60"/>
        <v>71099.199999999983</v>
      </c>
      <c r="AH48" s="149">
        <f t="shared" si="60"/>
        <v>8240.5999999999985</v>
      </c>
      <c r="AI48" s="149">
        <f t="shared" si="60"/>
        <v>14564.1</v>
      </c>
      <c r="AJ48" s="149">
        <f t="shared" si="60"/>
        <v>12191.799999999996</v>
      </c>
      <c r="AK48" s="149">
        <f t="shared" si="60"/>
        <v>12279.599999999999</v>
      </c>
      <c r="AL48" s="149">
        <f t="shared" si="60"/>
        <v>12236.5</v>
      </c>
      <c r="AM48" s="166">
        <f t="shared" ref="AM48:AR48" si="61">SUM(AM45:AM47)</f>
        <v>475667.13020999997</v>
      </c>
      <c r="AN48" s="166">
        <f t="shared" si="61"/>
        <v>348812.79988000001</v>
      </c>
      <c r="AO48" s="166">
        <f t="shared" si="61"/>
        <v>377264.36518000002</v>
      </c>
      <c r="AP48" s="166">
        <f t="shared" si="61"/>
        <v>412000.89428000001</v>
      </c>
      <c r="AQ48" s="166">
        <f t="shared" si="61"/>
        <v>399789.69491999998</v>
      </c>
      <c r="AR48" s="166">
        <f t="shared" si="61"/>
        <v>400879.67871000001</v>
      </c>
      <c r="AS48" s="166">
        <f t="shared" ref="AS48:AX48" si="62">SUM(AS45:AS47)</f>
        <v>345302.14253000001</v>
      </c>
      <c r="AT48" s="166">
        <f t="shared" si="62"/>
        <v>330219.93</v>
      </c>
      <c r="AU48" s="166">
        <f t="shared" si="62"/>
        <v>258757.33</v>
      </c>
      <c r="AV48" s="166">
        <f t="shared" si="62"/>
        <v>248303.58</v>
      </c>
      <c r="AW48" s="166">
        <f t="shared" si="62"/>
        <v>243357.94</v>
      </c>
      <c r="AX48" s="166">
        <f t="shared" si="62"/>
        <v>247272.23</v>
      </c>
      <c r="AY48"/>
      <c r="AZ48" s="167"/>
      <c r="BA48" s="527">
        <f t="shared" ref="BA48:BF48" si="63">SUM(BA45:BA47)</f>
        <v>0</v>
      </c>
      <c r="BB48" s="527">
        <f t="shared" si="63"/>
        <v>0</v>
      </c>
      <c r="BC48" s="527">
        <f t="shared" si="63"/>
        <v>1092.27</v>
      </c>
      <c r="BD48" s="527">
        <f t="shared" si="63"/>
        <v>0</v>
      </c>
      <c r="BE48" s="527">
        <f t="shared" si="63"/>
        <v>2581.4300000000003</v>
      </c>
      <c r="BF48" s="527">
        <f t="shared" si="63"/>
        <v>12051.49</v>
      </c>
      <c r="BG48" s="526">
        <f>SUM(BA48:BF48)</f>
        <v>15725.19</v>
      </c>
    </row>
    <row r="49" spans="1:59" s="168" customFormat="1" x14ac:dyDescent="0.25">
      <c r="A49" s="195"/>
      <c r="B49" s="177"/>
      <c r="C49" s="159"/>
      <c r="D49" s="170"/>
      <c r="E49" s="159"/>
      <c r="F49" s="159"/>
      <c r="G49" s="130"/>
      <c r="H49" s="131"/>
      <c r="I49" s="130"/>
      <c r="J49" s="130"/>
      <c r="K49" s="130"/>
      <c r="L49" s="131"/>
      <c r="M49" s="130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 s="167"/>
      <c r="BA49" s="518">
        <f>BA44-BA48</f>
        <v>0</v>
      </c>
      <c r="BB49" s="518">
        <f t="shared" ref="BB49:BG49" si="64">BB44-BB48</f>
        <v>0</v>
      </c>
      <c r="BC49" s="518">
        <f t="shared" si="64"/>
        <v>-9.9999999999909051E-3</v>
      </c>
      <c r="BD49" s="518">
        <f t="shared" si="64"/>
        <v>0</v>
      </c>
      <c r="BE49" s="518">
        <f t="shared" si="64"/>
        <v>0</v>
      </c>
      <c r="BF49" s="518">
        <f t="shared" si="64"/>
        <v>0</v>
      </c>
      <c r="BG49" s="525">
        <f t="shared" si="64"/>
        <v>-1.0000000000218279E-2</v>
      </c>
    </row>
    <row r="50" spans="1:59" s="168" customFormat="1" x14ac:dyDescent="0.25">
      <c r="A50" s="195"/>
      <c r="B50" s="540" t="s">
        <v>457</v>
      </c>
      <c r="C50" s="173"/>
      <c r="D50" s="174">
        <f t="shared" si="52"/>
        <v>0</v>
      </c>
      <c r="E50" s="173">
        <f>SUM(AM50:AX50)</f>
        <v>15725.18</v>
      </c>
      <c r="F50" s="159"/>
      <c r="G50" s="136">
        <f t="shared" si="53"/>
        <v>0</v>
      </c>
      <c r="H50" s="137">
        <f t="shared" si="54"/>
        <v>0</v>
      </c>
      <c r="I50" s="136">
        <f t="shared" si="55"/>
        <v>0</v>
      </c>
      <c r="J50" s="159"/>
      <c r="K50" s="173"/>
      <c r="L50" s="137">
        <f t="shared" si="56"/>
        <v>0</v>
      </c>
      <c r="M50" s="136">
        <f t="shared" si="57"/>
        <v>15725.18</v>
      </c>
      <c r="O50" s="533"/>
      <c r="P50" s="533"/>
      <c r="Q50" s="533"/>
      <c r="R50" s="533"/>
      <c r="S50" s="533"/>
      <c r="T50" s="533"/>
      <c r="U50" s="173"/>
      <c r="V50" s="173"/>
      <c r="W50" s="173"/>
      <c r="X50" s="173"/>
      <c r="Y50" s="173"/>
      <c r="Z50" s="173"/>
      <c r="AA50" s="175">
        <v>0</v>
      </c>
      <c r="AB50" s="175">
        <v>0</v>
      </c>
      <c r="AC50" s="175">
        <v>0</v>
      </c>
      <c r="AD50" s="175"/>
      <c r="AE50" s="175"/>
      <c r="AF50" s="175"/>
      <c r="AG50" s="542"/>
      <c r="AH50" s="532"/>
      <c r="AI50" s="532"/>
      <c r="AJ50" s="532"/>
      <c r="AK50" s="532"/>
      <c r="AL50" s="532"/>
      <c r="AM50" s="179"/>
      <c r="AN50" s="179"/>
      <c r="AO50" s="179">
        <f>1092.26</f>
        <v>1092.26</v>
      </c>
      <c r="AP50" s="179"/>
      <c r="AQ50" s="179">
        <v>2581.4299999999998</v>
      </c>
      <c r="AR50" s="179">
        <v>12051.49</v>
      </c>
      <c r="AS50" s="179"/>
      <c r="AT50" s="179"/>
      <c r="AU50" s="179"/>
      <c r="AV50" s="179"/>
      <c r="AW50" s="179"/>
      <c r="AX50" s="179"/>
      <c r="AY50"/>
      <c r="AZ50" s="167"/>
      <c r="BA50" s="167"/>
    </row>
    <row r="51" spans="1:59" s="168" customFormat="1" x14ac:dyDescent="0.25">
      <c r="A51" s="195"/>
      <c r="B51" s="540"/>
      <c r="C51" s="189"/>
      <c r="D51" s="673"/>
      <c r="E51" s="189"/>
      <c r="F51" s="159"/>
      <c r="G51" s="130"/>
      <c r="H51" s="131"/>
      <c r="I51" s="130"/>
      <c r="J51" s="159"/>
      <c r="K51" s="159"/>
      <c r="L51" s="170"/>
      <c r="M51" s="138"/>
      <c r="O51" s="705"/>
      <c r="P51" s="705"/>
      <c r="Q51" s="705"/>
      <c r="R51" s="705"/>
      <c r="S51" s="705"/>
      <c r="T51" s="705"/>
      <c r="U51" s="189"/>
      <c r="V51" s="189"/>
      <c r="W51" s="189"/>
      <c r="X51" s="189"/>
      <c r="Y51" s="189"/>
      <c r="Z51" s="189"/>
      <c r="AA51" s="706"/>
      <c r="AB51" s="706"/>
      <c r="AC51" s="706"/>
      <c r="AD51" s="706"/>
      <c r="AE51" s="706"/>
      <c r="AF51" s="706"/>
      <c r="AG51" s="707"/>
      <c r="AH51" s="161"/>
      <c r="AI51" s="161"/>
      <c r="AJ51" s="161"/>
      <c r="AK51" s="161"/>
      <c r="AL51" s="161"/>
      <c r="AM51" s="708"/>
      <c r="AN51" s="708"/>
      <c r="AO51" s="708"/>
      <c r="AP51" s="708"/>
      <c r="AQ51" s="708"/>
      <c r="AR51" s="708"/>
      <c r="AS51" s="708"/>
      <c r="AT51" s="708"/>
      <c r="AU51" s="708"/>
      <c r="AV51" s="708"/>
      <c r="AW51" s="708"/>
      <c r="AX51" s="708"/>
      <c r="AY51"/>
      <c r="AZ51" s="167"/>
      <c r="BA51" s="167"/>
    </row>
    <row r="52" spans="1:59" s="168" customFormat="1" x14ac:dyDescent="0.25">
      <c r="A52" s="195"/>
      <c r="B52" s="180" t="s">
        <v>796</v>
      </c>
      <c r="C52" s="159"/>
      <c r="D52" s="170">
        <f>SUM(AA52:AL52)</f>
        <v>1066175.8</v>
      </c>
      <c r="E52" s="159">
        <f>SUM(AM52:AX52)</f>
        <v>4103381.16</v>
      </c>
      <c r="F52" s="159"/>
      <c r="G52" s="130">
        <f t="shared" si="53"/>
        <v>0</v>
      </c>
      <c r="H52" s="131">
        <f t="shared" si="54"/>
        <v>101188</v>
      </c>
      <c r="I52" s="130">
        <f t="shared" si="55"/>
        <v>1473358.0799999998</v>
      </c>
      <c r="J52" s="130"/>
      <c r="K52" s="130">
        <f t="shared" ref="K52:K73" si="65">SUM(P52:V52)</f>
        <v>0</v>
      </c>
      <c r="L52" s="131">
        <f t="shared" si="56"/>
        <v>964987.79999999993</v>
      </c>
      <c r="M52" s="130">
        <f t="shared" si="57"/>
        <v>2630023.08</v>
      </c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81">
        <v>49916</v>
      </c>
      <c r="AB52" s="181">
        <v>33437</v>
      </c>
      <c r="AC52" s="181">
        <v>115262</v>
      </c>
      <c r="AD52" s="181">
        <v>289169</v>
      </c>
      <c r="AE52" s="181">
        <v>294265</v>
      </c>
      <c r="AF52" s="181">
        <v>153515</v>
      </c>
      <c r="AG52" s="582">
        <f>710992*0.1</f>
        <v>71099.199999999997</v>
      </c>
      <c r="AH52" s="582">
        <f>82406*0.1</f>
        <v>8240.6</v>
      </c>
      <c r="AI52" s="582">
        <f>145641*0.1</f>
        <v>14564.1</v>
      </c>
      <c r="AJ52" s="582">
        <f>121918*0.1</f>
        <v>12191.800000000001</v>
      </c>
      <c r="AK52" s="582">
        <f>122796*0.1</f>
        <v>12279.6</v>
      </c>
      <c r="AL52" s="582">
        <f>122365*0.1</f>
        <v>12236.5</v>
      </c>
      <c r="AM52" s="166">
        <v>475667</v>
      </c>
      <c r="AN52" s="166">
        <v>348813</v>
      </c>
      <c r="AO52" s="166">
        <v>378385</v>
      </c>
      <c r="AP52" s="166">
        <v>412001</v>
      </c>
      <c r="AQ52" s="166">
        <v>402371</v>
      </c>
      <c r="AR52" s="166">
        <v>412931</v>
      </c>
      <c r="AS52" s="583">
        <v>345302.15</v>
      </c>
      <c r="AT52" s="583">
        <v>330219.93</v>
      </c>
      <c r="AU52" s="583">
        <v>258757.33</v>
      </c>
      <c r="AV52" s="583">
        <v>248303.58</v>
      </c>
      <c r="AW52" s="583">
        <v>243357.94</v>
      </c>
      <c r="AX52" s="583">
        <v>247272.23</v>
      </c>
      <c r="AY52"/>
      <c r="AZ52" s="167"/>
      <c r="BA52" s="167"/>
    </row>
    <row r="53" spans="1:59" s="168" customFormat="1" x14ac:dyDescent="0.25">
      <c r="A53" s="195"/>
      <c r="B53" s="180" t="s">
        <v>460</v>
      </c>
      <c r="C53" s="159">
        <f>SUM(C45:C47)</f>
        <v>19</v>
      </c>
      <c r="D53" s="170">
        <f t="shared" si="52"/>
        <v>1066175.1000000001</v>
      </c>
      <c r="E53" s="159">
        <f>SUM(AM53:AX53)</f>
        <v>4103352.8957099998</v>
      </c>
      <c r="F53" s="159"/>
      <c r="G53" s="130">
        <f t="shared" si="53"/>
        <v>6</v>
      </c>
      <c r="H53" s="131">
        <f t="shared" si="54"/>
        <v>101188</v>
      </c>
      <c r="I53" s="130">
        <f t="shared" si="55"/>
        <v>1473358.2102099999</v>
      </c>
      <c r="J53" s="130"/>
      <c r="K53" s="130">
        <f t="shared" si="65"/>
        <v>13</v>
      </c>
      <c r="L53" s="131">
        <f t="shared" si="56"/>
        <v>964987.1</v>
      </c>
      <c r="M53" s="130">
        <f t="shared" si="57"/>
        <v>2629994.6854999997</v>
      </c>
      <c r="O53" s="130">
        <f t="shared" ref="O53:T53" si="66">O48+O50</f>
        <v>2</v>
      </c>
      <c r="P53" s="130">
        <f t="shared" si="66"/>
        <v>2</v>
      </c>
      <c r="Q53" s="130">
        <f t="shared" si="66"/>
        <v>2</v>
      </c>
      <c r="R53" s="130">
        <f t="shared" si="66"/>
        <v>2</v>
      </c>
      <c r="S53" s="130">
        <f t="shared" si="66"/>
        <v>2</v>
      </c>
      <c r="T53" s="130">
        <f t="shared" si="66"/>
        <v>2</v>
      </c>
      <c r="U53" s="130">
        <f t="shared" ref="U53:Z53" si="67">U48+U50</f>
        <v>2</v>
      </c>
      <c r="V53" s="130">
        <f t="shared" si="67"/>
        <v>1</v>
      </c>
      <c r="W53" s="130">
        <f t="shared" si="67"/>
        <v>1</v>
      </c>
      <c r="X53" s="130">
        <f t="shared" si="67"/>
        <v>1</v>
      </c>
      <c r="Y53" s="130">
        <f t="shared" si="67"/>
        <v>1</v>
      </c>
      <c r="Z53" s="130">
        <f t="shared" si="67"/>
        <v>1</v>
      </c>
      <c r="AA53" s="149">
        <f>ROUND(AA48+AA50,0)</f>
        <v>49916</v>
      </c>
      <c r="AB53" s="149">
        <f>+AB48+AB50</f>
        <v>33437.300000000003</v>
      </c>
      <c r="AC53" s="149">
        <f>+AC48+AC50</f>
        <v>115262</v>
      </c>
      <c r="AD53" s="149">
        <f>+AD48+AD50</f>
        <v>289169.3</v>
      </c>
      <c r="AE53" s="149">
        <f>ROUND(AE48+AE50,0)</f>
        <v>294264</v>
      </c>
      <c r="AF53" s="149">
        <f t="shared" ref="AF53:AL53" si="68">+AF48+AF50</f>
        <v>153514.70000000001</v>
      </c>
      <c r="AG53" s="149">
        <f t="shared" si="68"/>
        <v>71099.199999999983</v>
      </c>
      <c r="AH53" s="149">
        <f t="shared" si="68"/>
        <v>8240.5999999999985</v>
      </c>
      <c r="AI53" s="149">
        <f t="shared" si="68"/>
        <v>14564.1</v>
      </c>
      <c r="AJ53" s="149">
        <f t="shared" si="68"/>
        <v>12191.799999999996</v>
      </c>
      <c r="AK53" s="149">
        <f t="shared" si="68"/>
        <v>12279.599999999999</v>
      </c>
      <c r="AL53" s="149">
        <f t="shared" si="68"/>
        <v>12236.5</v>
      </c>
      <c r="AM53" s="166">
        <f t="shared" ref="AM53:AR53" si="69">+AM48+AM50</f>
        <v>475667.13020999997</v>
      </c>
      <c r="AN53" s="166">
        <f>+AN48+AN50</f>
        <v>348812.79988000001</v>
      </c>
      <c r="AO53" s="166">
        <f>+AO48+AO50</f>
        <v>378356.62518000003</v>
      </c>
      <c r="AP53" s="166">
        <f>+AP48+AP50</f>
        <v>412000.89428000001</v>
      </c>
      <c r="AQ53" s="166">
        <f t="shared" si="69"/>
        <v>402371.12491999997</v>
      </c>
      <c r="AR53" s="166">
        <f t="shared" si="69"/>
        <v>412931.16871</v>
      </c>
      <c r="AS53" s="166">
        <f t="shared" ref="AS53:AX53" si="70">+AS48+AS50</f>
        <v>345302.14253000001</v>
      </c>
      <c r="AT53" s="166">
        <f t="shared" si="70"/>
        <v>330219.93</v>
      </c>
      <c r="AU53" s="166">
        <f t="shared" si="70"/>
        <v>258757.33</v>
      </c>
      <c r="AV53" s="166">
        <f t="shared" si="70"/>
        <v>248303.58</v>
      </c>
      <c r="AW53" s="166">
        <f t="shared" si="70"/>
        <v>243357.94</v>
      </c>
      <c r="AX53" s="166">
        <f t="shared" si="70"/>
        <v>247272.23</v>
      </c>
      <c r="AY53"/>
      <c r="AZ53" s="167"/>
      <c r="BA53" s="167"/>
    </row>
    <row r="55" spans="1:59" x14ac:dyDescent="0.25">
      <c r="A55" s="195"/>
      <c r="C55" s="159"/>
      <c r="D55" s="170">
        <f t="shared" si="52"/>
        <v>0.10000000002764864</v>
      </c>
      <c r="E55" s="159">
        <f t="shared" ref="E55:E62" si="71">SUM(AM55:AX55)</f>
        <v>28.24934999999823</v>
      </c>
      <c r="G55" s="130">
        <f t="shared" si="53"/>
        <v>0</v>
      </c>
      <c r="H55" s="131">
        <f t="shared" si="54"/>
        <v>-0.20000000000436557</v>
      </c>
      <c r="I55" s="130">
        <f t="shared" si="55"/>
        <v>-0.13020999997388572</v>
      </c>
      <c r="J55" s="130"/>
      <c r="K55" s="130">
        <f t="shared" si="65"/>
        <v>0</v>
      </c>
      <c r="L55" s="131">
        <f t="shared" si="56"/>
        <v>0.30000000003201421</v>
      </c>
      <c r="M55" s="130">
        <f t="shared" si="57"/>
        <v>28.379559999972116</v>
      </c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82">
        <f>AA52-AA48</f>
        <v>-0.20000000000436557</v>
      </c>
      <c r="AB55" s="182">
        <f t="shared" ref="AB55:AL55" si="72">+AB52-AB48</f>
        <v>-0.30000000000291038</v>
      </c>
      <c r="AC55" s="182">
        <f t="shared" si="72"/>
        <v>0</v>
      </c>
      <c r="AD55" s="182">
        <f t="shared" si="72"/>
        <v>-0.29999999998835847</v>
      </c>
      <c r="AE55" s="182">
        <f t="shared" si="72"/>
        <v>0.6000000000349246</v>
      </c>
      <c r="AF55" s="182">
        <f t="shared" si="72"/>
        <v>0.29999999998835847</v>
      </c>
      <c r="AG55" s="182">
        <f t="shared" si="72"/>
        <v>0</v>
      </c>
      <c r="AH55" s="182">
        <f t="shared" si="72"/>
        <v>0</v>
      </c>
      <c r="AI55" s="182">
        <f t="shared" si="72"/>
        <v>0</v>
      </c>
      <c r="AJ55" s="182">
        <f t="shared" si="72"/>
        <v>0</v>
      </c>
      <c r="AK55" s="182">
        <f t="shared" si="72"/>
        <v>0</v>
      </c>
      <c r="AL55" s="182">
        <f t="shared" si="72"/>
        <v>0</v>
      </c>
      <c r="AM55" s="182">
        <f t="shared" ref="AM55:AR55" si="73">+AM52-AM53</f>
        <v>-0.13020999997388572</v>
      </c>
      <c r="AN55" s="182">
        <f t="shared" si="73"/>
        <v>0.20011999999405816</v>
      </c>
      <c r="AO55" s="182">
        <f t="shared" si="73"/>
        <v>28.374819999968167</v>
      </c>
      <c r="AP55" s="182">
        <f t="shared" si="73"/>
        <v>0.10571999999228865</v>
      </c>
      <c r="AQ55" s="182">
        <f t="shared" si="73"/>
        <v>-0.12491999997291714</v>
      </c>
      <c r="AR55" s="182">
        <f t="shared" si="73"/>
        <v>-0.1687099999981001</v>
      </c>
      <c r="AS55" s="182">
        <f t="shared" ref="AS55:AX55" si="74">AS53-AS52</f>
        <v>-7.4700000113807619E-3</v>
      </c>
      <c r="AT55" s="182">
        <f t="shared" si="74"/>
        <v>0</v>
      </c>
      <c r="AU55" s="182">
        <f t="shared" si="74"/>
        <v>0</v>
      </c>
      <c r="AV55" s="182">
        <f t="shared" si="74"/>
        <v>0</v>
      </c>
      <c r="AW55" s="182">
        <f t="shared" si="74"/>
        <v>0</v>
      </c>
      <c r="AX55" s="182">
        <f t="shared" si="74"/>
        <v>0</v>
      </c>
      <c r="AY55"/>
    </row>
    <row r="56" spans="1:59" x14ac:dyDescent="0.25">
      <c r="A56" s="195"/>
      <c r="B56" s="123" t="s">
        <v>461</v>
      </c>
      <c r="C56" s="674"/>
      <c r="D56" s="675"/>
      <c r="E56" s="674"/>
      <c r="F56" s="124"/>
      <c r="G56" s="125"/>
      <c r="H56" s="125"/>
      <c r="I56" s="124"/>
      <c r="J56" s="124"/>
      <c r="K56" s="124"/>
      <c r="L56" s="125"/>
      <c r="M56" s="124"/>
      <c r="O56" s="183"/>
      <c r="P56" s="183"/>
      <c r="Q56" s="183"/>
      <c r="R56" s="183"/>
      <c r="S56" s="183"/>
      <c r="T56" s="183"/>
      <c r="U56" s="124"/>
      <c r="V56" s="124"/>
      <c r="W56" s="124"/>
      <c r="X56" s="124"/>
      <c r="Y56" s="124"/>
      <c r="Z56" s="124"/>
      <c r="AA56" s="184"/>
      <c r="AB56" s="184"/>
      <c r="AC56" s="184"/>
      <c r="AD56" s="185"/>
      <c r="AE56" s="185"/>
      <c r="AF56" s="185"/>
      <c r="AG56" s="183"/>
      <c r="AH56" s="183"/>
      <c r="AI56" s="183"/>
      <c r="AJ56" s="183"/>
      <c r="AK56" s="183"/>
      <c r="AL56" s="183"/>
      <c r="AS56" s="185"/>
      <c r="AT56" s="185"/>
      <c r="AU56" s="185"/>
      <c r="AV56" s="185"/>
      <c r="AW56" s="185"/>
      <c r="AX56" s="185"/>
      <c r="AY56"/>
      <c r="BA56" s="524">
        <f t="shared" ref="BA56:BF56" si="75">AM84</f>
        <v>0</v>
      </c>
      <c r="BB56" s="524">
        <f t="shared" si="75"/>
        <v>-16143.14</v>
      </c>
      <c r="BC56" s="524">
        <f t="shared" si="75"/>
        <v>-6626.9</v>
      </c>
      <c r="BD56" s="524">
        <f t="shared" si="75"/>
        <v>23850.379999999997</v>
      </c>
      <c r="BE56" s="524">
        <f t="shared" si="75"/>
        <v>0</v>
      </c>
      <c r="BF56" s="524">
        <f t="shared" si="75"/>
        <v>0</v>
      </c>
      <c r="BG56" s="524">
        <f t="shared" ref="BG56:BG64" si="76">SUM(BA56:BF56)</f>
        <v>1080.3399999999965</v>
      </c>
    </row>
    <row r="57" spans="1:59" x14ac:dyDescent="0.25">
      <c r="A57" s="195" t="s">
        <v>39</v>
      </c>
      <c r="B57" s="158" t="s">
        <v>978</v>
      </c>
      <c r="C57" s="159">
        <f>SUM(O57:Z57)</f>
        <v>0</v>
      </c>
      <c r="D57" s="170">
        <f t="shared" si="52"/>
        <v>0</v>
      </c>
      <c r="E57" s="159">
        <f t="shared" si="71"/>
        <v>0</v>
      </c>
      <c r="F57" s="159"/>
      <c r="G57" s="130">
        <f t="shared" si="53"/>
        <v>0</v>
      </c>
      <c r="H57" s="131">
        <f t="shared" si="54"/>
        <v>0</v>
      </c>
      <c r="I57" s="130">
        <f t="shared" si="55"/>
        <v>0</v>
      </c>
      <c r="J57" s="130"/>
      <c r="K57" s="130">
        <f t="shared" si="65"/>
        <v>0</v>
      </c>
      <c r="L57" s="131">
        <f t="shared" si="56"/>
        <v>0</v>
      </c>
      <c r="M57" s="130">
        <f t="shared" si="57"/>
        <v>0</v>
      </c>
      <c r="O57" s="972">
        <f>'Mar16-Aug16 FT-TS-Cashout-LG&amp;E'!I149</f>
        <v>0</v>
      </c>
      <c r="P57" s="972">
        <f>'Mar16-Aug16 FT-TS-Cashout-LG&amp;E'!J149</f>
        <v>0</v>
      </c>
      <c r="Q57" s="972">
        <f>'Mar16-Aug16 FT-TS-Cashout-LG&amp;E'!K149</f>
        <v>0</v>
      </c>
      <c r="R57" s="972">
        <f>'Mar16-Aug16 FT-TS-Cashout-LG&amp;E'!L149</f>
        <v>0</v>
      </c>
      <c r="S57" s="972"/>
      <c r="T57" s="972"/>
      <c r="U57" s="973"/>
      <c r="V57" s="973"/>
      <c r="W57" s="973"/>
      <c r="X57" s="973"/>
      <c r="Y57" s="973"/>
      <c r="Z57" s="973"/>
      <c r="AA57" s="184">
        <f>+'Mar16-Aug16 FT-TS-Cashout-LG&amp;E'!J154</f>
        <v>0</v>
      </c>
      <c r="AB57" s="184">
        <f>+'Mar16-Aug16 FT-TS-Cashout-LG&amp;E'!K154</f>
        <v>0</v>
      </c>
      <c r="AC57" s="184">
        <f>+'Mar16-Aug16 FT-TS-Cashout-LG&amp;E'!L154</f>
        <v>0</v>
      </c>
      <c r="AD57" s="184">
        <f>+'Mar16-Aug16 FT-TS-Cashout-LG&amp;E'!M154</f>
        <v>0</v>
      </c>
      <c r="AE57" s="184">
        <f>+'Mar16-Aug16 FT-TS-Cashout-LG&amp;E'!N154</f>
        <v>0</v>
      </c>
      <c r="AF57" s="184">
        <f>+'Mar16-Aug16 FT-TS-Cashout-LG&amp;E'!O154</f>
        <v>0</v>
      </c>
      <c r="AG57" s="103">
        <f>SUMIFS('Sept16-Feb17 Transport'!$K$7:$K$47,'Sept16-Feb17 Transport'!$E$7:$E$47,$A57,'Sept16-Feb17 Transport'!$D$7:$D$47,U$4)/10+SUMIFS('Sept16-Feb17 Transport'!$L$7:$L$47,'Sept16-Feb17 Transport'!$E$7:$E$47,$A57,'Sept16-Feb17 Transport'!$D$7:$D$47,AG$4)/10</f>
        <v>0</v>
      </c>
      <c r="AH57" s="103">
        <f>SUMIFS('Sept16-Feb17 Transport'!$K$7:$K$47,'Sept16-Feb17 Transport'!$E$7:$E$47,$A57,'Sept16-Feb17 Transport'!$D$7:$D$47,V$4)/10+SUMIFS('Sept16-Feb17 Transport'!$L$7:$L$47,'Sept16-Feb17 Transport'!$E$7:$E$47,$A57,'Sept16-Feb17 Transport'!$D$7:$D$47,AH$4)/10</f>
        <v>0</v>
      </c>
      <c r="AI57" s="103">
        <f>SUMIFS('Sept16-Feb17 Transport'!$K$7:$K$47,'Sept16-Feb17 Transport'!$E$7:$E$47,$A57,'Sept16-Feb17 Transport'!$D$7:$D$47,W$4)/10+SUMIFS('Sept16-Feb17 Transport'!$L$7:$L$47,'Sept16-Feb17 Transport'!$E$7:$E$47,$A57,'Sept16-Feb17 Transport'!$D$7:$D$47,AI$4)/10</f>
        <v>0</v>
      </c>
      <c r="AJ57" s="103">
        <f>SUMIFS('Sept16-Feb17 Transport'!$K$7:$K$47,'Sept16-Feb17 Transport'!$E$7:$E$47,$A57,'Sept16-Feb17 Transport'!$D$7:$D$47,X$4)/10+SUMIFS('Sept16-Feb17 Transport'!$L$7:$L$47,'Sept16-Feb17 Transport'!$E$7:$E$47,$A57,'Sept16-Feb17 Transport'!$D$7:$D$47,AJ$4)/10</f>
        <v>0</v>
      </c>
      <c r="AK57" s="103">
        <f>SUMIFS('Sept16-Feb17 Transport'!$K$7:$K$47,'Sept16-Feb17 Transport'!$E$7:$E$47,$A57,'Sept16-Feb17 Transport'!$D$7:$D$47,Y$4)/10+SUMIFS('Sept16-Feb17 Transport'!$L$7:$L$47,'Sept16-Feb17 Transport'!$E$7:$E$47,$A57,'Sept16-Feb17 Transport'!$D$7:$D$47,AK$4)/10</f>
        <v>0</v>
      </c>
      <c r="AL57" s="103">
        <f>SUMIFS('Sept16-Feb17 Transport'!$K$7:$K$47,'Sept16-Feb17 Transport'!$E$7:$E$47,$A57,'Sept16-Feb17 Transport'!$D$7:$D$47,Z$4)/10+SUMIFS('Sept16-Feb17 Transport'!$L$7:$L$47,'Sept16-Feb17 Transport'!$E$7:$E$47,$A57,'Sept16-Feb17 Transport'!$D$7:$D$47,AL$4)/10</f>
        <v>0</v>
      </c>
      <c r="AM57" s="685">
        <f>+'Mar16-Aug16 FT-TS-Cashout-LG&amp;E'!J170+'Mar16-Aug16 FT-TS-Cashout-LG&amp;E'!J280</f>
        <v>0</v>
      </c>
      <c r="AN57" s="685">
        <f>+'Mar16-Aug16 FT-TS-Cashout-LG&amp;E'!K170+'Mar16-Aug16 FT-TS-Cashout-LG&amp;E'!K280</f>
        <v>0</v>
      </c>
      <c r="AO57" s="685">
        <f>+'Mar16-Aug16 FT-TS-Cashout-LG&amp;E'!L170+'Mar16-Aug16 FT-TS-Cashout-LG&amp;E'!L280</f>
        <v>0</v>
      </c>
      <c r="AP57" s="685">
        <f>+'Mar16-Aug16 FT-TS-Cashout-LG&amp;E'!M170+'Mar16-Aug16 FT-TS-Cashout-LG&amp;E'!M280</f>
        <v>0</v>
      </c>
      <c r="AQ57" s="685">
        <f>+'Mar16-Aug16 FT-TS-Cashout-LG&amp;E'!N170+'Mar16-Aug16 FT-TS-Cashout-LG&amp;E'!N280</f>
        <v>0</v>
      </c>
      <c r="AR57" s="685">
        <f>+'Mar16-Aug16 FT-TS-Cashout-LG&amp;E'!O170+'Mar16-Aug16 FT-TS-Cashout-LG&amp;E'!O280</f>
        <v>0</v>
      </c>
      <c r="AS57" s="685">
        <f>SUMIFS('Sept16-Feb17 Transport'!$BC$7:$BC$47,'Sept16-Feb17 Transport'!$E$7:$E$47,$A57,'Sept16-Feb17 Transport'!$D$7:$D$47,AS$4)</f>
        <v>0</v>
      </c>
      <c r="AT57" s="685">
        <f>SUMIFS('Sept16-Feb17 Transport'!$BC$7:$BC$47,'Sept16-Feb17 Transport'!$E$7:$E$47,$A57,'Sept16-Feb17 Transport'!$D$7:$D$47,AT$4)</f>
        <v>0</v>
      </c>
      <c r="AU57" s="685">
        <f>SUMIFS('Sept16-Feb17 Transport'!$BC$7:$BC$47,'Sept16-Feb17 Transport'!$E$7:$E$47,$A57,'Sept16-Feb17 Transport'!$D$7:$D$47,AU$4)</f>
        <v>0</v>
      </c>
      <c r="AV57" s="685">
        <f>SUMIFS('Sept16-Feb17 Transport'!$BC$7:$BC$47,'Sept16-Feb17 Transport'!$E$7:$E$47,$A57,'Sept16-Feb17 Transport'!$D$7:$D$47,AV$4)</f>
        <v>0</v>
      </c>
      <c r="AW57" s="685">
        <f>SUMIFS('Sept16-Feb17 Transport'!$BC$7:$BC$47,'Sept16-Feb17 Transport'!$E$7:$E$47,$A57,'Sept16-Feb17 Transport'!$D$7:$D$47,AW$4)</f>
        <v>0</v>
      </c>
      <c r="AX57" s="685">
        <f>SUMIFS('Sept16-Feb17 Transport'!$BC$7:$BC$47,'Sept16-Feb17 Transport'!$E$7:$E$47,$A57,'Sept16-Feb17 Transport'!$D$7:$D$47,AX$4)</f>
        <v>0</v>
      </c>
      <c r="AY57"/>
      <c r="BA57" s="518">
        <f t="shared" ref="BA57:BA64" si="77">(AM57/(AM$65+AM$73+AM$158+SUM(AM$76:AM$80))*$BA$56)</f>
        <v>0</v>
      </c>
      <c r="BB57" s="518">
        <f t="shared" ref="BB57:BB64" si="78">(AN57/(AN$65+AN$73+AN$158+SUM(AN$76:AN$80))*$BB$56)</f>
        <v>0</v>
      </c>
      <c r="BC57" s="518">
        <f t="shared" ref="BC57:BC64" si="79">(AO57/(AO$65+AO$73+AO$158+SUM(AO$76:AO$80))*$BC$56)</f>
        <v>0</v>
      </c>
      <c r="BD57" s="518">
        <f t="shared" ref="BD57:BD64" si="80">(AP57/(AP$65+AP$73+AP$158+SUM(AP$76:AP$80))*$BD$56)</f>
        <v>0</v>
      </c>
      <c r="BE57" s="518">
        <f t="shared" ref="BE57:BE64" si="81">(AQ57/(AQ$65+AQ$73+AQ$158+SUM(AQ$76:AQ$80))*$BE$56)</f>
        <v>0</v>
      </c>
      <c r="BF57" s="518">
        <f t="shared" ref="BF57:BF64" si="82">(AR57/(AR$65+AR$73+AR$158+SUM(AR$76:AR$80))*$BF$56)</f>
        <v>0</v>
      </c>
      <c r="BG57" s="525">
        <f t="shared" si="76"/>
        <v>0</v>
      </c>
    </row>
    <row r="58" spans="1:59" x14ac:dyDescent="0.25">
      <c r="A58" s="195" t="s">
        <v>39</v>
      </c>
      <c r="B58" s="158" t="s">
        <v>988</v>
      </c>
      <c r="C58" s="159">
        <f t="shared" ref="C58:C65" si="83">SUM(O58:Z58)</f>
        <v>0</v>
      </c>
      <c r="D58" s="170">
        <f t="shared" si="52"/>
        <v>0</v>
      </c>
      <c r="E58" s="159">
        <f t="shared" si="71"/>
        <v>0</v>
      </c>
      <c r="F58" s="159"/>
      <c r="G58" s="130">
        <f t="shared" si="53"/>
        <v>0</v>
      </c>
      <c r="H58" s="131">
        <f t="shared" si="54"/>
        <v>0</v>
      </c>
      <c r="I58" s="130">
        <f t="shared" si="55"/>
        <v>0</v>
      </c>
      <c r="J58" s="130"/>
      <c r="K58" s="130">
        <f t="shared" si="65"/>
        <v>0</v>
      </c>
      <c r="L58" s="131">
        <f t="shared" si="56"/>
        <v>0</v>
      </c>
      <c r="M58" s="130">
        <f t="shared" si="57"/>
        <v>0</v>
      </c>
      <c r="O58" s="972"/>
      <c r="P58" s="972"/>
      <c r="Q58" s="972"/>
      <c r="R58" s="972"/>
      <c r="S58" s="972"/>
      <c r="T58" s="972"/>
      <c r="U58" s="973"/>
      <c r="V58" s="973"/>
      <c r="W58" s="973"/>
      <c r="X58" s="973"/>
      <c r="Y58" s="973"/>
      <c r="Z58" s="973"/>
      <c r="AA58" s="184">
        <f>'Mar16-Aug16 FT-TS-Cashout-LG&amp;E'!J266</f>
        <v>0</v>
      </c>
      <c r="AB58" s="184">
        <f>'Mar16-Aug16 FT-TS-Cashout-LG&amp;E'!K266</f>
        <v>0</v>
      </c>
      <c r="AC58" s="184">
        <f>'Mar16-Aug16 FT-TS-Cashout-LG&amp;E'!L266</f>
        <v>0</v>
      </c>
      <c r="AD58" s="184">
        <f>'Mar16-Aug16 FT-TS-Cashout-LG&amp;E'!M266</f>
        <v>0</v>
      </c>
      <c r="AE58" s="184">
        <f>'Mar16-Aug16 FT-TS-Cashout-LG&amp;E'!N266</f>
        <v>0</v>
      </c>
      <c r="AF58" s="184">
        <f>'Mar16-Aug16 FT-TS-Cashout-LG&amp;E'!O266</f>
        <v>0</v>
      </c>
      <c r="AG58" s="103">
        <f>SUMIFS('Sept16-Feb17 Transport'!$K$7:$K$47,'Sept16-Feb17 Transport'!$E$7:$E$47,$A58,'Sept16-Feb17 Transport'!$D$7:$D$47,U$4)/10+SUMIFS('Sept16-Feb17 Transport'!$L$7:$L$47,'Sept16-Feb17 Transport'!$E$7:$E$47,$A58,'Sept16-Feb17 Transport'!$D$7:$D$47,AG$4)/10</f>
        <v>0</v>
      </c>
      <c r="AH58" s="103">
        <f>SUMIFS('Sept16-Feb17 Transport'!$K$7:$K$47,'Sept16-Feb17 Transport'!$E$7:$E$47,$A58,'Sept16-Feb17 Transport'!$D$7:$D$47,V$4)/10+SUMIFS('Sept16-Feb17 Transport'!$L$7:$L$47,'Sept16-Feb17 Transport'!$E$7:$E$47,$A58,'Sept16-Feb17 Transport'!$D$7:$D$47,AH$4)/10</f>
        <v>0</v>
      </c>
      <c r="AI58" s="103">
        <f>SUMIFS('Sept16-Feb17 Transport'!$K$7:$K$47,'Sept16-Feb17 Transport'!$E$7:$E$47,$A58,'Sept16-Feb17 Transport'!$D$7:$D$47,W$4)/10+SUMIFS('Sept16-Feb17 Transport'!$L$7:$L$47,'Sept16-Feb17 Transport'!$E$7:$E$47,$A58,'Sept16-Feb17 Transport'!$D$7:$D$47,AI$4)/10</f>
        <v>0</v>
      </c>
      <c r="AJ58" s="103">
        <f>SUMIFS('Sept16-Feb17 Transport'!$K$7:$K$47,'Sept16-Feb17 Transport'!$E$7:$E$47,$A58,'Sept16-Feb17 Transport'!$D$7:$D$47,X$4)/10+SUMIFS('Sept16-Feb17 Transport'!$L$7:$L$47,'Sept16-Feb17 Transport'!$E$7:$E$47,$A58,'Sept16-Feb17 Transport'!$D$7:$D$47,AJ$4)/10</f>
        <v>0</v>
      </c>
      <c r="AK58" s="103">
        <f>SUMIFS('Sept16-Feb17 Transport'!$K$7:$K$47,'Sept16-Feb17 Transport'!$E$7:$E$47,$A58,'Sept16-Feb17 Transport'!$D$7:$D$47,Y$4)/10+SUMIFS('Sept16-Feb17 Transport'!$L$7:$L$47,'Sept16-Feb17 Transport'!$E$7:$E$47,$A58,'Sept16-Feb17 Transport'!$D$7:$D$47,AK$4)/10</f>
        <v>0</v>
      </c>
      <c r="AL58" s="103">
        <f>SUMIFS('Sept16-Feb17 Transport'!$K$7:$K$47,'Sept16-Feb17 Transport'!$E$7:$E$47,$A58,'Sept16-Feb17 Transport'!$D$7:$D$47,Z$4)/10+SUMIFS('Sept16-Feb17 Transport'!$L$7:$L$47,'Sept16-Feb17 Transport'!$E$7:$E$47,$A58,'Sept16-Feb17 Transport'!$D$7:$D$47,AL$4)/10</f>
        <v>0</v>
      </c>
      <c r="AM58" s="685">
        <f>'Mar16-Aug16 FT-TS-Cashout-LG&amp;E'!J473</f>
        <v>0</v>
      </c>
      <c r="AN58" s="685">
        <f>'Mar16-Aug16 FT-TS-Cashout-LG&amp;E'!K473</f>
        <v>0</v>
      </c>
      <c r="AO58" s="685">
        <f>'Mar16-Aug16 FT-TS-Cashout-LG&amp;E'!L473</f>
        <v>0</v>
      </c>
      <c r="AP58" s="685">
        <f>'Mar16-Aug16 FT-TS-Cashout-LG&amp;E'!M473</f>
        <v>0</v>
      </c>
      <c r="AQ58" s="685">
        <f>'Mar16-Aug16 FT-TS-Cashout-LG&amp;E'!N473</f>
        <v>0</v>
      </c>
      <c r="AR58" s="685">
        <v>0</v>
      </c>
      <c r="AS58" s="685">
        <f>SUMIFS('Sept16-Feb17 Transport'!$BC$7:$BC$47,'Sept16-Feb17 Transport'!$E$7:$E$47,$A58,'Sept16-Feb17 Transport'!$D$7:$D$47,AS$4)</f>
        <v>0</v>
      </c>
      <c r="AT58" s="685">
        <f>SUMIFS('Sept16-Feb17 Transport'!$BC$7:$BC$47,'Sept16-Feb17 Transport'!$E$7:$E$47,$A58,'Sept16-Feb17 Transport'!$D$7:$D$47,AT$4)</f>
        <v>0</v>
      </c>
      <c r="AU58" s="685">
        <f>SUMIFS('Sept16-Feb17 Transport'!$BC$7:$BC$47,'Sept16-Feb17 Transport'!$E$7:$E$47,$A58,'Sept16-Feb17 Transport'!$D$7:$D$47,AU$4)</f>
        <v>0</v>
      </c>
      <c r="AV58" s="685">
        <f>SUMIFS('Sept16-Feb17 Transport'!$BC$7:$BC$47,'Sept16-Feb17 Transport'!$E$7:$E$47,$A58,'Sept16-Feb17 Transport'!$D$7:$D$47,AV$4)</f>
        <v>0</v>
      </c>
      <c r="AW58" s="685">
        <f>SUMIFS('Sept16-Feb17 Transport'!$BC$7:$BC$47,'Sept16-Feb17 Transport'!$E$7:$E$47,$A58,'Sept16-Feb17 Transport'!$D$7:$D$47,AW$4)</f>
        <v>0</v>
      </c>
      <c r="AX58" s="685">
        <f>SUMIFS('Sept16-Feb17 Transport'!$BC$7:$BC$47,'Sept16-Feb17 Transport'!$E$7:$E$47,$A58,'Sept16-Feb17 Transport'!$D$7:$D$47,AX$4)</f>
        <v>0</v>
      </c>
      <c r="AY58"/>
      <c r="BA58" s="518">
        <f t="shared" si="77"/>
        <v>0</v>
      </c>
      <c r="BB58" s="518">
        <f t="shared" si="78"/>
        <v>0</v>
      </c>
      <c r="BC58" s="518">
        <f t="shared" si="79"/>
        <v>0</v>
      </c>
      <c r="BD58" s="518">
        <f t="shared" si="80"/>
        <v>0</v>
      </c>
      <c r="BE58" s="518">
        <f t="shared" si="81"/>
        <v>0</v>
      </c>
      <c r="BF58" s="518">
        <f t="shared" si="82"/>
        <v>0</v>
      </c>
      <c r="BG58" s="525">
        <f t="shared" si="76"/>
        <v>0</v>
      </c>
    </row>
    <row r="59" spans="1:59" x14ac:dyDescent="0.25">
      <c r="A59" s="195" t="s">
        <v>42</v>
      </c>
      <c r="B59" s="158" t="s">
        <v>979</v>
      </c>
      <c r="C59" s="159">
        <f t="shared" si="83"/>
        <v>54</v>
      </c>
      <c r="D59" s="170">
        <f t="shared" si="52"/>
        <v>406656.46565011964</v>
      </c>
      <c r="E59" s="159">
        <f>SUM(AM59:AX59)+BG59</f>
        <v>1024567.5022552704</v>
      </c>
      <c r="F59" s="159"/>
      <c r="G59" s="130">
        <f t="shared" si="53"/>
        <v>24</v>
      </c>
      <c r="H59" s="131">
        <f t="shared" si="54"/>
        <v>135932.85185942744</v>
      </c>
      <c r="I59" s="130">
        <f t="shared" si="55"/>
        <v>354780.81744999997</v>
      </c>
      <c r="J59" s="130"/>
      <c r="K59" s="130">
        <f t="shared" si="65"/>
        <v>30</v>
      </c>
      <c r="L59" s="131">
        <f t="shared" si="56"/>
        <v>270723.61379069218</v>
      </c>
      <c r="M59" s="130">
        <f t="shared" si="57"/>
        <v>668079.00899</v>
      </c>
      <c r="O59" s="973">
        <f>'Mar16-Aug16 FT-TS-Cashout-LG&amp;E'!I212</f>
        <v>4</v>
      </c>
      <c r="P59" s="973">
        <f>'Mar16-Aug16 FT-TS-Cashout-LG&amp;E'!J212</f>
        <v>4</v>
      </c>
      <c r="Q59" s="973">
        <f>'Mar16-Aug16 FT-TS-Cashout-LG&amp;E'!K212</f>
        <v>4</v>
      </c>
      <c r="R59" s="973">
        <f>'Mar16-Aug16 FT-TS-Cashout-LG&amp;E'!L212</f>
        <v>4</v>
      </c>
      <c r="S59" s="973">
        <f>'Mar16-Aug16 FT-TS-Cashout-LG&amp;E'!M212</f>
        <v>4</v>
      </c>
      <c r="T59" s="973">
        <f>'Mar16-Aug16 FT-TS-Cashout-LG&amp;E'!N212</f>
        <v>4</v>
      </c>
      <c r="U59" s="973">
        <f>SUMIF('Forecasted Customer Cts'!$D$5:$D$36,SBR!$A60,'Forecasted Customer Cts'!$N$5:$N$36)</f>
        <v>5</v>
      </c>
      <c r="V59" s="973">
        <f>SUMIF('Forecasted Customer Cts'!$D$5:$D$36,SBR!$A60,'Forecasted Customer Cts'!$O$5:$O$36)</f>
        <v>5</v>
      </c>
      <c r="W59" s="973">
        <f>SUMIF('Forecasted Customer Cts'!$D$5:$D$36,SBR!$A60,'Forecasted Customer Cts'!$P$5:$P$36)</f>
        <v>5</v>
      </c>
      <c r="X59" s="973">
        <f>SUMIF('Forecasted Customer Cts'!$D$5:$D$36,SBR!$A60,'Forecasted Customer Cts'!$Q$5:$Q$36)</f>
        <v>5</v>
      </c>
      <c r="Y59" s="973">
        <f>SUMIF('Forecasted Customer Cts'!$D$5:$D$36,SBR!$A60,'Forecasted Customer Cts'!$R$5:$R$36)</f>
        <v>5</v>
      </c>
      <c r="Z59" s="973">
        <f>SUMIF('Forecasted Customer Cts'!$D$5:$D$36,SBR!$A60,'Forecasted Customer Cts'!$S$5:$S$36)</f>
        <v>5</v>
      </c>
      <c r="AA59" s="184">
        <f>+'Mar16-Aug16 FT-TS-Cashout-LG&amp;E'!J216</f>
        <v>16641.3</v>
      </c>
      <c r="AB59" s="184">
        <f>+'Mar16-Aug16 FT-TS-Cashout-LG&amp;E'!K216</f>
        <v>26647.9</v>
      </c>
      <c r="AC59" s="184">
        <f>+'Mar16-Aug16 FT-TS-Cashout-LG&amp;E'!L216</f>
        <v>27289.7</v>
      </c>
      <c r="AD59" s="184">
        <f>+'Mar16-Aug16 FT-TS-Cashout-LG&amp;E'!M216</f>
        <v>34471</v>
      </c>
      <c r="AE59" s="184">
        <f>+'Mar16-Aug16 FT-TS-Cashout-LG&amp;E'!N216</f>
        <v>34281.5</v>
      </c>
      <c r="AF59" s="184">
        <f>+'Mar16-Aug16 FT-TS-Cashout-LG&amp;E'!O216</f>
        <v>41294</v>
      </c>
      <c r="AG59" s="103">
        <f>SUMIFS('Sept16-Feb17 Transport'!$K$7:$K$47,'Sept16-Feb17 Transport'!$E$7:$E$47,$A59,'Sept16-Feb17 Transport'!$D$7:$D$47,U$4)/10+SUMIFS('Sept16-Feb17 Transport'!$L$7:$L$47,'Sept16-Feb17 Transport'!$E$7:$E$47,$A59,'Sept16-Feb17 Transport'!$D$7:$D$47,AG$4)/10</f>
        <v>43051.282079423101</v>
      </c>
      <c r="AH59" s="103">
        <f>SUMIFS('Sept16-Feb17 Transport'!$K$7:$K$47,'Sept16-Feb17 Transport'!$E$7:$E$47,$A59,'Sept16-Feb17 Transport'!$D$7:$D$47,V$4)/10+SUMIFS('Sept16-Feb17 Transport'!$L$7:$L$47,'Sept16-Feb17 Transport'!$E$7:$E$47,$A59,'Sept16-Feb17 Transport'!$D$7:$D$47,AH$4)/10</f>
        <v>63688.23171126908</v>
      </c>
      <c r="AI59" s="103">
        <f>SUMIFS('Sept16-Feb17 Transport'!$K$7:$K$47,'Sept16-Feb17 Transport'!$E$7:$E$47,$A59,'Sept16-Feb17 Transport'!$D$7:$D$47,W$4)/10+SUMIFS('Sept16-Feb17 Transport'!$L$7:$L$47,'Sept16-Feb17 Transport'!$E$7:$E$47,$A59,'Sept16-Feb17 Transport'!$D$7:$D$47,AI$4)/10</f>
        <v>50328.004329424002</v>
      </c>
      <c r="AJ59" s="103">
        <f>SUMIFS('Sept16-Feb17 Transport'!$K$7:$K$47,'Sept16-Feb17 Transport'!$E$7:$E$47,$A59,'Sept16-Feb17 Transport'!$D$7:$D$47,X$4)/10+SUMIFS('Sept16-Feb17 Transport'!$L$7:$L$47,'Sept16-Feb17 Transport'!$E$7:$E$47,$A59,'Sept16-Feb17 Transport'!$D$7:$D$47,AJ$4)/10</f>
        <v>39530.612779496107</v>
      </c>
      <c r="AK59" s="103">
        <f>SUMIFS('Sept16-Feb17 Transport'!$K$7:$K$47,'Sept16-Feb17 Transport'!$E$7:$E$47,$A59,'Sept16-Feb17 Transport'!$D$7:$D$47,Y$4)/10+SUMIFS('Sept16-Feb17 Transport'!$L$7:$L$47,'Sept16-Feb17 Transport'!$E$7:$E$47,$A59,'Sept16-Feb17 Transport'!$D$7:$D$47,AK$4)/10</f>
        <v>17926.550904581352</v>
      </c>
      <c r="AL59" s="103">
        <f>SUMIFS('Sept16-Feb17 Transport'!$K$7:$K$47,'Sept16-Feb17 Transport'!$E$7:$E$47,$A59,'Sept16-Feb17 Transport'!$D$7:$D$47,Z$4)/10+SUMIFS('Sept16-Feb17 Transport'!$L$7:$L$47,'Sept16-Feb17 Transport'!$E$7:$E$47,$A59,'Sept16-Feb17 Transport'!$D$7:$D$47,AL$4)/10</f>
        <v>11506.383845925984</v>
      </c>
      <c r="AM59" s="685">
        <f>'Mar16-Aug16 FT-TS-Cashout-LG&amp;E'!J233-'Mar16-Aug16 FT-TS-Cashout-LG&amp;E'!J226</f>
        <v>53123.077450000004</v>
      </c>
      <c r="AN59" s="685">
        <f>'Mar16-Aug16 FT-TS-Cashout-LG&amp;E'!K233-'Mar16-Aug16 FT-TS-Cashout-LG&amp;E'!K226</f>
        <v>71038.268350000013</v>
      </c>
      <c r="AO59" s="685">
        <f>'Mar16-Aug16 FT-TS-Cashout-LG&amp;E'!L233-'Mar16-Aug16 FT-TS-Cashout-LG&amp;E'!L226</f>
        <v>77636.244739999995</v>
      </c>
      <c r="AP59" s="685">
        <f>'Mar16-Aug16 FT-TS-Cashout-LG&amp;E'!M233-'Mar16-Aug16 FT-TS-Cashout-LG&amp;E'!M226</f>
        <v>98806.278200000001</v>
      </c>
      <c r="AQ59" s="685">
        <f>'Mar16-Aug16 FT-TS-Cashout-LG&amp;E'!N233-'Mar16-Aug16 FT-TS-Cashout-LG&amp;E'!N226</f>
        <v>97744.142299999992</v>
      </c>
      <c r="AR59" s="685">
        <f>'Mar16-Aug16 FT-TS-Cashout-LG&amp;E'!O233-'Mar16-Aug16 FT-TS-Cashout-LG&amp;E'!O226</f>
        <v>108702.1254</v>
      </c>
      <c r="AS59" s="685">
        <f>SUMIFS('Sept16-Feb17 Transport'!$BC$7:$BC$47,'Sept16-Feb17 Transport'!$E$7:$E$47,$A59,'Sept16-Feb17 Transport'!$D$7:$D$47,AS$4)-AS80</f>
        <v>89051.18</v>
      </c>
      <c r="AT59" s="685">
        <f>SUMIFS('Sept16-Feb17 Transport'!$BC$7:$BC$47,'Sept16-Feb17 Transport'!$E$7:$E$47,$A59,'Sept16-Feb17 Transport'!$D$7:$D$47,AT$4)-AT80</f>
        <v>125100.77</v>
      </c>
      <c r="AU59" s="685">
        <f>SUMIFS('Sept16-Feb17 Transport'!$BC$7:$BC$47,'Sept16-Feb17 Transport'!$E$7:$E$47,$A59,'Sept16-Feb17 Transport'!$D$7:$D$47,AU$4)-AU80</f>
        <v>124676.46</v>
      </c>
      <c r="AV59" s="685">
        <f>SUMIFS('Sept16-Feb17 Transport'!$BC$7:$BC$47,'Sept16-Feb17 Transport'!$E$7:$E$47,$A59,'Sept16-Feb17 Transport'!$D$7:$D$47,AV$4)-AV80</f>
        <v>98101.54</v>
      </c>
      <c r="AW59" s="685">
        <f>SUMIFS('Sept16-Feb17 Transport'!$BC$7:$BC$47,'Sept16-Feb17 Transport'!$E$7:$E$47,$A59,'Sept16-Feb17 Transport'!$D$7:$D$47,AW$4)-AW80</f>
        <v>47180.99</v>
      </c>
      <c r="AX59" s="685">
        <f>SUMIFS('Sept16-Feb17 Transport'!$BC$7:$BC$47,'Sept16-Feb17 Transport'!$E$7:$E$47,$A59,'Sept16-Feb17 Transport'!$D$7:$D$47,AX$4)-AX80</f>
        <v>31698.75</v>
      </c>
      <c r="AY59"/>
      <c r="BA59" s="518">
        <f t="shared" si="77"/>
        <v>0</v>
      </c>
      <c r="BB59" s="518">
        <f t="shared" si="78"/>
        <v>-1969.712637504289</v>
      </c>
      <c r="BC59" s="518">
        <f t="shared" si="79"/>
        <v>-796.00577040220969</v>
      </c>
      <c r="BD59" s="518">
        <f t="shared" si="80"/>
        <v>4473.3942231769042</v>
      </c>
      <c r="BE59" s="518">
        <f t="shared" si="81"/>
        <v>0</v>
      </c>
      <c r="BF59" s="518">
        <f t="shared" si="82"/>
        <v>0</v>
      </c>
      <c r="BG59" s="525">
        <f t="shared" si="76"/>
        <v>1707.6758152704056</v>
      </c>
    </row>
    <row r="60" spans="1:59" x14ac:dyDescent="0.25">
      <c r="A60" s="195" t="s">
        <v>42</v>
      </c>
      <c r="B60" s="158" t="s">
        <v>987</v>
      </c>
      <c r="C60" s="159">
        <f t="shared" si="83"/>
        <v>6</v>
      </c>
      <c r="D60" s="170">
        <f t="shared" si="52"/>
        <v>78068.399999999994</v>
      </c>
      <c r="E60" s="159">
        <f>SUM(AM60:AX60)+BG60</f>
        <v>230170.66951170936</v>
      </c>
      <c r="F60" s="159"/>
      <c r="G60" s="130">
        <f t="shared" si="53"/>
        <v>1</v>
      </c>
      <c r="H60" s="131">
        <f t="shared" si="54"/>
        <v>17212.5</v>
      </c>
      <c r="I60" s="130">
        <f t="shared" si="55"/>
        <v>51137.539999999994</v>
      </c>
      <c r="J60" s="130"/>
      <c r="K60" s="130">
        <f t="shared" si="65"/>
        <v>5</v>
      </c>
      <c r="L60" s="131">
        <f t="shared" si="56"/>
        <v>60855.899999999994</v>
      </c>
      <c r="M60" s="130">
        <f t="shared" si="57"/>
        <v>178375.40946000002</v>
      </c>
      <c r="O60" s="973">
        <f>'Mar16-Aug16 FT-TS-Cashout-LG&amp;E'!I304</f>
        <v>1</v>
      </c>
      <c r="P60" s="973">
        <f>'Mar16-Aug16 FT-TS-Cashout-LG&amp;E'!J304</f>
        <v>1</v>
      </c>
      <c r="Q60" s="973">
        <f>'Mar16-Aug16 FT-TS-Cashout-LG&amp;E'!K304</f>
        <v>1</v>
      </c>
      <c r="R60" s="973">
        <f>'Mar16-Aug16 FT-TS-Cashout-LG&amp;E'!L304</f>
        <v>1</v>
      </c>
      <c r="S60" s="973">
        <f>'Mar16-Aug16 FT-TS-Cashout-LG&amp;E'!M304</f>
        <v>1</v>
      </c>
      <c r="T60" s="973">
        <f>'Mar16-Aug16 FT-TS-Cashout-LG&amp;E'!N304</f>
        <v>1</v>
      </c>
      <c r="U60" s="973"/>
      <c r="V60" s="973"/>
      <c r="W60" s="973"/>
      <c r="X60" s="973"/>
      <c r="Y60" s="973"/>
      <c r="Z60" s="973"/>
      <c r="AA60" s="184">
        <f>'Mar16-Aug16 FT-TS-Cashout-LG&amp;E'!J307</f>
        <v>17212.5</v>
      </c>
      <c r="AB60" s="184">
        <f>'Mar16-Aug16 FT-TS-Cashout-LG&amp;E'!K307</f>
        <v>8255.6</v>
      </c>
      <c r="AC60" s="184">
        <f>'Mar16-Aug16 FT-TS-Cashout-LG&amp;E'!L307</f>
        <v>15450.4</v>
      </c>
      <c r="AD60" s="184">
        <f>'Mar16-Aug16 FT-TS-Cashout-LG&amp;E'!M307</f>
        <v>12167.2</v>
      </c>
      <c r="AE60" s="184">
        <f>'Mar16-Aug16 FT-TS-Cashout-LG&amp;E'!N307</f>
        <v>12750.7</v>
      </c>
      <c r="AF60" s="184">
        <f>'Mar16-Aug16 FT-TS-Cashout-LG&amp;E'!O307</f>
        <v>12232</v>
      </c>
      <c r="AG60" s="103"/>
      <c r="AH60" s="103"/>
      <c r="AI60" s="103"/>
      <c r="AJ60" s="103"/>
      <c r="AK60" s="103"/>
      <c r="AL60" s="103"/>
      <c r="AM60" s="685">
        <f>'Mar16-Aug16 FT-TS-Cashout-LG&amp;E'!J322</f>
        <v>51137.539999999994</v>
      </c>
      <c r="AN60" s="685">
        <f>'Mar16-Aug16 FT-TS-Cashout-LG&amp;E'!K322</f>
        <v>20735.409400000004</v>
      </c>
      <c r="AO60" s="685">
        <f>'Mar16-Aug16 FT-TS-Cashout-LG&amp;E'!L322</f>
        <v>48301.56768</v>
      </c>
      <c r="AP60" s="685">
        <f>'Mar16-Aug16 FT-TS-Cashout-LG&amp;E'!M322</f>
        <v>38165.010240000003</v>
      </c>
      <c r="AQ60" s="685">
        <f>'Mar16-Aug16 FT-TS-Cashout-LG&amp;E'!N322</f>
        <v>39966.51094</v>
      </c>
      <c r="AR60" s="685">
        <f>'Mar16-Aug16 FT-TS-Cashout-LG&amp;E'!O322</f>
        <v>31206.911199999999</v>
      </c>
      <c r="AS60" s="685"/>
      <c r="AT60" s="685"/>
      <c r="AU60" s="685"/>
      <c r="AV60" s="685"/>
      <c r="AW60" s="685"/>
      <c r="AX60" s="685"/>
      <c r="AY60"/>
      <c r="BA60" s="518">
        <f t="shared" si="77"/>
        <v>0</v>
      </c>
      <c r="BB60" s="518">
        <f t="shared" si="78"/>
        <v>-574.94078737640336</v>
      </c>
      <c r="BC60" s="518">
        <f t="shared" si="79"/>
        <v>-495.23681524672457</v>
      </c>
      <c r="BD60" s="518">
        <f t="shared" si="80"/>
        <v>1727.8976543324895</v>
      </c>
      <c r="BE60" s="518">
        <f t="shared" si="81"/>
        <v>0</v>
      </c>
      <c r="BF60" s="518">
        <f t="shared" si="82"/>
        <v>0</v>
      </c>
      <c r="BG60" s="525">
        <f t="shared" si="76"/>
        <v>657.72005170936154</v>
      </c>
    </row>
    <row r="61" spans="1:59" x14ac:dyDescent="0.25">
      <c r="A61" s="195" t="s">
        <v>75</v>
      </c>
      <c r="B61" s="158" t="s">
        <v>980</v>
      </c>
      <c r="C61" s="159">
        <f t="shared" si="83"/>
        <v>0</v>
      </c>
      <c r="D61" s="170">
        <f t="shared" si="52"/>
        <v>0</v>
      </c>
      <c r="E61" s="159">
        <f t="shared" si="71"/>
        <v>0</v>
      </c>
      <c r="F61" s="159"/>
      <c r="G61" s="130">
        <f t="shared" si="53"/>
        <v>0</v>
      </c>
      <c r="H61" s="131">
        <f t="shared" si="54"/>
        <v>0</v>
      </c>
      <c r="I61" s="130">
        <f t="shared" si="55"/>
        <v>0</v>
      </c>
      <c r="J61" s="130"/>
      <c r="K61" s="130">
        <f t="shared" si="65"/>
        <v>0</v>
      </c>
      <c r="L61" s="131">
        <f t="shared" si="56"/>
        <v>0</v>
      </c>
      <c r="M61" s="130">
        <f t="shared" si="57"/>
        <v>0</v>
      </c>
      <c r="O61" s="972"/>
      <c r="P61" s="972"/>
      <c r="Q61" s="972"/>
      <c r="R61" s="972"/>
      <c r="S61" s="972"/>
      <c r="T61" s="972"/>
      <c r="U61" s="973"/>
      <c r="V61" s="973"/>
      <c r="W61" s="973"/>
      <c r="X61" s="973"/>
      <c r="Y61" s="973"/>
      <c r="Z61" s="973"/>
      <c r="AA61" s="184">
        <f>'Mar16-Aug16 FT-TS-Cashout-LG&amp;E'!J176</f>
        <v>0</v>
      </c>
      <c r="AB61" s="184">
        <f>'Mar16-Aug16 FT-TS-Cashout-LG&amp;E'!K176</f>
        <v>0</v>
      </c>
      <c r="AC61" s="184">
        <f>'Mar16-Aug16 FT-TS-Cashout-LG&amp;E'!L176</f>
        <v>0</v>
      </c>
      <c r="AD61" s="184">
        <f>'Mar16-Aug16 FT-TS-Cashout-LG&amp;E'!M176</f>
        <v>0</v>
      </c>
      <c r="AE61" s="184">
        <f>'Mar16-Aug16 FT-TS-Cashout-LG&amp;E'!N176</f>
        <v>0</v>
      </c>
      <c r="AF61" s="184">
        <f>'Mar16-Aug16 FT-TS-Cashout-LG&amp;E'!O176</f>
        <v>0</v>
      </c>
      <c r="AG61" s="103">
        <f>SUMIFS('Sept16-Feb17 Transport'!$K$7:$K$47,'Sept16-Feb17 Transport'!$E$7:$E$47,$A61,'Sept16-Feb17 Transport'!$D$7:$D$47,U$4)/10+SUMIFS('Sept16-Feb17 Transport'!$L$7:$L$47,'Sept16-Feb17 Transport'!$E$7:$E$47,$A61,'Sept16-Feb17 Transport'!$D$7:$D$47,AG$4)/10</f>
        <v>0</v>
      </c>
      <c r="AH61" s="103">
        <f>SUMIFS('Sept16-Feb17 Transport'!$K$7:$K$47,'Sept16-Feb17 Transport'!$E$7:$E$47,$A61,'Sept16-Feb17 Transport'!$D$7:$D$47,V$4)/10+SUMIFS('Sept16-Feb17 Transport'!$L$7:$L$47,'Sept16-Feb17 Transport'!$E$7:$E$47,$A61,'Sept16-Feb17 Transport'!$D$7:$D$47,AH$4)/10</f>
        <v>0</v>
      </c>
      <c r="AI61" s="103">
        <f>SUMIFS('Sept16-Feb17 Transport'!$K$7:$K$47,'Sept16-Feb17 Transport'!$E$7:$E$47,$A61,'Sept16-Feb17 Transport'!$D$7:$D$47,W$4)/10+SUMIFS('Sept16-Feb17 Transport'!$L$7:$L$47,'Sept16-Feb17 Transport'!$E$7:$E$47,$A61,'Sept16-Feb17 Transport'!$D$7:$D$47,AI$4)/10</f>
        <v>0</v>
      </c>
      <c r="AJ61" s="103">
        <f>SUMIFS('Sept16-Feb17 Transport'!$K$7:$K$47,'Sept16-Feb17 Transport'!$E$7:$E$47,$A61,'Sept16-Feb17 Transport'!$D$7:$D$47,X$4)/10+SUMIFS('Sept16-Feb17 Transport'!$L$7:$L$47,'Sept16-Feb17 Transport'!$E$7:$E$47,$A61,'Sept16-Feb17 Transport'!$D$7:$D$47,AJ$4)/10</f>
        <v>0</v>
      </c>
      <c r="AK61" s="103">
        <f>SUMIFS('Sept16-Feb17 Transport'!$K$7:$K$47,'Sept16-Feb17 Transport'!$E$7:$E$47,$A61,'Sept16-Feb17 Transport'!$D$7:$D$47,Y$4)/10+SUMIFS('Sept16-Feb17 Transport'!$L$7:$L$47,'Sept16-Feb17 Transport'!$E$7:$E$47,$A61,'Sept16-Feb17 Transport'!$D$7:$D$47,AK$4)/10</f>
        <v>0</v>
      </c>
      <c r="AL61" s="103">
        <f>SUMIFS('Sept16-Feb17 Transport'!$K$7:$K$47,'Sept16-Feb17 Transport'!$E$7:$E$47,$A61,'Sept16-Feb17 Transport'!$D$7:$D$47,Z$4)/10+SUMIFS('Sept16-Feb17 Transport'!$L$7:$L$47,'Sept16-Feb17 Transport'!$E$7:$E$47,$A61,'Sept16-Feb17 Transport'!$D$7:$D$47,AL$4)/10</f>
        <v>0</v>
      </c>
      <c r="AM61" s="685">
        <f>'Mar16-Aug16 FT-TS-Cashout-LG&amp;E'!J200</f>
        <v>0</v>
      </c>
      <c r="AN61" s="685">
        <f>'Mar16-Aug16 FT-TS-Cashout-LG&amp;E'!K200</f>
        <v>0</v>
      </c>
      <c r="AO61" s="685">
        <f>'Mar16-Aug16 FT-TS-Cashout-LG&amp;E'!L200</f>
        <v>0</v>
      </c>
      <c r="AP61" s="685">
        <f>'Mar16-Aug16 FT-TS-Cashout-LG&amp;E'!M200</f>
        <v>0</v>
      </c>
      <c r="AQ61" s="685">
        <f>'Mar16-Aug16 FT-TS-Cashout-LG&amp;E'!N200</f>
        <v>0</v>
      </c>
      <c r="AR61" s="685">
        <f>'Mar16-Aug16 FT-TS-Cashout-LG&amp;E'!O200</f>
        <v>0</v>
      </c>
      <c r="AS61" s="685">
        <f>SUMIFS('Sept16-Feb17 Transport'!$BC$7:$BC$47,'Sept16-Feb17 Transport'!$E$7:$E$47,$A61,'Sept16-Feb17 Transport'!$D$7:$D$47,AS$4)</f>
        <v>0</v>
      </c>
      <c r="AT61" s="685">
        <f>SUMIFS('Sept16-Feb17 Transport'!$BC$7:$BC$47,'Sept16-Feb17 Transport'!$E$7:$E$47,$A61,'Sept16-Feb17 Transport'!$D$7:$D$47,AT$4)</f>
        <v>0</v>
      </c>
      <c r="AU61" s="685">
        <f>SUMIFS('Sept16-Feb17 Transport'!$BC$7:$BC$47,'Sept16-Feb17 Transport'!$E$7:$E$47,$A61,'Sept16-Feb17 Transport'!$D$7:$D$47,AU$4)</f>
        <v>0</v>
      </c>
      <c r="AV61" s="685">
        <f>SUMIFS('Sept16-Feb17 Transport'!$BC$7:$BC$47,'Sept16-Feb17 Transport'!$E$7:$E$47,$A61,'Sept16-Feb17 Transport'!$D$7:$D$47,AV$4)</f>
        <v>0</v>
      </c>
      <c r="AW61" s="685">
        <f>SUMIFS('Sept16-Feb17 Transport'!$BC$7:$BC$47,'Sept16-Feb17 Transport'!$E$7:$E$47,$A61,'Sept16-Feb17 Transport'!$D$7:$D$47,AW$4)</f>
        <v>0</v>
      </c>
      <c r="AX61" s="685">
        <f>SUMIFS('Sept16-Feb17 Transport'!$BC$7:$BC$47,'Sept16-Feb17 Transport'!$E$7:$E$47,$A61,'Sept16-Feb17 Transport'!$D$7:$D$47,AX$4)</f>
        <v>0</v>
      </c>
      <c r="AY61"/>
      <c r="AZ61" s="168"/>
      <c r="BA61" s="518">
        <f t="shared" si="77"/>
        <v>0</v>
      </c>
      <c r="BB61" s="518">
        <f t="shared" si="78"/>
        <v>0</v>
      </c>
      <c r="BC61" s="518">
        <f t="shared" si="79"/>
        <v>0</v>
      </c>
      <c r="BD61" s="518">
        <f t="shared" si="80"/>
        <v>0</v>
      </c>
      <c r="BE61" s="518">
        <f t="shared" si="81"/>
        <v>0</v>
      </c>
      <c r="BF61" s="518">
        <f t="shared" si="82"/>
        <v>0</v>
      </c>
      <c r="BG61" s="525">
        <f t="shared" si="76"/>
        <v>0</v>
      </c>
    </row>
    <row r="62" spans="1:59" x14ac:dyDescent="0.25">
      <c r="A62" s="195" t="s">
        <v>75</v>
      </c>
      <c r="B62" s="158" t="s">
        <v>989</v>
      </c>
      <c r="C62" s="159">
        <f t="shared" si="83"/>
        <v>0</v>
      </c>
      <c r="D62" s="170">
        <f t="shared" si="52"/>
        <v>0</v>
      </c>
      <c r="E62" s="159">
        <f t="shared" si="71"/>
        <v>0</v>
      </c>
      <c r="F62" s="159"/>
      <c r="G62" s="130">
        <f t="shared" si="53"/>
        <v>0</v>
      </c>
      <c r="H62" s="131">
        <f t="shared" si="54"/>
        <v>0</v>
      </c>
      <c r="I62" s="130">
        <f t="shared" si="55"/>
        <v>0</v>
      </c>
      <c r="J62" s="130"/>
      <c r="K62" s="130">
        <f t="shared" si="65"/>
        <v>0</v>
      </c>
      <c r="L62" s="131">
        <f t="shared" si="56"/>
        <v>0</v>
      </c>
      <c r="M62" s="130">
        <f t="shared" si="57"/>
        <v>0</v>
      </c>
      <c r="O62" s="972"/>
      <c r="P62" s="972"/>
      <c r="Q62" s="972"/>
      <c r="R62" s="972"/>
      <c r="S62" s="972"/>
      <c r="T62" s="972"/>
      <c r="U62" s="973"/>
      <c r="V62" s="973"/>
      <c r="W62" s="973"/>
      <c r="X62" s="973"/>
      <c r="Y62" s="973"/>
      <c r="Z62" s="973"/>
      <c r="AA62" s="184">
        <f>'Mar16-Aug16 FT-TS-Cashout-LG&amp;E'!J283</f>
        <v>0</v>
      </c>
      <c r="AB62" s="184">
        <f>'Mar16-Aug16 FT-TS-Cashout-LG&amp;E'!K283</f>
        <v>0</v>
      </c>
      <c r="AC62" s="184">
        <f>'Mar16-Aug16 FT-TS-Cashout-LG&amp;E'!L283</f>
        <v>0</v>
      </c>
      <c r="AD62" s="184">
        <f>'Mar16-Aug16 FT-TS-Cashout-LG&amp;E'!M283</f>
        <v>0</v>
      </c>
      <c r="AE62" s="184">
        <f>'Mar16-Aug16 FT-TS-Cashout-LG&amp;E'!N283</f>
        <v>0</v>
      </c>
      <c r="AF62" s="184">
        <f>'Mar16-Aug16 FT-TS-Cashout-LG&amp;E'!O283</f>
        <v>0</v>
      </c>
      <c r="AG62" s="103"/>
      <c r="AH62" s="103"/>
      <c r="AI62" s="103"/>
      <c r="AJ62" s="103"/>
      <c r="AK62" s="103"/>
      <c r="AL62" s="103"/>
      <c r="AM62" s="685">
        <f>'Mar16-Aug16 FT-TS-Cashout-LG&amp;E'!J295</f>
        <v>0</v>
      </c>
      <c r="AN62" s="685">
        <f>'Mar16-Aug16 FT-TS-Cashout-LG&amp;E'!K295</f>
        <v>0</v>
      </c>
      <c r="AO62" s="685">
        <f>'Mar16-Aug16 FT-TS-Cashout-LG&amp;E'!L295</f>
        <v>0</v>
      </c>
      <c r="AP62" s="685">
        <f>'Mar16-Aug16 FT-TS-Cashout-LG&amp;E'!M295</f>
        <v>0</v>
      </c>
      <c r="AQ62" s="685">
        <f>'Mar16-Aug16 FT-TS-Cashout-LG&amp;E'!N295</f>
        <v>0</v>
      </c>
      <c r="AR62" s="685">
        <f>'Mar16-Aug16 FT-TS-Cashout-LG&amp;E'!O295</f>
        <v>0</v>
      </c>
      <c r="AS62" s="685">
        <f>SUMIFS('Sept16-Feb17 Transport'!$BC$7:$BC$47,'Sept16-Feb17 Transport'!$E$7:$E$47,$A62,'Sept16-Feb17 Transport'!$D$7:$D$47,AS$4)</f>
        <v>0</v>
      </c>
      <c r="AT62" s="685">
        <f>SUMIFS('Sept16-Feb17 Transport'!$BC$7:$BC$47,'Sept16-Feb17 Transport'!$E$7:$E$47,$A62,'Sept16-Feb17 Transport'!$D$7:$D$47,AT$4)</f>
        <v>0</v>
      </c>
      <c r="AU62" s="685">
        <f>SUMIFS('Sept16-Feb17 Transport'!$BC$7:$BC$47,'Sept16-Feb17 Transport'!$E$7:$E$47,$A62,'Sept16-Feb17 Transport'!$D$7:$D$47,AU$4)</f>
        <v>0</v>
      </c>
      <c r="AV62" s="685">
        <f>SUMIFS('Sept16-Feb17 Transport'!$BC$7:$BC$47,'Sept16-Feb17 Transport'!$E$7:$E$47,$A62,'Sept16-Feb17 Transport'!$D$7:$D$47,AV$4)</f>
        <v>0</v>
      </c>
      <c r="AW62" s="685">
        <f>SUMIFS('Sept16-Feb17 Transport'!$BC$7:$BC$47,'Sept16-Feb17 Transport'!$E$7:$E$47,$A62,'Sept16-Feb17 Transport'!$D$7:$D$47,AW$4)</f>
        <v>0</v>
      </c>
      <c r="AX62" s="685">
        <f>SUMIFS('Sept16-Feb17 Transport'!$BC$7:$BC$47,'Sept16-Feb17 Transport'!$E$7:$E$47,$A62,'Sept16-Feb17 Transport'!$D$7:$D$47,AX$4)</f>
        <v>0</v>
      </c>
      <c r="AY62"/>
      <c r="AZ62" s="168"/>
      <c r="BA62" s="518">
        <f t="shared" si="77"/>
        <v>0</v>
      </c>
      <c r="BB62" s="518">
        <f t="shared" si="78"/>
        <v>0</v>
      </c>
      <c r="BC62" s="518">
        <f t="shared" si="79"/>
        <v>0</v>
      </c>
      <c r="BD62" s="518">
        <f t="shared" si="80"/>
        <v>0</v>
      </c>
      <c r="BE62" s="518">
        <f t="shared" si="81"/>
        <v>0</v>
      </c>
      <c r="BF62" s="518">
        <f t="shared" si="82"/>
        <v>0</v>
      </c>
      <c r="BG62" s="525">
        <f t="shared" si="76"/>
        <v>0</v>
      </c>
    </row>
    <row r="63" spans="1:59" x14ac:dyDescent="0.25">
      <c r="A63" s="195" t="s">
        <v>96</v>
      </c>
      <c r="B63" s="158" t="s">
        <v>981</v>
      </c>
      <c r="C63" s="159">
        <f t="shared" si="83"/>
        <v>18</v>
      </c>
      <c r="D63" s="170">
        <f t="shared" si="52"/>
        <v>188414.53279322502</v>
      </c>
      <c r="E63" s="159">
        <f>SUM(AM63:AX63)+BG63</f>
        <v>197696.67637099748</v>
      </c>
      <c r="F63" s="189"/>
      <c r="G63" s="130">
        <f t="shared" si="53"/>
        <v>9</v>
      </c>
      <c r="H63" s="131">
        <f t="shared" si="54"/>
        <v>99924.555251180675</v>
      </c>
      <c r="I63" s="130">
        <f t="shared" si="55"/>
        <v>102273.08962000001</v>
      </c>
      <c r="J63" s="138"/>
      <c r="K63" s="130">
        <f t="shared" si="65"/>
        <v>9</v>
      </c>
      <c r="L63" s="131">
        <f t="shared" si="56"/>
        <v>88489.977542044362</v>
      </c>
      <c r="M63" s="130">
        <f t="shared" si="57"/>
        <v>95430.674469999998</v>
      </c>
      <c r="N63" s="50"/>
      <c r="O63" s="976">
        <f>'Mar16-Aug16 FT-TS-Cashout-LG&amp;E'!I237</f>
        <v>1</v>
      </c>
      <c r="P63" s="976">
        <f>'Mar16-Aug16 FT-TS-Cashout-LG&amp;E'!J237</f>
        <v>1</v>
      </c>
      <c r="Q63" s="976">
        <f>'Mar16-Aug16 FT-TS-Cashout-LG&amp;E'!K237</f>
        <v>1</v>
      </c>
      <c r="R63" s="976">
        <f>'Mar16-Aug16 FT-TS-Cashout-LG&amp;E'!L237</f>
        <v>1</v>
      </c>
      <c r="S63" s="976">
        <f>'Mar16-Aug16 FT-TS-Cashout-LG&amp;E'!M237</f>
        <v>1</v>
      </c>
      <c r="T63" s="976">
        <f>'Mar16-Aug16 FT-TS-Cashout-LG&amp;E'!N237</f>
        <v>1</v>
      </c>
      <c r="U63" s="973">
        <f>SUMIF('Forecasted Customer Cts'!$D$5:$D$36,SBR!$A63,'Forecasted Customer Cts'!$N$5:$N$36)</f>
        <v>2</v>
      </c>
      <c r="V63" s="973">
        <f>SUMIF('Forecasted Customer Cts'!$D$5:$D$36,SBR!$A63,'Forecasted Customer Cts'!$N$5:$N$36)</f>
        <v>2</v>
      </c>
      <c r="W63" s="973">
        <f>SUMIF('Forecasted Customer Cts'!$D$5:$D$36,SBR!$A63,'Forecasted Customer Cts'!$N$5:$N$36)</f>
        <v>2</v>
      </c>
      <c r="X63" s="973">
        <f>SUMIF('Forecasted Customer Cts'!$D$5:$D$36,SBR!$A63,'Forecasted Customer Cts'!$N$5:$N$36)</f>
        <v>2</v>
      </c>
      <c r="Y63" s="973">
        <f>SUMIF('Forecasted Customer Cts'!$D$5:$D$36,SBR!$A63,'Forecasted Customer Cts'!$N$5:$N$36)</f>
        <v>2</v>
      </c>
      <c r="Z63" s="973">
        <f>SUMIF('Forecasted Customer Cts'!$D$5:$D$36,SBR!$A63,'Forecasted Customer Cts'!$N$5:$N$36)</f>
        <v>2</v>
      </c>
      <c r="AA63" s="679">
        <f>'Mar16-Aug16 FT-TS-Cashout-LG&amp;E'!J239</f>
        <v>11616.3</v>
      </c>
      <c r="AB63" s="679">
        <f>'Mar16-Aug16 FT-TS-Cashout-LG&amp;E'!K239</f>
        <v>6832.1</v>
      </c>
      <c r="AC63" s="679">
        <f>'Mar16-Aug16 FT-TS-Cashout-LG&amp;E'!L239</f>
        <v>2999</v>
      </c>
      <c r="AD63" s="679">
        <f>'Mar16-Aug16 FT-TS-Cashout-LG&amp;E'!M239</f>
        <v>4659.2</v>
      </c>
      <c r="AE63" s="679">
        <f>'Mar16-Aug16 FT-TS-Cashout-LG&amp;E'!N239</f>
        <v>5926.1</v>
      </c>
      <c r="AF63" s="679">
        <f>'Mar16-Aug16 FT-TS-Cashout-LG&amp;E'!O239</f>
        <v>1598.3</v>
      </c>
      <c r="AG63" s="103">
        <f>SUMIFS('Sept16-Feb17 Transport'!$K$7:$K$47,'Sept16-Feb17 Transport'!$E$7:$E$47,$A63,'Sept16-Feb17 Transport'!$D$7:$D$47,U$4)/10+SUMIFS('Sept16-Feb17 Transport'!$L$7:$L$47,'Sept16-Feb17 Transport'!$E$7:$E$47,$A63,'Sept16-Feb17 Transport'!$D$7:$D$47,AG$4)/10</f>
        <v>25334.763577055503</v>
      </c>
      <c r="AH63" s="103">
        <f>SUMIFS('Sept16-Feb17 Transport'!$K$7:$K$47,'Sept16-Feb17 Transport'!$E$7:$E$47,$A63,'Sept16-Feb17 Transport'!$D$7:$D$47,V$4)/10+SUMIFS('Sept16-Feb17 Transport'!$L$7:$L$47,'Sept16-Feb17 Transport'!$E$7:$E$47,$A63,'Sept16-Feb17 Transport'!$D$7:$D$47,AH$4)/10</f>
        <v>41140.513964988852</v>
      </c>
      <c r="AI63" s="103">
        <f>SUMIFS('Sept16-Feb17 Transport'!$K$7:$K$47,'Sept16-Feb17 Transport'!$E$7:$E$47,$A63,'Sept16-Feb17 Transport'!$D$7:$D$47,W$4)/10+SUMIFS('Sept16-Feb17 Transport'!$L$7:$L$47,'Sept16-Feb17 Transport'!$E$7:$E$47,$A63,'Sept16-Feb17 Transport'!$D$7:$D$47,AI$4)/10</f>
        <v>28318.414948726917</v>
      </c>
      <c r="AJ63" s="103">
        <f>SUMIFS('Sept16-Feb17 Transport'!$K$7:$K$47,'Sept16-Feb17 Transport'!$E$7:$E$47,$A63,'Sept16-Feb17 Transport'!$D$7:$D$47,X$4)/10+SUMIFS('Sept16-Feb17 Transport'!$L$7:$L$47,'Sept16-Feb17 Transport'!$E$7:$E$47,$A63,'Sept16-Feb17 Transport'!$D$7:$D$47,AJ$4)/10</f>
        <v>25475.084264502577</v>
      </c>
      <c r="AK63" s="103">
        <f>SUMIFS('Sept16-Feb17 Transport'!$K$7:$K$47,'Sept16-Feb17 Transport'!$E$7:$E$47,$A63,'Sept16-Feb17 Transport'!$D$7:$D$47,Y$4)/10+SUMIFS('Sept16-Feb17 Transport'!$L$7:$L$47,'Sept16-Feb17 Transport'!$E$7:$E$47,$A63,'Sept16-Feb17 Transport'!$D$7:$D$47,AK$4)/10</f>
        <v>21711.278732859952</v>
      </c>
      <c r="AL63" s="103">
        <f>SUMIFS('Sept16-Feb17 Transport'!$K$7:$K$47,'Sept16-Feb17 Transport'!$E$7:$E$47,$A63,'Sept16-Feb17 Transport'!$D$7:$D$47,Z$4)/10+SUMIFS('Sept16-Feb17 Transport'!$L$7:$L$47,'Sept16-Feb17 Transport'!$E$7:$E$47,$A63,'Sept16-Feb17 Transport'!$D$7:$D$47,AL$4)/10</f>
        <v>12803.477305091234</v>
      </c>
      <c r="AM63" s="686">
        <f>'Mar16-Aug16 FT-TS-Cashout-LG&amp;E'!J252</f>
        <v>18303.189619999997</v>
      </c>
      <c r="AN63" s="686">
        <f>'Mar16-Aug16 FT-TS-Cashout-LG&amp;E'!K252</f>
        <v>10991.500539999999</v>
      </c>
      <c r="AO63" s="686">
        <f>'Mar16-Aug16 FT-TS-Cashout-LG&amp;E'!L252</f>
        <v>5183.7548999999999</v>
      </c>
      <c r="AP63" s="686">
        <f>'Mar16-Aug16 FT-TS-Cashout-LG&amp;E'!M252</f>
        <v>7748.9299199999987</v>
      </c>
      <c r="AQ63" s="686">
        <f>'Mar16-Aug16 FT-TS-Cashout-LG&amp;E'!N252</f>
        <v>9706.4171100000003</v>
      </c>
      <c r="AR63" s="686">
        <f>'Mar16-Aug16 FT-TS-Cashout-LG&amp;E'!O252</f>
        <v>3011.3819999999996</v>
      </c>
      <c r="AS63" s="685">
        <f>SUMIFS('Sept16-Feb17 Transport'!$BC$7:$BC$47,'Sept16-Feb17 Transport'!$E$7:$E$47,$A63,'Sept16-Feb17 Transport'!$D$7:$D$47,AS$4)</f>
        <v>23556.799999999999</v>
      </c>
      <c r="AT63" s="685">
        <f>SUMIFS('Sept16-Feb17 Transport'!$BC$7:$BC$47,'Sept16-Feb17 Transport'!$E$7:$E$47,$A63,'Sept16-Feb17 Transport'!$D$7:$D$47,AT$4)</f>
        <v>35231.89</v>
      </c>
      <c r="AU63" s="685">
        <f>SUMIFS('Sept16-Feb17 Transport'!$BC$7:$BC$47,'Sept16-Feb17 Transport'!$E$7:$E$47,$A63,'Sept16-Feb17 Transport'!$D$7:$D$47,AU$4)</f>
        <v>24830.92</v>
      </c>
      <c r="AV63" s="685">
        <f>SUMIFS('Sept16-Feb17 Transport'!$BC$7:$BC$47,'Sept16-Feb17 Transport'!$E$7:$E$47,$A63,'Sept16-Feb17 Transport'!$D$7:$D$47,AV$4)</f>
        <v>23290.34</v>
      </c>
      <c r="AW63" s="685">
        <f>SUMIFS('Sept16-Feb17 Transport'!$BC$7:$BC$47,'Sept16-Feb17 Transport'!$E$7:$E$47,$A63,'Sept16-Feb17 Transport'!$D$7:$D$47,AW$4)</f>
        <v>21627.29</v>
      </c>
      <c r="AX63" s="685">
        <f>SUMIFS('Sept16-Feb17 Transport'!$BC$7:$BC$47,'Sept16-Feb17 Transport'!$E$7:$E$47,$A63,'Sept16-Feb17 Transport'!$D$7:$D$47,AX$4)</f>
        <v>14221.35</v>
      </c>
      <c r="AY63"/>
      <c r="AZ63" s="168"/>
      <c r="BA63" s="518">
        <f t="shared" si="77"/>
        <v>0</v>
      </c>
      <c r="BB63" s="518">
        <f t="shared" si="78"/>
        <v>-304.76668451580031</v>
      </c>
      <c r="BC63" s="518">
        <f t="shared" si="79"/>
        <v>-53.149129334752132</v>
      </c>
      <c r="BD63" s="518">
        <f t="shared" si="80"/>
        <v>350.82809484803226</v>
      </c>
      <c r="BE63" s="518">
        <f t="shared" si="81"/>
        <v>0</v>
      </c>
      <c r="BF63" s="518">
        <f t="shared" si="82"/>
        <v>0</v>
      </c>
      <c r="BG63" s="525">
        <f t="shared" si="76"/>
        <v>-7.0877190025202026</v>
      </c>
    </row>
    <row r="64" spans="1:59" x14ac:dyDescent="0.25">
      <c r="A64" s="195" t="s">
        <v>985</v>
      </c>
      <c r="B64" s="158" t="s">
        <v>986</v>
      </c>
      <c r="C64" s="173">
        <f t="shared" si="83"/>
        <v>6</v>
      </c>
      <c r="D64" s="174">
        <f t="shared" si="52"/>
        <v>76333.2</v>
      </c>
      <c r="E64" s="173">
        <f>SUM(AM64:AX64)+BG64</f>
        <v>134282.46229506333</v>
      </c>
      <c r="F64" s="159"/>
      <c r="G64" s="136">
        <f t="shared" si="53"/>
        <v>1</v>
      </c>
      <c r="H64" s="137">
        <f t="shared" si="54"/>
        <v>15976.6</v>
      </c>
      <c r="I64" s="136">
        <f t="shared" si="55"/>
        <v>22310.125900000003</v>
      </c>
      <c r="J64" s="130"/>
      <c r="K64" s="136">
        <f t="shared" si="65"/>
        <v>5</v>
      </c>
      <c r="L64" s="137">
        <f t="shared" si="56"/>
        <v>60356.599999999991</v>
      </c>
      <c r="M64" s="136">
        <f t="shared" si="57"/>
        <v>111471.43498000001</v>
      </c>
      <c r="O64" s="974">
        <f>'Mar16-Aug16 FT-TS-Cashout-LG&amp;E'!I325</f>
        <v>1</v>
      </c>
      <c r="P64" s="974">
        <f>'Mar16-Aug16 FT-TS-Cashout-LG&amp;E'!J325</f>
        <v>1</v>
      </c>
      <c r="Q64" s="974">
        <f>'Mar16-Aug16 FT-TS-Cashout-LG&amp;E'!K325</f>
        <v>1</v>
      </c>
      <c r="R64" s="974">
        <f>'Mar16-Aug16 FT-TS-Cashout-LG&amp;E'!L325</f>
        <v>1</v>
      </c>
      <c r="S64" s="974">
        <f>'Mar16-Aug16 FT-TS-Cashout-LG&amp;E'!M325</f>
        <v>1</v>
      </c>
      <c r="T64" s="974">
        <f>'Mar16-Aug16 FT-TS-Cashout-LG&amp;E'!N325</f>
        <v>1</v>
      </c>
      <c r="U64" s="975"/>
      <c r="V64" s="975"/>
      <c r="W64" s="975"/>
      <c r="X64" s="975"/>
      <c r="Y64" s="975"/>
      <c r="Z64" s="975"/>
      <c r="AA64" s="497">
        <f>'Mar16-Aug16 FT-TS-Cashout-LG&amp;E'!J326</f>
        <v>15976.6</v>
      </c>
      <c r="AB64" s="497">
        <f>'Mar16-Aug16 FT-TS-Cashout-LG&amp;E'!K326</f>
        <v>7738.8</v>
      </c>
      <c r="AC64" s="497">
        <f>'Mar16-Aug16 FT-TS-Cashout-LG&amp;E'!L326</f>
        <v>14292.6</v>
      </c>
      <c r="AD64" s="497">
        <f>'Mar16-Aug16 FT-TS-Cashout-LG&amp;E'!M326</f>
        <v>11906.8</v>
      </c>
      <c r="AE64" s="497">
        <f>'Mar16-Aug16 FT-TS-Cashout-LG&amp;E'!N326</f>
        <v>13428.6</v>
      </c>
      <c r="AF64" s="497">
        <f>'Mar16-Aug16 FT-TS-Cashout-LG&amp;E'!O326</f>
        <v>12989.8</v>
      </c>
      <c r="AG64" s="117"/>
      <c r="AH64" s="117"/>
      <c r="AI64" s="117"/>
      <c r="AJ64" s="117"/>
      <c r="AK64" s="117"/>
      <c r="AL64" s="117"/>
      <c r="AM64" s="688">
        <f>'Mar16-Aug16 FT-TS-Cashout-LG&amp;E'!J339</f>
        <v>22310.125900000003</v>
      </c>
      <c r="AN64" s="688">
        <f>'Mar16-Aug16 FT-TS-Cashout-LG&amp;E'!K339</f>
        <v>11090.236200000001</v>
      </c>
      <c r="AO64" s="688">
        <f>'Mar16-Aug16 FT-TS-Cashout-LG&amp;E'!L339</f>
        <v>29283.842920000003</v>
      </c>
      <c r="AP64" s="688">
        <f>'Mar16-Aug16 FT-TS-Cashout-LG&amp;E'!M339</f>
        <v>24487.430559999997</v>
      </c>
      <c r="AQ64" s="688">
        <f>'Mar16-Aug16 FT-TS-Cashout-LG&amp;E'!N339</f>
        <v>27546.864119999998</v>
      </c>
      <c r="AR64" s="688">
        <f>'Mar16-Aug16 FT-TS-Cashout-LG&amp;E'!O339</f>
        <v>19063.061180000001</v>
      </c>
      <c r="AS64" s="690">
        <f>SUMIFS('Sept16-Feb17 Transport'!$BC$7:$BC$47,'Sept16-Feb17 Transport'!$E$7:$E$47,$A64,'Sept16-Feb17 Transport'!$D$7:$D$47,AS$4)</f>
        <v>0</v>
      </c>
      <c r="AT64" s="690">
        <f>SUMIFS('Sept16-Feb17 Transport'!$BC$7:$BC$47,'Sept16-Feb17 Transport'!$E$7:$E$47,$A64,'Sept16-Feb17 Transport'!$D$7:$D$47,AT$4)</f>
        <v>0</v>
      </c>
      <c r="AU64" s="690">
        <f>SUMIFS('Sept16-Feb17 Transport'!$BC$7:$BC$47,'Sept16-Feb17 Transport'!$E$7:$E$47,$A64,'Sept16-Feb17 Transport'!$D$7:$D$47,AU$4)</f>
        <v>0</v>
      </c>
      <c r="AV64" s="690">
        <f>SUMIFS('Sept16-Feb17 Transport'!$BC$7:$BC$47,'Sept16-Feb17 Transport'!$E$7:$E$47,$A64,'Sept16-Feb17 Transport'!$D$7:$D$47,AV$4)</f>
        <v>0</v>
      </c>
      <c r="AW64" s="690">
        <f>SUMIFS('Sept16-Feb17 Transport'!$BC$7:$BC$47,'Sept16-Feb17 Transport'!$E$7:$E$47,$A64,'Sept16-Feb17 Transport'!$D$7:$D$47,AW$4)</f>
        <v>0</v>
      </c>
      <c r="AX64" s="690">
        <f>SUMIFS('Sept16-Feb17 Transport'!$BC$7:$BC$47,'Sept16-Feb17 Transport'!$E$7:$E$47,$A64,'Sept16-Feb17 Transport'!$D$7:$D$47,AX$4)</f>
        <v>0</v>
      </c>
      <c r="AY64"/>
      <c r="AZ64" s="168"/>
      <c r="BA64" s="518">
        <f t="shared" si="77"/>
        <v>0</v>
      </c>
      <c r="BB64" s="518">
        <f t="shared" si="78"/>
        <v>-307.5043762105941</v>
      </c>
      <c r="BC64" s="518">
        <f t="shared" si="79"/>
        <v>-300.24775183210255</v>
      </c>
      <c r="BD64" s="518">
        <f t="shared" si="80"/>
        <v>1108.6535431060247</v>
      </c>
      <c r="BE64" s="518">
        <f t="shared" si="81"/>
        <v>0</v>
      </c>
      <c r="BF64" s="518">
        <f t="shared" si="82"/>
        <v>0</v>
      </c>
      <c r="BG64" s="525">
        <f t="shared" si="76"/>
        <v>500.90141506332805</v>
      </c>
    </row>
    <row r="65" spans="1:83" x14ac:dyDescent="0.25">
      <c r="A65" s="195"/>
      <c r="B65" s="158" t="s">
        <v>982</v>
      </c>
      <c r="C65" s="159">
        <f t="shared" si="83"/>
        <v>84</v>
      </c>
      <c r="D65" s="170">
        <f t="shared" si="52"/>
        <v>749472.5984433447</v>
      </c>
      <c r="E65" s="159">
        <f>SUM(AM65:AX65)+BG65</f>
        <v>1586717.3104330406</v>
      </c>
      <c r="F65" s="159"/>
      <c r="G65" s="130">
        <f t="shared" si="53"/>
        <v>35</v>
      </c>
      <c r="H65" s="131">
        <f t="shared" si="54"/>
        <v>269046.50711060816</v>
      </c>
      <c r="I65" s="130">
        <f t="shared" si="55"/>
        <v>530501.57296999998</v>
      </c>
      <c r="J65" s="130"/>
      <c r="K65" s="130">
        <f t="shared" si="65"/>
        <v>49</v>
      </c>
      <c r="L65" s="131">
        <f t="shared" si="56"/>
        <v>480426.09133273654</v>
      </c>
      <c r="M65" s="130">
        <f t="shared" si="57"/>
        <v>1053356.5278999999</v>
      </c>
      <c r="O65" s="972">
        <f>SUM(O57:O64)</f>
        <v>7</v>
      </c>
      <c r="P65" s="972">
        <f t="shared" ref="P65:AA65" si="84">SUM(P57:P64)</f>
        <v>7</v>
      </c>
      <c r="Q65" s="972">
        <f t="shared" si="84"/>
        <v>7</v>
      </c>
      <c r="R65" s="972">
        <f t="shared" si="84"/>
        <v>7</v>
      </c>
      <c r="S65" s="972">
        <f t="shared" si="84"/>
        <v>7</v>
      </c>
      <c r="T65" s="972">
        <f t="shared" si="84"/>
        <v>7</v>
      </c>
      <c r="U65" s="972">
        <f t="shared" si="84"/>
        <v>7</v>
      </c>
      <c r="V65" s="972">
        <f t="shared" si="84"/>
        <v>7</v>
      </c>
      <c r="W65" s="972">
        <f t="shared" si="84"/>
        <v>7</v>
      </c>
      <c r="X65" s="972">
        <f t="shared" si="84"/>
        <v>7</v>
      </c>
      <c r="Y65" s="972">
        <f t="shared" si="84"/>
        <v>7</v>
      </c>
      <c r="Z65" s="972">
        <f t="shared" si="84"/>
        <v>7</v>
      </c>
      <c r="AA65" s="187">
        <f t="shared" si="84"/>
        <v>61446.700000000004</v>
      </c>
      <c r="AB65" s="187">
        <f>SUM(AB57:AB64)</f>
        <v>49474.400000000001</v>
      </c>
      <c r="AC65" s="187">
        <f>SUM(AC57:AC64)</f>
        <v>60031.7</v>
      </c>
      <c r="AD65" s="187">
        <f>SUM(AD57:AD64)</f>
        <v>63204.2</v>
      </c>
      <c r="AE65" s="187">
        <f>SUM(AE57:AE64)</f>
        <v>66386.899999999994</v>
      </c>
      <c r="AF65" s="187">
        <f t="shared" ref="AF65:AL65" si="85">SUM(AF57:AF64)</f>
        <v>68114.100000000006</v>
      </c>
      <c r="AG65" s="187">
        <f t="shared" si="85"/>
        <v>68386.0456564786</v>
      </c>
      <c r="AH65" s="187">
        <f t="shared" si="85"/>
        <v>104828.74567625794</v>
      </c>
      <c r="AI65" s="187">
        <f t="shared" si="85"/>
        <v>78646.419278150919</v>
      </c>
      <c r="AJ65" s="187">
        <f t="shared" si="85"/>
        <v>65005.697043998684</v>
      </c>
      <c r="AK65" s="187">
        <f t="shared" si="85"/>
        <v>39637.829637441304</v>
      </c>
      <c r="AL65" s="187">
        <f t="shared" si="85"/>
        <v>24309.86115101722</v>
      </c>
      <c r="AM65" s="691">
        <f>SUM(AM57:AM64)</f>
        <v>144873.93296999999</v>
      </c>
      <c r="AN65" s="691">
        <f t="shared" ref="AN65:AX65" si="86">SUM(AN57:AN64)</f>
        <v>113855.41449000001</v>
      </c>
      <c r="AO65" s="691">
        <f t="shared" si="86"/>
        <v>160405.41024</v>
      </c>
      <c r="AP65" s="691">
        <f t="shared" si="86"/>
        <v>169207.64892000001</v>
      </c>
      <c r="AQ65" s="691">
        <f t="shared" si="86"/>
        <v>174963.93446999998</v>
      </c>
      <c r="AR65" s="691">
        <f t="shared" si="86"/>
        <v>161983.47977999999</v>
      </c>
      <c r="AS65" s="691">
        <f t="shared" si="86"/>
        <v>112607.98</v>
      </c>
      <c r="AT65" s="691">
        <f t="shared" si="86"/>
        <v>160332.66</v>
      </c>
      <c r="AU65" s="691">
        <f t="shared" si="86"/>
        <v>149507.38</v>
      </c>
      <c r="AV65" s="691">
        <f t="shared" si="86"/>
        <v>121391.87999999999</v>
      </c>
      <c r="AW65" s="691">
        <f t="shared" si="86"/>
        <v>68808.28</v>
      </c>
      <c r="AX65" s="691">
        <f t="shared" si="86"/>
        <v>45920.1</v>
      </c>
      <c r="AY65"/>
      <c r="AZ65" s="168"/>
      <c r="BA65" s="520">
        <f t="shared" ref="BA65:BF65" si="87">SUM(BA57:BA64)</f>
        <v>0</v>
      </c>
      <c r="BB65" s="520">
        <f t="shared" si="87"/>
        <v>-3156.9244856070873</v>
      </c>
      <c r="BC65" s="520">
        <f t="shared" si="87"/>
        <v>-1644.6394668157889</v>
      </c>
      <c r="BD65" s="520">
        <f t="shared" si="87"/>
        <v>7660.7735154634511</v>
      </c>
      <c r="BE65" s="520">
        <f t="shared" si="87"/>
        <v>0</v>
      </c>
      <c r="BF65" s="520">
        <f t="shared" si="87"/>
        <v>0</v>
      </c>
      <c r="BG65" s="1041">
        <f>SUM(BA65:BF65)</f>
        <v>2859.2095630405747</v>
      </c>
    </row>
    <row r="66" spans="1:83" x14ac:dyDescent="0.25">
      <c r="A66" s="195"/>
      <c r="B66" s="158"/>
      <c r="C66" s="159"/>
      <c r="D66" s="170"/>
      <c r="E66" s="159"/>
      <c r="F66" s="159"/>
      <c r="G66" s="159"/>
      <c r="H66" s="170"/>
      <c r="I66" s="159"/>
      <c r="J66" s="159"/>
      <c r="K66" s="159"/>
      <c r="L66" s="170"/>
      <c r="M66" s="159"/>
      <c r="O66" s="183"/>
      <c r="P66" s="183"/>
      <c r="Q66" s="183"/>
      <c r="R66" s="183"/>
      <c r="S66" s="183"/>
      <c r="T66" s="183"/>
      <c r="U66" s="159"/>
      <c r="V66" s="159"/>
      <c r="W66" s="159"/>
      <c r="X66" s="159"/>
      <c r="Y66" s="159"/>
      <c r="Z66" s="159"/>
      <c r="AA66" s="184"/>
      <c r="AB66" s="184"/>
      <c r="AC66" s="184"/>
      <c r="AD66" s="184"/>
      <c r="AE66" s="184"/>
      <c r="AF66" s="184"/>
      <c r="AG66" s="187"/>
      <c r="AH66" s="187"/>
      <c r="AI66" s="187"/>
      <c r="AJ66" s="187"/>
      <c r="AK66" s="187"/>
      <c r="AL66" s="187"/>
      <c r="AM66" s="691"/>
      <c r="AN66" s="691"/>
      <c r="AO66" s="691"/>
      <c r="AP66" s="691"/>
      <c r="AQ66" s="691"/>
      <c r="AR66" s="691"/>
      <c r="AS66" s="692"/>
      <c r="AT66" s="692"/>
      <c r="AU66" s="692"/>
      <c r="AV66" s="692"/>
      <c r="AW66" s="692"/>
      <c r="AX66" s="692"/>
      <c r="AY66"/>
      <c r="AZ66" s="168"/>
      <c r="BA66" s="521"/>
      <c r="BB66" s="521"/>
      <c r="BC66" s="521"/>
      <c r="BD66" s="521"/>
      <c r="BE66" s="521"/>
      <c r="BF66" s="521"/>
    </row>
    <row r="67" spans="1:83" x14ac:dyDescent="0.25">
      <c r="A67" s="89" t="s">
        <v>50</v>
      </c>
      <c r="B67" s="158" t="s">
        <v>463</v>
      </c>
      <c r="C67" s="159">
        <f>SUM(O67:Z67)</f>
        <v>108</v>
      </c>
      <c r="D67" s="170">
        <f t="shared" si="52"/>
        <v>671272.3177133993</v>
      </c>
      <c r="E67" s="159">
        <f t="shared" ref="E67:E72" si="88">SUM(AM67:AX67)+BG67</f>
        <v>4525276.294279607</v>
      </c>
      <c r="F67" s="159"/>
      <c r="G67" s="130">
        <f t="shared" si="53"/>
        <v>48</v>
      </c>
      <c r="H67" s="131">
        <f t="shared" si="54"/>
        <v>382491.96409209457</v>
      </c>
      <c r="I67" s="130">
        <f t="shared" si="55"/>
        <v>3049702.1390617858</v>
      </c>
      <c r="J67" s="130"/>
      <c r="K67" s="130">
        <f t="shared" si="65"/>
        <v>60</v>
      </c>
      <c r="L67" s="131">
        <f t="shared" si="56"/>
        <v>288780.35362130468</v>
      </c>
      <c r="M67" s="130">
        <f t="shared" si="57"/>
        <v>1475585.7096943497</v>
      </c>
      <c r="O67" s="972">
        <f>'Mar16-Aug16 FT-TS-Cashout-LG&amp;E'!I11</f>
        <v>8</v>
      </c>
      <c r="P67" s="972">
        <f>'Mar16-Aug16 FT-TS-Cashout-LG&amp;E'!J11</f>
        <v>8</v>
      </c>
      <c r="Q67" s="972">
        <f>'Mar16-Aug16 FT-TS-Cashout-LG&amp;E'!K11</f>
        <v>8</v>
      </c>
      <c r="R67" s="972">
        <f>'Mar16-Aug16 FT-TS-Cashout-LG&amp;E'!L11</f>
        <v>8</v>
      </c>
      <c r="S67" s="972">
        <f>'Mar16-Aug16 FT-TS-Cashout-LG&amp;E'!M11</f>
        <v>8</v>
      </c>
      <c r="T67" s="972">
        <f>'Mar16-Aug16 FT-TS-Cashout-LG&amp;E'!N11</f>
        <v>8</v>
      </c>
      <c r="U67" s="973">
        <f>SUMIF('Forecasted Customer Cts'!$D$5:$D$36,SBR!$A67,'Forecasted Customer Cts'!$N$5:$N$36)</f>
        <v>10</v>
      </c>
      <c r="V67" s="973">
        <f>SUMIF('Forecasted Customer Cts'!$D$5:$D$36,SBR!$A67,'Forecasted Customer Cts'!$N$5:$N$36)</f>
        <v>10</v>
      </c>
      <c r="W67" s="973">
        <f>SUMIF('Forecasted Customer Cts'!$D$5:$D$36,SBR!$A67,'Forecasted Customer Cts'!$N$5:$N$36)</f>
        <v>10</v>
      </c>
      <c r="X67" s="973">
        <f>SUMIF('Forecasted Customer Cts'!$D$5:$D$36,SBR!$A67,'Forecasted Customer Cts'!$N$5:$N$36)</f>
        <v>10</v>
      </c>
      <c r="Y67" s="973">
        <f>SUMIF('Forecasted Customer Cts'!$D$5:$D$36,SBR!$A67,'Forecasted Customer Cts'!$N$5:$N$36)</f>
        <v>10</v>
      </c>
      <c r="Z67" s="973">
        <f>SUMIF('Forecasted Customer Cts'!$D$5:$D$36,SBR!$A67,'Forecasted Customer Cts'!$N$5:$N$36)</f>
        <v>10</v>
      </c>
      <c r="AA67" s="184">
        <f>+'Mar16-Aug16 FT-TS-Cashout-LG&amp;E'!J12</f>
        <v>48224.7</v>
      </c>
      <c r="AB67" s="184">
        <f>+'Mar16-Aug16 FT-TS-Cashout-LG&amp;E'!K12</f>
        <v>41857.199999999997</v>
      </c>
      <c r="AC67" s="184">
        <f>+'Mar16-Aug16 FT-TS-Cashout-LG&amp;E'!L12</f>
        <v>40950.1</v>
      </c>
      <c r="AD67" s="184">
        <f>+'Mar16-Aug16 FT-TS-Cashout-LG&amp;E'!M12</f>
        <v>32696.7</v>
      </c>
      <c r="AE67" s="184">
        <f>+'Mar16-Aug16 FT-TS-Cashout-LG&amp;E'!N12</f>
        <v>33398.6</v>
      </c>
      <c r="AF67" s="184">
        <f>+'Mar16-Aug16 FT-TS-Cashout-LG&amp;E'!O12</f>
        <v>32664</v>
      </c>
      <c r="AG67" s="103">
        <f>SUMIFS('Sept16-Feb17 Transport'!$K$7:$K$47,'Sept16-Feb17 Transport'!$E$7:$E$47,$A67,'Sept16-Feb17 Transport'!$D$7:$D$47,U$4)/10+SUMIFS('Sept16-Feb17 Transport'!$L$7:$L$47,'Sept16-Feb17 Transport'!$E$7:$E$47,$A67,'Sept16-Feb17 Transport'!$D$7:$D$47,AG$4)/10</f>
        <v>45164.789085551878</v>
      </c>
      <c r="AH67" s="103">
        <f>SUMIFS('Sept16-Feb17 Transport'!$K$7:$K$47,'Sept16-Feb17 Transport'!$E$7:$E$47,$A67,'Sept16-Feb17 Transport'!$D$7:$D$47,V$4)/10+SUMIFS('Sept16-Feb17 Transport'!$L$7:$L$47,'Sept16-Feb17 Transport'!$E$7:$E$47,$A67,'Sept16-Feb17 Transport'!$D$7:$D$47,AH$4)/10</f>
        <v>62048.96453575285</v>
      </c>
      <c r="AI67" s="103">
        <f>SUMIFS('Sept16-Feb17 Transport'!$K$7:$K$47,'Sept16-Feb17 Transport'!$E$7:$E$47,$A67,'Sept16-Feb17 Transport'!$D$7:$D$47,W$4)/10+SUMIFS('Sept16-Feb17 Transport'!$L$7:$L$47,'Sept16-Feb17 Transport'!$E$7:$E$47,$A67,'Sept16-Feb17 Transport'!$D$7:$D$47,AI$4)/10</f>
        <v>84934.23307565409</v>
      </c>
      <c r="AJ67" s="103">
        <f>SUMIFS('Sept16-Feb17 Transport'!$K$7:$K$47,'Sept16-Feb17 Transport'!$E$7:$E$47,$A67,'Sept16-Feb17 Transport'!$D$7:$D$47,X$4)/10+SUMIFS('Sept16-Feb17 Transport'!$L$7:$L$47,'Sept16-Feb17 Transport'!$E$7:$E$47,$A67,'Sept16-Feb17 Transport'!$D$7:$D$47,AJ$4)/10</f>
        <v>86440.695101508158</v>
      </c>
      <c r="AK67" s="103">
        <f>SUMIFS('Sept16-Feb17 Transport'!$K$7:$K$47,'Sept16-Feb17 Transport'!$E$7:$E$47,$A67,'Sept16-Feb17 Transport'!$D$7:$D$47,Y$4)/10+SUMIFS('Sept16-Feb17 Transport'!$L$7:$L$47,'Sept16-Feb17 Transport'!$E$7:$E$47,$A67,'Sept16-Feb17 Transport'!$D$7:$D$47,AK$4)/10</f>
        <v>91427.804860628356</v>
      </c>
      <c r="AL67" s="103">
        <f>SUMIFS('Sept16-Feb17 Transport'!$K$7:$K$47,'Sept16-Feb17 Transport'!$E$7:$E$47,$A67,'Sept16-Feb17 Transport'!$D$7:$D$47,Z$4)/10+SUMIFS('Sept16-Feb17 Transport'!$L$7:$L$47,'Sept16-Feb17 Transport'!$E$7:$E$47,$A67,'Sept16-Feb17 Transport'!$D$7:$D$47,AL$4)/10</f>
        <v>71464.531054303952</v>
      </c>
      <c r="AM67" s="685">
        <f>'Mar16-Aug16 FT-TS-Cashout-LG&amp;E'!J28</f>
        <v>25406.670000000002</v>
      </c>
      <c r="AN67" s="685">
        <f>'Mar16-Aug16 FT-TS-Cashout-LG&amp;E'!K28</f>
        <v>22645.56</v>
      </c>
      <c r="AO67" s="685">
        <f>'Mar16-Aug16 FT-TS-Cashout-LG&amp;E'!L28</f>
        <v>22250.14</v>
      </c>
      <c r="AP67" s="685">
        <f>'Mar16-Aug16 FT-TS-Cashout-LG&amp;E'!M28</f>
        <v>18652.510000000002</v>
      </c>
      <c r="AQ67" s="685">
        <f>'Mar16-Aug16 FT-TS-Cashout-LG&amp;E'!N28</f>
        <v>18958.440000000002</v>
      </c>
      <c r="AR67" s="685">
        <f>'Mar16-Aug16 FT-TS-Cashout-LG&amp;E'!O28</f>
        <v>18638.219999999998</v>
      </c>
      <c r="AS67" s="685">
        <f>SUMIFS('Sept16-Feb17 Transport'!$BC$7:$BC$47,'Sept16-Feb17 Transport'!$E$7:$E$47,$A67,'Sept16-Feb17 Transport'!$D$7:$D$47,AS$4)-AS76</f>
        <v>645860.7567146956</v>
      </c>
      <c r="AT67" s="685">
        <f>SUMIFS('Sept16-Feb17 Transport'!$BC$7:$BC$47,'Sept16-Feb17 Transport'!$E$7:$E$47,$A67,'Sept16-Feb17 Transport'!$D$7:$D$47,AT$4)-AT76</f>
        <v>728580.08297965419</v>
      </c>
      <c r="AU67" s="685">
        <f>SUMIFS('Sept16-Feb17 Transport'!$BC$7:$BC$47,'Sept16-Feb17 Transport'!$E$7:$E$47,$A67,'Sept16-Feb17 Transport'!$D$7:$D$47,AU$4)-AU76</f>
        <v>788868.17206312681</v>
      </c>
      <c r="AV67" s="685">
        <f>SUMIFS('Sept16-Feb17 Transport'!$BC$7:$BC$47,'Sept16-Feb17 Transport'!$E$7:$E$47,$A67,'Sept16-Feb17 Transport'!$D$7:$D$47,AV$4)-AV76</f>
        <v>798273.57971151138</v>
      </c>
      <c r="AW67" s="685">
        <f>SUMIFS('Sept16-Feb17 Transport'!$BC$7:$BC$47,'Sept16-Feb17 Transport'!$E$7:$E$47,$A67,'Sept16-Feb17 Transport'!$D$7:$D$47,AW$4)-AW76</f>
        <v>757548.07558784331</v>
      </c>
      <c r="AX67" s="685">
        <f>SUMIFS('Sept16-Feb17 Transport'!$BC$7:$BC$47,'Sept16-Feb17 Transport'!$E$7:$E$47,$A67,'Sept16-Feb17 Transport'!$D$7:$D$47,AX$4)-AX76</f>
        <v>679605.64169930434</v>
      </c>
      <c r="AY67"/>
      <c r="AZ67" s="168"/>
      <c r="BA67" s="518">
        <f>(AM67/(AM$65+AM$73+AM$158+SUM(AM$76:AM$80))*$BA$56)</f>
        <v>0</v>
      </c>
      <c r="BB67" s="518">
        <f>(AN67/(AN$65+AN$73+AN$158+SUM(AN$76:AN$80))*$BB$56)</f>
        <v>-627.90446264251625</v>
      </c>
      <c r="BC67" s="518">
        <f>(AO67/(AO$65+AO$73+AO$158+SUM(AO$76:AO$80))*$BC$56)</f>
        <v>-228.13107320647853</v>
      </c>
      <c r="BD67" s="518">
        <f>(AP67/(AP$65+AP$73+AP$158+SUM(AP$76:AP$80))*$BD$56)</f>
        <v>844.48105931946179</v>
      </c>
      <c r="BE67" s="518">
        <f>(AQ67/(AQ$65+AQ$73+AQ$158+SUM(AQ$76:AQ$80))*$BE$56)</f>
        <v>0</v>
      </c>
      <c r="BF67" s="518">
        <f>(AR67/(AR$65+AR$73+AR$158+SUM(AR$76:AR$80))*$BF$56)</f>
        <v>0</v>
      </c>
      <c r="BG67" s="528">
        <f t="shared" ref="BG67:BG72" si="89">SUM(BA67:BF67)</f>
        <v>-11.554476529532963</v>
      </c>
    </row>
    <row r="68" spans="1:83" x14ac:dyDescent="0.25">
      <c r="A68" s="89" t="s">
        <v>52</v>
      </c>
      <c r="B68" s="158" t="s">
        <v>464</v>
      </c>
      <c r="C68" s="159">
        <f t="shared" ref="C68:C73" si="90">SUM(O68:Z68)</f>
        <v>756</v>
      </c>
      <c r="D68" s="170">
        <f t="shared" si="52"/>
        <v>11980898.796969166</v>
      </c>
      <c r="E68" s="159">
        <f t="shared" si="88"/>
        <v>2265855.5717016524</v>
      </c>
      <c r="F68" s="159"/>
      <c r="G68" s="130">
        <f t="shared" si="53"/>
        <v>315</v>
      </c>
      <c r="H68" s="131">
        <f t="shared" si="54"/>
        <v>6480148.5722961081</v>
      </c>
      <c r="I68" s="130">
        <f t="shared" si="55"/>
        <v>492494.27</v>
      </c>
      <c r="J68" s="130"/>
      <c r="K68" s="130">
        <f t="shared" si="65"/>
        <v>441</v>
      </c>
      <c r="L68" s="131">
        <f t="shared" si="56"/>
        <v>5500750.2246730588</v>
      </c>
      <c r="M68" s="130">
        <f t="shared" si="57"/>
        <v>1774053.2000000002</v>
      </c>
      <c r="O68" s="972">
        <f>'Mar16-Aug16 FT-TS-Cashout-LG&amp;E'!I49</f>
        <v>63</v>
      </c>
      <c r="P68" s="972">
        <f>'Mar16-Aug16 FT-TS-Cashout-LG&amp;E'!J49</f>
        <v>63</v>
      </c>
      <c r="Q68" s="972">
        <f>'Mar16-Aug16 FT-TS-Cashout-LG&amp;E'!K49</f>
        <v>63</v>
      </c>
      <c r="R68" s="972">
        <f>'Mar16-Aug16 FT-TS-Cashout-LG&amp;E'!L49</f>
        <v>65</v>
      </c>
      <c r="S68" s="972">
        <f>'Mar16-Aug16 FT-TS-Cashout-LG&amp;E'!M49</f>
        <v>61</v>
      </c>
      <c r="T68" s="972">
        <f>'Mar16-Aug16 FT-TS-Cashout-LG&amp;E'!N49</f>
        <v>63</v>
      </c>
      <c r="U68" s="973">
        <f>SUMIF('Forecasted Customer Cts'!$D$5:$D$36,SBR!$A68,'Forecasted Customer Cts'!$N$5:$N$36)</f>
        <v>63</v>
      </c>
      <c r="V68" s="973">
        <f>SUMIF('Forecasted Customer Cts'!$D$5:$D$36,SBR!$A68,'Forecasted Customer Cts'!$N$5:$N$36)</f>
        <v>63</v>
      </c>
      <c r="W68" s="973">
        <f>SUMIF('Forecasted Customer Cts'!$D$5:$D$36,SBR!$A68,'Forecasted Customer Cts'!$N$5:$N$36)</f>
        <v>63</v>
      </c>
      <c r="X68" s="973">
        <f>SUMIF('Forecasted Customer Cts'!$D$5:$D$36,SBR!$A68,'Forecasted Customer Cts'!$N$5:$N$36)</f>
        <v>63</v>
      </c>
      <c r="Y68" s="973">
        <f>SUMIF('Forecasted Customer Cts'!$D$5:$D$36,SBR!$A68,'Forecasted Customer Cts'!$N$5:$N$36)</f>
        <v>63</v>
      </c>
      <c r="Z68" s="973">
        <f>SUMIF('Forecasted Customer Cts'!$D$5:$D$36,SBR!$A68,'Forecasted Customer Cts'!$N$5:$N$36)</f>
        <v>63</v>
      </c>
      <c r="AA68" s="184">
        <f>+'Mar16-Aug16 FT-TS-Cashout-LG&amp;E'!J50</f>
        <v>1058278.7</v>
      </c>
      <c r="AB68" s="184">
        <f>+'Mar16-Aug16 FT-TS-Cashout-LG&amp;E'!K50</f>
        <v>853355.8</v>
      </c>
      <c r="AC68" s="184">
        <f>+'Mar16-Aug16 FT-TS-Cashout-LG&amp;E'!L50</f>
        <v>846705.5</v>
      </c>
      <c r="AD68" s="184">
        <f>+'Mar16-Aug16 FT-TS-Cashout-LG&amp;E'!M50</f>
        <v>669116.6</v>
      </c>
      <c r="AE68" s="184">
        <f>+'Mar16-Aug16 FT-TS-Cashout-LG&amp;E'!N50</f>
        <v>625035.30000000005</v>
      </c>
      <c r="AF68" s="184">
        <f>+'Mar16-Aug16 FT-TS-Cashout-LG&amp;E'!O50</f>
        <v>688301.6</v>
      </c>
      <c r="AG68" s="103">
        <f>SUMIFS('Sept16-Feb17 Transport'!$K$7:$K$47,'Sept16-Feb17 Transport'!$E$7:$E$47,$A68,'Sept16-Feb17 Transport'!$D$7:$D$47,U$4)/10+SUMIFS('Sept16-Feb17 Transport'!$L$7:$L$47,'Sept16-Feb17 Transport'!$E$7:$E$47,$A68,'Sept16-Feb17 Transport'!$D$7:$D$47,AG$4)/10</f>
        <v>732116.47306995734</v>
      </c>
      <c r="AH68" s="103">
        <f>SUMIFS('Sept16-Feb17 Transport'!$K$7:$K$47,'Sept16-Feb17 Transport'!$E$7:$E$47,$A68,'Sept16-Feb17 Transport'!$D$7:$D$47,V$4)/10+SUMIFS('Sept16-Feb17 Transport'!$L$7:$L$47,'Sept16-Feb17 Transport'!$E$7:$E$47,$A68,'Sept16-Feb17 Transport'!$D$7:$D$47,AH$4)/10</f>
        <v>1086118.9516031013</v>
      </c>
      <c r="AI68" s="103">
        <f>SUMIFS('Sept16-Feb17 Transport'!$K$7:$K$47,'Sept16-Feb17 Transport'!$E$7:$E$47,$A68,'Sept16-Feb17 Transport'!$D$7:$D$47,W$4)/10+SUMIFS('Sept16-Feb17 Transport'!$L$7:$L$47,'Sept16-Feb17 Transport'!$E$7:$E$47,$A68,'Sept16-Feb17 Transport'!$D$7:$D$47,AI$4)/10</f>
        <v>1343305.606841299</v>
      </c>
      <c r="AJ68" s="103">
        <f>SUMIFS('Sept16-Feb17 Transport'!$K$7:$K$47,'Sept16-Feb17 Transport'!$E$7:$E$47,$A68,'Sept16-Feb17 Transport'!$D$7:$D$47,X$4)/10+SUMIFS('Sept16-Feb17 Transport'!$L$7:$L$47,'Sept16-Feb17 Transport'!$E$7:$E$47,$A68,'Sept16-Feb17 Transport'!$D$7:$D$47,AJ$4)/10</f>
        <v>1402394.3740388455</v>
      </c>
      <c r="AK68" s="103">
        <f>SUMIFS('Sept16-Feb17 Transport'!$K$7:$K$47,'Sept16-Feb17 Transport'!$E$7:$E$47,$A68,'Sept16-Feb17 Transport'!$D$7:$D$47,Y$4)/10+SUMIFS('Sept16-Feb17 Transport'!$L$7:$L$47,'Sept16-Feb17 Transport'!$E$7:$E$47,$A68,'Sept16-Feb17 Transport'!$D$7:$D$47,AK$4)/10</f>
        <v>1425211.5425100958</v>
      </c>
      <c r="AL68" s="103">
        <f>SUMIFS('Sept16-Feb17 Transport'!$K$7:$K$47,'Sept16-Feb17 Transport'!$E$7:$E$47,$A68,'Sept16-Feb17 Transport'!$D$7:$D$47,Z$4)/10+SUMIFS('Sept16-Feb17 Transport'!$L$7:$L$47,'Sept16-Feb17 Transport'!$E$7:$E$47,$A68,'Sept16-Feb17 Transport'!$D$7:$D$47,AL$4)/10</f>
        <v>1250958.3489058677</v>
      </c>
      <c r="AM68" s="685">
        <f>'Mar16-Aug16 FT-TS-Cashout-LG&amp;E'!J67</f>
        <v>492494.27</v>
      </c>
      <c r="AN68" s="685">
        <f>'Mar16-Aug16 FT-TS-Cashout-LG&amp;E'!K67</f>
        <v>404583.26</v>
      </c>
      <c r="AO68" s="685">
        <f>'Mar16-Aug16 FT-TS-Cashout-LG&amp;E'!L67</f>
        <v>403637.36</v>
      </c>
      <c r="AP68" s="685">
        <f>'Mar16-Aug16 FT-TS-Cashout-LG&amp;E'!M67</f>
        <v>323906.70999999996</v>
      </c>
      <c r="AQ68" s="685">
        <f>'Mar16-Aug16 FT-TS-Cashout-LG&amp;E'!N67</f>
        <v>308400.03999999998</v>
      </c>
      <c r="AR68" s="685">
        <f>'Mar16-Aug16 FT-TS-Cashout-LG&amp;E'!O67</f>
        <v>333525.83</v>
      </c>
      <c r="AS68" s="685">
        <f>SUMIFS('Sept16-Feb17 Transport'!$BC$7:$BC$47,'Sept16-Feb17 Transport'!$E$7:$E$47,$A68,'Sept16-Feb17 Transport'!$D$7:$D$47,AS$4)</f>
        <v>0</v>
      </c>
      <c r="AT68" s="685">
        <f>SUMIFS('Sept16-Feb17 Transport'!$BC$7:$BC$47,'Sept16-Feb17 Transport'!$E$7:$E$47,$A68,'Sept16-Feb17 Transport'!$D$7:$D$47,AT$4)</f>
        <v>0</v>
      </c>
      <c r="AU68" s="685">
        <f>SUMIFS('Sept16-Feb17 Transport'!$BC$7:$BC$47,'Sept16-Feb17 Transport'!$E$7:$E$47,$A68,'Sept16-Feb17 Transport'!$D$7:$D$47,AU$4)</f>
        <v>0</v>
      </c>
      <c r="AV68" s="685">
        <f>SUMIFS('Sept16-Feb17 Transport'!$BC$7:$BC$47,'Sept16-Feb17 Transport'!$E$7:$E$47,$A68,'Sept16-Feb17 Transport'!$D$7:$D$47,AV$4)</f>
        <v>0</v>
      </c>
      <c r="AW68" s="685">
        <f>SUMIFS('Sept16-Feb17 Transport'!$BC$7:$BC$47,'Sept16-Feb17 Transport'!$E$7:$E$47,$A68,'Sept16-Feb17 Transport'!$D$7:$D$47,AW$4)</f>
        <v>0</v>
      </c>
      <c r="AX68" s="685">
        <f>SUMIFS('Sept16-Feb17 Transport'!$BC$7:$BC$47,'Sept16-Feb17 Transport'!$E$7:$E$47,$A68,'Sept16-Feb17 Transport'!$D$7:$D$47,AX$4)</f>
        <v>0</v>
      </c>
      <c r="AY68"/>
      <c r="AZ68" s="168"/>
      <c r="BA68" s="518">
        <f>(AM68/(AM$65+AM$73+AM$158+SUM(AM$76:AM$80))*$BA$56)</f>
        <v>0</v>
      </c>
      <c r="BB68" s="518">
        <f>(AN68/(AN$65+AN$73+AN$158+SUM(AN$76:AN$80))*$BB$56)</f>
        <v>-11218.076941548694</v>
      </c>
      <c r="BC68" s="518">
        <f>(AO68/(AO$65+AO$73+AO$158+SUM(AO$76:AO$80))*$BC$56)</f>
        <v>-4138.5008868721598</v>
      </c>
      <c r="BD68" s="518">
        <f>(AP68/(AP$65+AP$73+AP$158+SUM(AP$76:AP$80))*$BD$56)</f>
        <v>14664.679530072983</v>
      </c>
      <c r="BE68" s="518">
        <f>(AQ68/(AQ$65+AQ$73+AQ$158+SUM(AQ$76:AQ$80))*$BE$56)</f>
        <v>0</v>
      </c>
      <c r="BF68" s="518">
        <f>(AR68/(AR$65+AR$73+AR$158+SUM(AR$76:AR$80))*$BF$56)</f>
        <v>0</v>
      </c>
      <c r="BG68" s="528">
        <f t="shared" si="89"/>
        <v>-691.89829834787088</v>
      </c>
    </row>
    <row r="69" spans="1:83" x14ac:dyDescent="0.25">
      <c r="A69" s="89" t="s">
        <v>761</v>
      </c>
      <c r="B69" s="158" t="s">
        <v>700</v>
      </c>
      <c r="C69" s="159">
        <f t="shared" si="90"/>
        <v>12</v>
      </c>
      <c r="D69" s="170">
        <f t="shared" si="52"/>
        <v>61114.299999999996</v>
      </c>
      <c r="E69" s="159">
        <f t="shared" si="88"/>
        <v>34697.076677072851</v>
      </c>
      <c r="F69" s="159"/>
      <c r="G69" s="130">
        <f t="shared" si="53"/>
        <v>2</v>
      </c>
      <c r="H69" s="131">
        <f t="shared" si="54"/>
        <v>17874</v>
      </c>
      <c r="I69" s="130">
        <f t="shared" si="55"/>
        <v>9113.4695999999985</v>
      </c>
      <c r="J69" s="130"/>
      <c r="K69" s="130">
        <f t="shared" si="65"/>
        <v>10</v>
      </c>
      <c r="L69" s="131">
        <f t="shared" si="56"/>
        <v>43240.299999999996</v>
      </c>
      <c r="M69" s="130">
        <f t="shared" si="57"/>
        <v>25612.529709999999</v>
      </c>
      <c r="O69" s="972">
        <f>'Mar16-Aug16 FT-TS-Cashout-LG&amp;E'!I90</f>
        <v>2</v>
      </c>
      <c r="P69" s="972">
        <f>'Mar16-Aug16 FT-TS-Cashout-LG&amp;E'!J90</f>
        <v>2</v>
      </c>
      <c r="Q69" s="972">
        <f>'Mar16-Aug16 FT-TS-Cashout-LG&amp;E'!K90</f>
        <v>2</v>
      </c>
      <c r="R69" s="972">
        <f>'Mar16-Aug16 FT-TS-Cashout-LG&amp;E'!L90</f>
        <v>2</v>
      </c>
      <c r="S69" s="972">
        <f>'Mar16-Aug16 FT-TS-Cashout-LG&amp;E'!M90</f>
        <v>2</v>
      </c>
      <c r="T69" s="972">
        <f>'Mar16-Aug16 FT-TS-Cashout-LG&amp;E'!N90</f>
        <v>2</v>
      </c>
      <c r="U69" s="973">
        <f>SUMIF('Forecasted Customer Cts'!$D$5:$D$36,SBR!$A69,'Forecasted Customer Cts'!$N$5:$N$36)</f>
        <v>0</v>
      </c>
      <c r="V69" s="973">
        <f>SUMIF('Forecasted Customer Cts'!$D$5:$D$36,SBR!$A69,'Forecasted Customer Cts'!$N$5:$N$36)</f>
        <v>0</v>
      </c>
      <c r="W69" s="973">
        <f>SUMIF('Forecasted Customer Cts'!$D$5:$D$36,SBR!$A69,'Forecasted Customer Cts'!$N$5:$N$36)</f>
        <v>0</v>
      </c>
      <c r="X69" s="973">
        <f>SUMIF('Forecasted Customer Cts'!$D$5:$D$36,SBR!$A69,'Forecasted Customer Cts'!$N$5:$N$36)</f>
        <v>0</v>
      </c>
      <c r="Y69" s="973">
        <f>SUMIF('Forecasted Customer Cts'!$D$5:$D$36,SBR!$A69,'Forecasted Customer Cts'!$N$5:$N$36)</f>
        <v>0</v>
      </c>
      <c r="Z69" s="973">
        <f>SUMIF('Forecasted Customer Cts'!$D$5:$D$36,SBR!$A69,'Forecasted Customer Cts'!$N$5:$N$36)</f>
        <v>0</v>
      </c>
      <c r="AA69" s="184">
        <f>'Mar16-Aug16 FT-TS-Cashout-LG&amp;E'!J91</f>
        <v>17874</v>
      </c>
      <c r="AB69" s="184">
        <f>'Mar16-Aug16 FT-TS-Cashout-LG&amp;E'!K91</f>
        <v>12070.2</v>
      </c>
      <c r="AC69" s="184">
        <f>'Mar16-Aug16 FT-TS-Cashout-LG&amp;E'!L91</f>
        <v>10134.799999999999</v>
      </c>
      <c r="AD69" s="184">
        <f>'Mar16-Aug16 FT-TS-Cashout-LG&amp;E'!M91</f>
        <v>7918.7</v>
      </c>
      <c r="AE69" s="184">
        <f>'Mar16-Aug16 FT-TS-Cashout-LG&amp;E'!N91</f>
        <v>7191.5</v>
      </c>
      <c r="AF69" s="184">
        <f>'Mar16-Aug16 FT-TS-Cashout-LG&amp;E'!O91</f>
        <v>5925.1</v>
      </c>
      <c r="AG69" s="184"/>
      <c r="AH69" s="184"/>
      <c r="AI69" s="184"/>
      <c r="AJ69" s="184"/>
      <c r="AK69" s="184"/>
      <c r="AL69" s="184"/>
      <c r="AM69" s="685">
        <f>'Mar16-Aug16 FT-TS-Cashout-LG&amp;E'!J108</f>
        <v>9113.4695999999985</v>
      </c>
      <c r="AN69" s="685">
        <f>'Mar16-Aug16 FT-TS-Cashout-LG&amp;E'!K108</f>
        <v>6835.6301400000002</v>
      </c>
      <c r="AO69" s="685">
        <f>'Mar16-Aug16 FT-TS-Cashout-LG&amp;E'!L108</f>
        <v>5690.9183599999988</v>
      </c>
      <c r="AP69" s="685">
        <f>'Mar16-Aug16 FT-TS-Cashout-LG&amp;E'!M108</f>
        <v>4836.3165899999995</v>
      </c>
      <c r="AQ69" s="685">
        <f>'Mar16-Aug16 FT-TS-Cashout-LG&amp;E'!N108</f>
        <v>4492.67155</v>
      </c>
      <c r="AR69" s="685">
        <f>'Mar16-Aug16 FT-TS-Cashout-LG&amp;E'!O108</f>
        <v>3756.9930700000004</v>
      </c>
      <c r="AS69" s="685">
        <f>SUMIFS('Sept16-Feb17 Transport'!$BC$7:$BC$47,'Sept16-Feb17 Transport'!$E$7:$E$47,$A69,'Sept16-Feb17 Transport'!$D$7:$D$47,AS$4)</f>
        <v>0</v>
      </c>
      <c r="AT69" s="685">
        <f>SUMIFS('Sept16-Feb17 Transport'!$BC$7:$BC$47,'Sept16-Feb17 Transport'!$E$7:$E$47,$A69,'Sept16-Feb17 Transport'!$D$7:$D$47,AT$4)</f>
        <v>0</v>
      </c>
      <c r="AU69" s="685">
        <f>SUMIFS('Sept16-Feb17 Transport'!$BC$7:$BC$47,'Sept16-Feb17 Transport'!$E$7:$E$47,$A69,'Sept16-Feb17 Transport'!$D$7:$D$47,AU$4)</f>
        <v>0</v>
      </c>
      <c r="AV69" s="685">
        <f>SUMIFS('Sept16-Feb17 Transport'!$BC$7:$BC$47,'Sept16-Feb17 Transport'!$E$7:$E$47,$A69,'Sept16-Feb17 Transport'!$D$7:$D$47,AV$4)</f>
        <v>0</v>
      </c>
      <c r="AW69" s="685">
        <f>SUMIFS('Sept16-Feb17 Transport'!$BC$7:$BC$47,'Sept16-Feb17 Transport'!$E$7:$E$47,$A69,'Sept16-Feb17 Transport'!$D$7:$D$47,AW$4)</f>
        <v>0</v>
      </c>
      <c r="AX69" s="685">
        <f>SUMIFS('Sept16-Feb17 Transport'!$BC$7:$BC$47,'Sept16-Feb17 Transport'!$E$7:$E$47,$A69,'Sept16-Feb17 Transport'!$D$7:$D$47,AX$4)</f>
        <v>0</v>
      </c>
      <c r="AY69"/>
      <c r="AZ69" s="168"/>
      <c r="BA69" s="518">
        <f>(AM69/(AM$65+AM$73+AM$158+SUM(AM$76:AM$80))*$BA$56)</f>
        <v>0</v>
      </c>
      <c r="BB69" s="518">
        <f>(AN69/(AN$65+AN$73+AN$158+SUM(AN$76:AN$80))*$BB$56)</f>
        <v>-189.53484346952285</v>
      </c>
      <c r="BC69" s="518">
        <f>(AO69/(AO$65+AO$73+AO$158+SUM(AO$76:AO$80))*$BC$56)</f>
        <v>-58.349085129228506</v>
      </c>
      <c r="BD69" s="518">
        <f>(AP69/(AP$65+AP$73+AP$158+SUM(AP$76:AP$80))*$BD$56)</f>
        <v>218.96129567160057</v>
      </c>
      <c r="BE69" s="518">
        <f>(AQ69/(AQ$65+AQ$73+AQ$158+SUM(AQ$76:AQ$80))*$BE$56)</f>
        <v>0</v>
      </c>
      <c r="BF69" s="518">
        <f>(AR69/(AR$65+AR$73+AR$158+SUM(AR$76:AR$80))*$BF$56)</f>
        <v>0</v>
      </c>
      <c r="BG69" s="528">
        <f t="shared" si="89"/>
        <v>-28.922632927150801</v>
      </c>
    </row>
    <row r="70" spans="1:83" x14ac:dyDescent="0.25">
      <c r="A70" s="89" t="s">
        <v>762</v>
      </c>
      <c r="B70" s="158" t="s">
        <v>702</v>
      </c>
      <c r="C70" s="189">
        <f t="shared" si="90"/>
        <v>6</v>
      </c>
      <c r="D70" s="673">
        <f t="shared" si="52"/>
        <v>118818.1</v>
      </c>
      <c r="E70" s="189">
        <f t="shared" si="88"/>
        <v>54409.688395965743</v>
      </c>
      <c r="F70" s="189"/>
      <c r="G70" s="138">
        <f t="shared" si="53"/>
        <v>1</v>
      </c>
      <c r="H70" s="562">
        <f t="shared" si="54"/>
        <v>24465.8</v>
      </c>
      <c r="I70" s="138">
        <f t="shared" si="55"/>
        <v>11075.19</v>
      </c>
      <c r="J70" s="138"/>
      <c r="K70" s="138">
        <f t="shared" si="65"/>
        <v>5</v>
      </c>
      <c r="L70" s="562">
        <f t="shared" si="56"/>
        <v>94352.299999999988</v>
      </c>
      <c r="M70" s="138">
        <f t="shared" si="57"/>
        <v>43340.359999999993</v>
      </c>
      <c r="N70" s="50"/>
      <c r="O70" s="976">
        <f>'Mar16-Aug16 FT-TS-Cashout-LG&amp;E'!I112</f>
        <v>1</v>
      </c>
      <c r="P70" s="976">
        <f>'Mar16-Aug16 FT-TS-Cashout-LG&amp;E'!J112</f>
        <v>1</v>
      </c>
      <c r="Q70" s="976">
        <f>'Mar16-Aug16 FT-TS-Cashout-LG&amp;E'!K112</f>
        <v>1</v>
      </c>
      <c r="R70" s="976">
        <f>'Mar16-Aug16 FT-TS-Cashout-LG&amp;E'!L112</f>
        <v>1</v>
      </c>
      <c r="S70" s="976">
        <f>'Mar16-Aug16 FT-TS-Cashout-LG&amp;E'!M112</f>
        <v>1</v>
      </c>
      <c r="T70" s="976">
        <f>'Mar16-Aug16 FT-TS-Cashout-LG&amp;E'!N112</f>
        <v>1</v>
      </c>
      <c r="U70" s="1001">
        <f>SUMIF('Forecasted Customer Cts'!$D$5:$D$36,SBR!$A70,'Forecasted Customer Cts'!$N$5:$N$36)</f>
        <v>0</v>
      </c>
      <c r="V70" s="1001">
        <f>SUMIF('Forecasted Customer Cts'!$D$5:$D$36,SBR!$A70,'Forecasted Customer Cts'!$N$5:$N$36)</f>
        <v>0</v>
      </c>
      <c r="W70" s="1001">
        <f>SUMIF('Forecasted Customer Cts'!$D$5:$D$36,SBR!$A70,'Forecasted Customer Cts'!$N$5:$N$36)</f>
        <v>0</v>
      </c>
      <c r="X70" s="1001">
        <f>SUMIF('Forecasted Customer Cts'!$D$5:$D$36,SBR!$A70,'Forecasted Customer Cts'!$N$5:$N$36)</f>
        <v>0</v>
      </c>
      <c r="Y70" s="1001">
        <f>SUMIF('Forecasted Customer Cts'!$D$5:$D$36,SBR!$A70,'Forecasted Customer Cts'!$N$5:$N$36)</f>
        <v>0</v>
      </c>
      <c r="Z70" s="1001">
        <f>SUMIF('Forecasted Customer Cts'!$D$5:$D$36,SBR!$A70,'Forecasted Customer Cts'!$N$5:$N$36)</f>
        <v>0</v>
      </c>
      <c r="AA70" s="679">
        <f>'Mar16-Aug16 FT-TS-Cashout-LG&amp;E'!J113</f>
        <v>24465.8</v>
      </c>
      <c r="AB70" s="679">
        <f>'Mar16-Aug16 FT-TS-Cashout-LG&amp;E'!K113</f>
        <v>20216.900000000001</v>
      </c>
      <c r="AC70" s="679">
        <f>'Mar16-Aug16 FT-TS-Cashout-LG&amp;E'!L113</f>
        <v>19285.8</v>
      </c>
      <c r="AD70" s="679">
        <f>'Mar16-Aug16 FT-TS-Cashout-LG&amp;E'!M113</f>
        <v>16242.1</v>
      </c>
      <c r="AE70" s="679">
        <f>'Mar16-Aug16 FT-TS-Cashout-LG&amp;E'!N113</f>
        <v>18914.900000000001</v>
      </c>
      <c r="AF70" s="679">
        <f>'Mar16-Aug16 FT-TS-Cashout-LG&amp;E'!O113</f>
        <v>19692.599999999999</v>
      </c>
      <c r="AG70" s="679"/>
      <c r="AH70" s="679"/>
      <c r="AI70" s="679"/>
      <c r="AJ70" s="679"/>
      <c r="AK70" s="679"/>
      <c r="AL70" s="679"/>
      <c r="AM70" s="685">
        <f>'Mar16-Aug16 FT-TS-Cashout-LG&amp;E'!J129</f>
        <v>11075.19</v>
      </c>
      <c r="AN70" s="685">
        <f>'Mar16-Aug16 FT-TS-Cashout-LG&amp;E'!K129</f>
        <v>9247.31</v>
      </c>
      <c r="AO70" s="685">
        <f>'Mar16-Aug16 FT-TS-Cashout-LG&amp;E'!L129</f>
        <v>8846.75</v>
      </c>
      <c r="AP70" s="685">
        <f>'Mar16-Aug16 FT-TS-Cashout-LG&amp;E'!M129</f>
        <v>7537.35</v>
      </c>
      <c r="AQ70" s="685">
        <f>'Mar16-Aug16 FT-TS-Cashout-LG&amp;E'!N129</f>
        <v>8687.1899999999987</v>
      </c>
      <c r="AR70" s="685">
        <f>'Mar16-Aug16 FT-TS-Cashout-LG&amp;E'!O129</f>
        <v>9021.76</v>
      </c>
      <c r="AS70" s="685">
        <f>SUMIFS('Sept16-Feb17 Transport'!$BC$7:$BC$47,'Sept16-Feb17 Transport'!$E$7:$E$47,$A70,'Sept16-Feb17 Transport'!$D$7:$D$47,AS$4)</f>
        <v>0</v>
      </c>
      <c r="AT70" s="685">
        <f>SUMIFS('Sept16-Feb17 Transport'!$BC$7:$BC$47,'Sept16-Feb17 Transport'!$E$7:$E$47,$A70,'Sept16-Feb17 Transport'!$D$7:$D$47,AT$4)</f>
        <v>0</v>
      </c>
      <c r="AU70" s="685">
        <f>SUMIFS('Sept16-Feb17 Transport'!$BC$7:$BC$47,'Sept16-Feb17 Transport'!$E$7:$E$47,$A70,'Sept16-Feb17 Transport'!$D$7:$D$47,AU$4)</f>
        <v>0</v>
      </c>
      <c r="AV70" s="685">
        <f>SUMIFS('Sept16-Feb17 Transport'!$BC$7:$BC$47,'Sept16-Feb17 Transport'!$E$7:$E$47,$A70,'Sept16-Feb17 Transport'!$D$7:$D$47,AV$4)</f>
        <v>0</v>
      </c>
      <c r="AW70" s="685">
        <f>SUMIFS('Sept16-Feb17 Transport'!$BC$7:$BC$47,'Sept16-Feb17 Transport'!$E$7:$E$47,$A70,'Sept16-Feb17 Transport'!$D$7:$D$47,AW$4)</f>
        <v>0</v>
      </c>
      <c r="AX70" s="685">
        <f>SUMIFS('Sept16-Feb17 Transport'!$BC$7:$BC$47,'Sept16-Feb17 Transport'!$E$7:$E$47,$A70,'Sept16-Feb17 Transport'!$D$7:$D$47,AX$4)</f>
        <v>0</v>
      </c>
      <c r="AY70" s="50"/>
      <c r="AZ70" s="188"/>
      <c r="BA70" s="519">
        <f>(AM70/(AM$65+AM$73+AM$158+SUM(AM$76:AM$80))*$BA$56)</f>
        <v>0</v>
      </c>
      <c r="BB70" s="519">
        <f>(AN70/(AN$65+AN$73+AN$158+SUM(AN$76:AN$80))*$BB$56)</f>
        <v>-256.40466459821556</v>
      </c>
      <c r="BC70" s="519">
        <f>(AO70/(AO$65+AO$73+AO$158+SUM(AO$76:AO$80))*$BC$56)</f>
        <v>-90.705881935547993</v>
      </c>
      <c r="BD70" s="519">
        <f>(AP70/(AP$65+AP$73+AP$158+SUM(AP$76:AP$80))*$BD$56)</f>
        <v>341.24894249951052</v>
      </c>
      <c r="BE70" s="519">
        <f>(AQ70/(AQ$65+AQ$73+AQ$158+SUM(AQ$76:AQ$80))*$BE$56)</f>
        <v>0</v>
      </c>
      <c r="BF70" s="519">
        <f>(AR70/(AR$65+AR$73+AR$158+SUM(AR$76:AR$80))*$BF$56)</f>
        <v>0</v>
      </c>
      <c r="BG70" s="525">
        <f t="shared" si="89"/>
        <v>-5.8616040342530482</v>
      </c>
      <c r="BH70" s="107"/>
    </row>
    <row r="71" spans="1:83" x14ac:dyDescent="0.25">
      <c r="A71" s="89" t="s">
        <v>50</v>
      </c>
      <c r="B71" s="153" t="s">
        <v>766</v>
      </c>
      <c r="C71" s="159">
        <f>SUM(O71:Z71)</f>
        <v>0</v>
      </c>
      <c r="D71" s="170">
        <f>SUM(AA71:AL71)</f>
        <v>0</v>
      </c>
      <c r="E71" s="159">
        <f t="shared" si="88"/>
        <v>0</v>
      </c>
      <c r="F71" s="138"/>
      <c r="G71" s="130">
        <f>O71+W71+X71+Y71+Z71</f>
        <v>0</v>
      </c>
      <c r="H71" s="131">
        <f>AA22+AI71+AJ71+AK71+AL71</f>
        <v>4.3</v>
      </c>
      <c r="I71" s="130">
        <f>AM72+AU71+AV71+AW71+AX71</f>
        <v>0</v>
      </c>
      <c r="J71" s="138"/>
      <c r="K71" s="130">
        <f>SUM(P71:V71)</f>
        <v>0</v>
      </c>
      <c r="L71" s="131">
        <f>SUM(AB71:AH71)</f>
        <v>0</v>
      </c>
      <c r="M71" s="130">
        <f>SUM(AN71:AT71)</f>
        <v>0</v>
      </c>
      <c r="O71" s="466"/>
      <c r="P71" s="467"/>
      <c r="Q71" s="467"/>
      <c r="R71" s="467"/>
      <c r="S71" s="467"/>
      <c r="T71" s="467"/>
      <c r="U71" s="160"/>
      <c r="V71" s="160"/>
      <c r="W71" s="160"/>
      <c r="X71" s="160"/>
      <c r="Y71" s="160"/>
      <c r="Z71" s="160"/>
      <c r="AA71" s="1002">
        <f>'Mar16-Aug16 FT-TS-Cashout-LG&amp;E'!I354</f>
        <v>0</v>
      </c>
      <c r="AB71" s="1002">
        <f>'Mar16-Aug16 FT-TS-Cashout-LG&amp;E'!J354</f>
        <v>0</v>
      </c>
      <c r="AC71" s="1002">
        <f>'Mar16-Aug16 FT-TS-Cashout-LG&amp;E'!K354</f>
        <v>0</v>
      </c>
      <c r="AD71" s="1002">
        <f>'Mar16-Aug16 FT-TS-Cashout-LG&amp;E'!L354</f>
        <v>0</v>
      </c>
      <c r="AE71" s="1002">
        <f>'Mar16-Aug16 FT-TS-Cashout-LG&amp;E'!M354</f>
        <v>0</v>
      </c>
      <c r="AF71" s="1002">
        <f>'Mar16-Aug16 FT-TS-Cashout-LG&amp;E'!N354</f>
        <v>0</v>
      </c>
      <c r="AG71" s="1003"/>
      <c r="AH71" s="1003"/>
      <c r="AI71" s="1003"/>
      <c r="AJ71" s="1003"/>
      <c r="AK71" s="1003"/>
      <c r="AL71" s="1003"/>
      <c r="AM71" s="134">
        <f>'Mar16-Aug16 FT-TS-Cashout-LG&amp;E'!I362</f>
        <v>0</v>
      </c>
      <c r="AN71" s="134">
        <f>'Mar16-Aug16 FT-TS-Cashout-LG&amp;E'!J362</f>
        <v>0</v>
      </c>
      <c r="AO71" s="134">
        <f>'Mar16-Aug16 FT-TS-Cashout-LG&amp;E'!K362</f>
        <v>0</v>
      </c>
      <c r="AP71" s="134">
        <f>'Mar16-Aug16 FT-TS-Cashout-LG&amp;E'!L362</f>
        <v>0</v>
      </c>
      <c r="AQ71" s="134">
        <f>'Mar16-Aug16 FT-TS-Cashout-LG&amp;E'!M362</f>
        <v>0</v>
      </c>
      <c r="AR71" s="134">
        <f>'Mar16-Aug16 FT-TS-Cashout-LG&amp;E'!N362</f>
        <v>0</v>
      </c>
      <c r="AS71" s="152"/>
      <c r="AT71" s="152"/>
      <c r="AU71" s="152"/>
      <c r="AV71" s="152"/>
      <c r="AW71" s="152"/>
      <c r="AX71" s="152"/>
      <c r="AY71" s="135"/>
      <c r="AZ71" s="135"/>
      <c r="BA71" s="518">
        <f>ROUND((AM72/SUM(AM$9+AM$16+AM$24+AM$34+AM$35))*BA$5,2)</f>
        <v>0</v>
      </c>
      <c r="BB71" s="518">
        <f t="shared" ref="BB71:BF72" si="91">ROUND((AN71/SUM(AN$9+AN$16+AN$24+AN$34+AN$35))*BB$5,2)</f>
        <v>0</v>
      </c>
      <c r="BC71" s="518">
        <f t="shared" si="91"/>
        <v>0</v>
      </c>
      <c r="BD71" s="518">
        <f t="shared" si="91"/>
        <v>0</v>
      </c>
      <c r="BE71" s="518">
        <f t="shared" si="91"/>
        <v>0</v>
      </c>
      <c r="BF71" s="518">
        <f t="shared" si="91"/>
        <v>0</v>
      </c>
      <c r="BG71" s="518">
        <f t="shared" si="89"/>
        <v>0</v>
      </c>
    </row>
    <row r="72" spans="1:83" x14ac:dyDescent="0.25">
      <c r="A72" s="89" t="s">
        <v>52</v>
      </c>
      <c r="B72" s="153" t="s">
        <v>767</v>
      </c>
      <c r="C72" s="173">
        <f>SUM(O72:Z72)</f>
        <v>0</v>
      </c>
      <c r="D72" s="174">
        <f>SUM(AA72:AL72)</f>
        <v>0</v>
      </c>
      <c r="E72" s="173">
        <f t="shared" si="88"/>
        <v>0</v>
      </c>
      <c r="F72" s="138"/>
      <c r="G72" s="136">
        <f>O72+W72+X72+Y72+Z72</f>
        <v>0</v>
      </c>
      <c r="H72" s="137">
        <f>AA72+AI72+AJ72+AK72+AL72</f>
        <v>0</v>
      </c>
      <c r="I72" s="136" t="e">
        <f>#REF!+AU72+AV72+AW72+AX72</f>
        <v>#REF!</v>
      </c>
      <c r="J72" s="138"/>
      <c r="K72" s="136">
        <f>SUM(P72:V72)</f>
        <v>0</v>
      </c>
      <c r="L72" s="137">
        <f>SUM(AB72:AH72)</f>
        <v>0</v>
      </c>
      <c r="M72" s="136">
        <f>SUM(AN72:AT72)</f>
        <v>0</v>
      </c>
      <c r="N72" s="50"/>
      <c r="O72" s="139"/>
      <c r="P72" s="154"/>
      <c r="Q72" s="154"/>
      <c r="R72" s="154"/>
      <c r="S72" s="154"/>
      <c r="T72" s="154"/>
      <c r="U72" s="531"/>
      <c r="V72" s="531"/>
      <c r="W72" s="531"/>
      <c r="X72" s="531"/>
      <c r="Y72" s="531"/>
      <c r="Z72" s="531"/>
      <c r="AA72" s="1004">
        <f>'Mar16-Aug16 FT-TS-Cashout-LG&amp;E'!I402</f>
        <v>0</v>
      </c>
      <c r="AB72" s="1004">
        <f>'Mar16-Aug16 FT-TS-Cashout-LG&amp;E'!J402</f>
        <v>0</v>
      </c>
      <c r="AC72" s="1004">
        <f>'Mar16-Aug16 FT-TS-Cashout-LG&amp;E'!K402</f>
        <v>0</v>
      </c>
      <c r="AD72" s="1004">
        <f>'Mar16-Aug16 FT-TS-Cashout-LG&amp;E'!L402</f>
        <v>0</v>
      </c>
      <c r="AE72" s="1004">
        <f>'Mar16-Aug16 FT-TS-Cashout-LG&amp;E'!M402</f>
        <v>0</v>
      </c>
      <c r="AF72" s="1004">
        <f>'Mar16-Aug16 FT-TS-Cashout-LG&amp;E'!N402</f>
        <v>0</v>
      </c>
      <c r="AG72" s="1005"/>
      <c r="AH72" s="1005"/>
      <c r="AI72" s="1005"/>
      <c r="AJ72" s="1005"/>
      <c r="AK72" s="1005"/>
      <c r="AL72" s="1005"/>
      <c r="AM72" s="141">
        <f>'Mar16-Aug16 FT-TS-Cashout-LG&amp;E'!I408</f>
        <v>0</v>
      </c>
      <c r="AN72" s="141">
        <f>'Mar16-Aug16 FT-TS-Cashout-LG&amp;E'!J408</f>
        <v>0</v>
      </c>
      <c r="AO72" s="141">
        <f>'Mar16-Aug16 FT-TS-Cashout-LG&amp;E'!K408</f>
        <v>0</v>
      </c>
      <c r="AP72" s="141">
        <f>'Mar16-Aug16 FT-TS-Cashout-LG&amp;E'!L408</f>
        <v>0</v>
      </c>
      <c r="AQ72" s="141">
        <f>'Mar16-Aug16 FT-TS-Cashout-LG&amp;E'!M408</f>
        <v>0</v>
      </c>
      <c r="AR72" s="141">
        <f>'Mar16-Aug16 FT-TS-Cashout-LG&amp;E'!N408</f>
        <v>0</v>
      </c>
      <c r="AS72" s="141"/>
      <c r="AT72" s="141"/>
      <c r="AU72" s="141"/>
      <c r="AV72" s="141"/>
      <c r="AW72" s="141"/>
      <c r="AX72" s="141"/>
      <c r="AY72" s="157"/>
      <c r="AZ72" s="157"/>
      <c r="BA72" s="539">
        <f>ROUND((AM72/SUM(AM$9+AM$16+AM$24+AM$34+AM$35))*BA$5,2)</f>
        <v>0</v>
      </c>
      <c r="BB72" s="519">
        <f t="shared" si="91"/>
        <v>0</v>
      </c>
      <c r="BC72" s="519">
        <f t="shared" si="91"/>
        <v>0</v>
      </c>
      <c r="BD72" s="519">
        <f t="shared" si="91"/>
        <v>0</v>
      </c>
      <c r="BE72" s="519">
        <f t="shared" si="91"/>
        <v>0</v>
      </c>
      <c r="BF72" s="519">
        <f t="shared" si="91"/>
        <v>0</v>
      </c>
      <c r="BG72" s="519">
        <f t="shared" si="89"/>
        <v>0</v>
      </c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</row>
    <row r="73" spans="1:83" x14ac:dyDescent="0.25">
      <c r="B73" s="158" t="s">
        <v>465</v>
      </c>
      <c r="C73" s="159">
        <f t="shared" si="90"/>
        <v>882</v>
      </c>
      <c r="D73" s="170">
        <f t="shared" si="52"/>
        <v>12832103.514682565</v>
      </c>
      <c r="E73" s="159">
        <f>SUM(AM73:AX73)+BG73</f>
        <v>6880976.8680661358</v>
      </c>
      <c r="F73" s="159"/>
      <c r="G73" s="130">
        <f t="shared" si="53"/>
        <v>366</v>
      </c>
      <c r="H73" s="131">
        <f t="shared" si="54"/>
        <v>6904980.3363882024</v>
      </c>
      <c r="I73" s="130">
        <f t="shared" si="55"/>
        <v>3562385.0686617862</v>
      </c>
      <c r="J73" s="130"/>
      <c r="K73" s="130">
        <f t="shared" si="65"/>
        <v>516</v>
      </c>
      <c r="L73" s="131">
        <f t="shared" si="56"/>
        <v>5927123.1782943634</v>
      </c>
      <c r="M73" s="130">
        <f t="shared" si="57"/>
        <v>3318591.7994043501</v>
      </c>
      <c r="O73" s="972">
        <f t="shared" ref="O73:AX73" si="92">SUM(O67:O72)</f>
        <v>74</v>
      </c>
      <c r="P73" s="972">
        <f t="shared" si="92"/>
        <v>74</v>
      </c>
      <c r="Q73" s="972">
        <f t="shared" si="92"/>
        <v>74</v>
      </c>
      <c r="R73" s="972">
        <f t="shared" si="92"/>
        <v>76</v>
      </c>
      <c r="S73" s="972">
        <f t="shared" si="92"/>
        <v>72</v>
      </c>
      <c r="T73" s="972">
        <f t="shared" si="92"/>
        <v>74</v>
      </c>
      <c r="U73" s="972">
        <f t="shared" si="92"/>
        <v>73</v>
      </c>
      <c r="V73" s="972">
        <f t="shared" si="92"/>
        <v>73</v>
      </c>
      <c r="W73" s="972">
        <f t="shared" si="92"/>
        <v>73</v>
      </c>
      <c r="X73" s="972">
        <f t="shared" si="92"/>
        <v>73</v>
      </c>
      <c r="Y73" s="972">
        <f t="shared" si="92"/>
        <v>73</v>
      </c>
      <c r="Z73" s="972">
        <f t="shared" si="92"/>
        <v>73</v>
      </c>
      <c r="AA73" s="184">
        <f t="shared" si="92"/>
        <v>1148843.2</v>
      </c>
      <c r="AB73" s="184">
        <f t="shared" si="92"/>
        <v>927500.1</v>
      </c>
      <c r="AC73" s="184">
        <f t="shared" si="92"/>
        <v>917076.20000000007</v>
      </c>
      <c r="AD73" s="184">
        <f t="shared" si="92"/>
        <v>725974.09999999986</v>
      </c>
      <c r="AE73" s="184">
        <f t="shared" si="92"/>
        <v>684540.3</v>
      </c>
      <c r="AF73" s="184">
        <f t="shared" si="92"/>
        <v>746583.29999999993</v>
      </c>
      <c r="AG73" s="184">
        <f t="shared" si="92"/>
        <v>777281.2621555092</v>
      </c>
      <c r="AH73" s="184">
        <f t="shared" si="92"/>
        <v>1148167.9161388541</v>
      </c>
      <c r="AI73" s="184">
        <f t="shared" si="92"/>
        <v>1428239.8399169531</v>
      </c>
      <c r="AJ73" s="184">
        <f t="shared" si="92"/>
        <v>1488835.0691403537</v>
      </c>
      <c r="AK73" s="184">
        <f t="shared" si="92"/>
        <v>1516639.3473707242</v>
      </c>
      <c r="AL73" s="184">
        <f t="shared" si="92"/>
        <v>1322422.8799601716</v>
      </c>
      <c r="AM73" s="685">
        <f t="shared" si="92"/>
        <v>538089.59959999996</v>
      </c>
      <c r="AN73" s="685">
        <f t="shared" si="92"/>
        <v>443311.76014000003</v>
      </c>
      <c r="AO73" s="685">
        <f t="shared" si="92"/>
        <v>440425.16836000001</v>
      </c>
      <c r="AP73" s="685">
        <f t="shared" si="92"/>
        <v>354932.88658999995</v>
      </c>
      <c r="AQ73" s="685">
        <f t="shared" si="92"/>
        <v>340538.34155000001</v>
      </c>
      <c r="AR73" s="685">
        <f t="shared" si="92"/>
        <v>364942.80307000002</v>
      </c>
      <c r="AS73" s="685">
        <f t="shared" si="92"/>
        <v>645860.7567146956</v>
      </c>
      <c r="AT73" s="685">
        <f t="shared" si="92"/>
        <v>728580.08297965419</v>
      </c>
      <c r="AU73" s="685">
        <f t="shared" si="92"/>
        <v>788868.17206312681</v>
      </c>
      <c r="AV73" s="685">
        <f t="shared" si="92"/>
        <v>798273.57971151138</v>
      </c>
      <c r="AW73" s="685">
        <f t="shared" si="92"/>
        <v>757548.07558784331</v>
      </c>
      <c r="AX73" s="685">
        <f t="shared" si="92"/>
        <v>679605.64169930434</v>
      </c>
      <c r="AY73"/>
      <c r="AZ73" s="188"/>
    </row>
    <row r="74" spans="1:83" x14ac:dyDescent="0.25">
      <c r="B74" s="158"/>
      <c r="C74" s="159"/>
      <c r="D74" s="170"/>
      <c r="E74" s="159"/>
      <c r="F74" s="159"/>
      <c r="G74" s="130"/>
      <c r="H74" s="131"/>
      <c r="I74" s="130"/>
      <c r="J74" s="130"/>
      <c r="K74" s="130"/>
      <c r="L74" s="131"/>
      <c r="M74" s="130"/>
      <c r="O74" s="183"/>
      <c r="P74" s="183"/>
      <c r="Q74" s="183"/>
      <c r="R74" s="183"/>
      <c r="S74" s="183"/>
      <c r="T74" s="183"/>
      <c r="U74" s="130"/>
      <c r="V74" s="130"/>
      <c r="W74" s="130"/>
      <c r="X74" s="130"/>
      <c r="Y74" s="130"/>
      <c r="Z74" s="130"/>
      <c r="AA74" s="186"/>
      <c r="AB74" s="186"/>
      <c r="AC74" s="186"/>
      <c r="AD74" s="186"/>
      <c r="AE74" s="186"/>
      <c r="AF74" s="186"/>
      <c r="AG74" s="183"/>
      <c r="AH74" s="183"/>
      <c r="AI74" s="183"/>
      <c r="AJ74" s="183"/>
      <c r="AK74" s="183"/>
      <c r="AL74" s="183"/>
      <c r="AM74" s="685"/>
      <c r="AN74" s="685"/>
      <c r="AO74" s="685"/>
      <c r="AP74" s="685"/>
      <c r="AQ74" s="685"/>
      <c r="AR74" s="685"/>
      <c r="AS74" s="692"/>
      <c r="AT74" s="692"/>
      <c r="AU74" s="692"/>
      <c r="AV74" s="692"/>
      <c r="AW74" s="692"/>
      <c r="AX74" s="692"/>
      <c r="AY74"/>
      <c r="AZ74" s="188"/>
    </row>
    <row r="75" spans="1:83" x14ac:dyDescent="0.25">
      <c r="B75" s="158"/>
      <c r="C75" s="73"/>
      <c r="D75" s="73"/>
      <c r="E75" s="73"/>
      <c r="F75"/>
      <c r="G75"/>
      <c r="H75"/>
      <c r="I75"/>
      <c r="J75"/>
      <c r="K75"/>
      <c r="L75"/>
      <c r="M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</row>
    <row r="76" spans="1:83" x14ac:dyDescent="0.25">
      <c r="A76" s="89" t="s">
        <v>54</v>
      </c>
      <c r="B76" s="158" t="s">
        <v>784</v>
      </c>
      <c r="C76" s="159">
        <f>SUM(O76:Z76)</f>
        <v>836</v>
      </c>
      <c r="D76" s="170">
        <f t="shared" ref="D76:D89" si="93">SUM(AA76:AL76)</f>
        <v>0</v>
      </c>
      <c r="E76" s="159">
        <f t="shared" ref="E76:E81" si="94">SUM(AM76:AX76)+BG76</f>
        <v>62459.229682751218</v>
      </c>
      <c r="F76" s="159"/>
      <c r="G76" s="130">
        <f t="shared" ref="G76:G89" si="95">O76+W76+X76+Y76+Z76</f>
        <v>347</v>
      </c>
      <c r="H76" s="131">
        <f t="shared" ref="H76:H84" si="96">AA76+AI76+AJ76+AK76+AL76</f>
        <v>0</v>
      </c>
      <c r="I76" s="130">
        <f t="shared" ref="I76:I89" si="97">AM76+AU76+AV76+AW76+AX76</f>
        <v>26025</v>
      </c>
      <c r="J76" s="130"/>
      <c r="K76" s="130">
        <f t="shared" ref="K76:K89" si="98">SUM(P76:V76)</f>
        <v>489</v>
      </c>
      <c r="L76" s="131">
        <f t="shared" ref="L76:L89" si="99">SUM(AB76:AH76)</f>
        <v>0</v>
      </c>
      <c r="M76" s="130">
        <f t="shared" ref="M76:M89" si="100">SUM(AN76:AT76)</f>
        <v>36600</v>
      </c>
      <c r="O76" s="977">
        <f>'Mar16-Aug16 FT-TS-Cashout-LG&amp;E'!I$70</f>
        <v>71</v>
      </c>
      <c r="P76" s="977">
        <f>'Mar16-Aug16 FT-TS-Cashout-LG&amp;E'!J$70</f>
        <v>71</v>
      </c>
      <c r="Q76" s="977">
        <f>'Mar16-Aug16 FT-TS-Cashout-LG&amp;E'!K$70</f>
        <v>70</v>
      </c>
      <c r="R76" s="977">
        <f>'Mar16-Aug16 FT-TS-Cashout-LG&amp;E'!L$70</f>
        <v>119</v>
      </c>
      <c r="S76" s="977">
        <f>'Mar16-Aug16 FT-TS-Cashout-LG&amp;E'!M$70</f>
        <v>21</v>
      </c>
      <c r="T76" s="977">
        <f>'Mar16-Aug16 FT-TS-Cashout-LG&amp;E'!N$70</f>
        <v>70</v>
      </c>
      <c r="U76" s="977">
        <f>'Sept16-Feb17 Transport'!M7</f>
        <v>69</v>
      </c>
      <c r="V76" s="977">
        <f>'Sept16-Feb17 Transport'!M14</f>
        <v>69</v>
      </c>
      <c r="W76" s="977">
        <f>'Sept16-Feb17 Transport'!M21</f>
        <v>69</v>
      </c>
      <c r="X76" s="977">
        <f>'Sept16-Feb17 Transport'!M28</f>
        <v>69</v>
      </c>
      <c r="Y76" s="977">
        <f>'Sept16-Feb17 Transport'!M35</f>
        <v>69</v>
      </c>
      <c r="Z76" s="977">
        <f>'Sept16-Feb17 Transport'!M42</f>
        <v>69</v>
      </c>
      <c r="AA76" s="184"/>
      <c r="AB76" s="184"/>
      <c r="AC76" s="184"/>
      <c r="AD76" s="184"/>
      <c r="AE76" s="184"/>
      <c r="AF76" s="184"/>
      <c r="AG76" s="186"/>
      <c r="AH76" s="186"/>
      <c r="AI76" s="186"/>
      <c r="AJ76" s="186"/>
      <c r="AK76" s="186"/>
      <c r="AL76" s="186"/>
      <c r="AM76" s="685">
        <f>'Mar16-Aug16 FT-TS-Cashout-LG&amp;E'!J74</f>
        <v>5325</v>
      </c>
      <c r="AN76" s="685">
        <f>'Mar16-Aug16 FT-TS-Cashout-LG&amp;E'!K74</f>
        <v>5250</v>
      </c>
      <c r="AO76" s="685">
        <f>'Mar16-Aug16 FT-TS-Cashout-LG&amp;E'!L74</f>
        <v>8925</v>
      </c>
      <c r="AP76" s="685">
        <f>'Mar16-Aug16 FT-TS-Cashout-LG&amp;E'!M74</f>
        <v>1575</v>
      </c>
      <c r="AQ76" s="685">
        <f>'Mar16-Aug16 FT-TS-Cashout-LG&amp;E'!N74</f>
        <v>5250</v>
      </c>
      <c r="AR76" s="685">
        <f>'Mar16-Aug16 FT-TS-Cashout-LG&amp;E'!O74</f>
        <v>5250</v>
      </c>
      <c r="AS76" s="685">
        <f>'Sept16-Feb17 Transport'!AV7</f>
        <v>5175</v>
      </c>
      <c r="AT76" s="685">
        <f>'Sept16-Feb17 Transport'!AV14</f>
        <v>5175</v>
      </c>
      <c r="AU76" s="685">
        <f>'Sept16-Feb17 Transport'!AV21</f>
        <v>5175</v>
      </c>
      <c r="AV76" s="685">
        <f>'Sept16-Feb17 Transport'!AV28</f>
        <v>5175</v>
      </c>
      <c r="AW76" s="685">
        <f>'Sept16-Feb17 Transport'!AV35</f>
        <v>5175</v>
      </c>
      <c r="AX76" s="685">
        <f>'Sept16-Feb17 Transport'!AV42</f>
        <v>5175</v>
      </c>
      <c r="AY76"/>
      <c r="AZ76" s="188"/>
      <c r="BA76" s="518">
        <f t="shared" ref="BA76:BA81" si="101">(AM76/(AM$65+AM$73+AM$158+SUM(AM$76:AM$80))*$BA$56)</f>
        <v>0</v>
      </c>
      <c r="BB76" s="518">
        <f t="shared" ref="BB76:BB81" si="102">(AN76/(AN$65+AN$73+AN$158+SUM(AN$76:AN$80))*$BB$56)</f>
        <v>-145.56930492658211</v>
      </c>
      <c r="BC76" s="518">
        <f t="shared" ref="BC76:BC81" si="103">(AO76/(AO$65+AO$73+AO$158+SUM(AO$76:AO$80))*$BC$56)</f>
        <v>-91.508180549327818</v>
      </c>
      <c r="BD76" s="518">
        <f t="shared" ref="BD76:BD81" si="104">(AP76/(AP$65+AP$73+AP$158+SUM(AP$76:AP$80))*$BD$56)</f>
        <v>71.307168227126112</v>
      </c>
      <c r="BE76" s="518">
        <f t="shared" ref="BE76:BE81" si="105">(AQ76/(AQ$65+AQ$73+AQ$158+SUM(AQ$76:AQ$80))*$BE$56)</f>
        <v>0</v>
      </c>
      <c r="BF76" s="518">
        <f t="shared" ref="BF76:BF81" si="106">(AR76/(AR$65+AR$73+AR$158+SUM(AR$76:AR$80))*$BF$56)</f>
        <v>0</v>
      </c>
      <c r="BG76" s="517">
        <f t="shared" ref="BG76:BG81" si="107">SUM(BA76:BF76)</f>
        <v>-165.77031724878381</v>
      </c>
    </row>
    <row r="77" spans="1:83" x14ac:dyDescent="0.25">
      <c r="A77" s="89" t="s">
        <v>54</v>
      </c>
      <c r="B77" s="158" t="s">
        <v>786</v>
      </c>
      <c r="C77" s="159">
        <f t="shared" ref="C77:C82" si="108">SUM(O77:Z77)</f>
        <v>0</v>
      </c>
      <c r="D77" s="170">
        <f t="shared" si="93"/>
        <v>0</v>
      </c>
      <c r="E77" s="159">
        <f t="shared" si="94"/>
        <v>55720.073813870069</v>
      </c>
      <c r="F77" s="159"/>
      <c r="G77" s="130">
        <f t="shared" si="95"/>
        <v>0</v>
      </c>
      <c r="H77" s="131">
        <f t="shared" si="96"/>
        <v>0</v>
      </c>
      <c r="I77" s="130">
        <f t="shared" si="97"/>
        <v>13950.59</v>
      </c>
      <c r="J77" s="130"/>
      <c r="K77" s="130">
        <f t="shared" si="98"/>
        <v>0</v>
      </c>
      <c r="L77" s="131">
        <f t="shared" si="99"/>
        <v>0</v>
      </c>
      <c r="M77" s="130">
        <f t="shared" si="100"/>
        <v>42187.899999999994</v>
      </c>
      <c r="O77" s="977"/>
      <c r="P77" s="977"/>
      <c r="Q77" s="977"/>
      <c r="R77" s="977"/>
      <c r="S77" s="977"/>
      <c r="T77" s="977"/>
      <c r="U77" s="973"/>
      <c r="V77" s="973"/>
      <c r="W77" s="973"/>
      <c r="X77" s="973"/>
      <c r="Y77" s="973"/>
      <c r="Z77" s="973"/>
      <c r="AA77" s="184"/>
      <c r="AB77" s="184"/>
      <c r="AC77" s="184"/>
      <c r="AD77" s="184"/>
      <c r="AE77" s="184"/>
      <c r="AF77" s="184"/>
      <c r="AG77" s="468"/>
      <c r="AH77" s="468"/>
      <c r="AI77" s="468"/>
      <c r="AJ77" s="468"/>
      <c r="AK77" s="468"/>
      <c r="AL77" s="468"/>
      <c r="AM77" s="685">
        <f>'Mar16-Aug16 FT-TS-Cashout-LG&amp;E'!J75</f>
        <v>13950.59</v>
      </c>
      <c r="AN77" s="685">
        <f>'Mar16-Aug16 FT-TS-Cashout-LG&amp;E'!K75</f>
        <v>9161.17</v>
      </c>
      <c r="AO77" s="685">
        <f>'Mar16-Aug16 FT-TS-Cashout-LG&amp;E'!L75</f>
        <v>17205.259999999998</v>
      </c>
      <c r="AP77" s="685">
        <f>'Mar16-Aug16 FT-TS-Cashout-LG&amp;E'!M75</f>
        <v>265.18</v>
      </c>
      <c r="AQ77" s="685">
        <f>'Mar16-Aug16 FT-TS-Cashout-LG&amp;E'!N75</f>
        <v>10423.48</v>
      </c>
      <c r="AR77" s="685">
        <f>'Mar16-Aug16 FT-TS-Cashout-LG&amp;E'!O75</f>
        <v>5132.8100000000004</v>
      </c>
      <c r="AS77" s="692"/>
      <c r="AT77" s="692"/>
      <c r="AU77" s="692"/>
      <c r="AV77" s="692"/>
      <c r="AW77" s="692"/>
      <c r="AX77" s="692"/>
      <c r="AY77"/>
      <c r="AZ77" s="188"/>
      <c r="BA77" s="518">
        <f t="shared" si="101"/>
        <v>0</v>
      </c>
      <c r="BB77" s="518">
        <f t="shared" si="102"/>
        <v>-254.01621889795351</v>
      </c>
      <c r="BC77" s="518">
        <f t="shared" si="103"/>
        <v>-176.40583064180703</v>
      </c>
      <c r="BD77" s="518">
        <f t="shared" si="104"/>
        <v>12.00586340982178</v>
      </c>
      <c r="BE77" s="518">
        <f t="shared" si="105"/>
        <v>0</v>
      </c>
      <c r="BF77" s="518">
        <f t="shared" si="106"/>
        <v>0</v>
      </c>
      <c r="BG77" s="517">
        <f t="shared" si="107"/>
        <v>-418.41618612993881</v>
      </c>
    </row>
    <row r="78" spans="1:83" x14ac:dyDescent="0.25">
      <c r="A78" s="89" t="s">
        <v>54</v>
      </c>
      <c r="B78" s="158" t="s">
        <v>787</v>
      </c>
      <c r="C78" s="159">
        <f t="shared" si="108"/>
        <v>0</v>
      </c>
      <c r="D78" s="170">
        <f t="shared" si="93"/>
        <v>0</v>
      </c>
      <c r="E78" s="159">
        <f t="shared" si="94"/>
        <v>61251.934660743864</v>
      </c>
      <c r="F78" s="159"/>
      <c r="G78" s="130">
        <f t="shared" si="95"/>
        <v>0</v>
      </c>
      <c r="H78" s="131">
        <f t="shared" si="96"/>
        <v>0</v>
      </c>
      <c r="I78" s="130">
        <f t="shared" si="97"/>
        <v>15385.96</v>
      </c>
      <c r="J78" s="130"/>
      <c r="K78" s="130">
        <f t="shared" si="98"/>
        <v>0</v>
      </c>
      <c r="L78" s="131">
        <f t="shared" si="99"/>
        <v>0</v>
      </c>
      <c r="M78" s="130">
        <f t="shared" si="100"/>
        <v>46326.25</v>
      </c>
      <c r="O78" s="977"/>
      <c r="P78" s="977"/>
      <c r="Q78" s="977"/>
      <c r="R78" s="977"/>
      <c r="S78" s="977"/>
      <c r="T78" s="977"/>
      <c r="U78" s="973"/>
      <c r="V78" s="973"/>
      <c r="W78" s="973"/>
      <c r="X78" s="973"/>
      <c r="Y78" s="973"/>
      <c r="Z78" s="973"/>
      <c r="AA78" s="184"/>
      <c r="AB78" s="184"/>
      <c r="AC78" s="184"/>
      <c r="AD78" s="184"/>
      <c r="AE78" s="184"/>
      <c r="AF78" s="184"/>
      <c r="AG78" s="468"/>
      <c r="AH78" s="468"/>
      <c r="AI78" s="468"/>
      <c r="AJ78" s="468"/>
      <c r="AK78" s="468"/>
      <c r="AL78" s="468"/>
      <c r="AM78" s="685">
        <f>'Mar16-Aug16 FT-TS-Cashout-LG&amp;E'!J76</f>
        <v>15385.96</v>
      </c>
      <c r="AN78" s="685">
        <f>'Mar16-Aug16 FT-TS-Cashout-LG&amp;E'!K76</f>
        <v>10103.77</v>
      </c>
      <c r="AO78" s="685">
        <f>'Mar16-Aug16 FT-TS-Cashout-LG&amp;E'!L76</f>
        <v>18850.72</v>
      </c>
      <c r="AP78" s="685">
        <f>'Mar16-Aug16 FT-TS-Cashout-LG&amp;E'!M76</f>
        <v>290.52999999999997</v>
      </c>
      <c r="AQ78" s="685">
        <f>'Mar16-Aug16 FT-TS-Cashout-LG&amp;E'!N76</f>
        <v>11420.33</v>
      </c>
      <c r="AR78" s="685">
        <f>'Mar16-Aug16 FT-TS-Cashout-LG&amp;E'!O76</f>
        <v>5660.9</v>
      </c>
      <c r="AS78" s="692"/>
      <c r="AT78" s="692"/>
      <c r="AU78" s="692"/>
      <c r="AV78" s="692"/>
      <c r="AW78" s="692"/>
      <c r="AX78" s="692"/>
      <c r="AY78"/>
      <c r="AZ78" s="188"/>
      <c r="BA78" s="518">
        <f t="shared" si="101"/>
        <v>0</v>
      </c>
      <c r="BB78" s="518">
        <f t="shared" si="102"/>
        <v>-280.15214781677184</v>
      </c>
      <c r="BC78" s="518">
        <f t="shared" si="103"/>
        <v>-193.27676069970028</v>
      </c>
      <c r="BD78" s="518">
        <f t="shared" si="104"/>
        <v>13.153569260334571</v>
      </c>
      <c r="BE78" s="518">
        <f t="shared" si="105"/>
        <v>0</v>
      </c>
      <c r="BF78" s="518">
        <f t="shared" si="106"/>
        <v>0</v>
      </c>
      <c r="BG78" s="517">
        <f t="shared" si="107"/>
        <v>-460.27533925613756</v>
      </c>
    </row>
    <row r="79" spans="1:83" x14ac:dyDescent="0.25">
      <c r="A79" s="89" t="s">
        <v>54</v>
      </c>
      <c r="B79" s="158" t="s">
        <v>785</v>
      </c>
      <c r="C79" s="159">
        <f t="shared" si="108"/>
        <v>0</v>
      </c>
      <c r="D79" s="170">
        <f t="shared" si="93"/>
        <v>0</v>
      </c>
      <c r="E79" s="159">
        <f t="shared" si="94"/>
        <v>0</v>
      </c>
      <c r="F79" s="159"/>
      <c r="G79" s="130">
        <f t="shared" si="95"/>
        <v>0</v>
      </c>
      <c r="H79" s="131">
        <f t="shared" si="96"/>
        <v>0</v>
      </c>
      <c r="I79" s="130">
        <f t="shared" si="97"/>
        <v>0</v>
      </c>
      <c r="J79" s="130"/>
      <c r="K79" s="130">
        <f t="shared" si="98"/>
        <v>0</v>
      </c>
      <c r="L79" s="131">
        <f t="shared" si="99"/>
        <v>0</v>
      </c>
      <c r="M79" s="130">
        <f t="shared" si="100"/>
        <v>0</v>
      </c>
      <c r="O79" s="977"/>
      <c r="P79" s="977"/>
      <c r="Q79" s="977"/>
      <c r="R79" s="977"/>
      <c r="S79" s="977"/>
      <c r="T79" s="977"/>
      <c r="U79" s="973"/>
      <c r="V79" s="973"/>
      <c r="W79" s="973"/>
      <c r="X79" s="973"/>
      <c r="Y79" s="973"/>
      <c r="Z79" s="973"/>
      <c r="AA79" s="184"/>
      <c r="AB79" s="184"/>
      <c r="AC79" s="184"/>
      <c r="AD79" s="184"/>
      <c r="AE79" s="184"/>
      <c r="AF79" s="184"/>
      <c r="AG79" s="468"/>
      <c r="AH79" s="468"/>
      <c r="AI79" s="468"/>
      <c r="AJ79" s="468"/>
      <c r="AK79" s="468"/>
      <c r="AL79" s="468"/>
      <c r="AM79" s="685">
        <f>'Mar16-Aug16 FT-TS-Cashout-LG&amp;E'!J77</f>
        <v>0</v>
      </c>
      <c r="AN79" s="685">
        <f>'Mar16-Aug16 FT-TS-Cashout-LG&amp;E'!K77</f>
        <v>0</v>
      </c>
      <c r="AO79" s="685">
        <f>'Mar16-Aug16 FT-TS-Cashout-LG&amp;E'!L77</f>
        <v>0</v>
      </c>
      <c r="AP79" s="685">
        <f>'Mar16-Aug16 FT-TS-Cashout-LG&amp;E'!M77</f>
        <v>0</v>
      </c>
      <c r="AQ79" s="685">
        <f>'Mar16-Aug16 FT-TS-Cashout-LG&amp;E'!N77</f>
        <v>0</v>
      </c>
      <c r="AR79" s="685">
        <f>'Mar16-Aug16 FT-TS-Cashout-LG&amp;E'!O77</f>
        <v>0</v>
      </c>
      <c r="AS79" s="692"/>
      <c r="AT79" s="692"/>
      <c r="AU79" s="692"/>
      <c r="AV79" s="692"/>
      <c r="AW79" s="692"/>
      <c r="AX79" s="692"/>
      <c r="AY79"/>
      <c r="AZ79" s="188"/>
      <c r="BA79" s="518">
        <f t="shared" si="101"/>
        <v>0</v>
      </c>
      <c r="BB79" s="518">
        <f t="shared" si="102"/>
        <v>0</v>
      </c>
      <c r="BC79" s="518">
        <f t="shared" si="103"/>
        <v>0</v>
      </c>
      <c r="BD79" s="518">
        <f t="shared" si="104"/>
        <v>0</v>
      </c>
      <c r="BE79" s="518">
        <f t="shared" si="105"/>
        <v>0</v>
      </c>
      <c r="BF79" s="518">
        <f t="shared" si="106"/>
        <v>0</v>
      </c>
      <c r="BG79" s="517">
        <f t="shared" si="107"/>
        <v>0</v>
      </c>
    </row>
    <row r="80" spans="1:83" x14ac:dyDescent="0.25">
      <c r="A80" s="89" t="s">
        <v>93</v>
      </c>
      <c r="B80" s="158" t="s">
        <v>995</v>
      </c>
      <c r="C80" s="159">
        <f t="shared" si="108"/>
        <v>54</v>
      </c>
      <c r="D80" s="170">
        <f t="shared" si="93"/>
        <v>0</v>
      </c>
      <c r="E80" s="159">
        <f t="shared" si="94"/>
        <v>4053.82929143309</v>
      </c>
      <c r="F80" s="189"/>
      <c r="G80" s="130">
        <f t="shared" si="95"/>
        <v>15</v>
      </c>
      <c r="H80" s="131">
        <f t="shared" si="96"/>
        <v>0</v>
      </c>
      <c r="I80" s="130">
        <f t="shared" si="97"/>
        <v>1125</v>
      </c>
      <c r="J80" s="138"/>
      <c r="K80" s="130">
        <f t="shared" si="98"/>
        <v>39</v>
      </c>
      <c r="L80" s="131">
        <f t="shared" si="99"/>
        <v>0</v>
      </c>
      <c r="M80" s="130">
        <f t="shared" si="100"/>
        <v>2925</v>
      </c>
      <c r="N80" s="50"/>
      <c r="O80" s="978">
        <f>'Mar16-Aug16 FT-TS-Cashout-LG&amp;E'!I213</f>
        <v>7</v>
      </c>
      <c r="P80" s="978">
        <f>'Mar16-Aug16 FT-TS-Cashout-LG&amp;E'!J213</f>
        <v>7</v>
      </c>
      <c r="Q80" s="978">
        <f>'Mar16-Aug16 FT-TS-Cashout-LG&amp;E'!K213</f>
        <v>7</v>
      </c>
      <c r="R80" s="978">
        <f>'Mar16-Aug16 FT-TS-Cashout-LG&amp;E'!L213</f>
        <v>7</v>
      </c>
      <c r="S80" s="978">
        <f>'Mar16-Aug16 FT-TS-Cashout-LG&amp;E'!M213</f>
        <v>7</v>
      </c>
      <c r="T80" s="978">
        <f>'Mar16-Aug16 FT-TS-Cashout-LG&amp;E'!N213</f>
        <v>7</v>
      </c>
      <c r="U80" s="978">
        <f>'Sept16-Feb17 Transport'!M9</f>
        <v>2</v>
      </c>
      <c r="V80" s="978">
        <f>'Sept16-Feb17 Transport'!M16</f>
        <v>2</v>
      </c>
      <c r="W80" s="978">
        <f>'Sept16-Feb17 Transport'!M23</f>
        <v>2</v>
      </c>
      <c r="X80" s="978">
        <f>'Sept16-Feb17 Transport'!M30</f>
        <v>2</v>
      </c>
      <c r="Y80" s="978">
        <f>'Sept16-Feb17 Transport'!M37</f>
        <v>2</v>
      </c>
      <c r="Z80" s="978">
        <f>'Sept16-Feb17 Transport'!M44</f>
        <v>2</v>
      </c>
      <c r="AA80" s="679"/>
      <c r="AB80" s="679"/>
      <c r="AC80" s="679"/>
      <c r="AD80" s="679"/>
      <c r="AE80" s="679"/>
      <c r="AF80" s="679"/>
      <c r="AG80" s="680"/>
      <c r="AH80" s="680"/>
      <c r="AI80" s="680"/>
      <c r="AJ80" s="680"/>
      <c r="AK80" s="680"/>
      <c r="AL80" s="680"/>
      <c r="AM80" s="685">
        <f>'Mar16-Aug16 FT-TS-Cashout-LG&amp;E'!J226</f>
        <v>525</v>
      </c>
      <c r="AN80" s="685">
        <f>'Mar16-Aug16 FT-TS-Cashout-LG&amp;E'!K226</f>
        <v>525</v>
      </c>
      <c r="AO80" s="685">
        <f>'Mar16-Aug16 FT-TS-Cashout-LG&amp;E'!L226</f>
        <v>525</v>
      </c>
      <c r="AP80" s="685">
        <f>'Mar16-Aug16 FT-TS-Cashout-LG&amp;E'!M226</f>
        <v>525</v>
      </c>
      <c r="AQ80" s="685">
        <f>'Mar16-Aug16 FT-TS-Cashout-LG&amp;E'!N226</f>
        <v>525</v>
      </c>
      <c r="AR80" s="685">
        <f>'Mar16-Aug16 FT-TS-Cashout-LG&amp;E'!O226</f>
        <v>525</v>
      </c>
      <c r="AS80" s="685">
        <f>'Sept16-Feb17 Transport'!AV9</f>
        <v>150</v>
      </c>
      <c r="AT80" s="685">
        <f>'Sept16-Feb17 Transport'!AV16</f>
        <v>150</v>
      </c>
      <c r="AU80" s="685">
        <f>'Sept16-Feb17 Transport'!AV23</f>
        <v>150</v>
      </c>
      <c r="AV80" s="685">
        <f>'Sept16-Feb17 Transport'!AV30</f>
        <v>150</v>
      </c>
      <c r="AW80" s="685">
        <f>'Sept16-Feb17 Transport'!AV37</f>
        <v>150</v>
      </c>
      <c r="AX80" s="685">
        <f>'Sept16-Feb17 Transport'!AV44</f>
        <v>150</v>
      </c>
      <c r="AY80"/>
      <c r="AZ80" s="188"/>
      <c r="BA80" s="518">
        <f t="shared" si="101"/>
        <v>0</v>
      </c>
      <c r="BB80" s="518">
        <f t="shared" si="102"/>
        <v>-14.556930492658209</v>
      </c>
      <c r="BC80" s="518">
        <f t="shared" si="103"/>
        <v>-5.3828341499604599</v>
      </c>
      <c r="BD80" s="518">
        <f t="shared" si="104"/>
        <v>23.769056075708704</v>
      </c>
      <c r="BE80" s="518">
        <f t="shared" si="105"/>
        <v>0</v>
      </c>
      <c r="BF80" s="518">
        <f t="shared" si="106"/>
        <v>0</v>
      </c>
      <c r="BG80" s="517">
        <f t="shared" si="107"/>
        <v>3.8292914330900345</v>
      </c>
    </row>
    <row r="81" spans="1:59" x14ac:dyDescent="0.25">
      <c r="A81" s="89" t="s">
        <v>99</v>
      </c>
      <c r="B81" s="158" t="s">
        <v>994</v>
      </c>
      <c r="C81" s="173">
        <f t="shared" si="108"/>
        <v>0</v>
      </c>
      <c r="D81" s="174">
        <f t="shared" si="93"/>
        <v>0</v>
      </c>
      <c r="E81" s="173">
        <f t="shared" si="94"/>
        <v>0</v>
      </c>
      <c r="F81" s="159"/>
      <c r="G81" s="136">
        <f t="shared" si="95"/>
        <v>0</v>
      </c>
      <c r="H81" s="137">
        <f t="shared" si="96"/>
        <v>0</v>
      </c>
      <c r="I81" s="136">
        <f t="shared" si="97"/>
        <v>0</v>
      </c>
      <c r="J81" s="130"/>
      <c r="K81" s="136">
        <f t="shared" si="98"/>
        <v>0</v>
      </c>
      <c r="L81" s="137">
        <f t="shared" si="99"/>
        <v>0</v>
      </c>
      <c r="M81" s="136">
        <f t="shared" si="100"/>
        <v>0</v>
      </c>
      <c r="O81" s="1039"/>
      <c r="P81" s="1039"/>
      <c r="Q81" s="1039"/>
      <c r="R81" s="1039"/>
      <c r="S81" s="1039"/>
      <c r="T81" s="1039"/>
      <c r="U81" s="1039"/>
      <c r="V81" s="1039"/>
      <c r="W81" s="1039"/>
      <c r="X81" s="1039"/>
      <c r="Y81" s="1039"/>
      <c r="Z81" s="1039"/>
      <c r="AA81" s="679"/>
      <c r="AB81" s="679"/>
      <c r="AC81" s="679"/>
      <c r="AD81" s="679"/>
      <c r="AE81" s="679"/>
      <c r="AF81" s="679"/>
      <c r="AG81" s="680"/>
      <c r="AH81" s="680"/>
      <c r="AI81" s="680"/>
      <c r="AJ81" s="680"/>
      <c r="AK81" s="680"/>
      <c r="AL81" s="680"/>
      <c r="AM81" s="690">
        <f>'Mar16-Aug16 FT-TS-Cashout-LG&amp;E'!J248</f>
        <v>0</v>
      </c>
      <c r="AN81" s="690">
        <f>'Mar16-Aug16 FT-TS-Cashout-LG&amp;E'!K248</f>
        <v>0</v>
      </c>
      <c r="AO81" s="690">
        <f>'Mar16-Aug16 FT-TS-Cashout-LG&amp;E'!L248</f>
        <v>0</v>
      </c>
      <c r="AP81" s="690">
        <f>'Mar16-Aug16 FT-TS-Cashout-LG&amp;E'!M248</f>
        <v>0</v>
      </c>
      <c r="AQ81" s="690">
        <f>'Mar16-Aug16 FT-TS-Cashout-LG&amp;E'!N248</f>
        <v>0</v>
      </c>
      <c r="AR81" s="690">
        <f>'Mar16-Aug16 FT-TS-Cashout-LG&amp;E'!O248</f>
        <v>0</v>
      </c>
      <c r="AS81" s="690"/>
      <c r="AT81" s="690"/>
      <c r="AU81" s="690"/>
      <c r="AV81" s="690"/>
      <c r="AW81" s="690"/>
      <c r="AX81" s="690"/>
      <c r="AY81"/>
      <c r="AZ81" s="188"/>
      <c r="BA81" s="518">
        <f t="shared" si="101"/>
        <v>0</v>
      </c>
      <c r="BB81" s="518">
        <f t="shared" si="102"/>
        <v>0</v>
      </c>
      <c r="BC81" s="518">
        <f t="shared" si="103"/>
        <v>0</v>
      </c>
      <c r="BD81" s="518">
        <f t="shared" si="104"/>
        <v>0</v>
      </c>
      <c r="BE81" s="518">
        <f t="shared" si="105"/>
        <v>0</v>
      </c>
      <c r="BF81" s="518">
        <f t="shared" si="106"/>
        <v>0</v>
      </c>
      <c r="BG81" s="517">
        <f t="shared" si="107"/>
        <v>0</v>
      </c>
    </row>
    <row r="82" spans="1:59" x14ac:dyDescent="0.25">
      <c r="B82" s="158" t="s">
        <v>774</v>
      </c>
      <c r="C82" s="159">
        <f t="shared" si="108"/>
        <v>890</v>
      </c>
      <c r="D82" s="170">
        <f t="shared" si="93"/>
        <v>0</v>
      </c>
      <c r="E82" s="159">
        <f>SUM(E76:E81)+BG82</f>
        <v>183485.06744879825</v>
      </c>
      <c r="F82" s="159"/>
      <c r="G82" s="130">
        <f t="shared" si="95"/>
        <v>362</v>
      </c>
      <c r="H82" s="131">
        <f t="shared" si="96"/>
        <v>0</v>
      </c>
      <c r="I82" s="130">
        <f t="shared" si="97"/>
        <v>56486.55</v>
      </c>
      <c r="J82" s="159"/>
      <c r="K82" s="130">
        <f t="shared" si="98"/>
        <v>528</v>
      </c>
      <c r="L82" s="131">
        <f t="shared" si="99"/>
        <v>0</v>
      </c>
      <c r="M82" s="130">
        <f t="shared" si="100"/>
        <v>128039.15</v>
      </c>
      <c r="O82" s="187">
        <f>SUM(O76:O81)</f>
        <v>78</v>
      </c>
      <c r="P82" s="187">
        <f t="shared" ref="P82:Z82" si="109">SUM(P76:P81)</f>
        <v>78</v>
      </c>
      <c r="Q82" s="187">
        <f t="shared" si="109"/>
        <v>77</v>
      </c>
      <c r="R82" s="187">
        <f t="shared" si="109"/>
        <v>126</v>
      </c>
      <c r="S82" s="187">
        <f t="shared" si="109"/>
        <v>28</v>
      </c>
      <c r="T82" s="187">
        <f t="shared" si="109"/>
        <v>77</v>
      </c>
      <c r="U82" s="187">
        <f t="shared" si="109"/>
        <v>71</v>
      </c>
      <c r="V82" s="187">
        <f t="shared" si="109"/>
        <v>71</v>
      </c>
      <c r="W82" s="187">
        <f t="shared" si="109"/>
        <v>71</v>
      </c>
      <c r="X82" s="187">
        <f t="shared" si="109"/>
        <v>71</v>
      </c>
      <c r="Y82" s="187">
        <f t="shared" si="109"/>
        <v>71</v>
      </c>
      <c r="Z82" s="187">
        <f t="shared" si="109"/>
        <v>71</v>
      </c>
      <c r="AA82" s="184"/>
      <c r="AB82" s="184"/>
      <c r="AC82" s="184"/>
      <c r="AD82" s="184"/>
      <c r="AE82" s="184"/>
      <c r="AF82" s="184"/>
      <c r="AM82" s="685">
        <f>SUM(AM76:AM81)</f>
        <v>35186.550000000003</v>
      </c>
      <c r="AN82" s="685">
        <f t="shared" ref="AN82:AX82" si="110">SUM(AN76:AN81)</f>
        <v>25039.940000000002</v>
      </c>
      <c r="AO82" s="685">
        <f t="shared" si="110"/>
        <v>45505.979999999996</v>
      </c>
      <c r="AP82" s="685">
        <f t="shared" si="110"/>
        <v>2655.71</v>
      </c>
      <c r="AQ82" s="685">
        <f t="shared" si="110"/>
        <v>27618.809999999998</v>
      </c>
      <c r="AR82" s="685">
        <f t="shared" si="110"/>
        <v>16568.71</v>
      </c>
      <c r="AS82" s="685">
        <f t="shared" si="110"/>
        <v>5325</v>
      </c>
      <c r="AT82" s="685">
        <f t="shared" si="110"/>
        <v>5325</v>
      </c>
      <c r="AU82" s="685">
        <f t="shared" si="110"/>
        <v>5325</v>
      </c>
      <c r="AV82" s="685">
        <f t="shared" si="110"/>
        <v>5325</v>
      </c>
      <c r="AW82" s="685">
        <f t="shared" si="110"/>
        <v>5325</v>
      </c>
      <c r="AX82" s="685">
        <f t="shared" si="110"/>
        <v>5325</v>
      </c>
      <c r="AY82"/>
      <c r="AZ82" s="188"/>
    </row>
    <row r="83" spans="1:59" x14ac:dyDescent="0.25">
      <c r="C83" s="190"/>
      <c r="D83" s="536"/>
      <c r="E83" s="190"/>
      <c r="I83" s="130"/>
      <c r="AA83" s="99"/>
      <c r="AB83" s="99"/>
      <c r="AC83" s="99"/>
      <c r="AD83" s="99"/>
      <c r="AE83" s="99"/>
      <c r="AF83" s="99"/>
      <c r="AM83" s="694"/>
      <c r="AN83" s="694"/>
      <c r="AO83" s="694"/>
      <c r="AP83" s="694"/>
      <c r="AQ83" s="694"/>
      <c r="AR83" s="694"/>
      <c r="AS83" s="695"/>
      <c r="AT83" s="695"/>
      <c r="AU83" s="695"/>
      <c r="AV83" s="695"/>
      <c r="AW83" s="695"/>
      <c r="AX83" s="695"/>
      <c r="AY83"/>
      <c r="AZ83" s="168"/>
    </row>
    <row r="84" spans="1:59" x14ac:dyDescent="0.25">
      <c r="B84" s="541" t="s">
        <v>426</v>
      </c>
      <c r="C84" s="173"/>
      <c r="D84" s="174">
        <f t="shared" si="93"/>
        <v>0</v>
      </c>
      <c r="E84" s="173">
        <f>SUM(AM84:AX84)</f>
        <v>1080.3399999999965</v>
      </c>
      <c r="G84" s="136">
        <f t="shared" si="95"/>
        <v>0</v>
      </c>
      <c r="H84" s="137">
        <f t="shared" si="96"/>
        <v>0</v>
      </c>
      <c r="I84" s="136">
        <f t="shared" si="97"/>
        <v>0</v>
      </c>
      <c r="J84" s="130"/>
      <c r="K84" s="130">
        <f t="shared" si="98"/>
        <v>0</v>
      </c>
      <c r="L84" s="131">
        <f t="shared" si="99"/>
        <v>0</v>
      </c>
      <c r="M84" s="130">
        <f t="shared" si="100"/>
        <v>1080.3399999999965</v>
      </c>
      <c r="O84" s="116"/>
      <c r="P84" s="116"/>
      <c r="Q84" s="116"/>
      <c r="R84" s="116"/>
      <c r="S84" s="116"/>
      <c r="T84" s="116"/>
      <c r="U84" s="555"/>
      <c r="V84" s="136"/>
      <c r="W84" s="136"/>
      <c r="X84" s="136"/>
      <c r="Y84" s="136"/>
      <c r="Z84" s="136"/>
      <c r="AA84" s="117"/>
      <c r="AB84" s="117"/>
      <c r="AC84" s="117"/>
      <c r="AD84" s="117"/>
      <c r="AE84" s="117"/>
      <c r="AF84" s="117"/>
      <c r="AG84" s="116"/>
      <c r="AH84" s="116"/>
      <c r="AI84" s="116"/>
      <c r="AJ84" s="116"/>
      <c r="AK84" s="116"/>
      <c r="AL84" s="116"/>
      <c r="AM84" s="696"/>
      <c r="AN84" s="696">
        <v>-16143.14</v>
      </c>
      <c r="AO84" s="696">
        <v>-6626.9</v>
      </c>
      <c r="AP84" s="696">
        <f>6975.44+16874.94</f>
        <v>23850.379999999997</v>
      </c>
      <c r="AQ84" s="696"/>
      <c r="AR84" s="696"/>
      <c r="AS84" s="689"/>
      <c r="AT84" s="689"/>
      <c r="AU84" s="689"/>
      <c r="AV84" s="689"/>
      <c r="AW84" s="689"/>
      <c r="AX84" s="689"/>
      <c r="AY84"/>
      <c r="AZ84" s="168"/>
    </row>
    <row r="85" spans="1:59" x14ac:dyDescent="0.25">
      <c r="B85" s="541"/>
      <c r="C85" s="189"/>
      <c r="D85" s="673"/>
      <c r="E85" s="189"/>
      <c r="G85" s="138"/>
      <c r="H85" s="562"/>
      <c r="I85" s="138"/>
      <c r="J85" s="130"/>
      <c r="K85" s="130"/>
      <c r="L85" s="562"/>
      <c r="M85" s="138"/>
      <c r="O85" s="118"/>
      <c r="P85" s="118"/>
      <c r="Q85" s="118"/>
      <c r="R85" s="118"/>
      <c r="S85" s="118"/>
      <c r="T85" s="118"/>
      <c r="U85" s="108"/>
      <c r="V85" s="138"/>
      <c r="W85" s="138"/>
      <c r="X85" s="138"/>
      <c r="Y85" s="138"/>
      <c r="Z85" s="138"/>
      <c r="AA85" s="681"/>
      <c r="AB85" s="681"/>
      <c r="AC85" s="681"/>
      <c r="AD85" s="681"/>
      <c r="AE85" s="681"/>
      <c r="AF85" s="681"/>
      <c r="AG85" s="118"/>
      <c r="AH85" s="118"/>
      <c r="AI85" s="118"/>
      <c r="AJ85" s="118"/>
      <c r="AK85" s="118"/>
      <c r="AL85" s="118"/>
      <c r="AM85" s="694"/>
      <c r="AN85" s="694"/>
      <c r="AO85" s="694"/>
      <c r="AP85" s="694"/>
      <c r="AQ85" s="694"/>
      <c r="AR85" s="694"/>
      <c r="AS85" s="687"/>
      <c r="AT85" s="687"/>
      <c r="AU85" s="687"/>
      <c r="AV85" s="687"/>
      <c r="AW85" s="687"/>
      <c r="AX85" s="687"/>
      <c r="AY85"/>
      <c r="AZ85" s="168"/>
    </row>
    <row r="86" spans="1:59" x14ac:dyDescent="0.25">
      <c r="B86" s="99" t="s">
        <v>797</v>
      </c>
      <c r="C86" s="159"/>
      <c r="D86" s="170">
        <f t="shared" si="93"/>
        <v>13581458.912917716</v>
      </c>
      <c r="E86" s="159">
        <f>SUM(AM86:AX86)</f>
        <v>8649309.5899999999</v>
      </c>
      <c r="G86" s="130">
        <f t="shared" si="95"/>
        <v>0</v>
      </c>
      <c r="H86" s="131">
        <f>SUM(AA86:AA86)</f>
        <v>1210290</v>
      </c>
      <c r="I86" s="130">
        <f t="shared" si="97"/>
        <v>4149372.1099999994</v>
      </c>
      <c r="J86" s="190"/>
      <c r="K86" s="130">
        <f t="shared" si="98"/>
        <v>0</v>
      </c>
      <c r="L86" s="131">
        <f t="shared" si="99"/>
        <v>6407431.9695940446</v>
      </c>
      <c r="M86" s="130">
        <f t="shared" si="100"/>
        <v>4499937.4800000004</v>
      </c>
      <c r="O86" s="580"/>
      <c r="P86" s="580"/>
      <c r="Q86" s="580"/>
      <c r="R86" s="580"/>
      <c r="S86" s="580"/>
      <c r="T86" s="580"/>
      <c r="U86" s="580"/>
      <c r="V86" s="580"/>
      <c r="W86" s="580"/>
      <c r="X86" s="580"/>
      <c r="Y86" s="580"/>
      <c r="Z86" s="580"/>
      <c r="AA86" s="199">
        <v>1210290</v>
      </c>
      <c r="AB86" s="199">
        <v>970947</v>
      </c>
      <c r="AC86" s="199">
        <v>962230</v>
      </c>
      <c r="AD86" s="199">
        <v>809965</v>
      </c>
      <c r="AE86" s="199">
        <v>750928</v>
      </c>
      <c r="AF86" s="199">
        <v>814698</v>
      </c>
      <c r="AG86" s="199">
        <v>845667.30781305546</v>
      </c>
      <c r="AH86" s="199">
        <v>1252996.6617809888</v>
      </c>
      <c r="AI86" s="199">
        <v>1506886.2589267266</v>
      </c>
      <c r="AJ86" s="199">
        <v>1553840.7660034928</v>
      </c>
      <c r="AK86" s="199">
        <v>1556277.1774698601</v>
      </c>
      <c r="AL86" s="199">
        <v>1346732.7409235912</v>
      </c>
      <c r="AM86" s="697">
        <v>718149</v>
      </c>
      <c r="AN86" s="697">
        <v>565769</v>
      </c>
      <c r="AO86" s="697">
        <v>640352</v>
      </c>
      <c r="AP86" s="697">
        <v>549168</v>
      </c>
      <c r="AQ86" s="697">
        <v>543121</v>
      </c>
      <c r="AR86" s="697">
        <v>543496</v>
      </c>
      <c r="AS86" s="698">
        <v>763793.73</v>
      </c>
      <c r="AT86" s="698">
        <v>894237.75</v>
      </c>
      <c r="AU86" s="698">
        <v>943700.55</v>
      </c>
      <c r="AV86" s="698">
        <v>924990.46</v>
      </c>
      <c r="AW86" s="698">
        <v>831681.36</v>
      </c>
      <c r="AX86" s="698">
        <v>730850.74</v>
      </c>
      <c r="AY86"/>
    </row>
    <row r="87" spans="1:59" x14ac:dyDescent="0.25">
      <c r="B87" s="99" t="s">
        <v>466</v>
      </c>
      <c r="C87" s="159">
        <f>C65+C73+C76+C80</f>
        <v>1856</v>
      </c>
      <c r="D87" s="170">
        <f>SUM(AA87:AL87)</f>
        <v>13581576.113125909</v>
      </c>
      <c r="E87" s="159">
        <f>SUM(AM87:AX87)</f>
        <v>8650441.008936137</v>
      </c>
      <c r="G87" s="130"/>
      <c r="AA87" s="102">
        <f t="shared" ref="AA87:AX87" si="111">AA65+AA73+AA82+AA84</f>
        <v>1210289.8999999999</v>
      </c>
      <c r="AB87" s="102">
        <f t="shared" si="111"/>
        <v>976974.5</v>
      </c>
      <c r="AC87" s="102">
        <f t="shared" si="111"/>
        <v>977107.9</v>
      </c>
      <c r="AD87" s="102">
        <f t="shared" si="111"/>
        <v>789178.29999999981</v>
      </c>
      <c r="AE87" s="102">
        <f t="shared" si="111"/>
        <v>750927.20000000007</v>
      </c>
      <c r="AF87" s="102">
        <f t="shared" si="111"/>
        <v>814697.39999999991</v>
      </c>
      <c r="AG87" s="102">
        <f t="shared" si="111"/>
        <v>845667.30781198782</v>
      </c>
      <c r="AH87" s="102">
        <f t="shared" si="111"/>
        <v>1252996.661815112</v>
      </c>
      <c r="AI87" s="102">
        <f t="shared" si="111"/>
        <v>1506886.259195104</v>
      </c>
      <c r="AJ87" s="102">
        <f t="shared" si="111"/>
        <v>1553840.7661843523</v>
      </c>
      <c r="AK87" s="102">
        <f t="shared" si="111"/>
        <v>1556277.1770081655</v>
      </c>
      <c r="AL87" s="102">
        <f t="shared" si="111"/>
        <v>1346732.7411111889</v>
      </c>
      <c r="AM87" s="694">
        <f t="shared" si="111"/>
        <v>718150.08256999997</v>
      </c>
      <c r="AN87" s="694">
        <f t="shared" si="111"/>
        <v>566063.97462999995</v>
      </c>
      <c r="AO87" s="694">
        <f t="shared" si="111"/>
        <v>639709.65859999997</v>
      </c>
      <c r="AP87" s="694">
        <f t="shared" si="111"/>
        <v>550646.62550999993</v>
      </c>
      <c r="AQ87" s="694">
        <f t="shared" si="111"/>
        <v>543121.08602000005</v>
      </c>
      <c r="AR87" s="694">
        <f t="shared" si="111"/>
        <v>543494.99285000004</v>
      </c>
      <c r="AS87" s="694">
        <f t="shared" si="111"/>
        <v>763793.73671469558</v>
      </c>
      <c r="AT87" s="694">
        <f t="shared" si="111"/>
        <v>894237.74297965423</v>
      </c>
      <c r="AU87" s="694">
        <f t="shared" si="111"/>
        <v>943700.55206312682</v>
      </c>
      <c r="AV87" s="694">
        <f t="shared" si="111"/>
        <v>924990.45971151139</v>
      </c>
      <c r="AW87" s="694">
        <f t="shared" si="111"/>
        <v>831681.35558784334</v>
      </c>
      <c r="AX87" s="694">
        <f t="shared" si="111"/>
        <v>730850.74169930432</v>
      </c>
      <c r="AY87"/>
      <c r="AZ87" s="168"/>
    </row>
    <row r="88" spans="1:59" x14ac:dyDescent="0.25">
      <c r="C88" s="99"/>
      <c r="D88" s="99"/>
      <c r="E88" s="135"/>
      <c r="G88" s="130">
        <f t="shared" si="95"/>
        <v>0</v>
      </c>
      <c r="H88" s="131">
        <f>SUM(AA88:AA88)</f>
        <v>1210289.8999999999</v>
      </c>
      <c r="I88" s="130">
        <f t="shared" si="97"/>
        <v>4149373.1916317861</v>
      </c>
      <c r="J88" s="190"/>
      <c r="K88" s="130">
        <f t="shared" si="98"/>
        <v>0</v>
      </c>
      <c r="L88" s="131">
        <f t="shared" si="99"/>
        <v>6407549.2696270999</v>
      </c>
      <c r="M88" s="130">
        <f t="shared" si="100"/>
        <v>4501067.8173043495</v>
      </c>
      <c r="U88" s="130"/>
      <c r="V88" s="130"/>
      <c r="W88" s="130"/>
      <c r="X88" s="130"/>
      <c r="Y88" s="130"/>
      <c r="Z88" s="130"/>
      <c r="AA88" s="157">
        <f t="shared" ref="AA88:AL88" si="112">SUM(AA57:AA64,AA67:AA70)+AA84</f>
        <v>1210289.8999999999</v>
      </c>
      <c r="AB88" s="157">
        <f t="shared" si="112"/>
        <v>976974.5</v>
      </c>
      <c r="AC88" s="157">
        <f t="shared" si="112"/>
        <v>977107.90000000014</v>
      </c>
      <c r="AD88" s="157">
        <f t="shared" si="112"/>
        <v>789178.29999999993</v>
      </c>
      <c r="AE88" s="157">
        <f t="shared" si="112"/>
        <v>750927.20000000007</v>
      </c>
      <c r="AF88" s="157">
        <f t="shared" si="112"/>
        <v>814697.39999999991</v>
      </c>
      <c r="AG88" s="157">
        <f t="shared" si="112"/>
        <v>845667.30781198782</v>
      </c>
      <c r="AH88" s="157">
        <f t="shared" si="112"/>
        <v>1252996.661815112</v>
      </c>
      <c r="AI88" s="157">
        <f t="shared" si="112"/>
        <v>1506886.259195104</v>
      </c>
      <c r="AJ88" s="157">
        <f t="shared" si="112"/>
        <v>1553840.7661843523</v>
      </c>
      <c r="AK88" s="157">
        <f t="shared" si="112"/>
        <v>1556277.1770081655</v>
      </c>
      <c r="AL88" s="157">
        <f t="shared" si="112"/>
        <v>1346732.7411111889</v>
      </c>
      <c r="AM88" s="685">
        <f>SUM(AM57:AM64)+SUM(AM67:AM72)+SUM(AM76:AM81)+AM84</f>
        <v>718150.08256999997</v>
      </c>
      <c r="AN88" s="685">
        <f t="shared" ref="AN88:AX88" si="113">SUM(AN57:AN64)+SUM(AN67:AN70)+SUM(AN76:AN80)+AN84</f>
        <v>566063.97462999995</v>
      </c>
      <c r="AO88" s="685">
        <f t="shared" si="113"/>
        <v>639709.65859999997</v>
      </c>
      <c r="AP88" s="685">
        <f t="shared" si="113"/>
        <v>550646.62550999993</v>
      </c>
      <c r="AQ88" s="685">
        <f t="shared" si="113"/>
        <v>543121.08602000005</v>
      </c>
      <c r="AR88" s="685">
        <f t="shared" si="113"/>
        <v>543494.99285000004</v>
      </c>
      <c r="AS88" s="685">
        <f t="shared" si="113"/>
        <v>763793.73671469558</v>
      </c>
      <c r="AT88" s="685">
        <f t="shared" si="113"/>
        <v>894237.74297965423</v>
      </c>
      <c r="AU88" s="685">
        <f t="shared" si="113"/>
        <v>943700.55206312682</v>
      </c>
      <c r="AV88" s="685">
        <f t="shared" si="113"/>
        <v>924990.45971151139</v>
      </c>
      <c r="AW88" s="685">
        <f t="shared" si="113"/>
        <v>831681.35558784334</v>
      </c>
      <c r="AX88" s="685">
        <f t="shared" si="113"/>
        <v>730850.74169930432</v>
      </c>
      <c r="AY88"/>
      <c r="AZ88" s="168"/>
      <c r="BA88" s="168"/>
      <c r="BB88" s="168"/>
    </row>
    <row r="89" spans="1:59" x14ac:dyDescent="0.25">
      <c r="B89" s="192"/>
      <c r="C89" s="190"/>
      <c r="D89" s="170">
        <f t="shared" si="93"/>
        <v>117.20020819560159</v>
      </c>
      <c r="E89" s="159">
        <f>SUM(AM89:AX89)</f>
        <v>1131.4189361355966</v>
      </c>
      <c r="G89" s="130">
        <f t="shared" si="95"/>
        <v>0</v>
      </c>
      <c r="H89" s="131">
        <f>SUM(AA89:AA89)</f>
        <v>-0.10000000009313226</v>
      </c>
      <c r="I89" s="130">
        <f t="shared" si="97"/>
        <v>1.0816317858407274</v>
      </c>
      <c r="K89" s="130">
        <f t="shared" si="98"/>
        <v>0</v>
      </c>
      <c r="L89" s="131">
        <f t="shared" si="99"/>
        <v>117.30003305559512</v>
      </c>
      <c r="M89" s="130">
        <f t="shared" si="100"/>
        <v>1130.3373043497559</v>
      </c>
      <c r="O89" s="130"/>
      <c r="U89" s="130"/>
      <c r="V89" s="130"/>
      <c r="W89" s="130"/>
      <c r="X89" s="130"/>
      <c r="Y89" s="130"/>
      <c r="Z89" s="130"/>
      <c r="AA89" s="201">
        <f>+AA88-AA86</f>
        <v>-0.10000000009313226</v>
      </c>
      <c r="AB89" s="201">
        <f>+AB88-AB86</f>
        <v>6027.5</v>
      </c>
      <c r="AC89" s="201">
        <f t="shared" ref="AC89:AL89" si="114">+AC88-AC86</f>
        <v>14877.90000000014</v>
      </c>
      <c r="AD89" s="201">
        <f t="shared" si="114"/>
        <v>-20786.70000000007</v>
      </c>
      <c r="AE89" s="201">
        <f t="shared" si="114"/>
        <v>-0.79999999993015081</v>
      </c>
      <c r="AF89" s="201">
        <f t="shared" si="114"/>
        <v>-0.60000000009313226</v>
      </c>
      <c r="AG89" s="201">
        <f t="shared" si="114"/>
        <v>-1.0676449164748192E-6</v>
      </c>
      <c r="AH89" s="201">
        <f t="shared" si="114"/>
        <v>3.4123193472623825E-5</v>
      </c>
      <c r="AI89" s="201">
        <f t="shared" si="114"/>
        <v>2.6837736368179321E-4</v>
      </c>
      <c r="AJ89" s="201">
        <f t="shared" si="114"/>
        <v>1.8085958436131477E-4</v>
      </c>
      <c r="AK89" s="201">
        <f t="shared" si="114"/>
        <v>-4.6169455163180828E-4</v>
      </c>
      <c r="AL89" s="201">
        <f t="shared" si="114"/>
        <v>1.8759770318865776E-4</v>
      </c>
      <c r="AM89" s="193">
        <f t="shared" ref="AM89:AX89" si="115">+AM88-AM86</f>
        <v>1.0825699999695644</v>
      </c>
      <c r="AN89" s="193">
        <f t="shared" si="115"/>
        <v>294.97462999995332</v>
      </c>
      <c r="AO89" s="193">
        <f t="shared" si="115"/>
        <v>-642.3414000000339</v>
      </c>
      <c r="AP89" s="193">
        <f t="shared" si="115"/>
        <v>1478.6255099999253</v>
      </c>
      <c r="AQ89" s="193">
        <f t="shared" si="115"/>
        <v>8.6020000046119094E-2</v>
      </c>
      <c r="AR89" s="193">
        <f t="shared" si="115"/>
        <v>-1.007149999961257</v>
      </c>
      <c r="AS89" s="193">
        <f t="shared" si="115"/>
        <v>6.7146955989301205E-3</v>
      </c>
      <c r="AT89" s="193">
        <f t="shared" si="115"/>
        <v>-7.0203457726165652E-3</v>
      </c>
      <c r="AU89" s="193">
        <f t="shared" si="115"/>
        <v>2.0631267689168453E-3</v>
      </c>
      <c r="AV89" s="193">
        <f t="shared" si="115"/>
        <v>-2.8848857618868351E-4</v>
      </c>
      <c r="AW89" s="193">
        <f t="shared" si="115"/>
        <v>-4.4121566461399198E-3</v>
      </c>
      <c r="AX89" s="193">
        <f t="shared" si="115"/>
        <v>1.6993043245747685E-3</v>
      </c>
      <c r="AY89"/>
    </row>
    <row r="90" spans="1:59" x14ac:dyDescent="0.25">
      <c r="C90" s="190"/>
      <c r="D90" s="168"/>
      <c r="E90" s="190"/>
      <c r="AN90" s="7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/>
      <c r="AZ90" s="135"/>
    </row>
    <row r="91" spans="1:59" x14ac:dyDescent="0.25">
      <c r="C91" s="190"/>
      <c r="D91" s="168"/>
      <c r="E91" s="190"/>
      <c r="AM91" s="191"/>
      <c r="AN91" s="194"/>
      <c r="AO91" s="194"/>
      <c r="AP91" s="194"/>
      <c r="AQ91" s="194"/>
      <c r="AR91" s="194"/>
      <c r="AS91" s="191"/>
      <c r="AT91" s="191"/>
      <c r="AU91" s="191"/>
      <c r="AV91" s="191"/>
      <c r="AW91" s="191"/>
      <c r="AX91" s="191"/>
      <c r="AY91"/>
    </row>
    <row r="92" spans="1:59" x14ac:dyDescent="0.25">
      <c r="B92" s="99" t="s">
        <v>591</v>
      </c>
      <c r="C92" s="190"/>
      <c r="D92" s="190">
        <f>+D39+D52+D86</f>
        <v>46914011.412917718</v>
      </c>
      <c r="E92" s="190">
        <f>+E39+E52+E86</f>
        <v>324515575.49000001</v>
      </c>
      <c r="AA92" s="100">
        <f t="shared" ref="AA92:AX92" si="116">+AA39+AA52+AA86</f>
        <v>5163735</v>
      </c>
      <c r="AB92" s="100">
        <f t="shared" si="116"/>
        <v>3273691</v>
      </c>
      <c r="AC92" s="100">
        <f t="shared" si="116"/>
        <v>2351122</v>
      </c>
      <c r="AD92" s="100">
        <f t="shared" si="116"/>
        <v>2057768</v>
      </c>
      <c r="AE92" s="100">
        <f t="shared" si="116"/>
        <v>1754866</v>
      </c>
      <c r="AF92" s="100">
        <f t="shared" si="116"/>
        <v>1637242</v>
      </c>
      <c r="AG92" s="100">
        <f t="shared" si="116"/>
        <v>1689041.8078130553</v>
      </c>
      <c r="AH92" s="100">
        <f t="shared" si="116"/>
        <v>2613809.9617809891</v>
      </c>
      <c r="AI92" s="100">
        <f t="shared" si="116"/>
        <v>4447683.9589267271</v>
      </c>
      <c r="AJ92" s="100">
        <f t="shared" si="116"/>
        <v>6824147.5660034921</v>
      </c>
      <c r="AK92" s="100">
        <f t="shared" si="116"/>
        <v>8131761.87746986</v>
      </c>
      <c r="AL92" s="100">
        <f t="shared" si="116"/>
        <v>6969142.240923591</v>
      </c>
      <c r="AM92" s="100">
        <f t="shared" si="116"/>
        <v>33546773</v>
      </c>
      <c r="AN92" s="100">
        <f t="shared" si="116"/>
        <v>22835621</v>
      </c>
      <c r="AO92" s="100">
        <f t="shared" si="116"/>
        <v>15984855</v>
      </c>
      <c r="AP92" s="100">
        <f t="shared" si="116"/>
        <v>14275357</v>
      </c>
      <c r="AQ92" s="100">
        <f t="shared" si="116"/>
        <v>12645992</v>
      </c>
      <c r="AR92" s="100">
        <f t="shared" si="116"/>
        <v>12538257</v>
      </c>
      <c r="AS92" s="100">
        <f t="shared" si="116"/>
        <v>13259538.800000001</v>
      </c>
      <c r="AT92" s="100">
        <f t="shared" si="116"/>
        <v>17685101.25</v>
      </c>
      <c r="AU92" s="100">
        <f t="shared" si="116"/>
        <v>29925576.66</v>
      </c>
      <c r="AV92" s="100">
        <f t="shared" si="116"/>
        <v>47593751.689999998</v>
      </c>
      <c r="AW92" s="100">
        <f t="shared" si="116"/>
        <v>54539313.359999999</v>
      </c>
      <c r="AX92" s="100">
        <f t="shared" si="116"/>
        <v>49685438.729999997</v>
      </c>
      <c r="AY92"/>
    </row>
    <row r="93" spans="1:59" x14ac:dyDescent="0.25">
      <c r="B93" s="99" t="s">
        <v>592</v>
      </c>
      <c r="C93" s="190"/>
      <c r="D93" s="190">
        <f>+D40+D53+D87</f>
        <v>46914126.570227921</v>
      </c>
      <c r="E93" s="190">
        <f>+E40+E53+E87</f>
        <v>324516677.1529901</v>
      </c>
      <c r="H93" s="203"/>
      <c r="AA93" s="100">
        <f t="shared" ref="AA93:AX93" si="117">+AA40+AA53+AA88</f>
        <v>5163734.3</v>
      </c>
      <c r="AB93" s="100">
        <f t="shared" si="117"/>
        <v>3279719.2</v>
      </c>
      <c r="AC93" s="100">
        <f t="shared" si="117"/>
        <v>2365999.5</v>
      </c>
      <c r="AD93" s="100">
        <f t="shared" si="117"/>
        <v>2036981.0999999996</v>
      </c>
      <c r="AE93" s="100">
        <f t="shared" si="117"/>
        <v>1754864.3</v>
      </c>
      <c r="AF93" s="100">
        <f t="shared" si="117"/>
        <v>1637240.7</v>
      </c>
      <c r="AG93" s="100">
        <f t="shared" si="117"/>
        <v>1689041.8459150963</v>
      </c>
      <c r="AH93" s="100">
        <f t="shared" si="117"/>
        <v>2613809.9697595164</v>
      </c>
      <c r="AI93" s="100">
        <f t="shared" si="117"/>
        <v>4447683.9919281555</v>
      </c>
      <c r="AJ93" s="100">
        <f t="shared" si="117"/>
        <v>6824147.5580734527</v>
      </c>
      <c r="AK93" s="100">
        <f t="shared" si="117"/>
        <v>8131761.8748845924</v>
      </c>
      <c r="AL93" s="100">
        <f t="shared" si="117"/>
        <v>6969142.2296671104</v>
      </c>
      <c r="AM93" s="100">
        <f t="shared" si="117"/>
        <v>33546773.882780004</v>
      </c>
      <c r="AN93" s="100">
        <f t="shared" si="117"/>
        <v>22835915.34451</v>
      </c>
      <c r="AO93" s="100">
        <f t="shared" si="117"/>
        <v>15984184.053779999</v>
      </c>
      <c r="AP93" s="100">
        <f t="shared" si="117"/>
        <v>14276835.239789998</v>
      </c>
      <c r="AQ93" s="100">
        <f t="shared" si="117"/>
        <v>12645992.19094</v>
      </c>
      <c r="AR93" s="100">
        <f t="shared" si="117"/>
        <v>12538255.95156</v>
      </c>
      <c r="AS93" s="100">
        <f t="shared" si="117"/>
        <v>13259538.798712939</v>
      </c>
      <c r="AT93" s="100">
        <f t="shared" si="117"/>
        <v>17685101.241528526</v>
      </c>
      <c r="AU93" s="100">
        <f t="shared" si="117"/>
        <v>29925576.662622347</v>
      </c>
      <c r="AV93" s="100">
        <f t="shared" si="117"/>
        <v>47593751.689544499</v>
      </c>
      <c r="AW93" s="100">
        <f t="shared" si="117"/>
        <v>54539313.348008037</v>
      </c>
      <c r="AX93" s="100">
        <f t="shared" si="117"/>
        <v>49685438.749213763</v>
      </c>
      <c r="AY93"/>
    </row>
    <row r="94" spans="1:59" x14ac:dyDescent="0.25">
      <c r="D94" s="100">
        <f>+D93-D92</f>
        <v>115.15731020271778</v>
      </c>
      <c r="E94" s="100">
        <f>+E93-E92</f>
        <v>1101.6629900932312</v>
      </c>
      <c r="AA94" s="100">
        <f t="shared" ref="AA94:AF94" si="118">+AA93-AA92</f>
        <v>-0.70000000018626451</v>
      </c>
      <c r="AB94" s="100">
        <f t="shared" si="118"/>
        <v>6028.2000000001863</v>
      </c>
      <c r="AC94" s="100">
        <f t="shared" si="118"/>
        <v>14877.5</v>
      </c>
      <c r="AD94" s="100">
        <f t="shared" si="118"/>
        <v>-20786.900000000373</v>
      </c>
      <c r="AE94" s="100">
        <f t="shared" si="118"/>
        <v>-1.6999999999534339</v>
      </c>
      <c r="AF94" s="100">
        <f t="shared" si="118"/>
        <v>-1.3000000000465661</v>
      </c>
      <c r="AG94" s="100">
        <f t="shared" ref="AG94:AL94" si="119">+AG93-AG92</f>
        <v>3.8102040998637676E-2</v>
      </c>
      <c r="AH94" s="100">
        <f t="shared" si="119"/>
        <v>7.9785273410379887E-3</v>
      </c>
      <c r="AI94" s="100">
        <f t="shared" si="119"/>
        <v>3.3001428470015526E-2</v>
      </c>
      <c r="AJ94" s="100">
        <f t="shared" si="119"/>
        <v>-7.9300394281744957E-3</v>
      </c>
      <c r="AK94" s="100">
        <f t="shared" si="119"/>
        <v>-2.585267648100853E-3</v>
      </c>
      <c r="AL94" s="100">
        <f t="shared" si="119"/>
        <v>-1.125648058950901E-2</v>
      </c>
      <c r="AM94" s="100">
        <f t="shared" ref="AM94:AR94" si="120">+AM93-AM92</f>
        <v>0.88278000429272652</v>
      </c>
      <c r="AN94" s="100">
        <f t="shared" si="120"/>
        <v>294.34451000019908</v>
      </c>
      <c r="AO94" s="100">
        <f t="shared" si="120"/>
        <v>-670.9462200012058</v>
      </c>
      <c r="AP94" s="100">
        <f t="shared" si="120"/>
        <v>1478.2397899981588</v>
      </c>
      <c r="AQ94" s="100">
        <f t="shared" si="120"/>
        <v>0.1909400001168251</v>
      </c>
      <c r="AR94" s="100">
        <f t="shared" si="120"/>
        <v>-1.0484400000423193</v>
      </c>
      <c r="AS94" s="100">
        <f t="shared" ref="AS94:AX94" si="121">+AS93-AS92</f>
        <v>-1.2870617210865021E-3</v>
      </c>
      <c r="AT94" s="100">
        <f t="shared" si="121"/>
        <v>-8.4714740514755249E-3</v>
      </c>
      <c r="AU94" s="100">
        <f t="shared" si="121"/>
        <v>2.6223473250865936E-3</v>
      </c>
      <c r="AV94" s="100">
        <f t="shared" si="121"/>
        <v>-4.5549869537353516E-4</v>
      </c>
      <c r="AW94" s="100">
        <f t="shared" si="121"/>
        <v>-1.1991962790489197E-2</v>
      </c>
      <c r="AX94" s="100">
        <f t="shared" si="121"/>
        <v>1.9213765859603882E-2</v>
      </c>
      <c r="AY94"/>
    </row>
    <row r="95" spans="1:59" x14ac:dyDescent="0.25">
      <c r="AN95" s="102"/>
      <c r="AO95" s="102"/>
      <c r="AP95" s="102"/>
      <c r="AQ95" s="102"/>
      <c r="AR95" s="102"/>
      <c r="AY95"/>
    </row>
    <row r="96" spans="1:59" x14ac:dyDescent="0.25">
      <c r="AN96" s="102"/>
      <c r="AO96" s="102"/>
      <c r="AP96" s="102"/>
      <c r="AQ96" s="102"/>
      <c r="AR96" s="102"/>
      <c r="AY96"/>
    </row>
    <row r="97" spans="40:51" x14ac:dyDescent="0.25">
      <c r="AN97" s="102"/>
      <c r="AO97" s="102"/>
      <c r="AP97" s="102"/>
      <c r="AQ97" s="102"/>
      <c r="AR97" s="102"/>
      <c r="AY97"/>
    </row>
    <row r="98" spans="40:51" x14ac:dyDescent="0.25">
      <c r="AN98" s="102"/>
      <c r="AO98" s="102"/>
      <c r="AP98" s="102"/>
      <c r="AQ98" s="102"/>
      <c r="AR98" s="102"/>
      <c r="AY98"/>
    </row>
    <row r="99" spans="40:51" x14ac:dyDescent="0.25">
      <c r="AN99" s="102"/>
      <c r="AO99" s="102"/>
      <c r="AP99" s="102"/>
      <c r="AQ99" s="102"/>
      <c r="AR99" s="102"/>
      <c r="AY99"/>
    </row>
    <row r="100" spans="40:51" x14ac:dyDescent="0.25">
      <c r="AN100" s="102"/>
      <c r="AO100" s="102"/>
      <c r="AP100" s="102"/>
      <c r="AQ100" s="102"/>
      <c r="AR100" s="102"/>
      <c r="AY100"/>
    </row>
  </sheetData>
  <mergeCells count="3">
    <mergeCell ref="C4:E4"/>
    <mergeCell ref="G4:I4"/>
    <mergeCell ref="K4:M4"/>
  </mergeCells>
  <pageMargins left="0.75" right="0.25" top="1.25" bottom="0.59" header="0.73" footer="0.2"/>
  <pageSetup scale="29" pageOrder="overThenDown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5" tint="0.39997558519241921"/>
    <pageSetUpPr fitToPage="1"/>
  </sheetPr>
  <dimension ref="A1:BP314"/>
  <sheetViews>
    <sheetView workbookViewId="0">
      <selection activeCell="G12" sqref="G12"/>
    </sheetView>
  </sheetViews>
  <sheetFormatPr defaultRowHeight="12.75" x14ac:dyDescent="0.2"/>
  <cols>
    <col min="1" max="2" width="9.140625" style="21" customWidth="1"/>
    <col min="3" max="3" width="9.140625" style="59" customWidth="1"/>
    <col min="4" max="4" width="9.140625" style="59"/>
    <col min="5" max="5" width="14" style="59" bestFit="1" customWidth="1"/>
    <col min="6" max="6" width="9.140625" style="21"/>
    <col min="7" max="7" width="17.28515625" style="21" customWidth="1"/>
    <col min="8" max="8" width="11.85546875" style="21" customWidth="1"/>
    <col min="9" max="9" width="13.5703125" style="21" bestFit="1" customWidth="1"/>
    <col min="10" max="10" width="11.85546875" style="21" customWidth="1"/>
    <col min="11" max="11" width="13.28515625" style="21" customWidth="1"/>
    <col min="12" max="12" width="13" style="21" customWidth="1"/>
    <col min="13" max="13" width="13.5703125" style="21" customWidth="1"/>
    <col min="14" max="14" width="10" style="21" customWidth="1"/>
    <col min="15" max="15" width="10.42578125" style="21" customWidth="1"/>
    <col min="16" max="16" width="11.5703125" style="21" customWidth="1"/>
    <col min="17" max="17" width="11.140625" style="21" customWidth="1"/>
    <col min="18" max="18" width="11" style="21" customWidth="1"/>
    <col min="19" max="19" width="11.7109375" style="21" customWidth="1"/>
    <col min="20" max="20" width="11" style="21" customWidth="1"/>
    <col min="21" max="21" width="10.28515625" style="21" customWidth="1"/>
    <col min="22" max="22" width="13.5703125" style="21" customWidth="1"/>
    <col min="23" max="23" width="17.28515625" style="21" customWidth="1"/>
    <col min="24" max="24" width="14.42578125" style="21" customWidth="1"/>
    <col min="25" max="25" width="14" style="21" customWidth="1"/>
    <col min="26" max="26" width="17.28515625" style="21" customWidth="1"/>
    <col min="27" max="27" width="17.7109375" style="21" customWidth="1"/>
    <col min="28" max="28" width="15.42578125" style="21" customWidth="1"/>
    <col min="29" max="29" width="10" style="21" customWidth="1"/>
    <col min="30" max="30" width="9.140625" style="21" customWidth="1"/>
    <col min="31" max="31" width="13" style="21" customWidth="1"/>
    <col min="32" max="32" width="14.85546875" style="21" customWidth="1"/>
    <col min="33" max="34" width="10.42578125" style="21" customWidth="1"/>
    <col min="35" max="35" width="13.7109375" style="21" customWidth="1"/>
    <col min="36" max="36" width="11" style="21" customWidth="1"/>
    <col min="37" max="37" width="13.140625" style="21" customWidth="1"/>
    <col min="38" max="38" width="11.5703125" style="21" customWidth="1"/>
    <col min="39" max="39" width="15.28515625" style="21" customWidth="1"/>
    <col min="40" max="40" width="9.140625" style="21" customWidth="1"/>
    <col min="41" max="41" width="14.140625" style="21" customWidth="1"/>
    <col min="42" max="42" width="16.28515625" style="21" bestFit="1" customWidth="1"/>
    <col min="43" max="43" width="14.140625" style="21" customWidth="1"/>
    <col min="44" max="44" width="15.7109375" style="21" customWidth="1"/>
    <col min="45" max="45" width="14" style="21" customWidth="1"/>
    <col min="46" max="46" width="16.7109375" style="21" customWidth="1"/>
    <col min="47" max="47" width="15.140625" style="21" customWidth="1"/>
    <col min="48" max="49" width="15.28515625" style="21" customWidth="1"/>
    <col min="50" max="50" width="15.42578125" style="21" customWidth="1"/>
    <col min="51" max="51" width="12.85546875" style="21" bestFit="1" customWidth="1"/>
    <col min="52" max="52" width="17.28515625" style="21" customWidth="1"/>
    <col min="53" max="53" width="16.7109375" style="21" customWidth="1"/>
    <col min="54" max="54" width="15.85546875" style="21" customWidth="1"/>
    <col min="55" max="55" width="14.5703125" style="21" customWidth="1"/>
    <col min="56" max="56" width="17.85546875" style="21" customWidth="1"/>
    <col min="57" max="57" width="16.140625" style="21" customWidth="1"/>
    <col min="58" max="58" width="13.28515625" style="21" customWidth="1"/>
    <col min="59" max="59" width="16" style="21" customWidth="1"/>
    <col min="60" max="60" width="15.85546875" style="21" customWidth="1"/>
    <col min="61" max="61" width="12.85546875" style="21" bestFit="1" customWidth="1"/>
    <col min="62" max="62" width="14.85546875" style="21" bestFit="1" customWidth="1"/>
    <col min="63" max="63" width="12.140625" style="21" bestFit="1" customWidth="1"/>
    <col min="64" max="64" width="14.28515625" style="21" bestFit="1" customWidth="1"/>
    <col min="65" max="65" width="9.140625" style="21"/>
    <col min="66" max="66" width="16" style="21" customWidth="1"/>
    <col min="67" max="67" width="15.28515625" style="21" bestFit="1" customWidth="1"/>
    <col min="68" max="68" width="14" style="21" customWidth="1"/>
    <col min="69" max="69" width="12.42578125" style="21" bestFit="1" customWidth="1"/>
    <col min="70" max="70" width="15.5703125" style="21" customWidth="1"/>
    <col min="71" max="71" width="10.85546875" style="21" bestFit="1" customWidth="1"/>
    <col min="72" max="16384" width="9.140625" style="21"/>
  </cols>
  <sheetData>
    <row r="1" spans="3:68" ht="13.5" thickBot="1" x14ac:dyDescent="0.25">
      <c r="C1" s="14"/>
      <c r="D1" s="14"/>
      <c r="E1" s="14"/>
      <c r="F1" s="14"/>
      <c r="G1" s="14"/>
      <c r="H1" s="25"/>
      <c r="I1" s="25"/>
      <c r="J1" s="25"/>
      <c r="K1" s="25"/>
      <c r="L1" s="25"/>
      <c r="M1" s="25"/>
      <c r="N1" s="28"/>
      <c r="O1" s="28"/>
      <c r="P1" s="28"/>
      <c r="Q1" s="28"/>
      <c r="R1" s="28"/>
      <c r="S1" s="28"/>
      <c r="T1" s="28"/>
      <c r="U1" s="28"/>
      <c r="V1" s="28"/>
      <c r="W1" s="25"/>
      <c r="X1" s="25"/>
      <c r="Y1" s="36"/>
      <c r="Z1" s="36"/>
      <c r="AA1" s="25"/>
      <c r="AB1" s="25"/>
      <c r="AC1" s="25"/>
      <c r="AD1" s="25"/>
      <c r="AE1" s="25"/>
      <c r="AF1" s="25"/>
      <c r="AG1" s="45"/>
      <c r="AH1" s="45"/>
      <c r="AI1" s="45"/>
      <c r="AJ1" s="45"/>
      <c r="AK1" s="45"/>
      <c r="AL1" s="45"/>
      <c r="AM1" s="45"/>
      <c r="AN1" s="45"/>
      <c r="AO1" s="45"/>
      <c r="AP1" s="25"/>
      <c r="AQ1" s="36"/>
      <c r="AR1" s="36"/>
      <c r="AS1" s="25"/>
      <c r="AT1" s="25"/>
      <c r="AU1" s="25"/>
      <c r="AV1" s="25"/>
      <c r="AW1" s="25"/>
      <c r="AX1" s="25"/>
      <c r="AY1" s="25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</row>
    <row r="2" spans="3:68" ht="13.5" thickBot="1" x14ac:dyDescent="0.25">
      <c r="C2" s="14"/>
      <c r="D2" s="14"/>
      <c r="E2" s="14"/>
      <c r="F2" s="14"/>
      <c r="G2" s="14"/>
      <c r="H2" s="87" t="s">
        <v>513</v>
      </c>
      <c r="I2" s="88"/>
      <c r="J2" s="88"/>
      <c r="K2" s="88"/>
      <c r="L2" s="88"/>
      <c r="M2" s="25"/>
      <c r="N2" s="28"/>
      <c r="O2" s="28"/>
      <c r="P2" s="28"/>
      <c r="Q2" s="28"/>
      <c r="R2" s="28"/>
      <c r="S2" s="28"/>
      <c r="T2" s="28"/>
      <c r="U2" s="28"/>
      <c r="V2" s="28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45"/>
      <c r="AH2" s="45"/>
      <c r="AI2" s="45"/>
      <c r="AJ2" s="45"/>
      <c r="AK2" s="45"/>
      <c r="AL2" s="45"/>
      <c r="AM2" s="45"/>
      <c r="AN2" s="45"/>
      <c r="AO2" s="4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M2" s="69" t="s">
        <v>47</v>
      </c>
    </row>
    <row r="3" spans="3:68" ht="13.5" thickBot="1" x14ac:dyDescent="0.25">
      <c r="C3" s="14">
        <v>1</v>
      </c>
      <c r="D3" s="14">
        <f>1+C3</f>
        <v>2</v>
      </c>
      <c r="E3" s="14">
        <f>1+D3</f>
        <v>3</v>
      </c>
      <c r="F3" s="14">
        <f>1+E3</f>
        <v>4</v>
      </c>
      <c r="G3" s="14">
        <f>1+F3</f>
        <v>5</v>
      </c>
      <c r="H3" s="25">
        <f t="shared" ref="H3:Z3" si="0">+G3+1</f>
        <v>6</v>
      </c>
      <c r="I3" s="25">
        <f t="shared" si="0"/>
        <v>7</v>
      </c>
      <c r="J3" s="25">
        <f t="shared" si="0"/>
        <v>8</v>
      </c>
      <c r="K3" s="25">
        <f t="shared" si="0"/>
        <v>9</v>
      </c>
      <c r="L3" s="25">
        <f t="shared" si="0"/>
        <v>10</v>
      </c>
      <c r="M3" s="25">
        <f t="shared" si="0"/>
        <v>11</v>
      </c>
      <c r="N3" s="28">
        <f t="shared" si="0"/>
        <v>12</v>
      </c>
      <c r="O3" s="28">
        <f t="shared" si="0"/>
        <v>13</v>
      </c>
      <c r="P3" s="28">
        <f t="shared" si="0"/>
        <v>14</v>
      </c>
      <c r="Q3" s="28">
        <f t="shared" si="0"/>
        <v>15</v>
      </c>
      <c r="R3" s="28">
        <f t="shared" si="0"/>
        <v>16</v>
      </c>
      <c r="S3" s="28">
        <f t="shared" si="0"/>
        <v>17</v>
      </c>
      <c r="T3" s="28">
        <f t="shared" si="0"/>
        <v>18</v>
      </c>
      <c r="U3" s="28">
        <f t="shared" si="0"/>
        <v>19</v>
      </c>
      <c r="V3" s="28">
        <f t="shared" si="0"/>
        <v>20</v>
      </c>
      <c r="W3" s="25">
        <f t="shared" si="0"/>
        <v>21</v>
      </c>
      <c r="X3" s="25">
        <f t="shared" si="0"/>
        <v>22</v>
      </c>
      <c r="Y3" s="25">
        <f t="shared" si="0"/>
        <v>23</v>
      </c>
      <c r="Z3" s="25">
        <f t="shared" si="0"/>
        <v>24</v>
      </c>
      <c r="AA3" s="25">
        <f t="shared" ref="AA3:AF3" si="1">+Z3+1</f>
        <v>25</v>
      </c>
      <c r="AB3" s="25">
        <f>+AA3+1</f>
        <v>26</v>
      </c>
      <c r="AC3" s="25">
        <f>+AB3+1</f>
        <v>27</v>
      </c>
      <c r="AD3" s="25">
        <f>+AC3+1</f>
        <v>28</v>
      </c>
      <c r="AE3" s="25">
        <f t="shared" si="1"/>
        <v>29</v>
      </c>
      <c r="AF3" s="25">
        <f t="shared" si="1"/>
        <v>30</v>
      </c>
      <c r="AG3" s="45">
        <f t="shared" ref="AG3:AY3" si="2">+AF3+1</f>
        <v>31</v>
      </c>
      <c r="AH3" s="45">
        <f t="shared" si="2"/>
        <v>32</v>
      </c>
      <c r="AI3" s="45">
        <f t="shared" si="2"/>
        <v>33</v>
      </c>
      <c r="AJ3" s="45">
        <f t="shared" si="2"/>
        <v>34</v>
      </c>
      <c r="AK3" s="45">
        <f t="shared" si="2"/>
        <v>35</v>
      </c>
      <c r="AL3" s="45">
        <f t="shared" si="2"/>
        <v>36</v>
      </c>
      <c r="AM3" s="45">
        <f t="shared" si="2"/>
        <v>37</v>
      </c>
      <c r="AN3" s="45">
        <f t="shared" si="2"/>
        <v>38</v>
      </c>
      <c r="AO3" s="45">
        <f t="shared" si="2"/>
        <v>39</v>
      </c>
      <c r="AP3" s="25">
        <f t="shared" si="2"/>
        <v>40</v>
      </c>
      <c r="AQ3" s="25">
        <f t="shared" si="2"/>
        <v>41</v>
      </c>
      <c r="AR3" s="25">
        <f t="shared" si="2"/>
        <v>42</v>
      </c>
      <c r="AS3" s="25">
        <f t="shared" si="2"/>
        <v>43</v>
      </c>
      <c r="AT3" s="25">
        <f>+AS3+1</f>
        <v>44</v>
      </c>
      <c r="AU3" s="25">
        <f t="shared" si="2"/>
        <v>45</v>
      </c>
      <c r="AV3" s="25">
        <f t="shared" si="2"/>
        <v>46</v>
      </c>
      <c r="AW3" s="25"/>
      <c r="AX3" s="25">
        <f>+AV3+1</f>
        <v>47</v>
      </c>
      <c r="AY3" s="25">
        <f t="shared" si="2"/>
        <v>48</v>
      </c>
      <c r="AZ3" s="28">
        <f>1+AY3</f>
        <v>49</v>
      </c>
      <c r="BA3" s="28">
        <f t="shared" ref="BA3:BH3" si="3">1+AZ3</f>
        <v>50</v>
      </c>
      <c r="BB3" s="28">
        <f t="shared" si="3"/>
        <v>51</v>
      </c>
      <c r="BC3" s="28">
        <f>1+BB3</f>
        <v>52</v>
      </c>
      <c r="BD3" s="28">
        <f t="shared" si="3"/>
        <v>53</v>
      </c>
      <c r="BE3" s="28">
        <f t="shared" si="3"/>
        <v>54</v>
      </c>
      <c r="BF3" s="28">
        <f t="shared" si="3"/>
        <v>55</v>
      </c>
      <c r="BG3" s="28">
        <f t="shared" si="3"/>
        <v>56</v>
      </c>
      <c r="BH3" s="28">
        <f t="shared" si="3"/>
        <v>57</v>
      </c>
      <c r="BI3" s="28">
        <f>1+BH3</f>
        <v>58</v>
      </c>
      <c r="BJ3" s="28">
        <v>59</v>
      </c>
      <c r="BM3" s="69" t="s">
        <v>48</v>
      </c>
    </row>
    <row r="4" spans="3:68" x14ac:dyDescent="0.2">
      <c r="C4" s="15"/>
      <c r="D4" s="16"/>
      <c r="E4" s="16"/>
      <c r="F4" s="16"/>
      <c r="G4" s="16"/>
      <c r="H4" s="26" t="s">
        <v>176</v>
      </c>
      <c r="I4" s="26"/>
      <c r="J4" s="26"/>
      <c r="K4" s="27"/>
      <c r="L4" s="27"/>
      <c r="M4" s="27"/>
      <c r="N4" s="29" t="s">
        <v>174</v>
      </c>
      <c r="O4" s="30"/>
      <c r="P4" s="30"/>
      <c r="Q4" s="30"/>
      <c r="R4" s="30"/>
      <c r="S4" s="30"/>
      <c r="T4" s="30"/>
      <c r="U4" s="30"/>
      <c r="V4" s="30"/>
      <c r="W4" s="26" t="s">
        <v>181</v>
      </c>
      <c r="X4" s="26"/>
      <c r="Y4" s="27"/>
      <c r="Z4" s="27"/>
      <c r="AA4" s="27"/>
      <c r="AB4" s="27"/>
      <c r="AC4" s="37"/>
      <c r="AD4" s="37"/>
      <c r="AE4" s="27"/>
      <c r="AF4" s="27"/>
      <c r="AG4" s="49" t="s">
        <v>191</v>
      </c>
      <c r="AH4" s="49"/>
      <c r="AI4" s="49"/>
      <c r="AJ4" s="46"/>
      <c r="AK4" s="46"/>
      <c r="AL4" s="46"/>
      <c r="AM4" s="46"/>
      <c r="AN4" s="46"/>
      <c r="AO4" s="46"/>
      <c r="AP4" s="26" t="s">
        <v>181</v>
      </c>
      <c r="AQ4" s="27"/>
      <c r="AR4" s="27"/>
      <c r="AS4" s="27"/>
      <c r="AT4" s="27"/>
      <c r="AU4" s="27"/>
      <c r="AV4" s="27"/>
      <c r="AW4" s="27"/>
      <c r="AX4" s="27"/>
      <c r="AY4" s="27"/>
      <c r="AZ4" s="29" t="s">
        <v>176</v>
      </c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8"/>
    </row>
    <row r="5" spans="3:68" ht="38.25" x14ac:dyDescent="0.2">
      <c r="C5" s="17" t="s">
        <v>166</v>
      </c>
      <c r="D5" s="18" t="s">
        <v>164</v>
      </c>
      <c r="E5" s="18" t="s">
        <v>12</v>
      </c>
      <c r="F5" s="17" t="s">
        <v>167</v>
      </c>
      <c r="G5" s="17" t="s">
        <v>168</v>
      </c>
      <c r="H5" s="23" t="s">
        <v>173</v>
      </c>
      <c r="I5" s="23" t="s">
        <v>215</v>
      </c>
      <c r="J5" s="23" t="s">
        <v>216</v>
      </c>
      <c r="K5" s="24" t="s">
        <v>177</v>
      </c>
      <c r="L5" s="24" t="s">
        <v>178</v>
      </c>
      <c r="M5" s="24" t="s">
        <v>264</v>
      </c>
      <c r="N5" s="31" t="s">
        <v>175</v>
      </c>
      <c r="O5" s="31" t="s">
        <v>179</v>
      </c>
      <c r="P5" s="31" t="s">
        <v>182</v>
      </c>
      <c r="Q5" s="31" t="s">
        <v>183</v>
      </c>
      <c r="R5" s="31" t="s">
        <v>196</v>
      </c>
      <c r="S5" s="31" t="s">
        <v>170</v>
      </c>
      <c r="T5" s="31" t="s">
        <v>171</v>
      </c>
      <c r="U5" s="31" t="s">
        <v>172</v>
      </c>
      <c r="V5" s="31" t="s">
        <v>670</v>
      </c>
      <c r="W5" s="24" t="s">
        <v>514</v>
      </c>
      <c r="X5" s="23" t="s">
        <v>231</v>
      </c>
      <c r="Y5" s="24" t="s">
        <v>184</v>
      </c>
      <c r="Z5" s="24" t="s">
        <v>182</v>
      </c>
      <c r="AA5" s="24" t="s">
        <v>183</v>
      </c>
      <c r="AB5" s="24" t="s">
        <v>196</v>
      </c>
      <c r="AC5" s="24" t="s">
        <v>170</v>
      </c>
      <c r="AD5" s="23" t="s">
        <v>425</v>
      </c>
      <c r="AE5" s="24" t="s">
        <v>172</v>
      </c>
      <c r="AF5" s="24" t="s">
        <v>670</v>
      </c>
      <c r="AG5" s="52" t="s">
        <v>217</v>
      </c>
      <c r="AH5" s="52" t="s">
        <v>218</v>
      </c>
      <c r="AI5" s="47" t="s">
        <v>192</v>
      </c>
      <c r="AJ5" s="47" t="s">
        <v>184</v>
      </c>
      <c r="AK5" s="47" t="s">
        <v>182</v>
      </c>
      <c r="AL5" s="52" t="s">
        <v>183</v>
      </c>
      <c r="AM5" s="47" t="s">
        <v>397</v>
      </c>
      <c r="AN5" s="47" t="s">
        <v>198</v>
      </c>
      <c r="AO5" s="47" t="s">
        <v>172</v>
      </c>
      <c r="AP5" s="24" t="s">
        <v>180</v>
      </c>
      <c r="AQ5" s="24" t="s">
        <v>184</v>
      </c>
      <c r="AR5" s="24" t="s">
        <v>182</v>
      </c>
      <c r="AS5" s="24" t="s">
        <v>183</v>
      </c>
      <c r="AT5" s="24" t="s">
        <v>196</v>
      </c>
      <c r="AU5" s="24" t="s">
        <v>198</v>
      </c>
      <c r="AV5" s="24" t="s">
        <v>294</v>
      </c>
      <c r="AW5" s="24" t="s">
        <v>670</v>
      </c>
      <c r="AX5" s="24" t="s">
        <v>172</v>
      </c>
      <c r="AY5" s="72" t="s">
        <v>189</v>
      </c>
      <c r="AZ5" s="32" t="s">
        <v>185</v>
      </c>
      <c r="BA5" s="32" t="s">
        <v>820</v>
      </c>
      <c r="BB5" s="31" t="s">
        <v>187</v>
      </c>
      <c r="BC5" s="32" t="s">
        <v>198</v>
      </c>
      <c r="BD5" s="32" t="s">
        <v>196</v>
      </c>
      <c r="BE5" s="32" t="s">
        <v>294</v>
      </c>
      <c r="BF5" s="39" t="s">
        <v>189</v>
      </c>
      <c r="BG5" s="40" t="s">
        <v>169</v>
      </c>
      <c r="BH5" s="41" t="s">
        <v>778</v>
      </c>
      <c r="BI5" s="41" t="s">
        <v>264</v>
      </c>
      <c r="BJ5" s="41" t="s">
        <v>670</v>
      </c>
      <c r="BK5" s="42"/>
      <c r="BN5" s="59" t="s">
        <v>192</v>
      </c>
      <c r="BO5" s="59" t="s">
        <v>232</v>
      </c>
      <c r="BP5" s="59" t="s">
        <v>233</v>
      </c>
    </row>
    <row r="6" spans="3:68" s="594" customFormat="1" x14ac:dyDescent="0.2">
      <c r="C6" s="595"/>
      <c r="D6" s="596"/>
      <c r="E6" s="596"/>
      <c r="F6" s="595"/>
      <c r="G6" s="595"/>
      <c r="H6" s="597"/>
      <c r="I6" s="597"/>
      <c r="J6" s="597"/>
      <c r="K6" s="598"/>
      <c r="L6" s="598"/>
      <c r="M6" s="598"/>
      <c r="N6" s="598"/>
      <c r="O6" s="598"/>
      <c r="P6" s="598"/>
      <c r="Q6" s="598"/>
      <c r="R6" s="598"/>
      <c r="S6" s="598"/>
      <c r="T6" s="598"/>
      <c r="U6" s="598"/>
      <c r="V6" s="598"/>
      <c r="W6" s="598"/>
      <c r="X6" s="597"/>
      <c r="Y6" s="598"/>
      <c r="Z6" s="598"/>
      <c r="AA6" s="598"/>
      <c r="AB6" s="598"/>
      <c r="AC6" s="598"/>
      <c r="AD6" s="597"/>
      <c r="AE6" s="598"/>
      <c r="AF6" s="598"/>
      <c r="AG6" s="597"/>
      <c r="AH6" s="597"/>
      <c r="AI6" s="598"/>
      <c r="AJ6" s="598"/>
      <c r="AK6" s="598"/>
      <c r="AL6" s="597"/>
      <c r="AM6" s="598"/>
      <c r="AN6" s="598"/>
      <c r="AO6" s="598"/>
      <c r="AP6" s="598"/>
      <c r="AQ6" s="598"/>
      <c r="AR6" s="598"/>
      <c r="AS6" s="598"/>
      <c r="AT6" s="598"/>
      <c r="AU6" s="598"/>
      <c r="AV6" s="598"/>
      <c r="AW6" s="598"/>
      <c r="AX6" s="598"/>
      <c r="AY6" s="599"/>
      <c r="AZ6" s="597"/>
      <c r="BA6" s="597"/>
      <c r="BB6" s="598"/>
      <c r="BC6" s="597"/>
      <c r="BD6" s="597"/>
      <c r="BE6" s="597"/>
      <c r="BF6" s="600"/>
      <c r="BG6" s="601"/>
      <c r="BH6" s="602"/>
      <c r="BI6" s="602"/>
      <c r="BJ6" s="602"/>
      <c r="BK6" s="602"/>
      <c r="BN6" s="603"/>
      <c r="BO6" s="603"/>
      <c r="BP6" s="603"/>
    </row>
    <row r="7" spans="3:68" ht="15" customHeight="1" x14ac:dyDescent="0.25">
      <c r="C7" s="14">
        <v>1</v>
      </c>
      <c r="D7" s="604">
        <v>42430</v>
      </c>
      <c r="E7" s="604" t="str">
        <f>+'Retail Rates'!$B$7</f>
        <v>LGCMG865</v>
      </c>
      <c r="F7" s="14" t="str">
        <f>MID(E7,6,3)</f>
        <v>865</v>
      </c>
      <c r="G7" s="14" t="str">
        <f>VLOOKUP(E7,'Retail Rates'!$B$7:$D$34,3,FALSE)</f>
        <v>AAGS-C</v>
      </c>
      <c r="H7" s="33">
        <f>SUMIFS('Data-Retail'!$H$4:$H$1000,'Data-Retail'!$A$4:$A$1000,'Mar16-Aug16 Billed-RETAIL'!$D7,'Data-Retail'!$D$4:$D$1000,'Mar16-Aug16 Billed-RETAIL'!$E7)</f>
        <v>2</v>
      </c>
      <c r="I7" s="33"/>
      <c r="J7" s="33"/>
      <c r="K7" s="33">
        <f>SUMIFS('Data-Retail'!$I$4:$I$1000,'Data-Retail'!$A$4:$A$1000,'Mar16-Aug16 Billed-RETAIL'!$D7,'Data-Retail'!$D$4:$D$1000,'Mar16-Aug16 Billed-RETAIL'!$E7)</f>
        <v>59206</v>
      </c>
      <c r="L7" s="33">
        <f>SUMIFS('Data-Retail'!$J$4:$J$1000,'Data-Retail'!$A$4:$A$1000,'Mar16-Aug16 Billed-RETAIL'!$D7,'Data-Retail'!$D$4:$D$1000,'Mar16-Aug16 Billed-RETAIL'!$E7)</f>
        <v>0</v>
      </c>
      <c r="M7" s="33"/>
      <c r="N7" s="34">
        <f>VLOOKUP($E7,'Retail Rates'!$B$7:$L$34,5,FALSE)</f>
        <v>400</v>
      </c>
      <c r="O7" s="34">
        <f>VLOOKUP($E7,'Retail Rates'!$B$7:$L$34,6,FALSE)</f>
        <v>0</v>
      </c>
      <c r="P7" s="35">
        <f>VLOOKUP($E7,'Retail Rates'!$B$7:$L$34,7,FALSE)</f>
        <v>7.009E-2</v>
      </c>
      <c r="Q7" s="35">
        <f>VLOOKUP($E7,'Retail Rates'!$B$7:$L$34,8,FALSE)</f>
        <v>0</v>
      </c>
      <c r="R7" s="35">
        <f>VLOOKUP($D7,'GSC-DSM-GLT Factors'!$A$1:$B$60,2,FALSE)</f>
        <v>0.32343</v>
      </c>
      <c r="S7" s="34">
        <f>VLOOKUP($E7,'Retail Rates'!$B$7:$L$34,9,FALSE)</f>
        <v>0</v>
      </c>
      <c r="T7" s="35">
        <f>VLOOKUP($E7,'Retail Rates'!$B$7:$L$34,10,FALSE)</f>
        <v>0</v>
      </c>
      <c r="U7" s="34">
        <f>VLOOKUP($E7,'Retail Rates'!$B$7:$L$34,11,FALSE)</f>
        <v>0</v>
      </c>
      <c r="V7" s="556">
        <f>VLOOKUP($D7,'GSC-DSM-GLT Factors'!$A$1:$O$60,14,FALSE)</f>
        <v>2688.31</v>
      </c>
      <c r="W7" s="36">
        <f>(+H7*N7)+(I7*N7)</f>
        <v>800</v>
      </c>
      <c r="X7" s="36"/>
      <c r="Y7" s="36"/>
      <c r="Z7" s="36">
        <f t="shared" ref="Z7:AA12" si="4">+K7*P7</f>
        <v>4149.7485399999996</v>
      </c>
      <c r="AA7" s="36">
        <f t="shared" si="4"/>
        <v>0</v>
      </c>
      <c r="AB7" s="36">
        <f t="shared" ref="AB7:AB15" si="5">SUM(K7:L7)*R7</f>
        <v>19148.996579999999</v>
      </c>
      <c r="AC7" s="36"/>
      <c r="AD7" s="36"/>
      <c r="AE7" s="36">
        <f>M7*U7</f>
        <v>0</v>
      </c>
      <c r="AF7" s="36">
        <f t="shared" ref="AF7:AF15" si="6">(+H7*V7)+(I7*V7)</f>
        <v>5376.62</v>
      </c>
      <c r="AG7" s="57">
        <f>SUMIFS(Adjustments!H$5:H$557,Adjustments!$B$5:$B$557,'Mar16-Aug16 Billed-RETAIL'!$D7,Adjustments!$C$5:$C$557,'Mar16-Aug16 Billed-RETAIL'!$E7)</f>
        <v>0</v>
      </c>
      <c r="AH7" s="57">
        <f>SUMIFS(Adjustments!I$5:I$557,Adjustments!$B$5:$B$557,'Mar16-Aug16 Billed-RETAIL'!$D7,Adjustments!$C$5:$C$557,'Mar16-Aug16 Billed-RETAIL'!$E7)</f>
        <v>0</v>
      </c>
      <c r="AI7" s="48">
        <f>SUMIFS(Adjustments!J$5:J$557,Adjustments!$B$5:$B$557,'Mar16-Aug16 Billed-RETAIL'!$D7,Adjustments!$C$5:$C$557,'Mar16-Aug16 Billed-RETAIL'!$E7)</f>
        <v>0</v>
      </c>
      <c r="AJ7" s="48">
        <f>SUMIFS(Adjustments!K$5:K$557,Adjustments!$B$5:$B$557,'Mar16-Aug16 Billed-RETAIL'!$D7,Adjustments!$C$5:$C$557,'Mar16-Aug16 Billed-RETAIL'!$E7)</f>
        <v>0</v>
      </c>
      <c r="AK7" s="48">
        <f>SUMIFS(Adjustments!L$5:L$557,Adjustments!$B$5:$B$557,'Mar16-Aug16 Billed-RETAIL'!$D7,Adjustments!$C$5:$C$557,'Mar16-Aug16 Billed-RETAIL'!$E7)</f>
        <v>0</v>
      </c>
      <c r="AL7" s="48">
        <f>SUMIFS(Adjustments!M$5:M$557,Adjustments!$B$5:$B$557,'Mar16-Aug16 Billed-RETAIL'!$D7,Adjustments!$C$5:$C$557,'Mar16-Aug16 Billed-RETAIL'!$E7)</f>
        <v>0</v>
      </c>
      <c r="AM7" s="48">
        <f>SUMIFS(Adjustments!N$5:N$557,Adjustments!$B$5:$B$557,'Mar16-Aug16 Billed-RETAIL'!$D7,Adjustments!$C$5:$C$557,'Mar16-Aug16 Billed-RETAIL'!$E7)</f>
        <v>0</v>
      </c>
      <c r="AN7" s="48">
        <f>SUMIFS(Adjustments!O$5:O$557,Adjustments!$B$5:$B$557,'Mar16-Aug16 Billed-RETAIL'!$D7,Adjustments!$C$5:$C$557,'Mar16-Aug16 Billed-RETAIL'!$E7)</f>
        <v>0</v>
      </c>
      <c r="AO7" s="48">
        <f>SUMIFS(Adjustments!P$5:P$557,Adjustments!$B$5:$B$557,'Mar16-Aug16 Billed-RETAIL'!$D7,Adjustments!$C$5:$C$557,'Mar16-Aug16 Billed-RETAIL'!$E7)</f>
        <v>0</v>
      </c>
      <c r="AP7" s="36">
        <f t="shared" ref="AP7:AP15" si="7">+W7+AI7+(AG7*N7)</f>
        <v>800</v>
      </c>
      <c r="AQ7" s="36">
        <f t="shared" ref="AQ7:AQ15" si="8">+Y7+AJ7</f>
        <v>0</v>
      </c>
      <c r="AR7" s="36">
        <f t="shared" ref="AR7:AR15" si="9">+Z7+AK7</f>
        <v>4149.7485399999996</v>
      </c>
      <c r="AS7" s="36">
        <f t="shared" ref="AS7:AS15" si="10">+AA7+AL7</f>
        <v>0</v>
      </c>
      <c r="AT7" s="43">
        <f>SUMIFS('SBR Mar16 - Aug16'!$O$16:$O$475,'SBR Mar16 - Aug16'!$A$16:$A$475,'Mar16-Aug16 Billed-RETAIL'!$D7,'SBR Mar16 - Aug16'!$C$16:$C$475,'Mar16-Aug16 Billed-RETAIL'!$E7)</f>
        <v>19148.990000000002</v>
      </c>
      <c r="AU7" s="43">
        <f>SUMIFS('SBR Mar16 - Aug16'!$N$16:$N$475,'SBR Mar16 - Aug16'!$A$16:$A$475,'Mar16-Aug16 Billed-RETAIL'!$D7,'SBR Mar16 - Aug16'!$C$16:$C$475,'Mar16-Aug16 Billed-RETAIL'!$E7)</f>
        <v>31.97</v>
      </c>
      <c r="AV7" s="43">
        <f>SUMIFS('SBR Mar16 - Aug16'!$Y$16:$Y$475,'SBR Mar16 - Aug16'!$A$16:$A$475,'Mar16-Aug16 Billed-RETAIL'!$D7,'SBR Mar16 - Aug16'!$C$16:$C$475,'Mar16-Aug16 Billed-RETAIL'!$E7)</f>
        <v>0</v>
      </c>
      <c r="AW7" s="43">
        <f>SUMIFS('SBR Mar16 - Aug16'!$X$16:$X$475,'SBR Mar16 - Aug16'!$A$16:$A$475,'Mar16-Aug16 Billed-RETAIL'!$D7,'SBR Mar16 - Aug16'!$C$16:$C$475,'Mar16-Aug16 Billed-RETAIL'!$E7)</f>
        <v>5376.62</v>
      </c>
      <c r="AX7" s="36">
        <f t="shared" ref="AX7:AX15" si="11">+AE7+AO7</f>
        <v>0</v>
      </c>
      <c r="AY7" s="36"/>
      <c r="AZ7" s="43">
        <f t="shared" ref="AZ7:AZ15" si="12">ROUND(SUM(AP7:AY7),2)</f>
        <v>29507.33</v>
      </c>
      <c r="BA7" s="43">
        <f>SUM(BC7:BJ7)-BF7</f>
        <v>29507.33</v>
      </c>
      <c r="BB7" s="44">
        <f>IF(BA7=0,0,ROUND(BA7/AZ7,6))</f>
        <v>1</v>
      </c>
      <c r="BC7" s="43">
        <f>SUMIFS('SBR Mar16 - Aug16'!$N$16:$N$475,'SBR Mar16 - Aug16'!$A$16:$A$475,'Mar16-Aug16 Billed-RETAIL'!$D7,'SBR Mar16 - Aug16'!$C$16:$C$475,'Mar16-Aug16 Billed-RETAIL'!$E7)</f>
        <v>31.97</v>
      </c>
      <c r="BD7" s="43">
        <f>SUMIFS('SBR Mar16 - Aug16'!$O$16:$O$475,'SBR Mar16 - Aug16'!$A$16:$A$475,'Mar16-Aug16 Billed-RETAIL'!$D7,'SBR Mar16 - Aug16'!$C$16:$C$475,'Mar16-Aug16 Billed-RETAIL'!$E7)</f>
        <v>19148.990000000002</v>
      </c>
      <c r="BE7" s="43">
        <f>SUMIFS('SBR Mar16 - Aug16'!$Y$16:$Y$475,'SBR Mar16 - Aug16'!$A$16:$A$475,'Mar16-Aug16 Billed-RETAIL'!$D7,'SBR Mar16 - Aug16'!$C$16:$C$475,'Mar16-Aug16 Billed-RETAIL'!$E7)</f>
        <v>0</v>
      </c>
      <c r="BF7" s="43">
        <f>SUMIFS('SBR Mar16 - Aug16'!$AB$16:$AB$475,'SBR Mar16 - Aug16'!$A$16:$A$475,'Mar16-Aug16 Billed-RETAIL'!$D7,'SBR Mar16 - Aug16'!$C$16:$C$475,'Mar16-Aug16 Billed-RETAIL'!$E7)</f>
        <v>0</v>
      </c>
      <c r="BG7" s="43">
        <f>SUMIFS('SBR Mar16 - Aug16'!$G$16:$G$137,'SBR Mar16 - Aug16'!$A$16:$A$137,'Mar16-Aug16 Billed-RETAIL'!$D7,'SBR Mar16 - Aug16'!$C$16:$C$137,'Mar16-Aug16 Billed-RETAIL'!$E7)</f>
        <v>800</v>
      </c>
      <c r="BH7" s="43">
        <f>SUMIFS('SBR Mar16 - Aug16'!$I$16:$I$137,'SBR Mar16 - Aug16'!$A$16:$A$137,'Mar16-Aug16 Billed-RETAIL'!$D7,'SBR Mar16 - Aug16'!$C$16:$C$137,'Mar16-Aug16 Billed-RETAIL'!$E7)</f>
        <v>4149.75</v>
      </c>
      <c r="BI7" s="43">
        <f>SUMIFS('SBR Mar16 - Aug16'!$H$16:$H$137,'SBR Mar16 - Aug16'!$A$16:$A$137,'Mar16-Aug16 Billed-RETAIL'!$D7,'SBR Mar16 - Aug16'!$C$16:$C$137,'Mar16-Aug16 Billed-RETAIL'!$E7)</f>
        <v>0</v>
      </c>
      <c r="BJ7" s="43">
        <f>SUMIFS('SBR Mar16 - Aug16'!$X$16:$X$137,'SBR Mar16 - Aug16'!$A$16:$A$137,'Mar16-Aug16 Billed-RETAIL'!$D7,'SBR Mar16 - Aug16'!$C$16:$C$137,'Mar16-Aug16 Billed-RETAIL'!$E7)</f>
        <v>5376.62</v>
      </c>
      <c r="BL7" s="51">
        <f t="shared" ref="BL7:BL15" si="13">+AZ7-BA7</f>
        <v>0</v>
      </c>
      <c r="BN7" s="58">
        <f t="shared" ref="BN7:BN15" si="14">+AP7+AQ7-BG7</f>
        <v>0</v>
      </c>
      <c r="BO7" s="58">
        <f t="shared" ref="BO7:BO15" si="15">+AR7+AS7-BH7</f>
        <v>-1.4600000004065805E-3</v>
      </c>
      <c r="BP7" s="58">
        <f t="shared" ref="BP7:BP15" si="16">+AT7-BD7</f>
        <v>0</v>
      </c>
    </row>
    <row r="8" spans="3:68" ht="15" customHeight="1" x14ac:dyDescent="0.25">
      <c r="C8" s="14">
        <f>C7+1</f>
        <v>2</v>
      </c>
      <c r="D8" s="604">
        <f>$D$7</f>
        <v>42430</v>
      </c>
      <c r="E8" s="604" t="str">
        <f>+'Retail Rates'!$B$10</f>
        <v>LGING866</v>
      </c>
      <c r="F8" s="14" t="str">
        <f t="shared" ref="F8:F15" si="17">MID(E8,6,3)</f>
        <v>866</v>
      </c>
      <c r="G8" s="14" t="str">
        <f>VLOOKUP(E8,'Retail Rates'!$B$7:$D$34,3,FALSE)</f>
        <v>AAGS-I</v>
      </c>
      <c r="H8" s="33">
        <f>SUMIFS('Data-Retail'!$H$4:$H$1000,'Data-Retail'!$A$4:$A$1000,'Mar16-Aug16 Billed-RETAIL'!$D8,'Data-Retail'!$D$4:$D$1000,'Mar16-Aug16 Billed-RETAIL'!$E8)</f>
        <v>3</v>
      </c>
      <c r="I8" s="33"/>
      <c r="J8" s="33"/>
      <c r="K8" s="33">
        <f>SUMIFS('Data-Retail'!$I$4:$I$1000,'Data-Retail'!$A$4:$A$1000,'Mar16-Aug16 Billed-RETAIL'!$D8,'Data-Retail'!$D$4:$D$1000,'Mar16-Aug16 Billed-RETAIL'!$E8)</f>
        <v>39077</v>
      </c>
      <c r="L8" s="33">
        <f>SUMIFS('Data-Retail'!$J$4:$J$1000,'Data-Retail'!$A$4:$A$1000,'Mar16-Aug16 Billed-RETAIL'!$D8,'Data-Retail'!$D$4:$D$1000,'Mar16-Aug16 Billed-RETAIL'!$E8)</f>
        <v>0</v>
      </c>
      <c r="M8" s="33"/>
      <c r="N8" s="34">
        <f>VLOOKUP($E8,'Retail Rates'!$B$7:$L$34,5,FALSE)</f>
        <v>400</v>
      </c>
      <c r="O8" s="34">
        <f>VLOOKUP($E8,'Retail Rates'!$B$7:$L$34,6,FALSE)</f>
        <v>0</v>
      </c>
      <c r="P8" s="35">
        <f>VLOOKUP($E8,'Retail Rates'!$B$7:$L$34,7,FALSE)</f>
        <v>7.009E-2</v>
      </c>
      <c r="Q8" s="35">
        <f>VLOOKUP($E8,'Retail Rates'!$B$7:$L$34,8,FALSE)</f>
        <v>0</v>
      </c>
      <c r="R8" s="35">
        <f>VLOOKUP($D8,'GSC-DSM-GLT Factors'!$A$1:$B$60,2,FALSE)</f>
        <v>0.32343</v>
      </c>
      <c r="S8" s="34">
        <f>VLOOKUP($E8,'Retail Rates'!$B$7:$L$34,9,FALSE)</f>
        <v>0</v>
      </c>
      <c r="T8" s="35">
        <f>VLOOKUP($E8,'Retail Rates'!$B$7:$L$34,10,FALSE)</f>
        <v>0</v>
      </c>
      <c r="U8" s="34">
        <f>VLOOKUP($E8,'Retail Rates'!$B$7:$L$34,11,FALSE)</f>
        <v>0</v>
      </c>
      <c r="V8" s="556">
        <f>VLOOKUP($D8,'GSC-DSM-GLT Factors'!$A$1:$O$60,14,FALSE)</f>
        <v>2688.31</v>
      </c>
      <c r="W8" s="36">
        <f t="shared" ref="W8:W15" si="18">(+H8*N8)+(I8*N8)</f>
        <v>1200</v>
      </c>
      <c r="X8" s="36"/>
      <c r="Y8" s="36"/>
      <c r="Z8" s="36">
        <f t="shared" si="4"/>
        <v>2738.9069300000001</v>
      </c>
      <c r="AA8" s="36">
        <f t="shared" si="4"/>
        <v>0</v>
      </c>
      <c r="AB8" s="36">
        <f t="shared" si="5"/>
        <v>12638.67411</v>
      </c>
      <c r="AC8" s="36"/>
      <c r="AD8" s="36"/>
      <c r="AE8" s="36">
        <f t="shared" ref="AE8:AE15" si="19">M8*U8</f>
        <v>0</v>
      </c>
      <c r="AF8" s="36">
        <f t="shared" si="6"/>
        <v>8064.93</v>
      </c>
      <c r="AG8" s="57">
        <f>SUMIFS(Adjustments!H$5:H$557,Adjustments!$B$5:$B$557,'Mar16-Aug16 Billed-RETAIL'!$D8,Adjustments!$C$5:$C$557,'Mar16-Aug16 Billed-RETAIL'!$E8)</f>
        <v>0</v>
      </c>
      <c r="AH8" s="57">
        <f>SUMIFS(Adjustments!I$5:I$557,Adjustments!$B$5:$B$557,'Mar16-Aug16 Billed-RETAIL'!$D8,Adjustments!$C$5:$C$557,'Mar16-Aug16 Billed-RETAIL'!$E8)</f>
        <v>0</v>
      </c>
      <c r="AI8" s="48">
        <f>SUMIFS(Adjustments!J$5:J$557,Adjustments!$B$5:$B$557,'Mar16-Aug16 Billed-RETAIL'!$D8,Adjustments!$C$5:$C$557,'Mar16-Aug16 Billed-RETAIL'!$E8)</f>
        <v>0</v>
      </c>
      <c r="AJ8" s="48">
        <f>SUMIFS(Adjustments!K$5:K$557,Adjustments!$B$5:$B$557,'Mar16-Aug16 Billed-RETAIL'!$D8,Adjustments!$C$5:$C$557,'Mar16-Aug16 Billed-RETAIL'!$E8)</f>
        <v>0</v>
      </c>
      <c r="AK8" s="48">
        <f>SUMIFS(Adjustments!L$5:L$557,Adjustments!$B$5:$B$557,'Mar16-Aug16 Billed-RETAIL'!$D8,Adjustments!$C$5:$C$557,'Mar16-Aug16 Billed-RETAIL'!$E8)</f>
        <v>0</v>
      </c>
      <c r="AL8" s="48">
        <f>SUMIFS(Adjustments!M$5:M$557,Adjustments!$B$5:$B$557,'Mar16-Aug16 Billed-RETAIL'!$D8,Adjustments!$C$5:$C$557,'Mar16-Aug16 Billed-RETAIL'!$E8)</f>
        <v>0</v>
      </c>
      <c r="AM8" s="48">
        <f>SUMIFS(Adjustments!N$5:N$557,Adjustments!$B$5:$B$557,'Mar16-Aug16 Billed-RETAIL'!$D8,Adjustments!$C$5:$C$557,'Mar16-Aug16 Billed-RETAIL'!$E8)</f>
        <v>0</v>
      </c>
      <c r="AN8" s="48">
        <f>SUMIFS(Adjustments!O$5:O$557,Adjustments!$B$5:$B$557,'Mar16-Aug16 Billed-RETAIL'!$D8,Adjustments!$C$5:$C$557,'Mar16-Aug16 Billed-RETAIL'!$E8)</f>
        <v>0</v>
      </c>
      <c r="AO8" s="48">
        <f>SUMIFS(Adjustments!P$5:P$557,Adjustments!$B$5:$B$557,'Mar16-Aug16 Billed-RETAIL'!$D8,Adjustments!$C$5:$C$557,'Mar16-Aug16 Billed-RETAIL'!$E8)</f>
        <v>0</v>
      </c>
      <c r="AP8" s="36">
        <f t="shared" si="7"/>
        <v>1200</v>
      </c>
      <c r="AQ8" s="36">
        <f t="shared" si="8"/>
        <v>0</v>
      </c>
      <c r="AR8" s="36">
        <f t="shared" si="9"/>
        <v>2738.9069300000001</v>
      </c>
      <c r="AS8" s="36">
        <f t="shared" si="10"/>
        <v>0</v>
      </c>
      <c r="AT8" s="43">
        <f>SUMIFS('SBR Mar16 - Aug16'!$O$16:$O$475,'SBR Mar16 - Aug16'!$A$16:$A$475,'Mar16-Aug16 Billed-RETAIL'!$D8,'SBR Mar16 - Aug16'!$C$16:$C$475,'Mar16-Aug16 Billed-RETAIL'!$E8)</f>
        <v>12644.41</v>
      </c>
      <c r="AU8" s="43">
        <f>SUMIFS('SBR Mar16 - Aug16'!$N$16:$N$475,'SBR Mar16 - Aug16'!$A$16:$A$475,'Mar16-Aug16 Billed-RETAIL'!$D8,'SBR Mar16 - Aug16'!$C$16:$C$475,'Mar16-Aug16 Billed-RETAIL'!$E8)</f>
        <v>0</v>
      </c>
      <c r="AV8" s="43">
        <f>SUMIFS('SBR Mar16 - Aug16'!$Y$16:$Y$475,'SBR Mar16 - Aug16'!$A$16:$A$475,'Mar16-Aug16 Billed-RETAIL'!$D8,'SBR Mar16 - Aug16'!$C$16:$C$475,'Mar16-Aug16 Billed-RETAIL'!$E8)</f>
        <v>0</v>
      </c>
      <c r="AW8" s="43">
        <f>SUMIFS('SBR Mar16 - Aug16'!$X$16:$X$475,'SBR Mar16 - Aug16'!$A$16:$A$475,'Mar16-Aug16 Billed-RETAIL'!$D8,'SBR Mar16 - Aug16'!$C$16:$C$475,'Mar16-Aug16 Billed-RETAIL'!$E8)</f>
        <v>8064.93</v>
      </c>
      <c r="AX8" s="36">
        <f t="shared" si="11"/>
        <v>0</v>
      </c>
      <c r="AY8" s="36"/>
      <c r="AZ8" s="43">
        <f t="shared" si="12"/>
        <v>24648.25</v>
      </c>
      <c r="BA8" s="43">
        <f t="shared" ref="BA8:BA15" si="20">SUM(BC8:BJ8)-BF8</f>
        <v>24648.240000000002</v>
      </c>
      <c r="BB8" s="44">
        <f t="shared" ref="BB8:BB15" si="21">IF(BA8=0,0,ROUND(BA8/AZ8,6))</f>
        <v>1</v>
      </c>
      <c r="BC8" s="43">
        <f>SUMIFS('SBR Mar16 - Aug16'!$N$16:$N$475,'SBR Mar16 - Aug16'!$A$16:$A$475,'Mar16-Aug16 Billed-RETAIL'!$D8,'SBR Mar16 - Aug16'!$C$16:$C$475,'Mar16-Aug16 Billed-RETAIL'!$E8)</f>
        <v>0</v>
      </c>
      <c r="BD8" s="43">
        <f>SUMIFS('SBR Mar16 - Aug16'!$O$16:$O$475,'SBR Mar16 - Aug16'!$A$16:$A$475,'Mar16-Aug16 Billed-RETAIL'!$D8,'SBR Mar16 - Aug16'!$C$16:$C$475,'Mar16-Aug16 Billed-RETAIL'!$E8)</f>
        <v>12644.41</v>
      </c>
      <c r="BE8" s="43">
        <f>SUMIFS('SBR Mar16 - Aug16'!$Y$16:$Y$475,'SBR Mar16 - Aug16'!$A$16:$A$475,'Mar16-Aug16 Billed-RETAIL'!$D8,'SBR Mar16 - Aug16'!$C$16:$C$475,'Mar16-Aug16 Billed-RETAIL'!$E8)</f>
        <v>0</v>
      </c>
      <c r="BF8" s="43">
        <f>SUMIFS('SBR Mar16 - Aug16'!$AB$16:$AB$475,'SBR Mar16 - Aug16'!$A$16:$A$475,'Mar16-Aug16 Billed-RETAIL'!$D8,'SBR Mar16 - Aug16'!$C$16:$C$475,'Mar16-Aug16 Billed-RETAIL'!$E8)</f>
        <v>0</v>
      </c>
      <c r="BG8" s="43">
        <f>SUMIFS('SBR Mar16 - Aug16'!$G$16:$G$137,'SBR Mar16 - Aug16'!$A$16:$A$137,'Mar16-Aug16 Billed-RETAIL'!$D8,'SBR Mar16 - Aug16'!$C$16:$C$137,'Mar16-Aug16 Billed-RETAIL'!$E8)</f>
        <v>1200</v>
      </c>
      <c r="BH8" s="43">
        <f>SUMIFS('SBR Mar16 - Aug16'!$I$16:$I$137,'SBR Mar16 - Aug16'!$A$16:$A$137,'Mar16-Aug16 Billed-RETAIL'!$D8,'SBR Mar16 - Aug16'!$C$16:$C$137,'Mar16-Aug16 Billed-RETAIL'!$E8)</f>
        <v>2738.9</v>
      </c>
      <c r="BI8" s="43">
        <f>SUMIFS('SBR Mar16 - Aug16'!$H$16:$H$137,'SBR Mar16 - Aug16'!$A$16:$A$137,'Mar16-Aug16 Billed-RETAIL'!$D8,'SBR Mar16 - Aug16'!$C$16:$C$137,'Mar16-Aug16 Billed-RETAIL'!$E8)</f>
        <v>0</v>
      </c>
      <c r="BJ8" s="43">
        <f>SUMIFS('SBR Mar16 - Aug16'!$X$16:$X$137,'SBR Mar16 - Aug16'!$A$16:$A$137,'Mar16-Aug16 Billed-RETAIL'!$D8,'SBR Mar16 - Aug16'!$C$16:$C$137,'Mar16-Aug16 Billed-RETAIL'!$E8)</f>
        <v>8064.93</v>
      </c>
      <c r="BL8" s="51">
        <f t="shared" si="13"/>
        <v>9.9999999983992893E-3</v>
      </c>
      <c r="BN8" s="58">
        <f t="shared" si="14"/>
        <v>0</v>
      </c>
      <c r="BO8" s="58">
        <f t="shared" si="15"/>
        <v>6.930000000011205E-3</v>
      </c>
      <c r="BP8" s="58">
        <f t="shared" si="16"/>
        <v>0</v>
      </c>
    </row>
    <row r="9" spans="3:68" ht="15" x14ac:dyDescent="0.25">
      <c r="C9" s="14">
        <f t="shared" ref="C9:C15" si="22">C8+1</f>
        <v>3</v>
      </c>
      <c r="D9" s="604">
        <f t="shared" ref="D9:D15" si="23">$D$7</f>
        <v>42430</v>
      </c>
      <c r="E9" s="604" t="str">
        <f>+'Retail Rates'!$B$15</f>
        <v>LGCMG851</v>
      </c>
      <c r="F9" s="14" t="str">
        <f t="shared" si="17"/>
        <v>851</v>
      </c>
      <c r="G9" s="14" t="str">
        <f>VLOOKUP(E9,'Retail Rates'!$B$7:$D$34,3,FALSE)</f>
        <v>CGS</v>
      </c>
      <c r="H9" s="33"/>
      <c r="I9" s="33">
        <f>SUMIFS(Adjustments!F$5:F$26,Adjustments!$B$5:$B$26,'Mar16-Aug16 Billed-RETAIL'!$D9,Adjustments!$C$5:$C$26,'Mar16-Aug16 Billed-RETAIL'!$E9)</f>
        <v>24838</v>
      </c>
      <c r="J9" s="33">
        <f>SUMIFS(Adjustments!G$5:G$26,Adjustments!$B$5:$B$26,'Mar16-Aug16 Billed-RETAIL'!$D9,Adjustments!$C$5:$C$26,'Mar16-Aug16 Billed-RETAIL'!$E9)</f>
        <v>1141</v>
      </c>
      <c r="K9" s="33">
        <f>SUMIFS('Data-Retail'!$I$4:$I$1000,'Data-Retail'!$A$4:$A$1000,'Mar16-Aug16 Billed-RETAIL'!$D9,'Data-Retail'!$D$4:$D$1000,'Mar16-Aug16 Billed-RETAIL'!$E9)</f>
        <v>12820276</v>
      </c>
      <c r="L9" s="33">
        <f>SUMIFS('Data-Retail'!$J$4:$J$1000,'Data-Retail'!$A$4:$A$1000,'Mar16-Aug16 Billed-RETAIL'!$D9,'Data-Retail'!$D$4:$D$1000,'Mar16-Aug16 Billed-RETAIL'!$E9)</f>
        <v>0</v>
      </c>
      <c r="M9" s="33"/>
      <c r="N9" s="34">
        <f>VLOOKUP($E9,'Retail Rates'!$B$7:$L$34,5,FALSE)</f>
        <v>40</v>
      </c>
      <c r="O9" s="34">
        <f>VLOOKUP($E9,'Retail Rates'!$B$7:$L$34,6,FALSE)</f>
        <v>180</v>
      </c>
      <c r="P9" s="35">
        <f>VLOOKUP($E9,'Retail Rates'!$B$7:$L$34,7,FALSE)</f>
        <v>0.21504000000000001</v>
      </c>
      <c r="Q9" s="35">
        <f>VLOOKUP($E9,'Retail Rates'!$B$7:$L$34,8,FALSE)</f>
        <v>0.16504000000000002</v>
      </c>
      <c r="R9" s="35">
        <f>VLOOKUP($D9,'GSC-DSM-GLT Factors'!$A$1:$B$60,2,FALSE)</f>
        <v>0.32343</v>
      </c>
      <c r="S9" s="34">
        <f>VLOOKUP($E9,'Retail Rates'!$B$7:$L$34,9,FALSE)</f>
        <v>0</v>
      </c>
      <c r="T9" s="35">
        <f>VLOOKUP($E9,'Retail Rates'!$B$7:$L$34,10,FALSE)</f>
        <v>0</v>
      </c>
      <c r="U9" s="34">
        <f>VLOOKUP($E9,'Retail Rates'!$B$7:$L$34,11,FALSE)</f>
        <v>0</v>
      </c>
      <c r="V9" s="556">
        <f>VLOOKUP($D9,'GSC-DSM-GLT Factors'!$A$1:$O$60,12,FALSE)</f>
        <v>25.87</v>
      </c>
      <c r="W9" s="36">
        <f>(+H9*N9)+(I9*N9)</f>
        <v>993520</v>
      </c>
      <c r="X9" s="36"/>
      <c r="Y9" s="36">
        <f>+J9*O9</f>
        <v>205380</v>
      </c>
      <c r="Z9" s="36">
        <f t="shared" si="4"/>
        <v>2756872.1510399999</v>
      </c>
      <c r="AA9" s="36">
        <f t="shared" si="4"/>
        <v>0</v>
      </c>
      <c r="AB9" s="36">
        <f t="shared" si="5"/>
        <v>4146461.86668</v>
      </c>
      <c r="AC9" s="36"/>
      <c r="AD9" s="36"/>
      <c r="AE9" s="36">
        <f t="shared" si="19"/>
        <v>0</v>
      </c>
      <c r="AF9" s="36">
        <f t="shared" si="6"/>
        <v>642559.06000000006</v>
      </c>
      <c r="AG9" s="57">
        <f>SUMIFS(Adjustments!H$5:H$557,Adjustments!$B$5:$B$557,'Mar16-Aug16 Billed-RETAIL'!$D9,Adjustments!$C$5:$C$557,'Mar16-Aug16 Billed-RETAIL'!$E9)</f>
        <v>0</v>
      </c>
      <c r="AH9" s="57">
        <f>SUMIFS(Adjustments!I$5:I$557,Adjustments!$B$5:$B$557,'Mar16-Aug16 Billed-RETAIL'!$D9,Adjustments!$C$5:$C$557,'Mar16-Aug16 Billed-RETAIL'!$E9)</f>
        <v>0</v>
      </c>
      <c r="AI9" s="48">
        <f>SUMIFS(Adjustments!J$5:J$557,Adjustments!$B$5:$B$557,'Mar16-Aug16 Billed-RETAIL'!$D9,Adjustments!$C$5:$C$557,'Mar16-Aug16 Billed-RETAIL'!$E9)</f>
        <v>33.1</v>
      </c>
      <c r="AJ9" s="48">
        <f>SUMIFS(Adjustments!K$5:K$557,Adjustments!$B$5:$B$557,'Mar16-Aug16 Billed-RETAIL'!$D9,Adjustments!$C$5:$C$557,'Mar16-Aug16 Billed-RETAIL'!$E9)</f>
        <v>108</v>
      </c>
      <c r="AK9" s="48">
        <f>SUMIFS(Adjustments!L$5:L$557,Adjustments!$B$5:$B$557,'Mar16-Aug16 Billed-RETAIL'!$D9,Adjustments!$C$5:$C$557,'Mar16-Aug16 Billed-RETAIL'!$E9)</f>
        <v>8.56</v>
      </c>
      <c r="AL9" s="48">
        <f>SUMIFS(Adjustments!M$5:M$557,Adjustments!$B$5:$B$557,'Mar16-Aug16 Billed-RETAIL'!$D9,Adjustments!$C$5:$C$557,'Mar16-Aug16 Billed-RETAIL'!$E9)</f>
        <v>0</v>
      </c>
      <c r="AM9" s="48">
        <f>SUMIFS(Adjustments!N$5:N$557,Adjustments!$B$5:$B$557,'Mar16-Aug16 Billed-RETAIL'!$D9,Adjustments!$C$5:$C$557,'Mar16-Aug16 Billed-RETAIL'!$E9)</f>
        <v>0</v>
      </c>
      <c r="AN9" s="48">
        <f>SUMIFS(Adjustments!O$5:O$557,Adjustments!$B$5:$B$557,'Mar16-Aug16 Billed-RETAIL'!$D9,Adjustments!$C$5:$C$557,'Mar16-Aug16 Billed-RETAIL'!$E9)</f>
        <v>0</v>
      </c>
      <c r="AO9" s="48">
        <f>SUMIFS(Adjustments!P$5:P$557,Adjustments!$B$5:$B$557,'Mar16-Aug16 Billed-RETAIL'!$D9,Adjustments!$C$5:$C$557,'Mar16-Aug16 Billed-RETAIL'!$E9)</f>
        <v>0</v>
      </c>
      <c r="AP9" s="36">
        <f t="shared" si="7"/>
        <v>993553.1</v>
      </c>
      <c r="AQ9" s="36">
        <f t="shared" si="8"/>
        <v>205488</v>
      </c>
      <c r="AR9" s="36">
        <f t="shared" si="9"/>
        <v>2756880.71104</v>
      </c>
      <c r="AS9" s="36">
        <f t="shared" si="10"/>
        <v>0</v>
      </c>
      <c r="AT9" s="43">
        <f>SUMIFS('SBR Mar16 - Aug16'!$O$16:$O$475,'SBR Mar16 - Aug16'!$A$16:$A$475,'Mar16-Aug16 Billed-RETAIL'!$D9,'SBR Mar16 - Aug16'!$C$16:$C$475,'Mar16-Aug16 Billed-RETAIL'!$E9)</f>
        <v>4147257.86</v>
      </c>
      <c r="AU9" s="43">
        <f>SUMIFS('SBR Mar16 - Aug16'!$N$16:$N$475,'SBR Mar16 - Aug16'!$A$16:$A$475,'Mar16-Aug16 Billed-RETAIL'!$D9,'SBR Mar16 - Aug16'!$C$16:$C$475,'Mar16-Aug16 Billed-RETAIL'!$E9)</f>
        <v>6921.95</v>
      </c>
      <c r="AV9" s="43">
        <f>SUMIFS('SBR Mar16 - Aug16'!$Y$16:$Y$475,'SBR Mar16 - Aug16'!$A$16:$A$475,'Mar16-Aug16 Billed-RETAIL'!$D9,'SBR Mar16 - Aug16'!$C$16:$C$475,'Mar16-Aug16 Billed-RETAIL'!$E9)</f>
        <v>440056.28</v>
      </c>
      <c r="AW9" s="43">
        <f>SUMIFS('SBR Mar16 - Aug16'!$X$16:$X$475,'SBR Mar16 - Aug16'!$A$16:$A$475,'Mar16-Aug16 Billed-RETAIL'!$D9,'SBR Mar16 - Aug16'!$C$16:$C$475,'Mar16-Aug16 Billed-RETAIL'!$E9)</f>
        <v>671849.01</v>
      </c>
      <c r="AX9" s="36">
        <f t="shared" si="11"/>
        <v>0</v>
      </c>
      <c r="AY9" s="36"/>
      <c r="AZ9" s="43">
        <f t="shared" si="12"/>
        <v>9222006.9100000001</v>
      </c>
      <c r="BA9" s="43">
        <f t="shared" si="20"/>
        <v>9222006.9099999983</v>
      </c>
      <c r="BB9" s="44">
        <f t="shared" si="21"/>
        <v>1</v>
      </c>
      <c r="BC9" s="43">
        <f>SUMIFS('SBR Mar16 - Aug16'!$N$16:$N$475,'SBR Mar16 - Aug16'!$A$16:$A$475,'Mar16-Aug16 Billed-RETAIL'!$D9,'SBR Mar16 - Aug16'!$C$16:$C$475,'Mar16-Aug16 Billed-RETAIL'!$E9)</f>
        <v>6921.95</v>
      </c>
      <c r="BD9" s="43">
        <f>SUMIFS('SBR Mar16 - Aug16'!$O$16:$O$475,'SBR Mar16 - Aug16'!$A$16:$A$475,'Mar16-Aug16 Billed-RETAIL'!$D9,'SBR Mar16 - Aug16'!$C$16:$C$475,'Mar16-Aug16 Billed-RETAIL'!$E9)</f>
        <v>4147257.86</v>
      </c>
      <c r="BE9" s="43">
        <f>SUMIFS('SBR Mar16 - Aug16'!$Y$16:$Y$475,'SBR Mar16 - Aug16'!$A$16:$A$475,'Mar16-Aug16 Billed-RETAIL'!$D9,'SBR Mar16 - Aug16'!$C$16:$C$475,'Mar16-Aug16 Billed-RETAIL'!$E9)</f>
        <v>440056.28</v>
      </c>
      <c r="BF9" s="43">
        <f>SUMIFS('SBR Mar16 - Aug16'!$AB$16:$AB$475,'SBR Mar16 - Aug16'!$A$16:$A$475,'Mar16-Aug16 Billed-RETAIL'!$D9,'SBR Mar16 - Aug16'!$C$16:$C$475,'Mar16-Aug16 Billed-RETAIL'!$E9)</f>
        <v>0</v>
      </c>
      <c r="BG9" s="43">
        <f>SUMIFS('SBR Mar16 - Aug16'!$G$16:$G$137,'SBR Mar16 - Aug16'!$A$16:$A$137,'Mar16-Aug16 Billed-RETAIL'!$D9,'SBR Mar16 - Aug16'!$C$16:$C$137,'Mar16-Aug16 Billed-RETAIL'!$E9)</f>
        <v>1199041.1000000001</v>
      </c>
      <c r="BH9" s="43">
        <f>SUMIFS('SBR Mar16 - Aug16'!$I$16:$I$137,'SBR Mar16 - Aug16'!$A$16:$A$137,'Mar16-Aug16 Billed-RETAIL'!$D9,'SBR Mar16 - Aug16'!$C$16:$C$137,'Mar16-Aug16 Billed-RETAIL'!$E9)</f>
        <v>2756880.71</v>
      </c>
      <c r="BI9" s="43">
        <f>SUMIFS('SBR Mar16 - Aug16'!$H$16:$H$137,'SBR Mar16 - Aug16'!$A$16:$A$137,'Mar16-Aug16 Billed-RETAIL'!$D9,'SBR Mar16 - Aug16'!$C$16:$C$137,'Mar16-Aug16 Billed-RETAIL'!$E9)</f>
        <v>0</v>
      </c>
      <c r="BJ9" s="43">
        <f>SUMIFS('SBR Mar16 - Aug16'!$X$16:$X$137,'SBR Mar16 - Aug16'!$A$16:$A$137,'Mar16-Aug16 Billed-RETAIL'!$D9,'SBR Mar16 - Aug16'!$C$16:$C$137,'Mar16-Aug16 Billed-RETAIL'!$E9)</f>
        <v>671849.01</v>
      </c>
      <c r="BL9" s="51">
        <f t="shared" si="13"/>
        <v>0</v>
      </c>
      <c r="BN9" s="58">
        <f t="shared" si="14"/>
        <v>0</v>
      </c>
      <c r="BO9" s="58">
        <f t="shared" si="15"/>
        <v>1.0400000028312206E-3</v>
      </c>
      <c r="BP9" s="58">
        <f t="shared" si="16"/>
        <v>0</v>
      </c>
    </row>
    <row r="10" spans="3:68" ht="15" x14ac:dyDescent="0.25">
      <c r="C10" s="14">
        <f t="shared" si="22"/>
        <v>4</v>
      </c>
      <c r="D10" s="604">
        <f t="shared" si="23"/>
        <v>42430</v>
      </c>
      <c r="E10" s="604" t="str">
        <f>+'Retail Rates'!$B$16</f>
        <v>LGUMG861</v>
      </c>
      <c r="F10" s="14" t="str">
        <f t="shared" si="17"/>
        <v>861</v>
      </c>
      <c r="G10" s="14" t="str">
        <f>VLOOKUP(E10,'Retail Rates'!$B$7:$D$34,3,FALSE)</f>
        <v>CGS</v>
      </c>
      <c r="H10" s="33"/>
      <c r="I10" s="33">
        <f>SUMIFS(Adjustments!F$5:F$26,Adjustments!$B$5:$B$26,'Mar16-Aug16 Billed-RETAIL'!$D10,Adjustments!$C$5:$C$26,'Mar16-Aug16 Billed-RETAIL'!$E10)</f>
        <v>630</v>
      </c>
      <c r="J10" s="33">
        <f>SUMIFS(Adjustments!G$5:G$26,Adjustments!$B$5:$B$26,'Mar16-Aug16 Billed-RETAIL'!$D10,Adjustments!$C$5:$C$26,'Mar16-Aug16 Billed-RETAIL'!$E10)</f>
        <v>0</v>
      </c>
      <c r="K10" s="33">
        <f>SUMIFS('Data-Retail'!$I$4:$I$1000,'Data-Retail'!$A$4:$A$1000,'Mar16-Aug16 Billed-RETAIL'!$D10,'Data-Retail'!$D$4:$D$1000,'Mar16-Aug16 Billed-RETAIL'!$E10)</f>
        <v>623</v>
      </c>
      <c r="L10" s="33">
        <f>SUMIFS('Data-Retail'!$J$4:$J$1000,'Data-Retail'!$A$4:$A$1000,'Mar16-Aug16 Billed-RETAIL'!$D10,'Data-Retail'!$D$4:$D$1000,'Mar16-Aug16 Billed-RETAIL'!$E10)</f>
        <v>0</v>
      </c>
      <c r="M10" s="33"/>
      <c r="N10" s="34">
        <f>VLOOKUP($E10,'Retail Rates'!$B$7:$L$34,5,FALSE)</f>
        <v>40</v>
      </c>
      <c r="O10" s="34">
        <f>VLOOKUP($E10,'Retail Rates'!$B$7:$L$34,6,FALSE)</f>
        <v>180</v>
      </c>
      <c r="P10" s="35">
        <f>VLOOKUP($E10,'Retail Rates'!$B$7:$L$34,7,FALSE)</f>
        <v>0.21504000000000001</v>
      </c>
      <c r="Q10" s="35">
        <f>VLOOKUP($E10,'Retail Rates'!$B$7:$L$34,8,FALSE)</f>
        <v>0.16504000000000002</v>
      </c>
      <c r="R10" s="35">
        <f>VLOOKUP($D10,'GSC-DSM-GLT Factors'!$A$1:$B$60,2,FALSE)</f>
        <v>0.32343</v>
      </c>
      <c r="S10" s="34">
        <f>VLOOKUP($E10,'Retail Rates'!$B$7:$L$34,9,FALSE)</f>
        <v>0</v>
      </c>
      <c r="T10" s="35">
        <f>VLOOKUP($E10,'Retail Rates'!$B$7:$L$34,10,FALSE)</f>
        <v>0</v>
      </c>
      <c r="U10" s="34">
        <f>VLOOKUP($E10,'Retail Rates'!$B$7:$L$34,11,FALSE)</f>
        <v>0</v>
      </c>
      <c r="V10" s="556">
        <f>VLOOKUP($D10,'GSC-DSM-GLT Factors'!$A$1:$O$60,12,FALSE)</f>
        <v>25.87</v>
      </c>
      <c r="W10" s="36">
        <f t="shared" si="18"/>
        <v>25200</v>
      </c>
      <c r="X10" s="36"/>
      <c r="Y10" s="36">
        <f>+J10*O10</f>
        <v>0</v>
      </c>
      <c r="Z10" s="36">
        <f t="shared" si="4"/>
        <v>133.96992</v>
      </c>
      <c r="AA10" s="36">
        <f t="shared" si="4"/>
        <v>0</v>
      </c>
      <c r="AB10" s="36">
        <f t="shared" si="5"/>
        <v>201.49689000000001</v>
      </c>
      <c r="AC10" s="36"/>
      <c r="AD10" s="36"/>
      <c r="AE10" s="36">
        <f t="shared" si="19"/>
        <v>0</v>
      </c>
      <c r="AF10" s="36">
        <f t="shared" si="6"/>
        <v>16298.1</v>
      </c>
      <c r="AG10" s="57">
        <f>SUMIFS(Adjustments!H$5:H$557,Adjustments!$B$5:$B$557,'Mar16-Aug16 Billed-RETAIL'!$D10,Adjustments!$C$5:$C$557,'Mar16-Aug16 Billed-RETAIL'!$E10)</f>
        <v>0</v>
      </c>
      <c r="AH10" s="57">
        <f>SUMIFS(Adjustments!I$5:I$557,Adjustments!$B$5:$B$557,'Mar16-Aug16 Billed-RETAIL'!$D10,Adjustments!$C$5:$C$557,'Mar16-Aug16 Billed-RETAIL'!$E10)</f>
        <v>0</v>
      </c>
      <c r="AI10" s="48">
        <f>SUMIFS(Adjustments!J$5:J$557,Adjustments!$B$5:$B$557,'Mar16-Aug16 Billed-RETAIL'!$D10,Adjustments!$C$5:$C$557,'Mar16-Aug16 Billed-RETAIL'!$E10)</f>
        <v>0</v>
      </c>
      <c r="AJ10" s="48">
        <f>SUMIFS(Adjustments!K$5:K$557,Adjustments!$B$5:$B$557,'Mar16-Aug16 Billed-RETAIL'!$D10,Adjustments!$C$5:$C$557,'Mar16-Aug16 Billed-RETAIL'!$E10)</f>
        <v>0</v>
      </c>
      <c r="AK10" s="48">
        <f>SUMIFS(Adjustments!L$5:L$557,Adjustments!$B$5:$B$557,'Mar16-Aug16 Billed-RETAIL'!$D10,Adjustments!$C$5:$C$557,'Mar16-Aug16 Billed-RETAIL'!$E10)</f>
        <v>2.99</v>
      </c>
      <c r="AL10" s="48">
        <f>SUMIFS(Adjustments!M$5:M$557,Adjustments!$B$5:$B$557,'Mar16-Aug16 Billed-RETAIL'!$D10,Adjustments!$C$5:$C$557,'Mar16-Aug16 Billed-RETAIL'!$E10)</f>
        <v>0</v>
      </c>
      <c r="AM10" s="48">
        <f>SUMIFS(Adjustments!N$5:N$557,Adjustments!$B$5:$B$557,'Mar16-Aug16 Billed-RETAIL'!$D10,Adjustments!$C$5:$C$557,'Mar16-Aug16 Billed-RETAIL'!$E10)</f>
        <v>0</v>
      </c>
      <c r="AN10" s="48">
        <f>SUMIFS(Adjustments!O$5:O$557,Adjustments!$B$5:$B$557,'Mar16-Aug16 Billed-RETAIL'!$D10,Adjustments!$C$5:$C$557,'Mar16-Aug16 Billed-RETAIL'!$E10)</f>
        <v>0</v>
      </c>
      <c r="AO10" s="48">
        <f>SUMIFS(Adjustments!P$5:P$557,Adjustments!$B$5:$B$557,'Mar16-Aug16 Billed-RETAIL'!$D10,Adjustments!$C$5:$C$557,'Mar16-Aug16 Billed-RETAIL'!$E10)</f>
        <v>0</v>
      </c>
      <c r="AP10" s="36">
        <f t="shared" si="7"/>
        <v>25200</v>
      </c>
      <c r="AQ10" s="36">
        <f t="shared" si="8"/>
        <v>0</v>
      </c>
      <c r="AR10" s="36">
        <f t="shared" si="9"/>
        <v>136.95992000000001</v>
      </c>
      <c r="AS10" s="36">
        <f t="shared" si="10"/>
        <v>0</v>
      </c>
      <c r="AT10" s="43">
        <f>SUMIFS('SBR Mar16 - Aug16'!$O$16:$O$475,'SBR Mar16 - Aug16'!$A$16:$A$475,'Mar16-Aug16 Billed-RETAIL'!$D10,'SBR Mar16 - Aug16'!$C$16:$C$475,'Mar16-Aug16 Billed-RETAIL'!$E10)</f>
        <v>199.46</v>
      </c>
      <c r="AU10" s="43">
        <f>SUMIFS('SBR Mar16 - Aug16'!$N$16:$N$475,'SBR Mar16 - Aug16'!$A$16:$A$475,'Mar16-Aug16 Billed-RETAIL'!$D10,'SBR Mar16 - Aug16'!$C$16:$C$475,'Mar16-Aug16 Billed-RETAIL'!$E10)</f>
        <v>0</v>
      </c>
      <c r="AV10" s="43">
        <f>SUMIFS('SBR Mar16 - Aug16'!$Y$16:$Y$475,'SBR Mar16 - Aug16'!$A$16:$A$475,'Mar16-Aug16 Billed-RETAIL'!$D10,'SBR Mar16 - Aug16'!$C$16:$C$475,'Mar16-Aug16 Billed-RETAIL'!$E10)</f>
        <v>0</v>
      </c>
      <c r="AW10" s="43">
        <f>SUMIFS('SBR Mar16 - Aug16'!$X$16:$X$475,'SBR Mar16 - Aug16'!$A$16:$A$475,'Mar16-Aug16 Billed-RETAIL'!$D10,'SBR Mar16 - Aug16'!$C$16:$C$475,'Mar16-Aug16 Billed-RETAIL'!$E10)</f>
        <v>0</v>
      </c>
      <c r="AX10" s="36">
        <f t="shared" si="11"/>
        <v>0</v>
      </c>
      <c r="AY10" s="36"/>
      <c r="AZ10" s="43">
        <f t="shared" si="12"/>
        <v>25536.42</v>
      </c>
      <c r="BA10" s="43">
        <f t="shared" si="20"/>
        <v>25536.42</v>
      </c>
      <c r="BB10" s="44">
        <f t="shared" si="21"/>
        <v>1</v>
      </c>
      <c r="BC10" s="43">
        <f>SUMIFS('SBR Mar16 - Aug16'!$N$16:$N$475,'SBR Mar16 - Aug16'!$A$16:$A$475,'Mar16-Aug16 Billed-RETAIL'!$D10,'SBR Mar16 - Aug16'!$C$16:$C$475,'Mar16-Aug16 Billed-RETAIL'!$E10)</f>
        <v>0</v>
      </c>
      <c r="BD10" s="43">
        <f>SUMIFS('SBR Mar16 - Aug16'!$O$16:$O$475,'SBR Mar16 - Aug16'!$A$16:$A$475,'Mar16-Aug16 Billed-RETAIL'!$D10,'SBR Mar16 - Aug16'!$C$16:$C$475,'Mar16-Aug16 Billed-RETAIL'!$E10)</f>
        <v>199.46</v>
      </c>
      <c r="BE10" s="43">
        <f>SUMIFS('SBR Mar16 - Aug16'!$Y$16:$Y$475,'SBR Mar16 - Aug16'!$A$16:$A$475,'Mar16-Aug16 Billed-RETAIL'!$D10,'SBR Mar16 - Aug16'!$C$16:$C$475,'Mar16-Aug16 Billed-RETAIL'!$E10)</f>
        <v>0</v>
      </c>
      <c r="BF10" s="43">
        <f>SUMIFS('SBR Mar16 - Aug16'!$AB$16:$AB$475,'SBR Mar16 - Aug16'!$A$16:$A$475,'Mar16-Aug16 Billed-RETAIL'!$D10,'SBR Mar16 - Aug16'!$C$16:$C$475,'Mar16-Aug16 Billed-RETAIL'!$E10)</f>
        <v>0</v>
      </c>
      <c r="BG10" s="43">
        <f>SUMIFS('SBR Mar16 - Aug16'!$G$16:$G$137,'SBR Mar16 - Aug16'!$A$16:$A$137,'Mar16-Aug16 Billed-RETAIL'!$D10,'SBR Mar16 - Aug16'!$C$16:$C$137,'Mar16-Aug16 Billed-RETAIL'!$E10)</f>
        <v>25200</v>
      </c>
      <c r="BH10" s="43">
        <f>SUMIFS('SBR Mar16 - Aug16'!$I$16:$I$137,'SBR Mar16 - Aug16'!$A$16:$A$137,'Mar16-Aug16 Billed-RETAIL'!$D10,'SBR Mar16 - Aug16'!$C$16:$C$137,'Mar16-Aug16 Billed-RETAIL'!$E10)</f>
        <v>136.96</v>
      </c>
      <c r="BI10" s="43">
        <f>SUMIFS('SBR Mar16 - Aug16'!$H$16:$H$137,'SBR Mar16 - Aug16'!$A$16:$A$137,'Mar16-Aug16 Billed-RETAIL'!$D10,'SBR Mar16 - Aug16'!$C$16:$C$137,'Mar16-Aug16 Billed-RETAIL'!$E10)</f>
        <v>0</v>
      </c>
      <c r="BJ10" s="43">
        <f>SUMIFS('SBR Mar16 - Aug16'!$X$16:$X$137,'SBR Mar16 - Aug16'!$A$16:$A$137,'Mar16-Aug16 Billed-RETAIL'!$D10,'SBR Mar16 - Aug16'!$C$16:$C$137,'Mar16-Aug16 Billed-RETAIL'!$E10)</f>
        <v>0</v>
      </c>
      <c r="BL10" s="51">
        <f t="shared" si="13"/>
        <v>0</v>
      </c>
      <c r="BN10" s="58">
        <f t="shared" si="14"/>
        <v>0</v>
      </c>
      <c r="BO10" s="58">
        <f t="shared" si="15"/>
        <v>-7.9999999996971383E-5</v>
      </c>
      <c r="BP10" s="58">
        <f t="shared" si="16"/>
        <v>0</v>
      </c>
    </row>
    <row r="11" spans="3:68" ht="15" customHeight="1" x14ac:dyDescent="0.25">
      <c r="C11" s="14">
        <f t="shared" si="22"/>
        <v>5</v>
      </c>
      <c r="D11" s="604">
        <f t="shared" si="23"/>
        <v>42430</v>
      </c>
      <c r="E11" s="604" t="str">
        <f>+'Retail Rates'!$B$20</f>
        <v>LGCMG875</v>
      </c>
      <c r="F11" s="14" t="str">
        <f t="shared" si="17"/>
        <v>875</v>
      </c>
      <c r="G11" s="14" t="str">
        <f>VLOOKUP(E11,'Retail Rates'!$B$7:$D$34,3,FALSE)</f>
        <v>DGGS-C</v>
      </c>
      <c r="H11" s="33">
        <f>SUMIFS('Data-Retail'!$H$4:$H$1000,'Data-Retail'!$A$4:$A$1000,'Mar16-Aug16 Billed-RETAIL'!$D11,'Data-Retail'!$D$4:$D$1000,'Mar16-Aug16 Billed-RETAIL'!$E11)</f>
        <v>1</v>
      </c>
      <c r="I11" s="33"/>
      <c r="J11" s="33"/>
      <c r="K11" s="33">
        <f>SUMIFS('Data-Retail'!$I$4:$I$1000,'Data-Retail'!$A$4:$A$1000,'Mar16-Aug16 Billed-RETAIL'!$D11,'Data-Retail'!$D$4:$D$1000,'Mar16-Aug16 Billed-RETAIL'!$E11)</f>
        <v>6</v>
      </c>
      <c r="L11" s="33">
        <f>SUMIFS('Data-Retail'!$J$4:$J$1000,'Data-Retail'!$A$4:$A$1000,'Mar16-Aug16 Billed-RETAIL'!$D11,'Data-Retail'!$D$4:$D$1000,'Mar16-Aug16 Billed-RETAIL'!$E11)</f>
        <v>0</v>
      </c>
      <c r="M11" s="33">
        <v>483</v>
      </c>
      <c r="N11" s="34">
        <f>VLOOKUP($E11,'Retail Rates'!$B$7:$L$34,5,FALSE)</f>
        <v>40</v>
      </c>
      <c r="O11" s="34">
        <f>VLOOKUP($E11,'Retail Rates'!$B$7:$L$34,6,FALSE)</f>
        <v>180</v>
      </c>
      <c r="P11" s="35">
        <f>VLOOKUP($E11,'Retail Rates'!$B$7:$L$34,7,FALSE)</f>
        <v>3.329E-2</v>
      </c>
      <c r="Q11" s="35">
        <f>VLOOKUP($E11,'Retail Rates'!$B$7:$L$34,8,FALSE)</f>
        <v>0</v>
      </c>
      <c r="R11" s="35">
        <f>VLOOKUP($D11,'GSC-DSM-GLT Factors'!$A$1:$B$60,2,FALSE)</f>
        <v>0.32343</v>
      </c>
      <c r="S11" s="34">
        <f>VLOOKUP($E11,'Retail Rates'!$B$7:$L$34,9,FALSE)</f>
        <v>0</v>
      </c>
      <c r="T11" s="35">
        <f>VLOOKUP($E11,'Retail Rates'!$B$7:$L$34,10,FALSE)</f>
        <v>0</v>
      </c>
      <c r="U11" s="699">
        <f>VLOOKUP($E11,'Retail Rates'!$B$7:$L$34,11,FALSE)</f>
        <v>1.1263000000000001</v>
      </c>
      <c r="V11" s="556">
        <f>VLOOKUP($D11,'GSC-DSM-GLT Factors'!$A$1:$O$60,15,FALSE)</f>
        <v>0</v>
      </c>
      <c r="W11" s="36">
        <f t="shared" si="18"/>
        <v>40</v>
      </c>
      <c r="X11" s="36"/>
      <c r="Y11" s="36"/>
      <c r="Z11" s="36">
        <f t="shared" si="4"/>
        <v>0.19974</v>
      </c>
      <c r="AA11" s="36">
        <f t="shared" si="4"/>
        <v>0</v>
      </c>
      <c r="AB11" s="36">
        <f t="shared" si="5"/>
        <v>1.94058</v>
      </c>
      <c r="AC11" s="36"/>
      <c r="AD11" s="36"/>
      <c r="AE11" s="36">
        <f t="shared" si="19"/>
        <v>544.00290000000007</v>
      </c>
      <c r="AF11" s="36">
        <f t="shared" si="6"/>
        <v>0</v>
      </c>
      <c r="AG11" s="57">
        <f>SUMIFS(Adjustments!H$5:H$557,Adjustments!$B$5:$B$557,'Mar16-Aug16 Billed-RETAIL'!$D11,Adjustments!$C$5:$C$557,'Mar16-Aug16 Billed-RETAIL'!$E11)</f>
        <v>0</v>
      </c>
      <c r="AH11" s="57">
        <f>SUMIFS(Adjustments!I$5:I$557,Adjustments!$B$5:$B$557,'Mar16-Aug16 Billed-RETAIL'!$D11,Adjustments!$C$5:$C$557,'Mar16-Aug16 Billed-RETAIL'!$E11)</f>
        <v>0</v>
      </c>
      <c r="AI11" s="48">
        <f>SUMIFS(Adjustments!J$5:J$557,Adjustments!$B$5:$B$557,'Mar16-Aug16 Billed-RETAIL'!$D11,Adjustments!$C$5:$C$557,'Mar16-Aug16 Billed-RETAIL'!$E11)</f>
        <v>0</v>
      </c>
      <c r="AJ11" s="48">
        <f>SUMIFS(Adjustments!K$5:K$557,Adjustments!$B$5:$B$557,'Mar16-Aug16 Billed-RETAIL'!$D11,Adjustments!$C$5:$C$557,'Mar16-Aug16 Billed-RETAIL'!$E11)</f>
        <v>0</v>
      </c>
      <c r="AK11" s="48">
        <f>SUMIFS(Adjustments!L$5:L$557,Adjustments!$B$5:$B$557,'Mar16-Aug16 Billed-RETAIL'!$D11,Adjustments!$C$5:$C$557,'Mar16-Aug16 Billed-RETAIL'!$E11)</f>
        <v>0</v>
      </c>
      <c r="AL11" s="48">
        <f>SUMIFS(Adjustments!M$5:M$557,Adjustments!$B$5:$B$557,'Mar16-Aug16 Billed-RETAIL'!$D11,Adjustments!$C$5:$C$557,'Mar16-Aug16 Billed-RETAIL'!$E11)</f>
        <v>0</v>
      </c>
      <c r="AM11" s="48">
        <f>SUMIFS(Adjustments!N$5:N$557,Adjustments!$B$5:$B$557,'Mar16-Aug16 Billed-RETAIL'!$D11,Adjustments!$C$5:$C$557,'Mar16-Aug16 Billed-RETAIL'!$E11)</f>
        <v>0</v>
      </c>
      <c r="AN11" s="48">
        <f>SUMIFS(Adjustments!O$5:O$557,Adjustments!$B$5:$B$557,'Mar16-Aug16 Billed-RETAIL'!$D11,Adjustments!$C$5:$C$557,'Mar16-Aug16 Billed-RETAIL'!$E11)</f>
        <v>0</v>
      </c>
      <c r="AO11" s="48">
        <f>SUMIFS(Adjustments!P$5:P$557,Adjustments!$B$5:$B$557,'Mar16-Aug16 Billed-RETAIL'!$D11,Adjustments!$C$5:$C$557,'Mar16-Aug16 Billed-RETAIL'!$E11)</f>
        <v>0</v>
      </c>
      <c r="AP11" s="36">
        <f t="shared" si="7"/>
        <v>40</v>
      </c>
      <c r="AQ11" s="36">
        <f t="shared" si="8"/>
        <v>0</v>
      </c>
      <c r="AR11" s="36">
        <f t="shared" si="9"/>
        <v>0.19974</v>
      </c>
      <c r="AS11" s="36">
        <f t="shared" si="10"/>
        <v>0</v>
      </c>
      <c r="AT11" s="43">
        <f>SUMIFS('SBR Mar16 - Aug16'!$O$16:$O$475,'SBR Mar16 - Aug16'!$A$16:$A$475,'Mar16-Aug16 Billed-RETAIL'!$D11,'SBR Mar16 - Aug16'!$C$16:$C$475,'Mar16-Aug16 Billed-RETAIL'!$E11)</f>
        <v>1.94</v>
      </c>
      <c r="AU11" s="43">
        <f>SUMIFS('SBR Mar16 - Aug16'!$N$16:$N$475,'SBR Mar16 - Aug16'!$A$16:$A$475,'Mar16-Aug16 Billed-RETAIL'!$D11,'SBR Mar16 - Aug16'!$C$16:$C$475,'Mar16-Aug16 Billed-RETAIL'!$E11)</f>
        <v>0</v>
      </c>
      <c r="AV11" s="43">
        <f>SUMIFS('SBR Mar16 - Aug16'!$Y$16:$Y$475,'SBR Mar16 - Aug16'!$A$16:$A$475,'Mar16-Aug16 Billed-RETAIL'!$D11,'SBR Mar16 - Aug16'!$C$16:$C$475,'Mar16-Aug16 Billed-RETAIL'!$E11)</f>
        <v>0</v>
      </c>
      <c r="AW11" s="43">
        <f>SUMIFS('SBR Mar16 - Aug16'!$X$16:$X$475,'SBR Mar16 - Aug16'!$A$16:$A$475,'Mar16-Aug16 Billed-RETAIL'!$D11,'SBR Mar16 - Aug16'!$C$16:$C$475,'Mar16-Aug16 Billed-RETAIL'!$E11)</f>
        <v>0</v>
      </c>
      <c r="AX11" s="36">
        <f t="shared" si="11"/>
        <v>544.00290000000007</v>
      </c>
      <c r="AY11" s="36"/>
      <c r="AZ11" s="43">
        <f t="shared" si="12"/>
        <v>586.14</v>
      </c>
      <c r="BA11" s="43">
        <f t="shared" si="20"/>
        <v>586.14</v>
      </c>
      <c r="BB11" s="44">
        <f t="shared" si="21"/>
        <v>1</v>
      </c>
      <c r="BC11" s="43">
        <f>SUMIFS('SBR Mar16 - Aug16'!$N$16:$N$475,'SBR Mar16 - Aug16'!$A$16:$A$475,'Mar16-Aug16 Billed-RETAIL'!$D11,'SBR Mar16 - Aug16'!$C$16:$C$475,'Mar16-Aug16 Billed-RETAIL'!$E11)</f>
        <v>0</v>
      </c>
      <c r="BD11" s="43">
        <f>SUMIFS('SBR Mar16 - Aug16'!$O$16:$O$475,'SBR Mar16 - Aug16'!$A$16:$A$475,'Mar16-Aug16 Billed-RETAIL'!$D11,'SBR Mar16 - Aug16'!$C$16:$C$475,'Mar16-Aug16 Billed-RETAIL'!$E11)</f>
        <v>1.94</v>
      </c>
      <c r="BE11" s="43">
        <f>SUMIFS('SBR Mar16 - Aug16'!$Y$16:$Y$475,'SBR Mar16 - Aug16'!$A$16:$A$475,'Mar16-Aug16 Billed-RETAIL'!$D11,'SBR Mar16 - Aug16'!$C$16:$C$475,'Mar16-Aug16 Billed-RETAIL'!$E11)</f>
        <v>0</v>
      </c>
      <c r="BF11" s="43">
        <f>SUMIFS('SBR Mar16 - Aug16'!$AB$16:$AB$475,'SBR Mar16 - Aug16'!$A$16:$A$475,'Mar16-Aug16 Billed-RETAIL'!$D11,'SBR Mar16 - Aug16'!$C$16:$C$475,'Mar16-Aug16 Billed-RETAIL'!$E11)</f>
        <v>0</v>
      </c>
      <c r="BG11" s="43">
        <f>SUMIFS('SBR Mar16 - Aug16'!$G$16:$G$137,'SBR Mar16 - Aug16'!$A$16:$A$137,'Mar16-Aug16 Billed-RETAIL'!$D11,'SBR Mar16 - Aug16'!$C$16:$C$137,'Mar16-Aug16 Billed-RETAIL'!$E11)</f>
        <v>40</v>
      </c>
      <c r="BH11" s="43">
        <f>SUMIFS('SBR Mar16 - Aug16'!$I$16:$I$137,'SBR Mar16 - Aug16'!$A$16:$A$137,'Mar16-Aug16 Billed-RETAIL'!$D11,'SBR Mar16 - Aug16'!$C$16:$C$137,'Mar16-Aug16 Billed-RETAIL'!$E11)</f>
        <v>0.2</v>
      </c>
      <c r="BI11" s="43">
        <f>SUMIFS('SBR Mar16 - Aug16'!$H$16:$H$137,'SBR Mar16 - Aug16'!$A$16:$A$137,'Mar16-Aug16 Billed-RETAIL'!$D11,'SBR Mar16 - Aug16'!$C$16:$C$137,'Mar16-Aug16 Billed-RETAIL'!$E11)</f>
        <v>544</v>
      </c>
      <c r="BJ11" s="43">
        <f>SUMIFS('SBR Mar16 - Aug16'!$X$16:$X$137,'SBR Mar16 - Aug16'!$A$16:$A$137,'Mar16-Aug16 Billed-RETAIL'!$D11,'SBR Mar16 - Aug16'!$C$16:$C$137,'Mar16-Aug16 Billed-RETAIL'!$E11)</f>
        <v>0</v>
      </c>
      <c r="BL11" s="51">
        <f t="shared" si="13"/>
        <v>0</v>
      </c>
      <c r="BN11" s="58">
        <f t="shared" si="14"/>
        <v>0</v>
      </c>
      <c r="BO11" s="58">
        <f t="shared" si="15"/>
        <v>-2.6000000000001022E-4</v>
      </c>
      <c r="BP11" s="58">
        <f t="shared" si="16"/>
        <v>0</v>
      </c>
    </row>
    <row r="12" spans="3:68" ht="15" customHeight="1" x14ac:dyDescent="0.25">
      <c r="C12" s="14">
        <f t="shared" si="22"/>
        <v>6</v>
      </c>
      <c r="D12" s="604">
        <f t="shared" si="23"/>
        <v>42430</v>
      </c>
      <c r="E12" s="604" t="str">
        <f>+'Retail Rates'!$B$26</f>
        <v>LGING855</v>
      </c>
      <c r="F12" s="14" t="str">
        <f t="shared" si="17"/>
        <v>855</v>
      </c>
      <c r="G12" s="14" t="s">
        <v>118</v>
      </c>
      <c r="H12" s="33"/>
      <c r="I12" s="33">
        <f>SUMIFS(Adjustments!F$5:F$26,Adjustments!$B$5:$B$26,'Mar16-Aug16 Billed-RETAIL'!$D12,Adjustments!$C$5:$C$26,'Mar16-Aug16 Billed-RETAIL'!$E12)</f>
        <v>129</v>
      </c>
      <c r="J12" s="33">
        <f>SUMIFS(Adjustments!G$5:G$26,Adjustments!$B$5:$B$26,'Mar16-Aug16 Billed-RETAIL'!$D12,Adjustments!$C$5:$C$26,'Mar16-Aug16 Billed-RETAIL'!$E12)</f>
        <v>118</v>
      </c>
      <c r="K12" s="33">
        <f>SUMIFS('Data-Retail'!$I$4:$I$1000,'Data-Retail'!$A$4:$A$1000,'Mar16-Aug16 Billed-RETAIL'!$D12,'Data-Retail'!$D$4:$D$1000,'Mar16-Aug16 Billed-RETAIL'!$E12)</f>
        <v>1153217</v>
      </c>
      <c r="L12" s="33">
        <f>SUMIFS('Data-Retail'!$J$4:$J$1000,'Data-Retail'!$A$4:$A$1000,'Mar16-Aug16 Billed-RETAIL'!$D12,'Data-Retail'!$D$4:$D$1000,'Mar16-Aug16 Billed-RETAIL'!$E12)</f>
        <v>0</v>
      </c>
      <c r="M12" s="33"/>
      <c r="N12" s="34">
        <f>VLOOKUP($E12,'Retail Rates'!$B$7:$L$34,5,FALSE)</f>
        <v>40</v>
      </c>
      <c r="O12" s="34">
        <f>VLOOKUP($E12,'Retail Rates'!$B$7:$L$34,6,FALSE)</f>
        <v>180</v>
      </c>
      <c r="P12" s="35">
        <f>VLOOKUP($E12,'Retail Rates'!$B$7:$L$34,7,FALSE)</f>
        <v>0.22778999999999999</v>
      </c>
      <c r="Q12" s="35">
        <f>VLOOKUP($E12,'Retail Rates'!$B$7:$L$34,8,FALSE)</f>
        <v>0.17779</v>
      </c>
      <c r="R12" s="35">
        <f>VLOOKUP($D12,'GSC-DSM-GLT Factors'!$A$1:$B$60,2,FALSE)</f>
        <v>0.32343</v>
      </c>
      <c r="S12" s="34">
        <f>VLOOKUP($E12,'Retail Rates'!$B$7:$L$34,9,FALSE)</f>
        <v>0</v>
      </c>
      <c r="T12" s="35">
        <f>VLOOKUP($E12,'Retail Rates'!$B$7:$L$34,10,FALSE)</f>
        <v>0</v>
      </c>
      <c r="U12" s="34">
        <f>VLOOKUP($E12,'Retail Rates'!$B$7:$L$34,11,FALSE)</f>
        <v>0</v>
      </c>
      <c r="V12" s="556">
        <f>VLOOKUP($D12,'GSC-DSM-GLT Factors'!$A$1:$O$60,13,FALSE)</f>
        <v>245.08</v>
      </c>
      <c r="W12" s="36">
        <f t="shared" si="18"/>
        <v>5160</v>
      </c>
      <c r="X12" s="36"/>
      <c r="Y12" s="36">
        <f>+J12*O12</f>
        <v>21240</v>
      </c>
      <c r="Z12" s="36">
        <f t="shared" si="4"/>
        <v>262691.30043</v>
      </c>
      <c r="AA12" s="36">
        <f t="shared" si="4"/>
        <v>0</v>
      </c>
      <c r="AB12" s="36">
        <f t="shared" si="5"/>
        <v>372984.97431000002</v>
      </c>
      <c r="AC12" s="36"/>
      <c r="AD12" s="36"/>
      <c r="AE12" s="36">
        <f t="shared" si="19"/>
        <v>0</v>
      </c>
      <c r="AF12" s="36">
        <f t="shared" si="6"/>
        <v>31615.320000000003</v>
      </c>
      <c r="AG12" s="57">
        <f>SUMIFS(Adjustments!H$5:H$557,Adjustments!$B$5:$B$557,'Mar16-Aug16 Billed-RETAIL'!$D12,Adjustments!$C$5:$C$557,'Mar16-Aug16 Billed-RETAIL'!$E12)</f>
        <v>0</v>
      </c>
      <c r="AH12" s="57">
        <f>SUMIFS(Adjustments!I$5:I$557,Adjustments!$B$5:$B$557,'Mar16-Aug16 Billed-RETAIL'!$D12,Adjustments!$C$5:$C$557,'Mar16-Aug16 Billed-RETAIL'!$E12)</f>
        <v>0</v>
      </c>
      <c r="AI12" s="48">
        <f>SUMIFS(Adjustments!J$5:J$557,Adjustments!$B$5:$B$557,'Mar16-Aug16 Billed-RETAIL'!$D12,Adjustments!$C$5:$C$557,'Mar16-Aug16 Billed-RETAIL'!$E12)</f>
        <v>5.33</v>
      </c>
      <c r="AJ12" s="48">
        <f>SUMIFS(Adjustments!K$5:K$557,Adjustments!$B$5:$B$557,'Mar16-Aug16 Billed-RETAIL'!$D12,Adjustments!$C$5:$C$557,'Mar16-Aug16 Billed-RETAIL'!$E12)</f>
        <v>0.01</v>
      </c>
      <c r="AK12" s="48">
        <f>SUMIFS(Adjustments!L$5:L$557,Adjustments!$B$5:$B$557,'Mar16-Aug16 Billed-RETAIL'!$D12,Adjustments!$C$5:$C$557,'Mar16-Aug16 Billed-RETAIL'!$E12)</f>
        <v>0.06</v>
      </c>
      <c r="AL12" s="48">
        <f>SUMIFS(Adjustments!M$5:M$557,Adjustments!$B$5:$B$557,'Mar16-Aug16 Billed-RETAIL'!$D12,Adjustments!$C$5:$C$557,'Mar16-Aug16 Billed-RETAIL'!$E12)</f>
        <v>0</v>
      </c>
      <c r="AM12" s="48">
        <f>SUMIFS(Adjustments!N$5:N$557,Adjustments!$B$5:$B$557,'Mar16-Aug16 Billed-RETAIL'!$D12,Adjustments!$C$5:$C$557,'Mar16-Aug16 Billed-RETAIL'!$E12)</f>
        <v>0</v>
      </c>
      <c r="AN12" s="48">
        <f>SUMIFS(Adjustments!O$5:O$557,Adjustments!$B$5:$B$557,'Mar16-Aug16 Billed-RETAIL'!$D12,Adjustments!$C$5:$C$557,'Mar16-Aug16 Billed-RETAIL'!$E12)</f>
        <v>0</v>
      </c>
      <c r="AO12" s="48">
        <f>SUMIFS(Adjustments!P$5:P$557,Adjustments!$B$5:$B$557,'Mar16-Aug16 Billed-RETAIL'!$D12,Adjustments!$C$5:$C$557,'Mar16-Aug16 Billed-RETAIL'!$E12)</f>
        <v>0</v>
      </c>
      <c r="AP12" s="36">
        <f t="shared" si="7"/>
        <v>5165.33</v>
      </c>
      <c r="AQ12" s="36">
        <f t="shared" si="8"/>
        <v>21240.01</v>
      </c>
      <c r="AR12" s="36">
        <f t="shared" si="9"/>
        <v>262691.36043</v>
      </c>
      <c r="AS12" s="36">
        <f t="shared" si="10"/>
        <v>0</v>
      </c>
      <c r="AT12" s="43">
        <f>SUMIFS('SBR Mar16 - Aug16'!$O$16:$O$475,'SBR Mar16 - Aug16'!$A$16:$A$475,'Mar16-Aug16 Billed-RETAIL'!$D12,'SBR Mar16 - Aug16'!$C$16:$C$475,'Mar16-Aug16 Billed-RETAIL'!$E12)</f>
        <v>373095.29</v>
      </c>
      <c r="AU12" s="43">
        <f>SUMIFS('SBR Mar16 - Aug16'!$N$16:$N$475,'SBR Mar16 - Aug16'!$A$16:$A$475,'Mar16-Aug16 Billed-RETAIL'!$D12,'SBR Mar16 - Aug16'!$C$16:$C$475,'Mar16-Aug16 Billed-RETAIL'!$E12)</f>
        <v>0</v>
      </c>
      <c r="AV12" s="43">
        <f>SUMIFS('SBR Mar16 - Aug16'!$Y$16:$Y$475,'SBR Mar16 - Aug16'!$A$16:$A$475,'Mar16-Aug16 Billed-RETAIL'!$D12,'SBR Mar16 - Aug16'!$C$16:$C$475,'Mar16-Aug16 Billed-RETAIL'!$E12)</f>
        <v>0</v>
      </c>
      <c r="AW12" s="43">
        <f>SUMIFS('SBR Mar16 - Aug16'!$X$16:$X$475,'SBR Mar16 - Aug16'!$A$16:$A$475,'Mar16-Aug16 Billed-RETAIL'!$D12,'SBR Mar16 - Aug16'!$C$16:$C$475,'Mar16-Aug16 Billed-RETAIL'!$E12)</f>
        <v>60564.14</v>
      </c>
      <c r="AX12" s="36">
        <f t="shared" si="11"/>
        <v>0</v>
      </c>
      <c r="AY12" s="36"/>
      <c r="AZ12" s="43">
        <f t="shared" si="12"/>
        <v>722756.13</v>
      </c>
      <c r="BA12" s="43">
        <f t="shared" si="20"/>
        <v>722756.13</v>
      </c>
      <c r="BB12" s="44">
        <f t="shared" si="21"/>
        <v>1</v>
      </c>
      <c r="BC12" s="43">
        <f>SUMIFS('SBR Mar16 - Aug16'!$N$16:$N$475,'SBR Mar16 - Aug16'!$A$16:$A$475,'Mar16-Aug16 Billed-RETAIL'!$D12,'SBR Mar16 - Aug16'!$C$16:$C$475,'Mar16-Aug16 Billed-RETAIL'!$E12)</f>
        <v>0</v>
      </c>
      <c r="BD12" s="43">
        <f>SUMIFS('SBR Mar16 - Aug16'!$O$16:$O$475,'SBR Mar16 - Aug16'!$A$16:$A$475,'Mar16-Aug16 Billed-RETAIL'!$D12,'SBR Mar16 - Aug16'!$C$16:$C$475,'Mar16-Aug16 Billed-RETAIL'!$E12)</f>
        <v>373095.29</v>
      </c>
      <c r="BE12" s="43">
        <f>SUMIFS('SBR Mar16 - Aug16'!$Y$16:$Y$475,'SBR Mar16 - Aug16'!$A$16:$A$475,'Mar16-Aug16 Billed-RETAIL'!$D12,'SBR Mar16 - Aug16'!$C$16:$C$475,'Mar16-Aug16 Billed-RETAIL'!$E12)</f>
        <v>0</v>
      </c>
      <c r="BF12" s="43">
        <f>SUMIFS('SBR Mar16 - Aug16'!$AB$16:$AB$475,'SBR Mar16 - Aug16'!$A$16:$A$475,'Mar16-Aug16 Billed-RETAIL'!$D12,'SBR Mar16 - Aug16'!$C$16:$C$475,'Mar16-Aug16 Billed-RETAIL'!$E12)</f>
        <v>0</v>
      </c>
      <c r="BG12" s="43">
        <f>SUMIFS('SBR Mar16 - Aug16'!$G$16:$G$137,'SBR Mar16 - Aug16'!$A$16:$A$137,'Mar16-Aug16 Billed-RETAIL'!$D12,'SBR Mar16 - Aug16'!$C$16:$C$137,'Mar16-Aug16 Billed-RETAIL'!$E12)</f>
        <v>26405.34</v>
      </c>
      <c r="BH12" s="43">
        <f>SUMIFS('SBR Mar16 - Aug16'!$I$16:$I$137,'SBR Mar16 - Aug16'!$A$16:$A$137,'Mar16-Aug16 Billed-RETAIL'!$D12,'SBR Mar16 - Aug16'!$C$16:$C$137,'Mar16-Aug16 Billed-RETAIL'!$E12)</f>
        <v>262691.36</v>
      </c>
      <c r="BI12" s="43">
        <f>SUMIFS('SBR Mar16 - Aug16'!$H$16:$H$137,'SBR Mar16 - Aug16'!$A$16:$A$137,'Mar16-Aug16 Billed-RETAIL'!$D12,'SBR Mar16 - Aug16'!$C$16:$C$137,'Mar16-Aug16 Billed-RETAIL'!$E12)</f>
        <v>0</v>
      </c>
      <c r="BJ12" s="43">
        <f>SUMIFS('SBR Mar16 - Aug16'!$X$16:$X$137,'SBR Mar16 - Aug16'!$A$16:$A$137,'Mar16-Aug16 Billed-RETAIL'!$D12,'SBR Mar16 - Aug16'!$C$16:$C$137,'Mar16-Aug16 Billed-RETAIL'!$E12)</f>
        <v>60564.14</v>
      </c>
      <c r="BL12" s="51">
        <f t="shared" si="13"/>
        <v>0</v>
      </c>
      <c r="BN12" s="58">
        <f t="shared" si="14"/>
        <v>0</v>
      </c>
      <c r="BO12" s="58">
        <f t="shared" si="15"/>
        <v>4.3000001460313797E-4</v>
      </c>
      <c r="BP12" s="58">
        <f t="shared" si="16"/>
        <v>0</v>
      </c>
    </row>
    <row r="13" spans="3:68" ht="15" customHeight="1" x14ac:dyDescent="0.25">
      <c r="C13" s="14">
        <f t="shared" si="22"/>
        <v>7</v>
      </c>
      <c r="D13" s="604">
        <f t="shared" si="23"/>
        <v>42430</v>
      </c>
      <c r="E13" s="604" t="str">
        <f>+'Retail Rates'!$B$31</f>
        <v>LGRSG811</v>
      </c>
      <c r="F13" s="14" t="str">
        <f t="shared" si="17"/>
        <v>811</v>
      </c>
      <c r="G13" s="14" t="str">
        <f>VLOOKUP(E13,'Retail Rates'!$B$7:$D$34,3,FALSE)</f>
        <v>RGS</v>
      </c>
      <c r="H13" s="33">
        <f>SUMIFS('Data-Retail'!$H$4:$H$1000,'Data-Retail'!$A$4:$A$1000,'Mar16-Aug16 Billed-RETAIL'!$D13,'Data-Retail'!$D$4:$D$1000,'Mar16-Aug16 Billed-RETAIL'!$E13)</f>
        <v>305110</v>
      </c>
      <c r="I13" s="33"/>
      <c r="J13" s="33"/>
      <c r="K13" s="33">
        <f>SUMIFS('Data-Retail'!$I$4:$I$1000,'Data-Retail'!$A$4:$A$1000,'Mar16-Aug16 Billed-RETAIL'!$D13,'Data-Retail'!$D$4:$D$1000,'Mar16-Aug16 Billed-RETAIL'!$E13)</f>
        <v>24948230</v>
      </c>
      <c r="L13" s="33">
        <f>SUMIFS('Data-Retail'!$J$4:$J$1000,'Data-Retail'!$A$4:$A$1000,'Mar16-Aug16 Billed-RETAIL'!$D13,'Data-Retail'!$D$4:$D$1000,'Mar16-Aug16 Billed-RETAIL'!$E13)</f>
        <v>0</v>
      </c>
      <c r="M13" s="33"/>
      <c r="N13" s="34">
        <f>VLOOKUP($E13,'Retail Rates'!$B$7:$L$34,5,FALSE)</f>
        <v>13.5</v>
      </c>
      <c r="O13" s="34">
        <f>VLOOKUP($E13,'Retail Rates'!$B$7:$L$34,6,FALSE)</f>
        <v>0</v>
      </c>
      <c r="P13" s="35">
        <f>VLOOKUP($E13,'Retail Rates'!$B$7:$L$34,7,FALSE)</f>
        <v>0.28693000000000002</v>
      </c>
      <c r="Q13" s="35">
        <f>VLOOKUP($E13,'Retail Rates'!$B$7:$L$34,8,FALSE)</f>
        <v>0</v>
      </c>
      <c r="R13" s="35">
        <f>VLOOKUP($D13,'GSC-DSM-GLT Factors'!$A$1:$B$60,2,FALSE)</f>
        <v>0.32343</v>
      </c>
      <c r="S13" s="34">
        <f>VLOOKUP($E13,'Retail Rates'!$B$7:$L$34,9,FALSE)</f>
        <v>0</v>
      </c>
      <c r="T13" s="35">
        <f>VLOOKUP($E13,'Retail Rates'!$B$7:$L$34,10,FALSE)</f>
        <v>0</v>
      </c>
      <c r="U13" s="34">
        <f>VLOOKUP($E13,'Retail Rates'!$B$7:$L$34,11,FALSE)</f>
        <v>0</v>
      </c>
      <c r="V13" s="556">
        <f>VLOOKUP($D13,'GSC-DSM-GLT Factors'!$A$1:$O$60,10,FALSE)</f>
        <v>4.8499999999999996</v>
      </c>
      <c r="W13" s="36">
        <f t="shared" si="18"/>
        <v>4118985</v>
      </c>
      <c r="X13" s="36"/>
      <c r="Y13" s="36"/>
      <c r="Z13" s="36">
        <f t="shared" ref="Z13:AA15" si="24">+K13*P13</f>
        <v>7158395.6339000007</v>
      </c>
      <c r="AA13" s="36">
        <f t="shared" si="24"/>
        <v>0</v>
      </c>
      <c r="AB13" s="36">
        <f t="shared" si="5"/>
        <v>8069006.0289000003</v>
      </c>
      <c r="AC13" s="36"/>
      <c r="AD13" s="36"/>
      <c r="AE13" s="36">
        <f t="shared" si="19"/>
        <v>0</v>
      </c>
      <c r="AF13" s="36">
        <f t="shared" si="6"/>
        <v>1479783.5</v>
      </c>
      <c r="AG13" s="57">
        <f>SUMIFS(Adjustments!H$5:H$557,Adjustments!$B$5:$B$557,'Mar16-Aug16 Billed-RETAIL'!$D13,Adjustments!$C$5:$C$557,'Mar16-Aug16 Billed-RETAIL'!$E13)</f>
        <v>-2216</v>
      </c>
      <c r="AH13" s="57">
        <f>SUMIFS(Adjustments!I$5:I$557,Adjustments!$B$5:$B$557,'Mar16-Aug16 Billed-RETAIL'!$D13,Adjustments!$C$5:$C$557,'Mar16-Aug16 Billed-RETAIL'!$E13)</f>
        <v>0</v>
      </c>
      <c r="AI13" s="48">
        <f>SUMIFS(Adjustments!J$5:J$557,Adjustments!$B$5:$B$557,'Mar16-Aug16 Billed-RETAIL'!$D13,Adjustments!$C$5:$C$557,'Mar16-Aug16 Billed-RETAIL'!$E13)</f>
        <v>20.420000000000002</v>
      </c>
      <c r="AJ13" s="48">
        <f>SUMIFS(Adjustments!K$5:K$557,Adjustments!$B$5:$B$557,'Mar16-Aug16 Billed-RETAIL'!$D13,Adjustments!$C$5:$C$557,'Mar16-Aug16 Billed-RETAIL'!$E13)</f>
        <v>0</v>
      </c>
      <c r="AK13" s="48">
        <f>SUMIFS(Adjustments!L$5:L$557,Adjustments!$B$5:$B$557,'Mar16-Aug16 Billed-RETAIL'!$D13,Adjustments!$C$5:$C$557,'Mar16-Aug16 Billed-RETAIL'!$E13)</f>
        <v>5.22</v>
      </c>
      <c r="AL13" s="48">
        <f>SUMIFS(Adjustments!M$5:M$557,Adjustments!$B$5:$B$557,'Mar16-Aug16 Billed-RETAIL'!$D13,Adjustments!$C$5:$C$557,'Mar16-Aug16 Billed-RETAIL'!$E13)</f>
        <v>0</v>
      </c>
      <c r="AM13" s="48">
        <f>SUMIFS(Adjustments!N$5:N$557,Adjustments!$B$5:$B$557,'Mar16-Aug16 Billed-RETAIL'!$D13,Adjustments!$C$5:$C$557,'Mar16-Aug16 Billed-RETAIL'!$E13)</f>
        <v>0</v>
      </c>
      <c r="AN13" s="48">
        <f>SUMIFS(Adjustments!O$5:O$557,Adjustments!$B$5:$B$557,'Mar16-Aug16 Billed-RETAIL'!$D13,Adjustments!$C$5:$C$557,'Mar16-Aug16 Billed-RETAIL'!$E13)</f>
        <v>0</v>
      </c>
      <c r="AO13" s="48">
        <f>SUMIFS(Adjustments!P$5:P$557,Adjustments!$B$5:$B$557,'Mar16-Aug16 Billed-RETAIL'!$D13,Adjustments!$C$5:$C$557,'Mar16-Aug16 Billed-RETAIL'!$E13)</f>
        <v>0</v>
      </c>
      <c r="AP13" s="36">
        <f t="shared" si="7"/>
        <v>4089089.42</v>
      </c>
      <c r="AQ13" s="36">
        <f t="shared" si="8"/>
        <v>0</v>
      </c>
      <c r="AR13" s="36">
        <f t="shared" si="9"/>
        <v>7158400.8539000005</v>
      </c>
      <c r="AS13" s="36">
        <f t="shared" si="10"/>
        <v>0</v>
      </c>
      <c r="AT13" s="43">
        <f>SUMIFS('SBR Mar16 - Aug16'!$O$16:$O$475,'SBR Mar16 - Aug16'!$A$16:$A$475,'Mar16-Aug16 Billed-RETAIL'!$D13,'SBR Mar16 - Aug16'!$C$16:$C$475,'Mar16-Aug16 Billed-RETAIL'!$E13)</f>
        <v>8068945.1399999997</v>
      </c>
      <c r="AU13" s="43">
        <f>SUMIFS('SBR Mar16 - Aug16'!$N$16:$N$475,'SBR Mar16 - Aug16'!$A$16:$A$475,'Mar16-Aug16 Billed-RETAIL'!$D13,'SBR Mar16 - Aug16'!$C$16:$C$475,'Mar16-Aug16 Billed-RETAIL'!$E13)</f>
        <v>226278.29</v>
      </c>
      <c r="AV13" s="43">
        <f>SUMIFS('SBR Mar16 - Aug16'!$Y$16:$Y$475,'SBR Mar16 - Aug16'!$A$16:$A$475,'Mar16-Aug16 Billed-RETAIL'!$D13,'SBR Mar16 - Aug16'!$C$16:$C$475,'Mar16-Aug16 Billed-RETAIL'!$E13)</f>
        <v>1299858.1000000001</v>
      </c>
      <c r="AW13" s="43">
        <f>SUMIFS('SBR Mar16 - Aug16'!$X$16:$X$475,'SBR Mar16 - Aug16'!$A$16:$A$475,'Mar16-Aug16 Billed-RETAIL'!$D13,'SBR Mar16 - Aug16'!$C$16:$C$475,'Mar16-Aug16 Billed-RETAIL'!$E13)</f>
        <v>1469035.87</v>
      </c>
      <c r="AX13" s="36">
        <f t="shared" si="11"/>
        <v>0</v>
      </c>
      <c r="AY13" s="36"/>
      <c r="AZ13" s="43">
        <f t="shared" si="12"/>
        <v>22311607.670000002</v>
      </c>
      <c r="BA13" s="43">
        <f t="shared" si="20"/>
        <v>22311607.66</v>
      </c>
      <c r="BB13" s="44">
        <f t="shared" si="21"/>
        <v>1</v>
      </c>
      <c r="BC13" s="43">
        <f>SUMIFS('SBR Mar16 - Aug16'!$N$16:$N$475,'SBR Mar16 - Aug16'!$A$16:$A$475,'Mar16-Aug16 Billed-RETAIL'!$D13,'SBR Mar16 - Aug16'!$C$16:$C$475,'Mar16-Aug16 Billed-RETAIL'!$E13)</f>
        <v>226278.29</v>
      </c>
      <c r="BD13" s="43">
        <f>SUMIFS('SBR Mar16 - Aug16'!$O$16:$O$475,'SBR Mar16 - Aug16'!$A$16:$A$475,'Mar16-Aug16 Billed-RETAIL'!$D13,'SBR Mar16 - Aug16'!$C$16:$C$475,'Mar16-Aug16 Billed-RETAIL'!$E13)</f>
        <v>8068945.1399999997</v>
      </c>
      <c r="BE13" s="43">
        <f>SUMIFS('SBR Mar16 - Aug16'!$Y$16:$Y$475,'SBR Mar16 - Aug16'!$A$16:$A$475,'Mar16-Aug16 Billed-RETAIL'!$D13,'SBR Mar16 - Aug16'!$C$16:$C$475,'Mar16-Aug16 Billed-RETAIL'!$E13)</f>
        <v>1299858.1000000001</v>
      </c>
      <c r="BF13" s="43">
        <f>SUMIFS('SBR Mar16 - Aug16'!$AB$16:$AB$475,'SBR Mar16 - Aug16'!$A$16:$A$475,'Mar16-Aug16 Billed-RETAIL'!$D13,'SBR Mar16 - Aug16'!$C$16:$C$475,'Mar16-Aug16 Billed-RETAIL'!$E13)</f>
        <v>76469.5</v>
      </c>
      <c r="BG13" s="43">
        <f>SUMIFS('SBR Mar16 - Aug16'!$G$16:$G$137,'SBR Mar16 - Aug16'!$A$16:$A$137,'Mar16-Aug16 Billed-RETAIL'!$D13,'SBR Mar16 - Aug16'!$C$16:$C$137,'Mar16-Aug16 Billed-RETAIL'!$E13)</f>
        <v>4089089.42</v>
      </c>
      <c r="BH13" s="43">
        <f>SUMIFS('SBR Mar16 - Aug16'!$I$16:$I$137,'SBR Mar16 - Aug16'!$A$16:$A$137,'Mar16-Aug16 Billed-RETAIL'!$D13,'SBR Mar16 - Aug16'!$C$16:$C$137,'Mar16-Aug16 Billed-RETAIL'!$E13)</f>
        <v>7158400.8399999999</v>
      </c>
      <c r="BI13" s="43">
        <f>SUMIFS('SBR Mar16 - Aug16'!$H$16:$H$137,'SBR Mar16 - Aug16'!$A$16:$A$137,'Mar16-Aug16 Billed-RETAIL'!$D13,'SBR Mar16 - Aug16'!$C$16:$C$137,'Mar16-Aug16 Billed-RETAIL'!$E13)</f>
        <v>0</v>
      </c>
      <c r="BJ13" s="43">
        <f>SUMIFS('SBR Mar16 - Aug16'!$X$16:$X$137,'SBR Mar16 - Aug16'!$A$16:$A$137,'Mar16-Aug16 Billed-RETAIL'!$D13,'SBR Mar16 - Aug16'!$C$16:$C$137,'Mar16-Aug16 Billed-RETAIL'!$E13)</f>
        <v>1469035.87</v>
      </c>
      <c r="BL13" s="51">
        <f>+AZ13-BA13</f>
        <v>1.0000001639127731E-2</v>
      </c>
      <c r="BN13" s="58">
        <f t="shared" si="14"/>
        <v>0</v>
      </c>
      <c r="BO13" s="58">
        <f t="shared" si="15"/>
        <v>1.3900000602006912E-2</v>
      </c>
      <c r="BP13" s="58">
        <f t="shared" si="16"/>
        <v>0</v>
      </c>
    </row>
    <row r="14" spans="3:68" ht="15" customHeight="1" x14ac:dyDescent="0.25">
      <c r="C14" s="14">
        <f t="shared" si="22"/>
        <v>8</v>
      </c>
      <c r="D14" s="604">
        <f t="shared" si="23"/>
        <v>42430</v>
      </c>
      <c r="E14" s="604" t="str">
        <f>+'Retail Rates'!$B$19</f>
        <v>LGCMG851LT</v>
      </c>
      <c r="F14" s="14" t="str">
        <f t="shared" si="17"/>
        <v>851</v>
      </c>
      <c r="G14" s="14" t="str">
        <f>VLOOKUP(E14,'Retail Rates'!$B$7:$D$34,3,FALSE)</f>
        <v>CGS</v>
      </c>
      <c r="H14" s="33"/>
      <c r="I14" s="33">
        <f>SUMIFS('Data-Retail'!$H$4:$H$397,'Data-Retail'!$A$4:$A$397,'Mar16-Aug16 Billed-RETAIL'!$D14,'Data-Retail'!$D$4:$D$397,'Mar16-Aug16 Billed-RETAIL'!$E14)</f>
        <v>1</v>
      </c>
      <c r="J14" s="33"/>
      <c r="K14" s="33">
        <f>SUMIFS('Data-Retail'!$I$4:$I$1000,'Data-Retail'!$A$4:$A$1000,'Mar16-Aug16 Billed-RETAIL'!$D14,'Data-Retail'!$D$4:$D$1000,'Mar16-Aug16 Billed-RETAIL'!$E14)</f>
        <v>260</v>
      </c>
      <c r="L14" s="33">
        <f>SUMIFS('Data-Retail'!$J$4:$J$1000,'Data-Retail'!$A$4:$A$1000,'Mar16-Aug16 Billed-RETAIL'!$D14,'Data-Retail'!$D$4:$D$1000,'Mar16-Aug16 Billed-RETAIL'!$E14)</f>
        <v>0</v>
      </c>
      <c r="M14" s="33"/>
      <c r="N14" s="34">
        <f>VLOOKUP($E14,'Retail Rates'!$B$7:$L$34,5,FALSE)</f>
        <v>40</v>
      </c>
      <c r="O14" s="34">
        <f>VLOOKUP($E14,'Retail Rates'!$B$7:$L$34,6,FALSE)</f>
        <v>180</v>
      </c>
      <c r="P14" s="35">
        <f>VLOOKUP($E14,'Retail Rates'!$B$7:$L$34,7,FALSE)</f>
        <v>0.21504000000000001</v>
      </c>
      <c r="Q14" s="35">
        <f>VLOOKUP($E14,'Retail Rates'!$B$7:$L$34,8,FALSE)</f>
        <v>0.16504000000000002</v>
      </c>
      <c r="R14" s="35">
        <f>VLOOKUP($D14,'GSC-DSM-GLT Factors'!$A$1:$B$60,2,FALSE)</f>
        <v>0.32343</v>
      </c>
      <c r="S14" s="34">
        <f>VLOOKUP($E14,'Retail Rates'!$B$7:$L$34,9,FALSE)</f>
        <v>0</v>
      </c>
      <c r="T14" s="35">
        <f>VLOOKUP($E14,'Retail Rates'!$B$7:$L$34,10,FALSE)</f>
        <v>0</v>
      </c>
      <c r="U14" s="34">
        <f>VLOOKUP($E14,'Retail Rates'!$B$7:$L$34,11,FALSE)</f>
        <v>0</v>
      </c>
      <c r="V14" s="556">
        <f>VLOOKUP($D14,'GSC-DSM-GLT Factors'!$A$1:$O$60,12,FALSE)</f>
        <v>25.87</v>
      </c>
      <c r="W14" s="36">
        <f t="shared" si="18"/>
        <v>40</v>
      </c>
      <c r="X14" s="36"/>
      <c r="Y14" s="36"/>
      <c r="Z14" s="36">
        <f t="shared" si="24"/>
        <v>55.910400000000003</v>
      </c>
      <c r="AA14" s="36">
        <f t="shared" si="24"/>
        <v>0</v>
      </c>
      <c r="AB14" s="36">
        <f t="shared" si="5"/>
        <v>84.091799999999992</v>
      </c>
      <c r="AC14" s="36"/>
      <c r="AD14" s="36"/>
      <c r="AE14" s="36">
        <f t="shared" si="19"/>
        <v>0</v>
      </c>
      <c r="AF14" s="36">
        <f t="shared" si="6"/>
        <v>25.87</v>
      </c>
      <c r="AG14" s="57">
        <f>SUMIFS(Adjustments!H$5:H$557,Adjustments!$B$5:$B$557,'Mar16-Aug16 Billed-RETAIL'!$D14,Adjustments!$C$5:$C$557,'Mar16-Aug16 Billed-RETAIL'!$E14)</f>
        <v>0</v>
      </c>
      <c r="AH14" s="57">
        <f>SUMIFS(Adjustments!I$5:I$557,Adjustments!$B$5:$B$557,'Mar16-Aug16 Billed-RETAIL'!$D14,Adjustments!$C$5:$C$557,'Mar16-Aug16 Billed-RETAIL'!$E14)</f>
        <v>0</v>
      </c>
      <c r="AI14" s="48">
        <f>SUMIFS(Adjustments!J$5:J$557,Adjustments!$B$5:$B$557,'Mar16-Aug16 Billed-RETAIL'!$D14,Adjustments!$C$5:$C$557,'Mar16-Aug16 Billed-RETAIL'!$E14)</f>
        <v>0</v>
      </c>
      <c r="AJ14" s="48">
        <f>SUMIFS(Adjustments!K$5:K$557,Adjustments!$B$5:$B$557,'Mar16-Aug16 Billed-RETAIL'!$D14,Adjustments!$C$5:$C$557,'Mar16-Aug16 Billed-RETAIL'!$E14)</f>
        <v>0</v>
      </c>
      <c r="AK14" s="48">
        <f>SUMIFS(Adjustments!L$5:L$557,Adjustments!$B$5:$B$557,'Mar16-Aug16 Billed-RETAIL'!$D14,Adjustments!$C$5:$C$557,'Mar16-Aug16 Billed-RETAIL'!$E14)</f>
        <v>0</v>
      </c>
      <c r="AL14" s="48">
        <f>SUMIFS(Adjustments!M$5:M$557,Adjustments!$B$5:$B$557,'Mar16-Aug16 Billed-RETAIL'!$D14,Adjustments!$C$5:$C$557,'Mar16-Aug16 Billed-RETAIL'!$E14)</f>
        <v>0</v>
      </c>
      <c r="AM14" s="48">
        <f>SUMIFS(Adjustments!N$5:N$557,Adjustments!$B$5:$B$557,'Mar16-Aug16 Billed-RETAIL'!$D14,Adjustments!$C$5:$C$557,'Mar16-Aug16 Billed-RETAIL'!$E14)</f>
        <v>0</v>
      </c>
      <c r="AN14" s="48">
        <f>SUMIFS(Adjustments!O$5:O$557,Adjustments!$B$5:$B$557,'Mar16-Aug16 Billed-RETAIL'!$D14,Adjustments!$C$5:$C$557,'Mar16-Aug16 Billed-RETAIL'!$E14)</f>
        <v>0</v>
      </c>
      <c r="AO14" s="48">
        <f>SUMIFS(Adjustments!P$5:P$557,Adjustments!$B$5:$B$557,'Mar16-Aug16 Billed-RETAIL'!$D14,Adjustments!$C$5:$C$557,'Mar16-Aug16 Billed-RETAIL'!$E14)</f>
        <v>0</v>
      </c>
      <c r="AP14" s="36">
        <f t="shared" si="7"/>
        <v>40</v>
      </c>
      <c r="AQ14" s="36">
        <f t="shared" si="8"/>
        <v>0</v>
      </c>
      <c r="AR14" s="36">
        <f t="shared" si="9"/>
        <v>55.910400000000003</v>
      </c>
      <c r="AS14" s="36">
        <f t="shared" si="10"/>
        <v>0</v>
      </c>
      <c r="AT14" s="43">
        <f>SUMIFS('SBR Mar16 - Aug16'!$O$16:$O$475,'SBR Mar16 - Aug16'!$A$16:$A$475,'Mar16-Aug16 Billed-RETAIL'!$D14,'SBR Mar16 - Aug16'!$C$16:$C$475,'Mar16-Aug16 Billed-RETAIL'!$E14)</f>
        <v>84.09</v>
      </c>
      <c r="AU14" s="43">
        <f>SUMIFS('SBR Mar16 - Aug16'!$N$16:$N$475,'SBR Mar16 - Aug16'!$A$16:$A$475,'Mar16-Aug16 Billed-RETAIL'!$D14,'SBR Mar16 - Aug16'!$C$16:$C$475,'Mar16-Aug16 Billed-RETAIL'!$E14)</f>
        <v>0.14000000000000001</v>
      </c>
      <c r="AV14" s="43">
        <f>SUMIFS('SBR Mar16 - Aug16'!$Y$16:$Y$475,'SBR Mar16 - Aug16'!$A$16:$A$475,'Mar16-Aug16 Billed-RETAIL'!$D14,'SBR Mar16 - Aug16'!$C$16:$C$475,'Mar16-Aug16 Billed-RETAIL'!$E14)</f>
        <v>0.48</v>
      </c>
      <c r="AW14" s="43">
        <f>SUMIFS('SBR Mar16 - Aug16'!$X$16:$X$475,'SBR Mar16 - Aug16'!$A$16:$A$475,'Mar16-Aug16 Billed-RETAIL'!$D14,'SBR Mar16 - Aug16'!$C$16:$C$475,'Mar16-Aug16 Billed-RETAIL'!$E14)</f>
        <v>25.87</v>
      </c>
      <c r="AX14" s="36">
        <f t="shared" si="11"/>
        <v>0</v>
      </c>
      <c r="AY14" s="36"/>
      <c r="AZ14" s="43">
        <f t="shared" si="12"/>
        <v>206.49</v>
      </c>
      <c r="BA14" s="43">
        <f t="shared" si="20"/>
        <v>206.49</v>
      </c>
      <c r="BB14" s="44">
        <f t="shared" si="21"/>
        <v>1</v>
      </c>
      <c r="BC14" s="43">
        <f>SUMIFS('SBR Mar16 - Aug16'!$N$16:$N$475,'SBR Mar16 - Aug16'!$A$16:$A$475,'Mar16-Aug16 Billed-RETAIL'!$D14,'SBR Mar16 - Aug16'!$C$16:$C$475,'Mar16-Aug16 Billed-RETAIL'!$E14)</f>
        <v>0.14000000000000001</v>
      </c>
      <c r="BD14" s="43">
        <f>SUMIFS('SBR Mar16 - Aug16'!$O$16:$O$475,'SBR Mar16 - Aug16'!$A$16:$A$475,'Mar16-Aug16 Billed-RETAIL'!$D14,'SBR Mar16 - Aug16'!$C$16:$C$475,'Mar16-Aug16 Billed-RETAIL'!$E14)</f>
        <v>84.09</v>
      </c>
      <c r="BE14" s="43">
        <f>SUMIFS('SBR Mar16 - Aug16'!$Y$16:$Y$475,'SBR Mar16 - Aug16'!$A$16:$A$475,'Mar16-Aug16 Billed-RETAIL'!$D14,'SBR Mar16 - Aug16'!$C$16:$C$475,'Mar16-Aug16 Billed-RETAIL'!$E14)</f>
        <v>0.48</v>
      </c>
      <c r="BF14" s="43">
        <f>SUMIFS('SBR Mar16 - Aug16'!$AB$16:$AB$475,'SBR Mar16 - Aug16'!$A$16:$A$475,'Mar16-Aug16 Billed-RETAIL'!$D14,'SBR Mar16 - Aug16'!$C$16:$C$475,'Mar16-Aug16 Billed-RETAIL'!$E14)</f>
        <v>0</v>
      </c>
      <c r="BG14" s="43">
        <f>SUMIFS('SBR Mar16 - Aug16'!$G$16:$G$137,'SBR Mar16 - Aug16'!$A$16:$A$137,'Mar16-Aug16 Billed-RETAIL'!$D14,'SBR Mar16 - Aug16'!$C$16:$C$137,'Mar16-Aug16 Billed-RETAIL'!$E14)</f>
        <v>40</v>
      </c>
      <c r="BH14" s="43">
        <f>SUMIFS('SBR Mar16 - Aug16'!$I$16:$I$137,'SBR Mar16 - Aug16'!$A$16:$A$137,'Mar16-Aug16 Billed-RETAIL'!$D14,'SBR Mar16 - Aug16'!$C$16:$C$137,'Mar16-Aug16 Billed-RETAIL'!$E14)</f>
        <v>55.91</v>
      </c>
      <c r="BI14" s="43">
        <f>SUMIFS('SBR Mar16 - Aug16'!$H$16:$H$137,'SBR Mar16 - Aug16'!$A$16:$A$137,'Mar16-Aug16 Billed-RETAIL'!$D14,'SBR Mar16 - Aug16'!$C$16:$C$137,'Mar16-Aug16 Billed-RETAIL'!$E14)</f>
        <v>0</v>
      </c>
      <c r="BJ14" s="43">
        <f>SUMIFS('SBR Mar16 - Aug16'!$X$16:$X$137,'SBR Mar16 - Aug16'!$A$16:$A$137,'Mar16-Aug16 Billed-RETAIL'!$D14,'SBR Mar16 - Aug16'!$C$16:$C$137,'Mar16-Aug16 Billed-RETAIL'!$E14)</f>
        <v>25.87</v>
      </c>
      <c r="BL14" s="51">
        <f t="shared" si="13"/>
        <v>0</v>
      </c>
      <c r="BN14" s="58">
        <f t="shared" si="14"/>
        <v>0</v>
      </c>
      <c r="BO14" s="58">
        <f t="shared" si="15"/>
        <v>4.000000000061732E-4</v>
      </c>
      <c r="BP14" s="58">
        <f t="shared" si="16"/>
        <v>0</v>
      </c>
    </row>
    <row r="15" spans="3:68" ht="15" customHeight="1" x14ac:dyDescent="0.25">
      <c r="C15" s="14">
        <f t="shared" si="22"/>
        <v>9</v>
      </c>
      <c r="D15" s="604">
        <f t="shared" si="23"/>
        <v>42430</v>
      </c>
      <c r="E15" s="604" t="str">
        <f>+'Retail Rates'!$B$32</f>
        <v>LGRSG840</v>
      </c>
      <c r="F15" s="14" t="str">
        <f t="shared" si="17"/>
        <v>840</v>
      </c>
      <c r="G15" s="14" t="str">
        <f>VLOOKUP(E15,'Retail Rates'!$B$7:$D$34,3,FALSE)</f>
        <v>RGS</v>
      </c>
      <c r="H15" s="33">
        <f>SUMIFS('Data-Retail'!$H$4:$H$1000,'Data-Retail'!$A$4:$A$1000,'Mar16-Aug16 Billed-RETAIL'!$D15,'Data-Retail'!$D$4:$D$1000,'Mar16-Aug16 Billed-RETAIL'!$E15)</f>
        <v>3</v>
      </c>
      <c r="I15" s="33"/>
      <c r="J15" s="33"/>
      <c r="K15" s="33">
        <f>SUMIFS('Data-Retail'!$I$4:$I$1000,'Data-Retail'!$A$4:$A$1000,'Mar16-Aug16 Billed-RETAIL'!$D15,'Data-Retail'!$D$4:$D$1000,'Mar16-Aug16 Billed-RETAIL'!$E15)</f>
        <v>1378</v>
      </c>
      <c r="L15" s="33">
        <f>SUMIFS('Data-Retail'!$J$4:$J$1000,'Data-Retail'!$A$4:$A$1000,'Mar16-Aug16 Billed-RETAIL'!$D15,'Data-Retail'!$D$4:$D$1000,'Mar16-Aug16 Billed-RETAIL'!$E15)</f>
        <v>0</v>
      </c>
      <c r="M15" s="33"/>
      <c r="N15" s="34">
        <f>VLOOKUP($E15,'Retail Rates'!$B$7:$L$34,5,FALSE)</f>
        <v>13.5</v>
      </c>
      <c r="O15" s="34">
        <f>VLOOKUP($E15,'Retail Rates'!$B$7:$L$34,6,FALSE)</f>
        <v>0</v>
      </c>
      <c r="P15" s="35">
        <f>VLOOKUP($E15,'Retail Rates'!$B$7:$L$34,7,FALSE)</f>
        <v>0.28693000000000002</v>
      </c>
      <c r="Q15" s="35">
        <f>VLOOKUP($E15,'Retail Rates'!$B$7:$L$34,8,FALSE)</f>
        <v>0</v>
      </c>
      <c r="R15" s="35">
        <f>VLOOKUP($D15,'GSC-DSM-GLT Factors'!$A$1:$B$60,2,FALSE)</f>
        <v>0.32343</v>
      </c>
      <c r="S15" s="34">
        <f>VLOOKUP($E15,'Retail Rates'!$B$7:$L$34,9,FALSE)</f>
        <v>0</v>
      </c>
      <c r="T15" s="35">
        <f>VLOOKUP($E15,'Retail Rates'!$B$7:$L$34,10,FALSE)</f>
        <v>0</v>
      </c>
      <c r="U15" s="34">
        <f>VLOOKUP($E15,'Retail Rates'!$B$7:$L$34,11,FALSE)</f>
        <v>0</v>
      </c>
      <c r="V15" s="556">
        <f>VLOOKUP($D15,'GSC-DSM-GLT Factors'!$A$1:$O$60,11,FALSE)</f>
        <v>4.8499999999999996</v>
      </c>
      <c r="W15" s="36">
        <f t="shared" si="18"/>
        <v>40.5</v>
      </c>
      <c r="X15" s="36"/>
      <c r="Y15" s="36"/>
      <c r="Z15" s="36">
        <f t="shared" si="24"/>
        <v>395.38954000000001</v>
      </c>
      <c r="AA15" s="36">
        <f t="shared" si="24"/>
        <v>0</v>
      </c>
      <c r="AB15" s="36">
        <f t="shared" si="5"/>
        <v>445.68653999999998</v>
      </c>
      <c r="AC15" s="36"/>
      <c r="AD15" s="36"/>
      <c r="AE15" s="36">
        <f t="shared" si="19"/>
        <v>0</v>
      </c>
      <c r="AF15" s="36">
        <f t="shared" si="6"/>
        <v>14.549999999999999</v>
      </c>
      <c r="AG15" s="57">
        <f>SUMIFS(Adjustments!H$5:H$557,Adjustments!$B$5:$B$557,'Mar16-Aug16 Billed-RETAIL'!$D15,Adjustments!$C$5:$C$557,'Mar16-Aug16 Billed-RETAIL'!$E15)</f>
        <v>0</v>
      </c>
      <c r="AH15" s="57">
        <f>SUMIFS(Adjustments!I$5:I$557,Adjustments!$B$5:$B$557,'Mar16-Aug16 Billed-RETAIL'!$D15,Adjustments!$C$5:$C$557,'Mar16-Aug16 Billed-RETAIL'!$E15)</f>
        <v>0</v>
      </c>
      <c r="AI15" s="48">
        <f>SUMIFS(Adjustments!J$5:J$557,Adjustments!$B$5:$B$557,'Mar16-Aug16 Billed-RETAIL'!$D15,Adjustments!$C$5:$C$557,'Mar16-Aug16 Billed-RETAIL'!$E15)</f>
        <v>0</v>
      </c>
      <c r="AJ15" s="48">
        <f>SUMIFS(Adjustments!K$5:K$557,Adjustments!$B$5:$B$557,'Mar16-Aug16 Billed-RETAIL'!$D15,Adjustments!$C$5:$C$557,'Mar16-Aug16 Billed-RETAIL'!$E15)</f>
        <v>0</v>
      </c>
      <c r="AK15" s="48">
        <f>SUMIFS(Adjustments!L$5:L$557,Adjustments!$B$5:$B$557,'Mar16-Aug16 Billed-RETAIL'!$D15,Adjustments!$C$5:$C$557,'Mar16-Aug16 Billed-RETAIL'!$E15)</f>
        <v>0.01</v>
      </c>
      <c r="AL15" s="48">
        <f>SUMIFS(Adjustments!M$5:M$557,Adjustments!$B$5:$B$557,'Mar16-Aug16 Billed-RETAIL'!$D15,Adjustments!$C$5:$C$557,'Mar16-Aug16 Billed-RETAIL'!$E15)</f>
        <v>0</v>
      </c>
      <c r="AM15" s="48">
        <f>SUMIFS(Adjustments!N$5:N$557,Adjustments!$B$5:$B$557,'Mar16-Aug16 Billed-RETAIL'!$D15,Adjustments!$C$5:$C$557,'Mar16-Aug16 Billed-RETAIL'!$E15)</f>
        <v>0</v>
      </c>
      <c r="AN15" s="48">
        <f>SUMIFS(Adjustments!O$5:O$557,Adjustments!$B$5:$B$557,'Mar16-Aug16 Billed-RETAIL'!$D15,Adjustments!$C$5:$C$557,'Mar16-Aug16 Billed-RETAIL'!$E15)</f>
        <v>0</v>
      </c>
      <c r="AO15" s="48">
        <f>SUMIFS(Adjustments!P$5:P$557,Adjustments!$B$5:$B$557,'Mar16-Aug16 Billed-RETAIL'!$D15,Adjustments!$C$5:$C$557,'Mar16-Aug16 Billed-RETAIL'!$E15)</f>
        <v>0</v>
      </c>
      <c r="AP15" s="36">
        <f t="shared" si="7"/>
        <v>40.5</v>
      </c>
      <c r="AQ15" s="36">
        <f t="shared" si="8"/>
        <v>0</v>
      </c>
      <c r="AR15" s="36">
        <f t="shared" si="9"/>
        <v>395.39954</v>
      </c>
      <c r="AS15" s="36">
        <f t="shared" si="10"/>
        <v>0</v>
      </c>
      <c r="AT15" s="43">
        <f>SUMIFS('SBR Mar16 - Aug16'!$O$16:$O$475,'SBR Mar16 - Aug16'!$A$16:$A$475,'Mar16-Aug16 Billed-RETAIL'!$D15,'SBR Mar16 - Aug16'!$C$16:$C$475,'Mar16-Aug16 Billed-RETAIL'!$E15)</f>
        <v>445.68</v>
      </c>
      <c r="AU15" s="43">
        <f>SUMIFS('SBR Mar16 - Aug16'!$N$16:$N$475,'SBR Mar16 - Aug16'!$A$16:$A$475,'Mar16-Aug16 Billed-RETAIL'!$D15,'SBR Mar16 - Aug16'!$C$16:$C$475,'Mar16-Aug16 Billed-RETAIL'!$E15)</f>
        <v>12.5</v>
      </c>
      <c r="AV15" s="43">
        <f>SUMIFS('SBR Mar16 - Aug16'!$Y$16:$Y$475,'SBR Mar16 - Aug16'!$A$16:$A$475,'Mar16-Aug16 Billed-RETAIL'!$D15,'SBR Mar16 - Aug16'!$C$16:$C$475,'Mar16-Aug16 Billed-RETAIL'!$E15)</f>
        <v>109.88</v>
      </c>
      <c r="AW15" s="43">
        <f>SUMIFS('SBR Mar16 - Aug16'!$X$16:$X$475,'SBR Mar16 - Aug16'!$A$16:$A$475,'Mar16-Aug16 Billed-RETAIL'!$D15,'SBR Mar16 - Aug16'!$C$16:$C$475,'Mar16-Aug16 Billed-RETAIL'!$E15)</f>
        <v>14.55</v>
      </c>
      <c r="AX15" s="36">
        <f t="shared" si="11"/>
        <v>0</v>
      </c>
      <c r="AY15" s="36"/>
      <c r="AZ15" s="43">
        <f t="shared" si="12"/>
        <v>1018.51</v>
      </c>
      <c r="BA15" s="43">
        <f t="shared" si="20"/>
        <v>1018.5099999999999</v>
      </c>
      <c r="BB15" s="44">
        <f t="shared" si="21"/>
        <v>1</v>
      </c>
      <c r="BC15" s="43">
        <f>SUMIFS('SBR Mar16 - Aug16'!$N$16:$N$475,'SBR Mar16 - Aug16'!$A$16:$A$475,'Mar16-Aug16 Billed-RETAIL'!$D15,'SBR Mar16 - Aug16'!$C$16:$C$475,'Mar16-Aug16 Billed-RETAIL'!$E15)</f>
        <v>12.5</v>
      </c>
      <c r="BD15" s="43">
        <f>SUMIFS('SBR Mar16 - Aug16'!$O$16:$O$475,'SBR Mar16 - Aug16'!$A$16:$A$475,'Mar16-Aug16 Billed-RETAIL'!$D15,'SBR Mar16 - Aug16'!$C$16:$C$475,'Mar16-Aug16 Billed-RETAIL'!$E15)</f>
        <v>445.68</v>
      </c>
      <c r="BE15" s="43">
        <f>SUMIFS('SBR Mar16 - Aug16'!$Y$16:$Y$475,'SBR Mar16 - Aug16'!$A$16:$A$475,'Mar16-Aug16 Billed-RETAIL'!$D15,'SBR Mar16 - Aug16'!$C$16:$C$475,'Mar16-Aug16 Billed-RETAIL'!$E15)</f>
        <v>109.88</v>
      </c>
      <c r="BF15" s="43">
        <f>SUMIFS('SBR Mar16 - Aug16'!$AB$16:$AB$475,'SBR Mar16 - Aug16'!$A$16:$A$475,'Mar16-Aug16 Billed-RETAIL'!$D15,'SBR Mar16 - Aug16'!$C$16:$C$475,'Mar16-Aug16 Billed-RETAIL'!$E15)</f>
        <v>0</v>
      </c>
      <c r="BG15" s="43">
        <f>SUMIFS('SBR Mar16 - Aug16'!$G$16:$G$137,'SBR Mar16 - Aug16'!$A$16:$A$137,'Mar16-Aug16 Billed-RETAIL'!$D15,'SBR Mar16 - Aug16'!$C$16:$C$137,'Mar16-Aug16 Billed-RETAIL'!$E15)</f>
        <v>40.5</v>
      </c>
      <c r="BH15" s="43">
        <f>SUMIFS('SBR Mar16 - Aug16'!$I$16:$I$137,'SBR Mar16 - Aug16'!$A$16:$A$137,'Mar16-Aug16 Billed-RETAIL'!$D15,'SBR Mar16 - Aug16'!$C$16:$C$137,'Mar16-Aug16 Billed-RETAIL'!$E15)</f>
        <v>395.4</v>
      </c>
      <c r="BI15" s="43">
        <f>SUMIFS('SBR Mar16 - Aug16'!$H$16:$H$137,'SBR Mar16 - Aug16'!$A$16:$A$137,'Mar16-Aug16 Billed-RETAIL'!$D15,'SBR Mar16 - Aug16'!$C$16:$C$137,'Mar16-Aug16 Billed-RETAIL'!$E15)</f>
        <v>0</v>
      </c>
      <c r="BJ15" s="43">
        <f>SUMIFS('SBR Mar16 - Aug16'!$X$16:$X$137,'SBR Mar16 - Aug16'!$A$16:$A$137,'Mar16-Aug16 Billed-RETAIL'!$D15,'SBR Mar16 - Aug16'!$C$16:$C$137,'Mar16-Aug16 Billed-RETAIL'!$E15)</f>
        <v>14.55</v>
      </c>
      <c r="BL15" s="51">
        <f t="shared" si="13"/>
        <v>0</v>
      </c>
      <c r="BN15" s="58">
        <f t="shared" si="14"/>
        <v>0</v>
      </c>
      <c r="BO15" s="58">
        <f t="shared" si="15"/>
        <v>-4.5999999997548002E-4</v>
      </c>
      <c r="BP15" s="58">
        <f t="shared" si="16"/>
        <v>0</v>
      </c>
    </row>
    <row r="16" spans="3:68" s="563" customFormat="1" ht="15" customHeight="1" x14ac:dyDescent="0.25">
      <c r="C16" s="564"/>
      <c r="D16" s="605"/>
      <c r="E16" s="605"/>
      <c r="F16" s="564"/>
      <c r="G16" s="564"/>
      <c r="H16" s="565"/>
      <c r="I16" s="565"/>
      <c r="J16" s="565"/>
      <c r="K16" s="565"/>
      <c r="L16" s="565"/>
      <c r="M16" s="565"/>
      <c r="N16" s="566"/>
      <c r="O16" s="566"/>
      <c r="P16" s="567"/>
      <c r="Q16" s="567"/>
      <c r="R16" s="567"/>
      <c r="S16" s="566"/>
      <c r="T16" s="567"/>
      <c r="U16" s="566"/>
      <c r="V16" s="568"/>
      <c r="W16" s="569"/>
      <c r="X16" s="569"/>
      <c r="Y16" s="569"/>
      <c r="Z16" s="569"/>
      <c r="AA16" s="569"/>
      <c r="AB16" s="569"/>
      <c r="AC16" s="569"/>
      <c r="AD16" s="569"/>
      <c r="AE16" s="569"/>
      <c r="AF16" s="569"/>
      <c r="AG16" s="570"/>
      <c r="AH16" s="570"/>
      <c r="AI16" s="569"/>
      <c r="AJ16" s="569"/>
      <c r="AK16" s="569"/>
      <c r="AL16" s="569"/>
      <c r="AM16" s="569"/>
      <c r="AN16" s="569"/>
      <c r="AO16" s="569"/>
      <c r="AP16" s="569"/>
      <c r="AQ16" s="569"/>
      <c r="AR16" s="569"/>
      <c r="AS16" s="569"/>
      <c r="AT16" s="569"/>
      <c r="AU16" s="569"/>
      <c r="AV16" s="569"/>
      <c r="AW16" s="569"/>
      <c r="AX16" s="569"/>
      <c r="AY16" s="569"/>
      <c r="AZ16" s="569"/>
      <c r="BA16" s="569"/>
      <c r="BB16" s="571"/>
      <c r="BC16" s="569"/>
      <c r="BD16" s="569"/>
      <c r="BE16" s="569"/>
      <c r="BF16" s="569"/>
      <c r="BG16" s="569"/>
      <c r="BH16" s="569"/>
      <c r="BI16" s="569"/>
      <c r="BJ16" s="569"/>
      <c r="BL16" s="569"/>
      <c r="BN16" s="569"/>
      <c r="BO16" s="569"/>
      <c r="BP16" s="569"/>
    </row>
    <row r="17" spans="3:68" ht="15" customHeight="1" x14ac:dyDescent="0.25">
      <c r="C17" s="14">
        <f>C15+1</f>
        <v>10</v>
      </c>
      <c r="D17" s="604">
        <f>EDATE(D7,1)</f>
        <v>42461</v>
      </c>
      <c r="E17" s="604" t="str">
        <f>+'Retail Rates'!$B$7</f>
        <v>LGCMG865</v>
      </c>
      <c r="F17" s="14" t="str">
        <f>MID(E17,6,3)</f>
        <v>865</v>
      </c>
      <c r="G17" s="14" t="str">
        <f>VLOOKUP(E17,'Retail Rates'!$B$7:$D$34,3,FALSE)</f>
        <v>AAGS-C</v>
      </c>
      <c r="H17" s="33">
        <f>SUMIFS('Data-Retail'!$H$4:$H$1000,'Data-Retail'!$A$4:$A$1000,'Mar16-Aug16 Billed-RETAIL'!$D17,'Data-Retail'!$D$4:$D$1000,'Mar16-Aug16 Billed-RETAIL'!$E17)</f>
        <v>2</v>
      </c>
      <c r="I17" s="33"/>
      <c r="J17" s="33"/>
      <c r="K17" s="33">
        <f>SUMIFS('Data-Retail'!$I$4:$I$1000,'Data-Retail'!$A$4:$A$1000,'Mar16-Aug16 Billed-RETAIL'!$D17,'Data-Retail'!$D$4:$D$1000,'Mar16-Aug16 Billed-RETAIL'!$E17)</f>
        <v>44151</v>
      </c>
      <c r="L17" s="33">
        <f>SUMIFS('Data-Retail'!$J$4:$J$1000,'Data-Retail'!$A$4:$A$1000,'Mar16-Aug16 Billed-RETAIL'!$D17,'Data-Retail'!$D$4:$D$1000,'Mar16-Aug16 Billed-RETAIL'!$E17)</f>
        <v>0</v>
      </c>
      <c r="M17" s="33"/>
      <c r="N17" s="34">
        <f>VLOOKUP($E17,'Retail Rates'!$B$7:$L$34,5,FALSE)</f>
        <v>400</v>
      </c>
      <c r="O17" s="34">
        <f>VLOOKUP($E17,'Retail Rates'!$B$7:$L$34,6,FALSE)</f>
        <v>0</v>
      </c>
      <c r="P17" s="35">
        <f>VLOOKUP($E17,'Retail Rates'!$B$7:$L$34,7,FALSE)</f>
        <v>7.009E-2</v>
      </c>
      <c r="Q17" s="35">
        <f>VLOOKUP($E17,'Retail Rates'!$B$7:$L$34,8,FALSE)</f>
        <v>0</v>
      </c>
      <c r="R17" s="35">
        <f>VLOOKUP($D17,'GSC-DSM-GLT Factors'!$A$1:$B$60,2,FALSE)</f>
        <v>0.32343</v>
      </c>
      <c r="S17" s="34">
        <f>VLOOKUP($E17,'Retail Rates'!$B$7:$L$34,9,FALSE)</f>
        <v>0</v>
      </c>
      <c r="T17" s="35">
        <f>VLOOKUP($E17,'Retail Rates'!$B$7:$L$34,10,FALSE)</f>
        <v>0</v>
      </c>
      <c r="U17" s="34">
        <f>VLOOKUP($E17,'Retail Rates'!$B$7:$L$34,11,FALSE)</f>
        <v>0</v>
      </c>
      <c r="V17" s="556">
        <f>VLOOKUP($D17,'GSC-DSM-GLT Factors'!$A$1:$O$60,14,FALSE)</f>
        <v>2688.31</v>
      </c>
      <c r="W17" s="36">
        <f t="shared" ref="W17:W25" si="25">(+H17*N17)+(I17*N17)</f>
        <v>800</v>
      </c>
      <c r="X17" s="36"/>
      <c r="Y17" s="36"/>
      <c r="Z17" s="36">
        <f t="shared" ref="Z17:Z25" si="26">+K17*P17</f>
        <v>3094.5435899999998</v>
      </c>
      <c r="AA17" s="36">
        <f t="shared" ref="AA17:AA25" si="27">+L17*Q17</f>
        <v>0</v>
      </c>
      <c r="AB17" s="36">
        <f t="shared" ref="AB17:AB25" si="28">SUM(K17:L17)*R17</f>
        <v>14279.75793</v>
      </c>
      <c r="AC17" s="36"/>
      <c r="AD17" s="36"/>
      <c r="AE17" s="36">
        <f>M17*U17</f>
        <v>0</v>
      </c>
      <c r="AF17" s="36">
        <f t="shared" ref="AF17:AF25" si="29">(+H17*V17)+(I17*V17)</f>
        <v>5376.62</v>
      </c>
      <c r="AG17" s="57">
        <f>SUMIFS(Adjustments!H$5:H$557,Adjustments!$B$5:$B$557,'Mar16-Aug16 Billed-RETAIL'!$D17,Adjustments!$C$5:$C$557,'Mar16-Aug16 Billed-RETAIL'!$E17)</f>
        <v>0</v>
      </c>
      <c r="AH17" s="57">
        <f>SUMIFS(Adjustments!I$5:I$557,Adjustments!$B$5:$B$557,'Mar16-Aug16 Billed-RETAIL'!$D17,Adjustments!$C$5:$C$557,'Mar16-Aug16 Billed-RETAIL'!$E17)</f>
        <v>0</v>
      </c>
      <c r="AI17" s="48">
        <f>SUMIFS(Adjustments!J$5:J$557,Adjustments!$B$5:$B$557,'Mar16-Aug16 Billed-RETAIL'!$D17,Adjustments!$C$5:$C$557,'Mar16-Aug16 Billed-RETAIL'!$E17)</f>
        <v>0</v>
      </c>
      <c r="AJ17" s="48">
        <f>SUMIFS(Adjustments!K$5:K$557,Adjustments!$B$5:$B$557,'Mar16-Aug16 Billed-RETAIL'!$D17,Adjustments!$C$5:$C$557,'Mar16-Aug16 Billed-RETAIL'!$E17)</f>
        <v>0</v>
      </c>
      <c r="AK17" s="48">
        <f>SUMIFS(Adjustments!L$5:L$557,Adjustments!$B$5:$B$557,'Mar16-Aug16 Billed-RETAIL'!$D17,Adjustments!$C$5:$C$557,'Mar16-Aug16 Billed-RETAIL'!$E17)</f>
        <v>0</v>
      </c>
      <c r="AL17" s="48">
        <f>SUMIFS(Adjustments!M$5:M$557,Adjustments!$B$5:$B$557,'Mar16-Aug16 Billed-RETAIL'!$D17,Adjustments!$C$5:$C$557,'Mar16-Aug16 Billed-RETAIL'!$E17)</f>
        <v>0</v>
      </c>
      <c r="AM17" s="48">
        <f>SUMIFS(Adjustments!N$5:N$557,Adjustments!$B$5:$B$557,'Mar16-Aug16 Billed-RETAIL'!$D17,Adjustments!$C$5:$C$557,'Mar16-Aug16 Billed-RETAIL'!$E17)</f>
        <v>0</v>
      </c>
      <c r="AN17" s="48">
        <f>SUMIFS(Adjustments!O$5:O$557,Adjustments!$B$5:$B$557,'Mar16-Aug16 Billed-RETAIL'!$D17,Adjustments!$C$5:$C$557,'Mar16-Aug16 Billed-RETAIL'!$E17)</f>
        <v>0</v>
      </c>
      <c r="AO17" s="48">
        <f>SUMIFS(Adjustments!P$5:P$557,Adjustments!$B$5:$B$557,'Mar16-Aug16 Billed-RETAIL'!$D17,Adjustments!$C$5:$C$557,'Mar16-Aug16 Billed-RETAIL'!$E17)</f>
        <v>0</v>
      </c>
      <c r="AP17" s="36">
        <f t="shared" ref="AP17:AP25" si="30">+W17+AI17+(AG17*N17)</f>
        <v>800</v>
      </c>
      <c r="AQ17" s="36">
        <f t="shared" ref="AQ17:AQ25" si="31">+Y17+AJ17</f>
        <v>0</v>
      </c>
      <c r="AR17" s="36">
        <f t="shared" ref="AR17:AR25" si="32">+Z17+AK17</f>
        <v>3094.5435899999998</v>
      </c>
      <c r="AS17" s="36">
        <f t="shared" ref="AS17:AS25" si="33">+AA17+AL17</f>
        <v>0</v>
      </c>
      <c r="AT17" s="43">
        <f>SUMIFS('SBR Mar16 - Aug16'!$O$16:$O$475,'SBR Mar16 - Aug16'!$A$16:$A$475,'Mar16-Aug16 Billed-RETAIL'!$D17,'SBR Mar16 - Aug16'!$C$16:$C$475,'Mar16-Aug16 Billed-RETAIL'!$E17)</f>
        <v>14279.75</v>
      </c>
      <c r="AU17" s="43">
        <f>SUMIFS('SBR Mar16 - Aug16'!$N$16:$N$475,'SBR Mar16 - Aug16'!$A$16:$A$475,'Mar16-Aug16 Billed-RETAIL'!$D17,'SBR Mar16 - Aug16'!$C$16:$C$475,'Mar16-Aug16 Billed-RETAIL'!$E17)</f>
        <v>25.16</v>
      </c>
      <c r="AV17" s="43">
        <f>SUMIFS('SBR Mar16 - Aug16'!$Y$16:$Y$475,'SBR Mar16 - Aug16'!$A$16:$A$475,'Mar16-Aug16 Billed-RETAIL'!$D17,'SBR Mar16 - Aug16'!$C$16:$C$475,'Mar16-Aug16 Billed-RETAIL'!$E17)</f>
        <v>0</v>
      </c>
      <c r="AW17" s="43">
        <f>SUMIFS('SBR Mar16 - Aug16'!$X$16:$X$475,'SBR Mar16 - Aug16'!$A$16:$A$475,'Mar16-Aug16 Billed-RETAIL'!$D17,'SBR Mar16 - Aug16'!$C$16:$C$475,'Mar16-Aug16 Billed-RETAIL'!$E17)</f>
        <v>5376.62</v>
      </c>
      <c r="AX17" s="36">
        <f t="shared" ref="AX17:AX25" si="34">+AE17+AO17</f>
        <v>0</v>
      </c>
      <c r="AY17" s="36"/>
      <c r="AZ17" s="43">
        <f t="shared" ref="AZ17:AZ25" si="35">ROUND(SUM(AP17:AY17),2)</f>
        <v>23576.07</v>
      </c>
      <c r="BA17" s="43">
        <f>SUM(BC17:BJ17)-BF17</f>
        <v>23576.079999999998</v>
      </c>
      <c r="BB17" s="44">
        <f t="shared" ref="BB17:BB25" si="36">IF(BA17=0,0,ROUND(BA17/AZ17,6))</f>
        <v>1</v>
      </c>
      <c r="BC17" s="43">
        <f>SUMIFS('SBR Mar16 - Aug16'!$N$16:$N$475,'SBR Mar16 - Aug16'!$A$16:$A$475,'Mar16-Aug16 Billed-RETAIL'!$D17,'SBR Mar16 - Aug16'!$C$16:$C$475,'Mar16-Aug16 Billed-RETAIL'!$E17)</f>
        <v>25.16</v>
      </c>
      <c r="BD17" s="43">
        <f>SUMIFS('SBR Mar16 - Aug16'!$O$16:$O$475,'SBR Mar16 - Aug16'!$A$16:$A$475,'Mar16-Aug16 Billed-RETAIL'!$D17,'SBR Mar16 - Aug16'!$C$16:$C$475,'Mar16-Aug16 Billed-RETAIL'!$E17)</f>
        <v>14279.75</v>
      </c>
      <c r="BE17" s="43">
        <f>SUMIFS('SBR Mar16 - Aug16'!$Y$16:$Y$475,'SBR Mar16 - Aug16'!$A$16:$A$475,'Mar16-Aug16 Billed-RETAIL'!$D17,'SBR Mar16 - Aug16'!$C$16:$C$475,'Mar16-Aug16 Billed-RETAIL'!$E17)</f>
        <v>0</v>
      </c>
      <c r="BF17" s="43">
        <f>SUMIFS('SBR Mar16 - Aug16'!$AB$16:$AB$475,'SBR Mar16 - Aug16'!$A$16:$A$475,'Mar16-Aug16 Billed-RETAIL'!$D17,'SBR Mar16 - Aug16'!$C$16:$C$475,'Mar16-Aug16 Billed-RETAIL'!$E17)</f>
        <v>0</v>
      </c>
      <c r="BG17" s="43">
        <f>SUMIFS('SBR Mar16 - Aug16'!$G$16:$G$137,'SBR Mar16 - Aug16'!$A$16:$A$137,'Mar16-Aug16 Billed-RETAIL'!$D17,'SBR Mar16 - Aug16'!$C$16:$C$137,'Mar16-Aug16 Billed-RETAIL'!$E17)</f>
        <v>800</v>
      </c>
      <c r="BH17" s="43">
        <f>SUMIFS('SBR Mar16 - Aug16'!$I$16:$I$137,'SBR Mar16 - Aug16'!$A$16:$A$137,'Mar16-Aug16 Billed-RETAIL'!$D17,'SBR Mar16 - Aug16'!$C$16:$C$137,'Mar16-Aug16 Billed-RETAIL'!$E17)</f>
        <v>3094.55</v>
      </c>
      <c r="BI17" s="43">
        <f>SUMIFS('SBR Mar16 - Aug16'!$H$16:$H$137,'SBR Mar16 - Aug16'!$A$16:$A$137,'Mar16-Aug16 Billed-RETAIL'!$D17,'SBR Mar16 - Aug16'!$C$16:$C$137,'Mar16-Aug16 Billed-RETAIL'!$E17)</f>
        <v>0</v>
      </c>
      <c r="BJ17" s="43">
        <f>SUMIFS('SBR Mar16 - Aug16'!$X$16:$X$137,'SBR Mar16 - Aug16'!$A$16:$A$137,'Mar16-Aug16 Billed-RETAIL'!$D17,'SBR Mar16 - Aug16'!$C$16:$C$137,'Mar16-Aug16 Billed-RETAIL'!$E17)</f>
        <v>5376.62</v>
      </c>
      <c r="BL17" s="51">
        <f t="shared" ref="BL17:BL25" si="37">+AZ17-BA17</f>
        <v>-9.9999999983992893E-3</v>
      </c>
      <c r="BN17" s="58">
        <f t="shared" ref="BN17:BN25" si="38">+AP17+AQ17-BG17</f>
        <v>0</v>
      </c>
      <c r="BO17" s="58">
        <f t="shared" ref="BO17:BO25" si="39">+AR17+AS17-BH17</f>
        <v>-6.4100000004145841E-3</v>
      </c>
      <c r="BP17" s="58">
        <f t="shared" ref="BP17:BP25" si="40">+AT17-BD17</f>
        <v>0</v>
      </c>
    </row>
    <row r="18" spans="3:68" ht="15" customHeight="1" x14ac:dyDescent="0.25">
      <c r="C18" s="14">
        <f>C17+1</f>
        <v>11</v>
      </c>
      <c r="D18" s="604">
        <f>$D$17</f>
        <v>42461</v>
      </c>
      <c r="E18" s="604" t="str">
        <f>+'Retail Rates'!$B$10</f>
        <v>LGING866</v>
      </c>
      <c r="F18" s="14" t="str">
        <f t="shared" ref="F18:F25" si="41">MID(E18,6,3)</f>
        <v>866</v>
      </c>
      <c r="G18" s="14" t="str">
        <f>VLOOKUP(E18,'Retail Rates'!$B$7:$D$34,3,FALSE)</f>
        <v>AAGS-I</v>
      </c>
      <c r="H18" s="33">
        <f>SUMIFS('Data-Retail'!$H$4:$H$1000,'Data-Retail'!$A$4:$A$1000,'Mar16-Aug16 Billed-RETAIL'!$D18,'Data-Retail'!$D$4:$D$1000,'Mar16-Aug16 Billed-RETAIL'!$E18)</f>
        <v>2</v>
      </c>
      <c r="I18" s="33"/>
      <c r="J18" s="33"/>
      <c r="K18" s="33">
        <f>SUMIFS('Data-Retail'!$I$4:$I$1000,'Data-Retail'!$A$4:$A$1000,'Mar16-Aug16 Billed-RETAIL'!$D18,'Data-Retail'!$D$4:$D$1000,'Mar16-Aug16 Billed-RETAIL'!$E18)</f>
        <v>48734</v>
      </c>
      <c r="L18" s="33">
        <f>SUMIFS('Data-Retail'!$J$4:$J$1000,'Data-Retail'!$A$4:$A$1000,'Mar16-Aug16 Billed-RETAIL'!$D18,'Data-Retail'!$D$4:$D$1000,'Mar16-Aug16 Billed-RETAIL'!$E18)</f>
        <v>0</v>
      </c>
      <c r="M18" s="33"/>
      <c r="N18" s="34">
        <f>VLOOKUP($E18,'Retail Rates'!$B$7:$L$34,5,FALSE)</f>
        <v>400</v>
      </c>
      <c r="O18" s="34">
        <f>VLOOKUP($E18,'Retail Rates'!$B$7:$L$34,6,FALSE)</f>
        <v>0</v>
      </c>
      <c r="P18" s="35">
        <f>VLOOKUP($E18,'Retail Rates'!$B$7:$L$34,7,FALSE)</f>
        <v>7.009E-2</v>
      </c>
      <c r="Q18" s="35">
        <f>VLOOKUP($E18,'Retail Rates'!$B$7:$L$34,8,FALSE)</f>
        <v>0</v>
      </c>
      <c r="R18" s="35">
        <f>VLOOKUP($D18,'GSC-DSM-GLT Factors'!$A$1:$B$60,2,FALSE)</f>
        <v>0.32343</v>
      </c>
      <c r="S18" s="34">
        <f>VLOOKUP($E18,'Retail Rates'!$B$7:$L$34,9,FALSE)</f>
        <v>0</v>
      </c>
      <c r="T18" s="35">
        <f>VLOOKUP($E18,'Retail Rates'!$B$7:$L$34,10,FALSE)</f>
        <v>0</v>
      </c>
      <c r="U18" s="34">
        <f>VLOOKUP($E18,'Retail Rates'!$B$7:$L$34,11,FALSE)</f>
        <v>0</v>
      </c>
      <c r="V18" s="556">
        <f>VLOOKUP($D18,'GSC-DSM-GLT Factors'!$A$1:$O$60,14,FALSE)</f>
        <v>2688.31</v>
      </c>
      <c r="W18" s="36">
        <f t="shared" si="25"/>
        <v>800</v>
      </c>
      <c r="X18" s="36"/>
      <c r="Y18" s="36"/>
      <c r="Z18" s="36">
        <f t="shared" si="26"/>
        <v>3415.7660599999999</v>
      </c>
      <c r="AA18" s="36">
        <f t="shared" si="27"/>
        <v>0</v>
      </c>
      <c r="AB18" s="36">
        <f t="shared" si="28"/>
        <v>15762.037619999999</v>
      </c>
      <c r="AC18" s="36"/>
      <c r="AD18" s="36"/>
      <c r="AE18" s="36">
        <f t="shared" ref="AE18:AE25" si="42">M18*U18</f>
        <v>0</v>
      </c>
      <c r="AF18" s="36">
        <f t="shared" si="29"/>
        <v>5376.62</v>
      </c>
      <c r="AG18" s="57">
        <f>SUMIFS(Adjustments!H$5:H$557,Adjustments!$B$5:$B$557,'Mar16-Aug16 Billed-RETAIL'!$D18,Adjustments!$C$5:$C$557,'Mar16-Aug16 Billed-RETAIL'!$E18)</f>
        <v>0</v>
      </c>
      <c r="AH18" s="57">
        <f>SUMIFS(Adjustments!I$5:I$557,Adjustments!$B$5:$B$557,'Mar16-Aug16 Billed-RETAIL'!$D18,Adjustments!$C$5:$C$557,'Mar16-Aug16 Billed-RETAIL'!$E18)</f>
        <v>0</v>
      </c>
      <c r="AI18" s="48">
        <f>SUMIFS(Adjustments!J$5:J$557,Adjustments!$B$5:$B$557,'Mar16-Aug16 Billed-RETAIL'!$D18,Adjustments!$C$5:$C$557,'Mar16-Aug16 Billed-RETAIL'!$E18)</f>
        <v>0</v>
      </c>
      <c r="AJ18" s="48">
        <f>SUMIFS(Adjustments!K$5:K$557,Adjustments!$B$5:$B$557,'Mar16-Aug16 Billed-RETAIL'!$D18,Adjustments!$C$5:$C$557,'Mar16-Aug16 Billed-RETAIL'!$E18)</f>
        <v>0</v>
      </c>
      <c r="AK18" s="48">
        <f>SUMIFS(Adjustments!L$5:L$557,Adjustments!$B$5:$B$557,'Mar16-Aug16 Billed-RETAIL'!$D18,Adjustments!$C$5:$C$557,'Mar16-Aug16 Billed-RETAIL'!$E18)</f>
        <v>0</v>
      </c>
      <c r="AL18" s="48">
        <f>SUMIFS(Adjustments!M$5:M$557,Adjustments!$B$5:$B$557,'Mar16-Aug16 Billed-RETAIL'!$D18,Adjustments!$C$5:$C$557,'Mar16-Aug16 Billed-RETAIL'!$E18)</f>
        <v>0</v>
      </c>
      <c r="AM18" s="48">
        <f>SUMIFS(Adjustments!N$5:N$557,Adjustments!$B$5:$B$557,'Mar16-Aug16 Billed-RETAIL'!$D18,Adjustments!$C$5:$C$557,'Mar16-Aug16 Billed-RETAIL'!$E18)</f>
        <v>0</v>
      </c>
      <c r="AN18" s="48">
        <f>SUMIFS(Adjustments!O$5:O$557,Adjustments!$B$5:$B$557,'Mar16-Aug16 Billed-RETAIL'!$D18,Adjustments!$C$5:$C$557,'Mar16-Aug16 Billed-RETAIL'!$E18)</f>
        <v>0</v>
      </c>
      <c r="AO18" s="48">
        <f>SUMIFS(Adjustments!P$5:P$557,Adjustments!$B$5:$B$557,'Mar16-Aug16 Billed-RETAIL'!$D18,Adjustments!$C$5:$C$557,'Mar16-Aug16 Billed-RETAIL'!$E18)</f>
        <v>0</v>
      </c>
      <c r="AP18" s="36">
        <f t="shared" si="30"/>
        <v>800</v>
      </c>
      <c r="AQ18" s="36">
        <f t="shared" si="31"/>
        <v>0</v>
      </c>
      <c r="AR18" s="36">
        <f t="shared" si="32"/>
        <v>3415.7660599999999</v>
      </c>
      <c r="AS18" s="36">
        <f t="shared" si="33"/>
        <v>0</v>
      </c>
      <c r="AT18" s="43">
        <f>SUMIFS('SBR Mar16 - Aug16'!$O$16:$O$475,'SBR Mar16 - Aug16'!$A$16:$A$475,'Mar16-Aug16 Billed-RETAIL'!$D18,'SBR Mar16 - Aug16'!$C$16:$C$475,'Mar16-Aug16 Billed-RETAIL'!$E18)</f>
        <v>15762.04</v>
      </c>
      <c r="AU18" s="43">
        <f>SUMIFS('SBR Mar16 - Aug16'!$N$16:$N$475,'SBR Mar16 - Aug16'!$A$16:$A$475,'Mar16-Aug16 Billed-RETAIL'!$D18,'SBR Mar16 - Aug16'!$C$16:$C$475,'Mar16-Aug16 Billed-RETAIL'!$E18)</f>
        <v>0</v>
      </c>
      <c r="AV18" s="43">
        <f>SUMIFS('SBR Mar16 - Aug16'!$Y$16:$Y$475,'SBR Mar16 - Aug16'!$A$16:$A$475,'Mar16-Aug16 Billed-RETAIL'!$D18,'SBR Mar16 - Aug16'!$C$16:$C$475,'Mar16-Aug16 Billed-RETAIL'!$E18)</f>
        <v>0</v>
      </c>
      <c r="AW18" s="43">
        <f>SUMIFS('SBR Mar16 - Aug16'!$X$16:$X$475,'SBR Mar16 - Aug16'!$A$16:$A$475,'Mar16-Aug16 Billed-RETAIL'!$D18,'SBR Mar16 - Aug16'!$C$16:$C$475,'Mar16-Aug16 Billed-RETAIL'!$E18)</f>
        <v>5376.62</v>
      </c>
      <c r="AX18" s="36">
        <f t="shared" si="34"/>
        <v>0</v>
      </c>
      <c r="AY18" s="36"/>
      <c r="AZ18" s="43">
        <f t="shared" si="35"/>
        <v>25354.43</v>
      </c>
      <c r="BA18" s="43">
        <f t="shared" ref="BA18:BA25" si="43">SUM(BC18:BJ18)-BF18</f>
        <v>25354.43</v>
      </c>
      <c r="BB18" s="44">
        <f t="shared" si="36"/>
        <v>1</v>
      </c>
      <c r="BC18" s="43">
        <f>SUMIFS('SBR Mar16 - Aug16'!$N$16:$N$475,'SBR Mar16 - Aug16'!$A$16:$A$475,'Mar16-Aug16 Billed-RETAIL'!$D18,'SBR Mar16 - Aug16'!$C$16:$C$475,'Mar16-Aug16 Billed-RETAIL'!$E18)</f>
        <v>0</v>
      </c>
      <c r="BD18" s="43">
        <f>SUMIFS('SBR Mar16 - Aug16'!$O$16:$O$475,'SBR Mar16 - Aug16'!$A$16:$A$475,'Mar16-Aug16 Billed-RETAIL'!$D18,'SBR Mar16 - Aug16'!$C$16:$C$475,'Mar16-Aug16 Billed-RETAIL'!$E18)</f>
        <v>15762.04</v>
      </c>
      <c r="BE18" s="43">
        <f>SUMIFS('SBR Mar16 - Aug16'!$Y$16:$Y$475,'SBR Mar16 - Aug16'!$A$16:$A$475,'Mar16-Aug16 Billed-RETAIL'!$D18,'SBR Mar16 - Aug16'!$C$16:$C$475,'Mar16-Aug16 Billed-RETAIL'!$E18)</f>
        <v>0</v>
      </c>
      <c r="BF18" s="43">
        <f>SUMIFS('SBR Mar16 - Aug16'!$AB$16:$AB$475,'SBR Mar16 - Aug16'!$A$16:$A$475,'Mar16-Aug16 Billed-RETAIL'!$D18,'SBR Mar16 - Aug16'!$C$16:$C$475,'Mar16-Aug16 Billed-RETAIL'!$E18)</f>
        <v>0</v>
      </c>
      <c r="BG18" s="43">
        <f>SUMIFS('SBR Mar16 - Aug16'!$G$16:$G$137,'SBR Mar16 - Aug16'!$A$16:$A$137,'Mar16-Aug16 Billed-RETAIL'!$D18,'SBR Mar16 - Aug16'!$C$16:$C$137,'Mar16-Aug16 Billed-RETAIL'!$E18)</f>
        <v>800</v>
      </c>
      <c r="BH18" s="43">
        <f>SUMIFS('SBR Mar16 - Aug16'!$I$16:$I$137,'SBR Mar16 - Aug16'!$A$16:$A$137,'Mar16-Aug16 Billed-RETAIL'!$D18,'SBR Mar16 - Aug16'!$C$16:$C$137,'Mar16-Aug16 Billed-RETAIL'!$E18)</f>
        <v>3415.77</v>
      </c>
      <c r="BI18" s="43">
        <f>SUMIFS('SBR Mar16 - Aug16'!$H$16:$H$137,'SBR Mar16 - Aug16'!$A$16:$A$137,'Mar16-Aug16 Billed-RETAIL'!$D18,'SBR Mar16 - Aug16'!$C$16:$C$137,'Mar16-Aug16 Billed-RETAIL'!$E18)</f>
        <v>0</v>
      </c>
      <c r="BJ18" s="43">
        <f>SUMIFS('SBR Mar16 - Aug16'!$X$16:$X$137,'SBR Mar16 - Aug16'!$A$16:$A$137,'Mar16-Aug16 Billed-RETAIL'!$D18,'SBR Mar16 - Aug16'!$C$16:$C$137,'Mar16-Aug16 Billed-RETAIL'!$E18)</f>
        <v>5376.62</v>
      </c>
      <c r="BL18" s="51">
        <f t="shared" si="37"/>
        <v>0</v>
      </c>
      <c r="BN18" s="58">
        <f t="shared" si="38"/>
        <v>0</v>
      </c>
      <c r="BO18" s="58">
        <f t="shared" si="39"/>
        <v>-3.940000000056898E-3</v>
      </c>
      <c r="BP18" s="58">
        <f t="shared" si="40"/>
        <v>0</v>
      </c>
    </row>
    <row r="19" spans="3:68" ht="15" x14ac:dyDescent="0.25">
      <c r="C19" s="14">
        <f t="shared" ref="C19:C25" si="44">C18+1</f>
        <v>12</v>
      </c>
      <c r="D19" s="604">
        <f t="shared" ref="D19:D25" si="45">$D$17</f>
        <v>42461</v>
      </c>
      <c r="E19" s="604" t="str">
        <f>+'Retail Rates'!$B$15</f>
        <v>LGCMG851</v>
      </c>
      <c r="F19" s="14" t="str">
        <f t="shared" si="41"/>
        <v>851</v>
      </c>
      <c r="G19" s="14" t="str">
        <f>VLOOKUP(E19,'Retail Rates'!$B$7:$D$34,3,FALSE)</f>
        <v>CGS</v>
      </c>
      <c r="H19" s="33"/>
      <c r="I19" s="33">
        <f>SUMIFS(Adjustments!F$5:F$362,Adjustments!$B$5:$B$362,'Mar16-Aug16 Billed-RETAIL'!$D19,Adjustments!$C$5:$C$362,'Mar16-Aug16 Billed-RETAIL'!$E19)</f>
        <v>24192</v>
      </c>
      <c r="J19" s="33">
        <f>SUMIFS(Adjustments!G$5:G$64,Adjustments!$B$5:$B$64,'Mar16-Aug16 Billed-RETAIL'!$D19,Adjustments!$C$5:$C$64,'Mar16-Aug16 Billed-RETAIL'!$E19)</f>
        <v>1089</v>
      </c>
      <c r="K19" s="33">
        <f>SUMIFS('Data-Retail'!$I$4:$I$1000,'Data-Retail'!$A$4:$A$1000,'Mar16-Aug16 Billed-RETAIL'!$D19,'Data-Retail'!$D$4:$D$1000,'Mar16-Aug16 Billed-RETAIL'!$E19)</f>
        <v>4890038</v>
      </c>
      <c r="L19" s="33">
        <f>SUMIFS('Data-Retail'!$J$4:$J$1000,'Data-Retail'!$A$4:$A$1000,'Mar16-Aug16 Billed-RETAIL'!$D19,'Data-Retail'!$D$4:$D$1000,'Mar16-Aug16 Billed-RETAIL'!$E19)</f>
        <v>2550623</v>
      </c>
      <c r="M19" s="33"/>
      <c r="N19" s="34">
        <f>VLOOKUP($E19,'Retail Rates'!$B$7:$L$34,5,FALSE)</f>
        <v>40</v>
      </c>
      <c r="O19" s="34">
        <f>VLOOKUP($E19,'Retail Rates'!$B$7:$L$34,6,FALSE)</f>
        <v>180</v>
      </c>
      <c r="P19" s="35">
        <f>VLOOKUP($E19,'Retail Rates'!$B$7:$L$34,7,FALSE)</f>
        <v>0.21504000000000001</v>
      </c>
      <c r="Q19" s="35">
        <f>VLOOKUP($E19,'Retail Rates'!$B$7:$L$34,8,FALSE)</f>
        <v>0.16504000000000002</v>
      </c>
      <c r="R19" s="35">
        <f>VLOOKUP($D19,'GSC-DSM-GLT Factors'!$A$1:$B$60,2,FALSE)</f>
        <v>0.32343</v>
      </c>
      <c r="S19" s="34">
        <f>VLOOKUP($E19,'Retail Rates'!$B$7:$L$34,9,FALSE)</f>
        <v>0</v>
      </c>
      <c r="T19" s="35">
        <f>VLOOKUP($E19,'Retail Rates'!$B$7:$L$34,10,FALSE)</f>
        <v>0</v>
      </c>
      <c r="U19" s="34">
        <f>VLOOKUP($E19,'Retail Rates'!$B$7:$L$34,11,FALSE)</f>
        <v>0</v>
      </c>
      <c r="V19" s="556">
        <f>VLOOKUP($D19,'GSC-DSM-GLT Factors'!$A$1:$O$60,12,FALSE)</f>
        <v>25.87</v>
      </c>
      <c r="W19" s="36">
        <f t="shared" si="25"/>
        <v>967680</v>
      </c>
      <c r="X19" s="36"/>
      <c r="Y19" s="36">
        <f>+J19*O19</f>
        <v>196020</v>
      </c>
      <c r="Z19" s="36">
        <f t="shared" si="26"/>
        <v>1051553.77152</v>
      </c>
      <c r="AA19" s="36">
        <f t="shared" si="27"/>
        <v>420954.81992000004</v>
      </c>
      <c r="AB19" s="36">
        <f t="shared" si="28"/>
        <v>2406532.9872300001</v>
      </c>
      <c r="AC19" s="36"/>
      <c r="AD19" s="36"/>
      <c r="AE19" s="36">
        <f t="shared" si="42"/>
        <v>0</v>
      </c>
      <c r="AF19" s="36">
        <f t="shared" si="29"/>
        <v>625847.04000000004</v>
      </c>
      <c r="AG19" s="57">
        <f>SUMIFS(Adjustments!H$5:H$557,Adjustments!$B$5:$B$557,'Mar16-Aug16 Billed-RETAIL'!$D19,Adjustments!$C$5:$C$557,'Mar16-Aug16 Billed-RETAIL'!$E19)</f>
        <v>0</v>
      </c>
      <c r="AH19" s="57">
        <f>SUMIFS(Adjustments!I$5:I$557,Adjustments!$B$5:$B$557,'Mar16-Aug16 Billed-RETAIL'!$D19,Adjustments!$C$5:$C$557,'Mar16-Aug16 Billed-RETAIL'!$E19)</f>
        <v>0</v>
      </c>
      <c r="AI19" s="48">
        <f>SUMIFS(Adjustments!J$5:J$557,Adjustments!$B$5:$B$557,'Mar16-Aug16 Billed-RETAIL'!$D19,Adjustments!$C$5:$C$557,'Mar16-Aug16 Billed-RETAIL'!$E19)</f>
        <v>255.93</v>
      </c>
      <c r="AJ19" s="48">
        <f>SUMIFS(Adjustments!K$5:K$557,Adjustments!$B$5:$B$557,'Mar16-Aug16 Billed-RETAIL'!$D19,Adjustments!$C$5:$C$557,'Mar16-Aug16 Billed-RETAIL'!$E19)</f>
        <v>-12.51</v>
      </c>
      <c r="AK19" s="48">
        <f>SUMIFS(Adjustments!L$5:L$557,Adjustments!$B$5:$B$557,'Mar16-Aug16 Billed-RETAIL'!$D19,Adjustments!$C$5:$C$557,'Mar16-Aug16 Billed-RETAIL'!$E19)</f>
        <v>26</v>
      </c>
      <c r="AL19" s="48">
        <f>SUMIFS(Adjustments!M$5:M$557,Adjustments!$B$5:$B$557,'Mar16-Aug16 Billed-RETAIL'!$D19,Adjustments!$C$5:$C$557,'Mar16-Aug16 Billed-RETAIL'!$E19)</f>
        <v>0</v>
      </c>
      <c r="AM19" s="48">
        <f>SUMIFS(Adjustments!N$5:N$557,Adjustments!$B$5:$B$557,'Mar16-Aug16 Billed-RETAIL'!$D19,Adjustments!$C$5:$C$557,'Mar16-Aug16 Billed-RETAIL'!$E19)</f>
        <v>0</v>
      </c>
      <c r="AN19" s="48">
        <f>SUMIFS(Adjustments!O$5:O$557,Adjustments!$B$5:$B$557,'Mar16-Aug16 Billed-RETAIL'!$D19,Adjustments!$C$5:$C$557,'Mar16-Aug16 Billed-RETAIL'!$E19)</f>
        <v>0</v>
      </c>
      <c r="AO19" s="48">
        <f>SUMIFS(Adjustments!P$5:P$557,Adjustments!$B$5:$B$557,'Mar16-Aug16 Billed-RETAIL'!$D19,Adjustments!$C$5:$C$557,'Mar16-Aug16 Billed-RETAIL'!$E19)</f>
        <v>0</v>
      </c>
      <c r="AP19" s="36">
        <f t="shared" si="30"/>
        <v>967935.93</v>
      </c>
      <c r="AQ19" s="36">
        <f t="shared" si="31"/>
        <v>196007.49</v>
      </c>
      <c r="AR19" s="36">
        <f t="shared" si="32"/>
        <v>1051579.77152</v>
      </c>
      <c r="AS19" s="36">
        <f t="shared" si="33"/>
        <v>420954.81992000004</v>
      </c>
      <c r="AT19" s="43">
        <f>SUMIFS('SBR Mar16 - Aug16'!$O$16:$O$475,'SBR Mar16 - Aug16'!$A$16:$A$475,'Mar16-Aug16 Billed-RETAIL'!$D19,'SBR Mar16 - Aug16'!$C$16:$C$475,'Mar16-Aug16 Billed-RETAIL'!$E19)</f>
        <v>2406026.0099999998</v>
      </c>
      <c r="AU19" s="43">
        <f>SUMIFS('SBR Mar16 - Aug16'!$N$16:$N$475,'SBR Mar16 - Aug16'!$A$16:$A$475,'Mar16-Aug16 Billed-RETAIL'!$D19,'SBR Mar16 - Aug16'!$C$16:$C$475,'Mar16-Aug16 Billed-RETAIL'!$E19)</f>
        <v>4231.07</v>
      </c>
      <c r="AV19" s="43">
        <f>SUMIFS('SBR Mar16 - Aug16'!$Y$16:$Y$475,'SBR Mar16 - Aug16'!$A$16:$A$475,'Mar16-Aug16 Billed-RETAIL'!$D19,'SBR Mar16 - Aug16'!$C$16:$C$475,'Mar16-Aug16 Billed-RETAIL'!$E19)</f>
        <v>345130.02</v>
      </c>
      <c r="AW19" s="43">
        <f>SUMIFS('SBR Mar16 - Aug16'!$X$16:$X$475,'SBR Mar16 - Aug16'!$A$16:$A$475,'Mar16-Aug16 Billed-RETAIL'!$D19,'SBR Mar16 - Aug16'!$C$16:$C$475,'Mar16-Aug16 Billed-RETAIL'!$E19)</f>
        <v>655203.9</v>
      </c>
      <c r="AX19" s="36">
        <f t="shared" si="34"/>
        <v>0</v>
      </c>
      <c r="AY19" s="36"/>
      <c r="AZ19" s="43">
        <f t="shared" si="35"/>
        <v>6047069.0099999998</v>
      </c>
      <c r="BA19" s="43">
        <f t="shared" si="43"/>
        <v>6047069.0099999998</v>
      </c>
      <c r="BB19" s="44">
        <f t="shared" si="36"/>
        <v>1</v>
      </c>
      <c r="BC19" s="43">
        <f>SUMIFS('SBR Mar16 - Aug16'!$N$16:$N$475,'SBR Mar16 - Aug16'!$A$16:$A$475,'Mar16-Aug16 Billed-RETAIL'!$D19,'SBR Mar16 - Aug16'!$C$16:$C$475,'Mar16-Aug16 Billed-RETAIL'!$E19)</f>
        <v>4231.07</v>
      </c>
      <c r="BD19" s="43">
        <f>SUMIFS('SBR Mar16 - Aug16'!$O$16:$O$475,'SBR Mar16 - Aug16'!$A$16:$A$475,'Mar16-Aug16 Billed-RETAIL'!$D19,'SBR Mar16 - Aug16'!$C$16:$C$475,'Mar16-Aug16 Billed-RETAIL'!$E19)</f>
        <v>2406026.0099999998</v>
      </c>
      <c r="BE19" s="43">
        <f>SUMIFS('SBR Mar16 - Aug16'!$Y$16:$Y$475,'SBR Mar16 - Aug16'!$A$16:$A$475,'Mar16-Aug16 Billed-RETAIL'!$D19,'SBR Mar16 - Aug16'!$C$16:$C$475,'Mar16-Aug16 Billed-RETAIL'!$E19)</f>
        <v>345130.02</v>
      </c>
      <c r="BF19" s="43">
        <f>SUMIFS('SBR Mar16 - Aug16'!$AB$16:$AB$475,'SBR Mar16 - Aug16'!$A$16:$A$475,'Mar16-Aug16 Billed-RETAIL'!$D19,'SBR Mar16 - Aug16'!$C$16:$C$475,'Mar16-Aug16 Billed-RETAIL'!$E19)</f>
        <v>0</v>
      </c>
      <c r="BG19" s="43">
        <f>SUMIFS('SBR Mar16 - Aug16'!$G$16:$G$137,'SBR Mar16 - Aug16'!$A$16:$A$137,'Mar16-Aug16 Billed-RETAIL'!$D19,'SBR Mar16 - Aug16'!$C$16:$C$137,'Mar16-Aug16 Billed-RETAIL'!$E19)</f>
        <v>1163943.42</v>
      </c>
      <c r="BH19" s="43">
        <f>SUMIFS('SBR Mar16 - Aug16'!$I$16:$I$137,'SBR Mar16 - Aug16'!$A$16:$A$137,'Mar16-Aug16 Billed-RETAIL'!$D19,'SBR Mar16 - Aug16'!$C$16:$C$137,'Mar16-Aug16 Billed-RETAIL'!$E19)</f>
        <v>1472534.59</v>
      </c>
      <c r="BI19" s="43">
        <f>SUMIFS('SBR Mar16 - Aug16'!$H$16:$H$137,'SBR Mar16 - Aug16'!$A$16:$A$137,'Mar16-Aug16 Billed-RETAIL'!$D19,'SBR Mar16 - Aug16'!$C$16:$C$137,'Mar16-Aug16 Billed-RETAIL'!$E19)</f>
        <v>0</v>
      </c>
      <c r="BJ19" s="43">
        <f>SUMIFS('SBR Mar16 - Aug16'!$X$16:$X$137,'SBR Mar16 - Aug16'!$A$16:$A$137,'Mar16-Aug16 Billed-RETAIL'!$D19,'SBR Mar16 - Aug16'!$C$16:$C$137,'Mar16-Aug16 Billed-RETAIL'!$E19)</f>
        <v>655203.9</v>
      </c>
      <c r="BL19" s="51">
        <f t="shared" si="37"/>
        <v>0</v>
      </c>
      <c r="BN19" s="58">
        <f t="shared" si="38"/>
        <v>0</v>
      </c>
      <c r="BO19" s="58">
        <f t="shared" si="39"/>
        <v>1.4400000218302011E-3</v>
      </c>
      <c r="BP19" s="58">
        <f t="shared" si="40"/>
        <v>0</v>
      </c>
    </row>
    <row r="20" spans="3:68" ht="15" x14ac:dyDescent="0.25">
      <c r="C20" s="14">
        <f t="shared" si="44"/>
        <v>13</v>
      </c>
      <c r="D20" s="604">
        <f t="shared" si="45"/>
        <v>42461</v>
      </c>
      <c r="E20" s="604" t="str">
        <f>+'Retail Rates'!$B$16</f>
        <v>LGUMG861</v>
      </c>
      <c r="F20" s="14" t="str">
        <f t="shared" si="41"/>
        <v>861</v>
      </c>
      <c r="G20" s="14" t="str">
        <f>VLOOKUP(E20,'Retail Rates'!$B$7:$D$34,3,FALSE)</f>
        <v>CGS</v>
      </c>
      <c r="H20" s="33"/>
      <c r="I20" s="33">
        <f>SUMIFS(Adjustments!F$5:F$362,Adjustments!$B$5:$B$362,'Mar16-Aug16 Billed-RETAIL'!$D20,Adjustments!$C$5:$C$362,'Mar16-Aug16 Billed-RETAIL'!$E20)</f>
        <v>619</v>
      </c>
      <c r="J20" s="33">
        <f>SUMIFS(Adjustments!G$5:G$64,Adjustments!$B$5:$B$64,'Mar16-Aug16 Billed-RETAIL'!$D20,Adjustments!$C$5:$C$64,'Mar16-Aug16 Billed-RETAIL'!$E20)</f>
        <v>0</v>
      </c>
      <c r="K20" s="33">
        <f>SUMIFS('Data-Retail'!$I$4:$I$1000,'Data-Retail'!$A$4:$A$1000,'Mar16-Aug16 Billed-RETAIL'!$D20,'Data-Retail'!$D$4:$D$1000,'Mar16-Aug16 Billed-RETAIL'!$E20)</f>
        <v>612</v>
      </c>
      <c r="L20" s="33">
        <f>SUMIFS('Data-Retail'!$J$4:$J$1000,'Data-Retail'!$A$4:$A$1000,'Mar16-Aug16 Billed-RETAIL'!$D20,'Data-Retail'!$D$4:$D$1000,'Mar16-Aug16 Billed-RETAIL'!$E20)</f>
        <v>0</v>
      </c>
      <c r="M20" s="33"/>
      <c r="N20" s="34">
        <f>VLOOKUP($E20,'Retail Rates'!$B$7:$L$34,5,FALSE)</f>
        <v>40</v>
      </c>
      <c r="O20" s="34">
        <f>VLOOKUP($E20,'Retail Rates'!$B$7:$L$34,6,FALSE)</f>
        <v>180</v>
      </c>
      <c r="P20" s="35">
        <f>VLOOKUP($E20,'Retail Rates'!$B$7:$L$34,7,FALSE)</f>
        <v>0.21504000000000001</v>
      </c>
      <c r="Q20" s="35">
        <f>VLOOKUP($E20,'Retail Rates'!$B$7:$L$34,8,FALSE)</f>
        <v>0.16504000000000002</v>
      </c>
      <c r="R20" s="35">
        <f>VLOOKUP($D20,'GSC-DSM-GLT Factors'!$A$1:$B$60,2,FALSE)</f>
        <v>0.32343</v>
      </c>
      <c r="S20" s="34">
        <f>VLOOKUP($E20,'Retail Rates'!$B$7:$L$34,9,FALSE)</f>
        <v>0</v>
      </c>
      <c r="T20" s="35">
        <f>VLOOKUP($E20,'Retail Rates'!$B$7:$L$34,10,FALSE)</f>
        <v>0</v>
      </c>
      <c r="U20" s="34">
        <f>VLOOKUP($E20,'Retail Rates'!$B$7:$L$34,11,FALSE)</f>
        <v>0</v>
      </c>
      <c r="V20" s="556">
        <f>VLOOKUP($D20,'GSC-DSM-GLT Factors'!$A$1:$O$60,12,FALSE)</f>
        <v>25.87</v>
      </c>
      <c r="W20" s="36">
        <f t="shared" si="25"/>
        <v>24760</v>
      </c>
      <c r="X20" s="36"/>
      <c r="Y20" s="36">
        <f>+J20*O20</f>
        <v>0</v>
      </c>
      <c r="Z20" s="36">
        <f t="shared" si="26"/>
        <v>131.60448</v>
      </c>
      <c r="AA20" s="36">
        <f t="shared" si="27"/>
        <v>0</v>
      </c>
      <c r="AB20" s="36">
        <f t="shared" si="28"/>
        <v>197.93915999999999</v>
      </c>
      <c r="AC20" s="36"/>
      <c r="AD20" s="36"/>
      <c r="AE20" s="36">
        <f t="shared" si="42"/>
        <v>0</v>
      </c>
      <c r="AF20" s="36">
        <f t="shared" si="29"/>
        <v>16013.53</v>
      </c>
      <c r="AG20" s="57">
        <f>SUMIFS(Adjustments!H$5:H$557,Adjustments!$B$5:$B$557,'Mar16-Aug16 Billed-RETAIL'!$D20,Adjustments!$C$5:$C$557,'Mar16-Aug16 Billed-RETAIL'!$E20)</f>
        <v>0</v>
      </c>
      <c r="AH20" s="57">
        <f>SUMIFS(Adjustments!I$5:I$557,Adjustments!$B$5:$B$557,'Mar16-Aug16 Billed-RETAIL'!$D20,Adjustments!$C$5:$C$557,'Mar16-Aug16 Billed-RETAIL'!$E20)</f>
        <v>0</v>
      </c>
      <c r="AI20" s="48">
        <f>SUMIFS(Adjustments!J$5:J$557,Adjustments!$B$5:$B$557,'Mar16-Aug16 Billed-RETAIL'!$D20,Adjustments!$C$5:$C$557,'Mar16-Aug16 Billed-RETAIL'!$E20)</f>
        <v>0</v>
      </c>
      <c r="AJ20" s="48">
        <f>SUMIFS(Adjustments!K$5:K$557,Adjustments!$B$5:$B$557,'Mar16-Aug16 Billed-RETAIL'!$D20,Adjustments!$C$5:$C$557,'Mar16-Aug16 Billed-RETAIL'!$E20)</f>
        <v>0</v>
      </c>
      <c r="AK20" s="48">
        <f>SUMIFS(Adjustments!L$5:L$557,Adjustments!$B$5:$B$557,'Mar16-Aug16 Billed-RETAIL'!$D20,Adjustments!$C$5:$C$557,'Mar16-Aug16 Billed-RETAIL'!$E20)</f>
        <v>2.95</v>
      </c>
      <c r="AL20" s="48">
        <f>SUMIFS(Adjustments!M$5:M$557,Adjustments!$B$5:$B$557,'Mar16-Aug16 Billed-RETAIL'!$D20,Adjustments!$C$5:$C$557,'Mar16-Aug16 Billed-RETAIL'!$E20)</f>
        <v>0</v>
      </c>
      <c r="AM20" s="48">
        <f>SUMIFS(Adjustments!N$5:N$557,Adjustments!$B$5:$B$557,'Mar16-Aug16 Billed-RETAIL'!$D20,Adjustments!$C$5:$C$557,'Mar16-Aug16 Billed-RETAIL'!$E20)</f>
        <v>0</v>
      </c>
      <c r="AN20" s="48">
        <f>SUMIFS(Adjustments!O$5:O$557,Adjustments!$B$5:$B$557,'Mar16-Aug16 Billed-RETAIL'!$D20,Adjustments!$C$5:$C$557,'Mar16-Aug16 Billed-RETAIL'!$E20)</f>
        <v>0</v>
      </c>
      <c r="AO20" s="48">
        <f>SUMIFS(Adjustments!P$5:P$557,Adjustments!$B$5:$B$557,'Mar16-Aug16 Billed-RETAIL'!$D20,Adjustments!$C$5:$C$557,'Mar16-Aug16 Billed-RETAIL'!$E20)</f>
        <v>0</v>
      </c>
      <c r="AP20" s="36">
        <f t="shared" si="30"/>
        <v>24760</v>
      </c>
      <c r="AQ20" s="36">
        <f t="shared" si="31"/>
        <v>0</v>
      </c>
      <c r="AR20" s="36">
        <f t="shared" si="32"/>
        <v>134.55447999999998</v>
      </c>
      <c r="AS20" s="36">
        <f t="shared" si="33"/>
        <v>0</v>
      </c>
      <c r="AT20" s="43">
        <f>SUMIFS('SBR Mar16 - Aug16'!$O$16:$O$475,'SBR Mar16 - Aug16'!$A$16:$A$475,'Mar16-Aug16 Billed-RETAIL'!$D20,'SBR Mar16 - Aug16'!$C$16:$C$475,'Mar16-Aug16 Billed-RETAIL'!$E20)</f>
        <v>195.93</v>
      </c>
      <c r="AU20" s="43">
        <f>SUMIFS('SBR Mar16 - Aug16'!$N$16:$N$475,'SBR Mar16 - Aug16'!$A$16:$A$475,'Mar16-Aug16 Billed-RETAIL'!$D20,'SBR Mar16 - Aug16'!$C$16:$C$475,'Mar16-Aug16 Billed-RETAIL'!$E20)</f>
        <v>0</v>
      </c>
      <c r="AV20" s="43">
        <f>SUMIFS('SBR Mar16 - Aug16'!$Y$16:$Y$475,'SBR Mar16 - Aug16'!$A$16:$A$475,'Mar16-Aug16 Billed-RETAIL'!$D20,'SBR Mar16 - Aug16'!$C$16:$C$475,'Mar16-Aug16 Billed-RETAIL'!$E20)</f>
        <v>0</v>
      </c>
      <c r="AW20" s="43">
        <f>SUMIFS('SBR Mar16 - Aug16'!$X$16:$X$475,'SBR Mar16 - Aug16'!$A$16:$A$475,'Mar16-Aug16 Billed-RETAIL'!$D20,'SBR Mar16 - Aug16'!$C$16:$C$475,'Mar16-Aug16 Billed-RETAIL'!$E20)</f>
        <v>0</v>
      </c>
      <c r="AX20" s="36">
        <f t="shared" si="34"/>
        <v>0</v>
      </c>
      <c r="AY20" s="36"/>
      <c r="AZ20" s="43">
        <f t="shared" si="35"/>
        <v>25090.48</v>
      </c>
      <c r="BA20" s="43">
        <f t="shared" si="43"/>
        <v>25090.48</v>
      </c>
      <c r="BB20" s="44">
        <f t="shared" si="36"/>
        <v>1</v>
      </c>
      <c r="BC20" s="43">
        <f>SUMIFS('SBR Mar16 - Aug16'!$N$16:$N$475,'SBR Mar16 - Aug16'!$A$16:$A$475,'Mar16-Aug16 Billed-RETAIL'!$D20,'SBR Mar16 - Aug16'!$C$16:$C$475,'Mar16-Aug16 Billed-RETAIL'!$E20)</f>
        <v>0</v>
      </c>
      <c r="BD20" s="43">
        <f>SUMIFS('SBR Mar16 - Aug16'!$O$16:$O$475,'SBR Mar16 - Aug16'!$A$16:$A$475,'Mar16-Aug16 Billed-RETAIL'!$D20,'SBR Mar16 - Aug16'!$C$16:$C$475,'Mar16-Aug16 Billed-RETAIL'!$E20)</f>
        <v>195.93</v>
      </c>
      <c r="BE20" s="43">
        <f>SUMIFS('SBR Mar16 - Aug16'!$Y$16:$Y$475,'SBR Mar16 - Aug16'!$A$16:$A$475,'Mar16-Aug16 Billed-RETAIL'!$D20,'SBR Mar16 - Aug16'!$C$16:$C$475,'Mar16-Aug16 Billed-RETAIL'!$E20)</f>
        <v>0</v>
      </c>
      <c r="BF20" s="43">
        <f>SUMIFS('SBR Mar16 - Aug16'!$AB$16:$AB$475,'SBR Mar16 - Aug16'!$A$16:$A$475,'Mar16-Aug16 Billed-RETAIL'!$D20,'SBR Mar16 - Aug16'!$C$16:$C$475,'Mar16-Aug16 Billed-RETAIL'!$E20)</f>
        <v>0</v>
      </c>
      <c r="BG20" s="43">
        <f>SUMIFS('SBR Mar16 - Aug16'!$G$16:$G$137,'SBR Mar16 - Aug16'!$A$16:$A$137,'Mar16-Aug16 Billed-RETAIL'!$D20,'SBR Mar16 - Aug16'!$C$16:$C$137,'Mar16-Aug16 Billed-RETAIL'!$E20)</f>
        <v>24760</v>
      </c>
      <c r="BH20" s="43">
        <f>SUMIFS('SBR Mar16 - Aug16'!$I$16:$I$137,'SBR Mar16 - Aug16'!$A$16:$A$137,'Mar16-Aug16 Billed-RETAIL'!$D20,'SBR Mar16 - Aug16'!$C$16:$C$137,'Mar16-Aug16 Billed-RETAIL'!$E20)</f>
        <v>134.55000000000001</v>
      </c>
      <c r="BI20" s="43">
        <f>SUMIFS('SBR Mar16 - Aug16'!$H$16:$H$137,'SBR Mar16 - Aug16'!$A$16:$A$137,'Mar16-Aug16 Billed-RETAIL'!$D20,'SBR Mar16 - Aug16'!$C$16:$C$137,'Mar16-Aug16 Billed-RETAIL'!$E20)</f>
        <v>0</v>
      </c>
      <c r="BJ20" s="43">
        <f>SUMIFS('SBR Mar16 - Aug16'!$X$16:$X$137,'SBR Mar16 - Aug16'!$A$16:$A$137,'Mar16-Aug16 Billed-RETAIL'!$D20,'SBR Mar16 - Aug16'!$C$16:$C$137,'Mar16-Aug16 Billed-RETAIL'!$E20)</f>
        <v>0</v>
      </c>
      <c r="BL20" s="51">
        <f t="shared" si="37"/>
        <v>0</v>
      </c>
      <c r="BN20" s="58">
        <f t="shared" si="38"/>
        <v>0</v>
      </c>
      <c r="BO20" s="58">
        <f t="shared" si="39"/>
        <v>4.479999999972506E-3</v>
      </c>
      <c r="BP20" s="58">
        <f t="shared" si="40"/>
        <v>0</v>
      </c>
    </row>
    <row r="21" spans="3:68" ht="15" customHeight="1" x14ac:dyDescent="0.25">
      <c r="C21" s="14">
        <f t="shared" si="44"/>
        <v>14</v>
      </c>
      <c r="D21" s="604">
        <f t="shared" si="45"/>
        <v>42461</v>
      </c>
      <c r="E21" s="604" t="str">
        <f>+'Retail Rates'!$B$20</f>
        <v>LGCMG875</v>
      </c>
      <c r="F21" s="14" t="str">
        <f t="shared" si="41"/>
        <v>875</v>
      </c>
      <c r="G21" s="14" t="str">
        <f>VLOOKUP(E21,'Retail Rates'!$B$7:$D$34,3,FALSE)</f>
        <v>DGGS-C</v>
      </c>
      <c r="H21" s="33">
        <f>SUMIFS('Data-Retail'!$H$4:$H$1000,'Data-Retail'!$A$4:$A$1000,'Mar16-Aug16 Billed-RETAIL'!$D21,'Data-Retail'!$D$4:$D$1000,'Mar16-Aug16 Billed-RETAIL'!$E21)</f>
        <v>1</v>
      </c>
      <c r="I21" s="33"/>
      <c r="J21" s="33"/>
      <c r="K21" s="33">
        <f>SUMIFS('Data-Retail'!$I$4:$I$1000,'Data-Retail'!$A$4:$A$1000,'Mar16-Aug16 Billed-RETAIL'!$D21,'Data-Retail'!$D$4:$D$1000,'Mar16-Aug16 Billed-RETAIL'!$E21)</f>
        <v>6</v>
      </c>
      <c r="L21" s="33">
        <f>SUMIFS('Data-Retail'!$J$4:$J$1000,'Data-Retail'!$A$4:$A$1000,'Mar16-Aug16 Billed-RETAIL'!$D21,'Data-Retail'!$D$4:$D$1000,'Mar16-Aug16 Billed-RETAIL'!$E21)</f>
        <v>0</v>
      </c>
      <c r="M21" s="33">
        <v>483</v>
      </c>
      <c r="N21" s="34">
        <f>VLOOKUP($E21,'Retail Rates'!$B$7:$L$34,5,FALSE)</f>
        <v>40</v>
      </c>
      <c r="O21" s="34">
        <f>VLOOKUP($E21,'Retail Rates'!$B$7:$L$34,6,FALSE)</f>
        <v>180</v>
      </c>
      <c r="P21" s="35">
        <f>VLOOKUP($E21,'Retail Rates'!$B$7:$L$34,7,FALSE)</f>
        <v>3.329E-2</v>
      </c>
      <c r="Q21" s="35">
        <f>VLOOKUP($E21,'Retail Rates'!$B$7:$L$34,8,FALSE)</f>
        <v>0</v>
      </c>
      <c r="R21" s="35">
        <f>VLOOKUP($D21,'GSC-DSM-GLT Factors'!$A$1:$B$60,2,FALSE)</f>
        <v>0.32343</v>
      </c>
      <c r="S21" s="34">
        <f>VLOOKUP($E21,'Retail Rates'!$B$7:$L$34,9,FALSE)</f>
        <v>0</v>
      </c>
      <c r="T21" s="35">
        <f>VLOOKUP($E21,'Retail Rates'!$B$7:$L$34,10,FALSE)</f>
        <v>0</v>
      </c>
      <c r="U21" s="699">
        <f>VLOOKUP($E21,'Retail Rates'!$B$7:$L$34,11,FALSE)</f>
        <v>1.1263000000000001</v>
      </c>
      <c r="V21" s="556">
        <f>VLOOKUP($D21,'GSC-DSM-GLT Factors'!$A$1:$O$60,15,FALSE)</f>
        <v>0</v>
      </c>
      <c r="W21" s="36">
        <f t="shared" si="25"/>
        <v>40</v>
      </c>
      <c r="X21" s="36"/>
      <c r="Y21" s="36"/>
      <c r="Z21" s="36">
        <f t="shared" si="26"/>
        <v>0.19974</v>
      </c>
      <c r="AA21" s="36">
        <f t="shared" si="27"/>
        <v>0</v>
      </c>
      <c r="AB21" s="36">
        <f t="shared" si="28"/>
        <v>1.94058</v>
      </c>
      <c r="AC21" s="36"/>
      <c r="AD21" s="36"/>
      <c r="AE21" s="36">
        <f t="shared" si="42"/>
        <v>544.00290000000007</v>
      </c>
      <c r="AF21" s="36">
        <f t="shared" si="29"/>
        <v>0</v>
      </c>
      <c r="AG21" s="57">
        <f>SUMIFS(Adjustments!H$5:H$557,Adjustments!$B$5:$B$557,'Mar16-Aug16 Billed-RETAIL'!$D21,Adjustments!$C$5:$C$557,'Mar16-Aug16 Billed-RETAIL'!$E21)</f>
        <v>0</v>
      </c>
      <c r="AH21" s="57">
        <f>SUMIFS(Adjustments!I$5:I$557,Adjustments!$B$5:$B$557,'Mar16-Aug16 Billed-RETAIL'!$D21,Adjustments!$C$5:$C$557,'Mar16-Aug16 Billed-RETAIL'!$E21)</f>
        <v>0</v>
      </c>
      <c r="AI21" s="48">
        <f>SUMIFS(Adjustments!J$5:J$557,Adjustments!$B$5:$B$557,'Mar16-Aug16 Billed-RETAIL'!$D21,Adjustments!$C$5:$C$557,'Mar16-Aug16 Billed-RETAIL'!$E21)</f>
        <v>0</v>
      </c>
      <c r="AJ21" s="48">
        <f>SUMIFS(Adjustments!K$5:K$557,Adjustments!$B$5:$B$557,'Mar16-Aug16 Billed-RETAIL'!$D21,Adjustments!$C$5:$C$557,'Mar16-Aug16 Billed-RETAIL'!$E21)</f>
        <v>0</v>
      </c>
      <c r="AK21" s="48">
        <f>SUMIFS(Adjustments!L$5:L$557,Adjustments!$B$5:$B$557,'Mar16-Aug16 Billed-RETAIL'!$D21,Adjustments!$C$5:$C$557,'Mar16-Aug16 Billed-RETAIL'!$E21)</f>
        <v>0</v>
      </c>
      <c r="AL21" s="48">
        <f>SUMIFS(Adjustments!M$5:M$557,Adjustments!$B$5:$B$557,'Mar16-Aug16 Billed-RETAIL'!$D21,Adjustments!$C$5:$C$557,'Mar16-Aug16 Billed-RETAIL'!$E21)</f>
        <v>0</v>
      </c>
      <c r="AM21" s="48">
        <f>SUMIFS(Adjustments!N$5:N$557,Adjustments!$B$5:$B$557,'Mar16-Aug16 Billed-RETAIL'!$D21,Adjustments!$C$5:$C$557,'Mar16-Aug16 Billed-RETAIL'!$E21)</f>
        <v>0</v>
      </c>
      <c r="AN21" s="48">
        <f>SUMIFS(Adjustments!O$5:O$557,Adjustments!$B$5:$B$557,'Mar16-Aug16 Billed-RETAIL'!$D21,Adjustments!$C$5:$C$557,'Mar16-Aug16 Billed-RETAIL'!$E21)</f>
        <v>0</v>
      </c>
      <c r="AO21" s="48">
        <f>SUMIFS(Adjustments!P$5:P$557,Adjustments!$B$5:$B$557,'Mar16-Aug16 Billed-RETAIL'!$D21,Adjustments!$C$5:$C$557,'Mar16-Aug16 Billed-RETAIL'!$E21)</f>
        <v>0</v>
      </c>
      <c r="AP21" s="36">
        <f t="shared" si="30"/>
        <v>40</v>
      </c>
      <c r="AQ21" s="36">
        <f t="shared" si="31"/>
        <v>0</v>
      </c>
      <c r="AR21" s="36">
        <f t="shared" si="32"/>
        <v>0.19974</v>
      </c>
      <c r="AS21" s="36">
        <f t="shared" si="33"/>
        <v>0</v>
      </c>
      <c r="AT21" s="43">
        <f>SUMIFS('SBR Mar16 - Aug16'!$O$16:$O$475,'SBR Mar16 - Aug16'!$A$16:$A$475,'Mar16-Aug16 Billed-RETAIL'!$D21,'SBR Mar16 - Aug16'!$C$16:$C$475,'Mar16-Aug16 Billed-RETAIL'!$E21)</f>
        <v>1.94</v>
      </c>
      <c r="AU21" s="43">
        <f>SUMIFS('SBR Mar16 - Aug16'!$N$16:$N$475,'SBR Mar16 - Aug16'!$A$16:$A$475,'Mar16-Aug16 Billed-RETAIL'!$D21,'SBR Mar16 - Aug16'!$C$16:$C$475,'Mar16-Aug16 Billed-RETAIL'!$E21)</f>
        <v>0</v>
      </c>
      <c r="AV21" s="43">
        <f>SUMIFS('SBR Mar16 - Aug16'!$Y$16:$Y$475,'SBR Mar16 - Aug16'!$A$16:$A$475,'Mar16-Aug16 Billed-RETAIL'!$D21,'SBR Mar16 - Aug16'!$C$16:$C$475,'Mar16-Aug16 Billed-RETAIL'!$E21)</f>
        <v>0</v>
      </c>
      <c r="AW21" s="43">
        <f>SUMIFS('SBR Mar16 - Aug16'!$X$16:$X$475,'SBR Mar16 - Aug16'!$A$16:$A$475,'Mar16-Aug16 Billed-RETAIL'!$D21,'SBR Mar16 - Aug16'!$C$16:$C$475,'Mar16-Aug16 Billed-RETAIL'!$E21)</f>
        <v>0</v>
      </c>
      <c r="AX21" s="36">
        <f t="shared" si="34"/>
        <v>544.00290000000007</v>
      </c>
      <c r="AY21" s="36"/>
      <c r="AZ21" s="43">
        <f t="shared" si="35"/>
        <v>586.14</v>
      </c>
      <c r="BA21" s="43">
        <f t="shared" si="43"/>
        <v>586.14</v>
      </c>
      <c r="BB21" s="44">
        <f t="shared" si="36"/>
        <v>1</v>
      </c>
      <c r="BC21" s="43">
        <f>SUMIFS('SBR Mar16 - Aug16'!$N$16:$N$475,'SBR Mar16 - Aug16'!$A$16:$A$475,'Mar16-Aug16 Billed-RETAIL'!$D21,'SBR Mar16 - Aug16'!$C$16:$C$475,'Mar16-Aug16 Billed-RETAIL'!$E21)</f>
        <v>0</v>
      </c>
      <c r="BD21" s="43">
        <f>SUMIFS('SBR Mar16 - Aug16'!$O$16:$O$475,'SBR Mar16 - Aug16'!$A$16:$A$475,'Mar16-Aug16 Billed-RETAIL'!$D21,'SBR Mar16 - Aug16'!$C$16:$C$475,'Mar16-Aug16 Billed-RETAIL'!$E21)</f>
        <v>1.94</v>
      </c>
      <c r="BE21" s="43">
        <f>SUMIFS('SBR Mar16 - Aug16'!$Y$16:$Y$475,'SBR Mar16 - Aug16'!$A$16:$A$475,'Mar16-Aug16 Billed-RETAIL'!$D21,'SBR Mar16 - Aug16'!$C$16:$C$475,'Mar16-Aug16 Billed-RETAIL'!$E21)</f>
        <v>0</v>
      </c>
      <c r="BF21" s="43">
        <f>SUMIFS('SBR Mar16 - Aug16'!$AB$16:$AB$475,'SBR Mar16 - Aug16'!$A$16:$A$475,'Mar16-Aug16 Billed-RETAIL'!$D21,'SBR Mar16 - Aug16'!$C$16:$C$475,'Mar16-Aug16 Billed-RETAIL'!$E21)</f>
        <v>0</v>
      </c>
      <c r="BG21" s="43">
        <f>SUMIFS('SBR Mar16 - Aug16'!$G$16:$G$137,'SBR Mar16 - Aug16'!$A$16:$A$137,'Mar16-Aug16 Billed-RETAIL'!$D21,'SBR Mar16 - Aug16'!$C$16:$C$137,'Mar16-Aug16 Billed-RETAIL'!$E21)</f>
        <v>40</v>
      </c>
      <c r="BH21" s="43">
        <f>SUMIFS('SBR Mar16 - Aug16'!$I$16:$I$137,'SBR Mar16 - Aug16'!$A$16:$A$137,'Mar16-Aug16 Billed-RETAIL'!$D21,'SBR Mar16 - Aug16'!$C$16:$C$137,'Mar16-Aug16 Billed-RETAIL'!$E21)</f>
        <v>0.2</v>
      </c>
      <c r="BI21" s="43">
        <f>SUMIFS('SBR Mar16 - Aug16'!$H$16:$H$137,'SBR Mar16 - Aug16'!$A$16:$A$137,'Mar16-Aug16 Billed-RETAIL'!$D21,'SBR Mar16 - Aug16'!$C$16:$C$137,'Mar16-Aug16 Billed-RETAIL'!$E21)</f>
        <v>544</v>
      </c>
      <c r="BJ21" s="43">
        <f>SUMIFS('SBR Mar16 - Aug16'!$X$16:$X$137,'SBR Mar16 - Aug16'!$A$16:$A$137,'Mar16-Aug16 Billed-RETAIL'!$D21,'SBR Mar16 - Aug16'!$C$16:$C$137,'Mar16-Aug16 Billed-RETAIL'!$E21)</f>
        <v>0</v>
      </c>
      <c r="BL21" s="51">
        <f t="shared" si="37"/>
        <v>0</v>
      </c>
      <c r="BN21" s="58">
        <f t="shared" si="38"/>
        <v>0</v>
      </c>
      <c r="BO21" s="58">
        <f t="shared" si="39"/>
        <v>-2.6000000000001022E-4</v>
      </c>
      <c r="BP21" s="58">
        <f t="shared" si="40"/>
        <v>0</v>
      </c>
    </row>
    <row r="22" spans="3:68" ht="15" customHeight="1" x14ac:dyDescent="0.25">
      <c r="C22" s="14">
        <f t="shared" si="44"/>
        <v>15</v>
      </c>
      <c r="D22" s="604">
        <f t="shared" si="45"/>
        <v>42461</v>
      </c>
      <c r="E22" s="604" t="str">
        <f>+'Retail Rates'!$B$26</f>
        <v>LGING855</v>
      </c>
      <c r="F22" s="14" t="str">
        <f t="shared" si="41"/>
        <v>855</v>
      </c>
      <c r="G22" s="14" t="s">
        <v>118</v>
      </c>
      <c r="H22" s="33"/>
      <c r="I22" s="33">
        <f>SUMIFS(Adjustments!F$5:F$362,Adjustments!$B$5:$B$362,'Mar16-Aug16 Billed-RETAIL'!$D22,Adjustments!$C$5:$C$362,'Mar16-Aug16 Billed-RETAIL'!$E22)</f>
        <v>129</v>
      </c>
      <c r="J22" s="33">
        <f>SUMIFS(Adjustments!G$5:G$64,Adjustments!$B$5:$B$64,'Mar16-Aug16 Billed-RETAIL'!$D22,Adjustments!$C$5:$C$64,'Mar16-Aug16 Billed-RETAIL'!$E22)</f>
        <v>116</v>
      </c>
      <c r="K22" s="33">
        <f>SUMIFS('Data-Retail'!$I$4:$I$1000,'Data-Retail'!$A$4:$A$1000,'Mar16-Aug16 Billed-RETAIL'!$D22,'Data-Retail'!$D$4:$D$1000,'Mar16-Aug16 Billed-RETAIL'!$E22)</f>
        <v>172922</v>
      </c>
      <c r="L22" s="33">
        <f>SUMIFS('Data-Retail'!$J$4:$J$1000,'Data-Retail'!$A$4:$A$1000,'Mar16-Aug16 Billed-RETAIL'!$D22,'Data-Retail'!$D$4:$D$1000,'Mar16-Aug16 Billed-RETAIL'!$E22)</f>
        <v>751585</v>
      </c>
      <c r="M22" s="33"/>
      <c r="N22" s="34">
        <f>VLOOKUP($E22,'Retail Rates'!$B$7:$L$34,5,FALSE)</f>
        <v>40</v>
      </c>
      <c r="O22" s="34">
        <f>VLOOKUP($E22,'Retail Rates'!$B$7:$L$34,6,FALSE)</f>
        <v>180</v>
      </c>
      <c r="P22" s="35">
        <f>VLOOKUP($E22,'Retail Rates'!$B$7:$L$34,7,FALSE)</f>
        <v>0.22778999999999999</v>
      </c>
      <c r="Q22" s="35">
        <f>VLOOKUP($E22,'Retail Rates'!$B$7:$L$34,8,FALSE)</f>
        <v>0.17779</v>
      </c>
      <c r="R22" s="35">
        <f>VLOOKUP($D22,'GSC-DSM-GLT Factors'!$A$1:$B$60,2,FALSE)</f>
        <v>0.32343</v>
      </c>
      <c r="S22" s="34">
        <f>VLOOKUP($E22,'Retail Rates'!$B$7:$L$34,9,FALSE)</f>
        <v>0</v>
      </c>
      <c r="T22" s="35">
        <f>VLOOKUP($E22,'Retail Rates'!$B$7:$L$34,10,FALSE)</f>
        <v>0</v>
      </c>
      <c r="U22" s="34">
        <f>VLOOKUP($E22,'Retail Rates'!$B$7:$L$34,11,FALSE)</f>
        <v>0</v>
      </c>
      <c r="V22" s="556">
        <f>VLOOKUP($D22,'GSC-DSM-GLT Factors'!$A$1:$O$60,13,FALSE)</f>
        <v>245.08</v>
      </c>
      <c r="W22" s="36">
        <f t="shared" si="25"/>
        <v>5160</v>
      </c>
      <c r="X22" s="36"/>
      <c r="Y22" s="36">
        <f>+J22*O22</f>
        <v>20880</v>
      </c>
      <c r="Z22" s="36">
        <f t="shared" si="26"/>
        <v>39389.90238</v>
      </c>
      <c r="AA22" s="36">
        <f t="shared" si="27"/>
        <v>133624.29715</v>
      </c>
      <c r="AB22" s="36">
        <f t="shared" si="28"/>
        <v>299013.29901000002</v>
      </c>
      <c r="AC22" s="36"/>
      <c r="AD22" s="36"/>
      <c r="AE22" s="36">
        <f t="shared" si="42"/>
        <v>0</v>
      </c>
      <c r="AF22" s="36">
        <f t="shared" si="29"/>
        <v>31615.320000000003</v>
      </c>
      <c r="AG22" s="57">
        <f>SUMIFS(Adjustments!H$5:H$557,Adjustments!$B$5:$B$557,'Mar16-Aug16 Billed-RETAIL'!$D22,Adjustments!$C$5:$C$557,'Mar16-Aug16 Billed-RETAIL'!$E22)</f>
        <v>0</v>
      </c>
      <c r="AH22" s="57">
        <f>SUMIFS(Adjustments!I$5:I$557,Adjustments!$B$5:$B$557,'Mar16-Aug16 Billed-RETAIL'!$D22,Adjustments!$C$5:$C$557,'Mar16-Aug16 Billed-RETAIL'!$E22)</f>
        <v>0</v>
      </c>
      <c r="AI22" s="48">
        <f>SUMIFS(Adjustments!J$5:J$557,Adjustments!$B$5:$B$557,'Mar16-Aug16 Billed-RETAIL'!$D22,Adjustments!$C$5:$C$557,'Mar16-Aug16 Billed-RETAIL'!$E22)</f>
        <v>10.64</v>
      </c>
      <c r="AJ22" s="48">
        <f>SUMIFS(Adjustments!K$5:K$557,Adjustments!$B$5:$B$557,'Mar16-Aug16 Billed-RETAIL'!$D22,Adjustments!$C$5:$C$557,'Mar16-Aug16 Billed-RETAIL'!$E22)</f>
        <v>0.15</v>
      </c>
      <c r="AK22" s="48">
        <f>SUMIFS(Adjustments!L$5:L$557,Adjustments!$B$5:$B$557,'Mar16-Aug16 Billed-RETAIL'!$D22,Adjustments!$C$5:$C$557,'Mar16-Aug16 Billed-RETAIL'!$E22)</f>
        <v>0.02</v>
      </c>
      <c r="AL22" s="48">
        <f>SUMIFS(Adjustments!M$5:M$557,Adjustments!$B$5:$B$557,'Mar16-Aug16 Billed-RETAIL'!$D22,Adjustments!$C$5:$C$557,'Mar16-Aug16 Billed-RETAIL'!$E22)</f>
        <v>0</v>
      </c>
      <c r="AM22" s="48">
        <f>SUMIFS(Adjustments!N$5:N$557,Adjustments!$B$5:$B$557,'Mar16-Aug16 Billed-RETAIL'!$D22,Adjustments!$C$5:$C$557,'Mar16-Aug16 Billed-RETAIL'!$E22)</f>
        <v>0</v>
      </c>
      <c r="AN22" s="48">
        <f>SUMIFS(Adjustments!O$5:O$557,Adjustments!$B$5:$B$557,'Mar16-Aug16 Billed-RETAIL'!$D22,Adjustments!$C$5:$C$557,'Mar16-Aug16 Billed-RETAIL'!$E22)</f>
        <v>0</v>
      </c>
      <c r="AO22" s="48">
        <f>SUMIFS(Adjustments!P$5:P$557,Adjustments!$B$5:$B$557,'Mar16-Aug16 Billed-RETAIL'!$D22,Adjustments!$C$5:$C$557,'Mar16-Aug16 Billed-RETAIL'!$E22)</f>
        <v>0</v>
      </c>
      <c r="AP22" s="36">
        <f t="shared" si="30"/>
        <v>5170.6400000000003</v>
      </c>
      <c r="AQ22" s="36">
        <f t="shared" si="31"/>
        <v>20880.150000000001</v>
      </c>
      <c r="AR22" s="36">
        <f t="shared" si="32"/>
        <v>39389.922379999996</v>
      </c>
      <c r="AS22" s="36">
        <f t="shared" si="33"/>
        <v>133624.29715</v>
      </c>
      <c r="AT22" s="43">
        <f>SUMIFS('SBR Mar16 - Aug16'!$O$16:$O$475,'SBR Mar16 - Aug16'!$A$16:$A$475,'Mar16-Aug16 Billed-RETAIL'!$D22,'SBR Mar16 - Aug16'!$C$16:$C$475,'Mar16-Aug16 Billed-RETAIL'!$E22)</f>
        <v>299013.34999999998</v>
      </c>
      <c r="AU22" s="43">
        <f>SUMIFS('SBR Mar16 - Aug16'!$N$16:$N$475,'SBR Mar16 - Aug16'!$A$16:$A$475,'Mar16-Aug16 Billed-RETAIL'!$D22,'SBR Mar16 - Aug16'!$C$16:$C$475,'Mar16-Aug16 Billed-RETAIL'!$E22)</f>
        <v>0</v>
      </c>
      <c r="AV22" s="43">
        <f>SUMIFS('SBR Mar16 - Aug16'!$Y$16:$Y$475,'SBR Mar16 - Aug16'!$A$16:$A$475,'Mar16-Aug16 Billed-RETAIL'!$D22,'SBR Mar16 - Aug16'!$C$16:$C$475,'Mar16-Aug16 Billed-RETAIL'!$E22)</f>
        <v>0</v>
      </c>
      <c r="AW22" s="43">
        <f>SUMIFS('SBR Mar16 - Aug16'!$X$16:$X$475,'SBR Mar16 - Aug16'!$A$16:$A$475,'Mar16-Aug16 Billed-RETAIL'!$D22,'SBR Mar16 - Aug16'!$C$16:$C$475,'Mar16-Aug16 Billed-RETAIL'!$E22)</f>
        <v>60111.44</v>
      </c>
      <c r="AX22" s="36">
        <f t="shared" si="34"/>
        <v>0</v>
      </c>
      <c r="AY22" s="36"/>
      <c r="AZ22" s="43">
        <f t="shared" si="35"/>
        <v>558189.80000000005</v>
      </c>
      <c r="BA22" s="43">
        <f t="shared" si="43"/>
        <v>558189.81000000006</v>
      </c>
      <c r="BB22" s="44">
        <f t="shared" si="36"/>
        <v>1</v>
      </c>
      <c r="BC22" s="43">
        <f>SUMIFS('SBR Mar16 - Aug16'!$N$16:$N$475,'SBR Mar16 - Aug16'!$A$16:$A$475,'Mar16-Aug16 Billed-RETAIL'!$D22,'SBR Mar16 - Aug16'!$C$16:$C$475,'Mar16-Aug16 Billed-RETAIL'!$E22)</f>
        <v>0</v>
      </c>
      <c r="BD22" s="43">
        <f>SUMIFS('SBR Mar16 - Aug16'!$O$16:$O$475,'SBR Mar16 - Aug16'!$A$16:$A$475,'Mar16-Aug16 Billed-RETAIL'!$D22,'SBR Mar16 - Aug16'!$C$16:$C$475,'Mar16-Aug16 Billed-RETAIL'!$E22)</f>
        <v>299013.34999999998</v>
      </c>
      <c r="BE22" s="43">
        <f>SUMIFS('SBR Mar16 - Aug16'!$Y$16:$Y$475,'SBR Mar16 - Aug16'!$A$16:$A$475,'Mar16-Aug16 Billed-RETAIL'!$D22,'SBR Mar16 - Aug16'!$C$16:$C$475,'Mar16-Aug16 Billed-RETAIL'!$E22)</f>
        <v>0</v>
      </c>
      <c r="BF22" s="43">
        <f>SUMIFS('SBR Mar16 - Aug16'!$AB$16:$AB$475,'SBR Mar16 - Aug16'!$A$16:$A$475,'Mar16-Aug16 Billed-RETAIL'!$D22,'SBR Mar16 - Aug16'!$C$16:$C$475,'Mar16-Aug16 Billed-RETAIL'!$E22)</f>
        <v>0</v>
      </c>
      <c r="BG22" s="43">
        <f>SUMIFS('SBR Mar16 - Aug16'!$G$16:$G$137,'SBR Mar16 - Aug16'!$A$16:$A$137,'Mar16-Aug16 Billed-RETAIL'!$D22,'SBR Mar16 - Aug16'!$C$16:$C$137,'Mar16-Aug16 Billed-RETAIL'!$E22)</f>
        <v>26050.79</v>
      </c>
      <c r="BH22" s="43">
        <f>SUMIFS('SBR Mar16 - Aug16'!$I$16:$I$137,'SBR Mar16 - Aug16'!$A$16:$A$137,'Mar16-Aug16 Billed-RETAIL'!$D22,'SBR Mar16 - Aug16'!$C$16:$C$137,'Mar16-Aug16 Billed-RETAIL'!$E22)</f>
        <v>173014.23</v>
      </c>
      <c r="BI22" s="43">
        <f>SUMIFS('SBR Mar16 - Aug16'!$H$16:$H$137,'SBR Mar16 - Aug16'!$A$16:$A$137,'Mar16-Aug16 Billed-RETAIL'!$D22,'SBR Mar16 - Aug16'!$C$16:$C$137,'Mar16-Aug16 Billed-RETAIL'!$E22)</f>
        <v>0</v>
      </c>
      <c r="BJ22" s="43">
        <f>SUMIFS('SBR Mar16 - Aug16'!$X$16:$X$137,'SBR Mar16 - Aug16'!$A$16:$A$137,'Mar16-Aug16 Billed-RETAIL'!$D22,'SBR Mar16 - Aug16'!$C$16:$C$137,'Mar16-Aug16 Billed-RETAIL'!$E22)</f>
        <v>60111.44</v>
      </c>
      <c r="BL22" s="51">
        <f t="shared" si="37"/>
        <v>-1.0000000009313226E-2</v>
      </c>
      <c r="BN22" s="58">
        <f t="shared" si="38"/>
        <v>0</v>
      </c>
      <c r="BO22" s="58">
        <f t="shared" si="39"/>
        <v>-1.0470000008353963E-2</v>
      </c>
      <c r="BP22" s="58">
        <f t="shared" si="40"/>
        <v>0</v>
      </c>
    </row>
    <row r="23" spans="3:68" ht="15" customHeight="1" x14ac:dyDescent="0.25">
      <c r="C23" s="14">
        <f t="shared" si="44"/>
        <v>16</v>
      </c>
      <c r="D23" s="604">
        <f t="shared" si="45"/>
        <v>42461</v>
      </c>
      <c r="E23" s="604" t="str">
        <f>+'Retail Rates'!$B$31</f>
        <v>LGRSG811</v>
      </c>
      <c r="F23" s="14" t="str">
        <f t="shared" si="41"/>
        <v>811</v>
      </c>
      <c r="G23" s="14" t="str">
        <f>VLOOKUP(E23,'Retail Rates'!$B$7:$D$34,3,FALSE)</f>
        <v>RGS</v>
      </c>
      <c r="H23" s="33">
        <f>SUMIFS('Data-Retail'!$H$4:$H$1000,'Data-Retail'!$A$4:$A$1000,'Mar16-Aug16 Billed-RETAIL'!$D23,'Data-Retail'!$D$4:$D$1000,'Mar16-Aug16 Billed-RETAIL'!$E23)</f>
        <v>298042</v>
      </c>
      <c r="I23" s="33"/>
      <c r="J23" s="33"/>
      <c r="K23" s="33">
        <f>SUMIFS('Data-Retail'!$I$4:$I$1000,'Data-Retail'!$A$4:$A$1000,'Mar16-Aug16 Billed-RETAIL'!$D23,'Data-Retail'!$D$4:$D$1000,'Mar16-Aug16 Billed-RETAIL'!$E23)</f>
        <v>14232912</v>
      </c>
      <c r="L23" s="33">
        <f>SUMIFS('Data-Retail'!$J$4:$J$1000,'Data-Retail'!$A$4:$A$1000,'Mar16-Aug16 Billed-RETAIL'!$D23,'Data-Retail'!$D$4:$D$1000,'Mar16-Aug16 Billed-RETAIL'!$E23)</f>
        <v>0</v>
      </c>
      <c r="M23" s="33"/>
      <c r="N23" s="34">
        <f>VLOOKUP($E23,'Retail Rates'!$B$7:$L$34,5,FALSE)</f>
        <v>13.5</v>
      </c>
      <c r="O23" s="34">
        <f>VLOOKUP($E23,'Retail Rates'!$B$7:$L$34,6,FALSE)</f>
        <v>0</v>
      </c>
      <c r="P23" s="35">
        <f>VLOOKUP($E23,'Retail Rates'!$B$7:$L$34,7,FALSE)</f>
        <v>0.28693000000000002</v>
      </c>
      <c r="Q23" s="35">
        <f>VLOOKUP($E23,'Retail Rates'!$B$7:$L$34,8,FALSE)</f>
        <v>0</v>
      </c>
      <c r="R23" s="35">
        <f>VLOOKUP($D23,'GSC-DSM-GLT Factors'!$A$1:$B$60,2,FALSE)</f>
        <v>0.32343</v>
      </c>
      <c r="S23" s="34">
        <f>VLOOKUP($E23,'Retail Rates'!$B$7:$L$34,9,FALSE)</f>
        <v>0</v>
      </c>
      <c r="T23" s="35">
        <f>VLOOKUP($E23,'Retail Rates'!$B$7:$L$34,10,FALSE)</f>
        <v>0</v>
      </c>
      <c r="U23" s="34">
        <f>VLOOKUP($E23,'Retail Rates'!$B$7:$L$34,11,FALSE)</f>
        <v>0</v>
      </c>
      <c r="V23" s="556">
        <f>VLOOKUP($D23,'GSC-DSM-GLT Factors'!$A$1:$O$60,10,FALSE)</f>
        <v>4.8499999999999996</v>
      </c>
      <c r="W23" s="36">
        <f t="shared" si="25"/>
        <v>4023567</v>
      </c>
      <c r="X23" s="36"/>
      <c r="Y23" s="36"/>
      <c r="Z23" s="36">
        <f t="shared" si="26"/>
        <v>4083849.4401600002</v>
      </c>
      <c r="AA23" s="36">
        <f t="shared" si="27"/>
        <v>0</v>
      </c>
      <c r="AB23" s="36">
        <f t="shared" si="28"/>
        <v>4603350.7281599995</v>
      </c>
      <c r="AC23" s="36"/>
      <c r="AD23" s="36"/>
      <c r="AE23" s="36">
        <f t="shared" si="42"/>
        <v>0</v>
      </c>
      <c r="AF23" s="36">
        <f t="shared" si="29"/>
        <v>1445503.7</v>
      </c>
      <c r="AG23" s="57">
        <f>SUMIFS(Adjustments!H$5:H$557,Adjustments!$B$5:$B$557,'Mar16-Aug16 Billed-RETAIL'!$D23,Adjustments!$C$5:$C$557,'Mar16-Aug16 Billed-RETAIL'!$E23)</f>
        <v>-2538</v>
      </c>
      <c r="AH23" s="57">
        <f>SUMIFS(Adjustments!I$5:I$557,Adjustments!$B$5:$B$557,'Mar16-Aug16 Billed-RETAIL'!$D23,Adjustments!$C$5:$C$557,'Mar16-Aug16 Billed-RETAIL'!$E23)</f>
        <v>0</v>
      </c>
      <c r="AI23" s="48">
        <f>SUMIFS(Adjustments!J$5:J$557,Adjustments!$B$5:$B$557,'Mar16-Aug16 Billed-RETAIL'!$D23,Adjustments!$C$5:$C$557,'Mar16-Aug16 Billed-RETAIL'!$E23)</f>
        <v>21.17</v>
      </c>
      <c r="AJ23" s="48">
        <f>SUMIFS(Adjustments!K$5:K$557,Adjustments!$B$5:$B$557,'Mar16-Aug16 Billed-RETAIL'!$D23,Adjustments!$C$5:$C$557,'Mar16-Aug16 Billed-RETAIL'!$E23)</f>
        <v>0</v>
      </c>
      <c r="AK23" s="48">
        <f>SUMIFS(Adjustments!L$5:L$557,Adjustments!$B$5:$B$557,'Mar16-Aug16 Billed-RETAIL'!$D23,Adjustments!$C$5:$C$557,'Mar16-Aug16 Billed-RETAIL'!$E23)</f>
        <v>-19.29</v>
      </c>
      <c r="AL23" s="48">
        <f>SUMIFS(Adjustments!M$5:M$557,Adjustments!$B$5:$B$557,'Mar16-Aug16 Billed-RETAIL'!$D23,Adjustments!$C$5:$C$557,'Mar16-Aug16 Billed-RETAIL'!$E23)</f>
        <v>0</v>
      </c>
      <c r="AM23" s="48">
        <f>SUMIFS(Adjustments!N$5:N$557,Adjustments!$B$5:$B$557,'Mar16-Aug16 Billed-RETAIL'!$D23,Adjustments!$C$5:$C$557,'Mar16-Aug16 Billed-RETAIL'!$E23)</f>
        <v>0</v>
      </c>
      <c r="AN23" s="48">
        <f>SUMIFS(Adjustments!O$5:O$557,Adjustments!$B$5:$B$557,'Mar16-Aug16 Billed-RETAIL'!$D23,Adjustments!$C$5:$C$557,'Mar16-Aug16 Billed-RETAIL'!$E23)</f>
        <v>0</v>
      </c>
      <c r="AO23" s="48">
        <f>SUMIFS(Adjustments!P$5:P$557,Adjustments!$B$5:$B$557,'Mar16-Aug16 Billed-RETAIL'!$D23,Adjustments!$C$5:$C$557,'Mar16-Aug16 Billed-RETAIL'!$E23)</f>
        <v>0</v>
      </c>
      <c r="AP23" s="36">
        <f t="shared" si="30"/>
        <v>3989325.17</v>
      </c>
      <c r="AQ23" s="36">
        <f t="shared" si="31"/>
        <v>0</v>
      </c>
      <c r="AR23" s="36">
        <f t="shared" si="32"/>
        <v>4083830.1501600002</v>
      </c>
      <c r="AS23" s="36">
        <f t="shared" si="33"/>
        <v>0</v>
      </c>
      <c r="AT23" s="43">
        <f>SUMIFS('SBR Mar16 - Aug16'!$O$16:$O$475,'SBR Mar16 - Aug16'!$A$16:$A$475,'Mar16-Aug16 Billed-RETAIL'!$D23,'SBR Mar16 - Aug16'!$C$16:$C$475,'Mar16-Aug16 Billed-RETAIL'!$E23)</f>
        <v>4603513.2300000004</v>
      </c>
      <c r="AU23" s="43">
        <f>SUMIFS('SBR Mar16 - Aug16'!$N$16:$N$475,'SBR Mar16 - Aug16'!$A$16:$A$475,'Mar16-Aug16 Billed-RETAIL'!$D23,'SBR Mar16 - Aug16'!$C$16:$C$475,'Mar16-Aug16 Billed-RETAIL'!$E23)</f>
        <v>154425.70000000001</v>
      </c>
      <c r="AV23" s="43">
        <f>SUMIFS('SBR Mar16 - Aug16'!$Y$16:$Y$475,'SBR Mar16 - Aug16'!$A$16:$A$475,'Mar16-Aug16 Billed-RETAIL'!$D23,'SBR Mar16 - Aug16'!$C$16:$C$475,'Mar16-Aug16 Billed-RETAIL'!$E23)</f>
        <v>967457.54</v>
      </c>
      <c r="AW23" s="43">
        <f>SUMIFS('SBR Mar16 - Aug16'!$X$16:$X$475,'SBR Mar16 - Aug16'!$A$16:$A$475,'Mar16-Aug16 Billed-RETAIL'!$D23,'SBR Mar16 - Aug16'!$C$16:$C$475,'Mar16-Aug16 Billed-RETAIL'!$E23)</f>
        <v>1433568.48</v>
      </c>
      <c r="AX23" s="36">
        <f t="shared" si="34"/>
        <v>0</v>
      </c>
      <c r="AY23" s="36"/>
      <c r="AZ23" s="43">
        <f t="shared" si="35"/>
        <v>15232120.27</v>
      </c>
      <c r="BA23" s="43">
        <f t="shared" si="43"/>
        <v>15232120.270000001</v>
      </c>
      <c r="BB23" s="44">
        <f t="shared" si="36"/>
        <v>1</v>
      </c>
      <c r="BC23" s="43">
        <f>SUMIFS('SBR Mar16 - Aug16'!$N$16:$N$475,'SBR Mar16 - Aug16'!$A$16:$A$475,'Mar16-Aug16 Billed-RETAIL'!$D23,'SBR Mar16 - Aug16'!$C$16:$C$475,'Mar16-Aug16 Billed-RETAIL'!$E23)</f>
        <v>154425.70000000001</v>
      </c>
      <c r="BD23" s="43">
        <f>SUMIFS('SBR Mar16 - Aug16'!$O$16:$O$475,'SBR Mar16 - Aug16'!$A$16:$A$475,'Mar16-Aug16 Billed-RETAIL'!$D23,'SBR Mar16 - Aug16'!$C$16:$C$475,'Mar16-Aug16 Billed-RETAIL'!$E23)</f>
        <v>4603513.2300000004</v>
      </c>
      <c r="BE23" s="43">
        <f>SUMIFS('SBR Mar16 - Aug16'!$Y$16:$Y$475,'SBR Mar16 - Aug16'!$A$16:$A$475,'Mar16-Aug16 Billed-RETAIL'!$D23,'SBR Mar16 - Aug16'!$C$16:$C$475,'Mar16-Aug16 Billed-RETAIL'!$E23)</f>
        <v>967457.54</v>
      </c>
      <c r="BF23" s="43">
        <f>SUMIFS('SBR Mar16 - Aug16'!$AB$16:$AB$475,'SBR Mar16 - Aug16'!$A$16:$A$475,'Mar16-Aug16 Billed-RETAIL'!$D23,'SBR Mar16 - Aug16'!$C$16:$C$475,'Mar16-Aug16 Billed-RETAIL'!$E23)</f>
        <v>74592.77</v>
      </c>
      <c r="BG23" s="43">
        <f>SUMIFS('SBR Mar16 - Aug16'!$G$16:$G$137,'SBR Mar16 - Aug16'!$A$16:$A$137,'Mar16-Aug16 Billed-RETAIL'!$D23,'SBR Mar16 - Aug16'!$C$16:$C$137,'Mar16-Aug16 Billed-RETAIL'!$E23)</f>
        <v>3989325.17</v>
      </c>
      <c r="BH23" s="43">
        <f>SUMIFS('SBR Mar16 - Aug16'!$I$16:$I$137,'SBR Mar16 - Aug16'!$A$16:$A$137,'Mar16-Aug16 Billed-RETAIL'!$D23,'SBR Mar16 - Aug16'!$C$16:$C$137,'Mar16-Aug16 Billed-RETAIL'!$E23)</f>
        <v>4083830.15</v>
      </c>
      <c r="BI23" s="43">
        <f>SUMIFS('SBR Mar16 - Aug16'!$H$16:$H$137,'SBR Mar16 - Aug16'!$A$16:$A$137,'Mar16-Aug16 Billed-RETAIL'!$D23,'SBR Mar16 - Aug16'!$C$16:$C$137,'Mar16-Aug16 Billed-RETAIL'!$E23)</f>
        <v>0</v>
      </c>
      <c r="BJ23" s="43">
        <f>SUMIFS('SBR Mar16 - Aug16'!$X$16:$X$137,'SBR Mar16 - Aug16'!$A$16:$A$137,'Mar16-Aug16 Billed-RETAIL'!$D23,'SBR Mar16 - Aug16'!$C$16:$C$137,'Mar16-Aug16 Billed-RETAIL'!$E23)</f>
        <v>1433568.48</v>
      </c>
      <c r="BL23" s="51">
        <f t="shared" si="37"/>
        <v>0</v>
      </c>
      <c r="BN23" s="58">
        <f t="shared" si="38"/>
        <v>0</v>
      </c>
      <c r="BO23" s="58">
        <f t="shared" si="39"/>
        <v>1.6000028699636459E-4</v>
      </c>
      <c r="BP23" s="58">
        <f t="shared" si="40"/>
        <v>0</v>
      </c>
    </row>
    <row r="24" spans="3:68" ht="15" customHeight="1" x14ac:dyDescent="0.25">
      <c r="C24" s="14">
        <f t="shared" si="44"/>
        <v>17</v>
      </c>
      <c r="D24" s="604">
        <f t="shared" si="45"/>
        <v>42461</v>
      </c>
      <c r="E24" s="604" t="str">
        <f>+'Retail Rates'!$B$19</f>
        <v>LGCMG851LT</v>
      </c>
      <c r="F24" s="14" t="str">
        <f t="shared" si="41"/>
        <v>851</v>
      </c>
      <c r="G24" s="14" t="str">
        <f>VLOOKUP(E24,'Retail Rates'!$B$7:$D$34,3,FALSE)</f>
        <v>CGS</v>
      </c>
      <c r="H24" s="33"/>
      <c r="I24" s="33">
        <f>SUMIFS('Data-Retail'!$H$4:$H$397,'Data-Retail'!$A$4:$A$397,'Mar16-Aug16 Billed-RETAIL'!$D24,'Data-Retail'!$D$4:$D$397,'Mar16-Aug16 Billed-RETAIL'!$E24)</f>
        <v>1</v>
      </c>
      <c r="J24" s="33"/>
      <c r="K24" s="33">
        <f>SUMIFS('Data-Retail'!$I$4:$I$1000,'Data-Retail'!$A$4:$A$1000,'Mar16-Aug16 Billed-RETAIL'!$D24,'Data-Retail'!$D$4:$D$1000,'Mar16-Aug16 Billed-RETAIL'!$E24)</f>
        <v>296</v>
      </c>
      <c r="L24" s="33">
        <f>SUMIFS('Data-Retail'!$J$4:$J$1000,'Data-Retail'!$A$4:$A$1000,'Mar16-Aug16 Billed-RETAIL'!$D24,'Data-Retail'!$D$4:$D$1000,'Mar16-Aug16 Billed-RETAIL'!$E24)</f>
        <v>0</v>
      </c>
      <c r="M24" s="33"/>
      <c r="N24" s="34">
        <f>VLOOKUP($E24,'Retail Rates'!$B$7:$L$34,5,FALSE)</f>
        <v>40</v>
      </c>
      <c r="O24" s="34">
        <f>VLOOKUP($E24,'Retail Rates'!$B$7:$L$34,6,FALSE)</f>
        <v>180</v>
      </c>
      <c r="P24" s="35">
        <f>VLOOKUP($E24,'Retail Rates'!$B$7:$L$34,7,FALSE)</f>
        <v>0.21504000000000001</v>
      </c>
      <c r="Q24" s="35">
        <f>VLOOKUP($E24,'Retail Rates'!$B$7:$L$34,8,FALSE)</f>
        <v>0.16504000000000002</v>
      </c>
      <c r="R24" s="35">
        <f>VLOOKUP($D24,'GSC-DSM-GLT Factors'!$A$1:$B$60,2,FALSE)</f>
        <v>0.32343</v>
      </c>
      <c r="S24" s="34">
        <f>VLOOKUP($E24,'Retail Rates'!$B$7:$L$34,9,FALSE)</f>
        <v>0</v>
      </c>
      <c r="T24" s="35">
        <f>VLOOKUP($E24,'Retail Rates'!$B$7:$L$34,10,FALSE)</f>
        <v>0</v>
      </c>
      <c r="U24" s="34">
        <f>VLOOKUP($E24,'Retail Rates'!$B$7:$L$34,11,FALSE)</f>
        <v>0</v>
      </c>
      <c r="V24" s="556">
        <f>VLOOKUP($D24,'GSC-DSM-GLT Factors'!$A$1:$O$60,12,FALSE)</f>
        <v>25.87</v>
      </c>
      <c r="W24" s="36">
        <f t="shared" si="25"/>
        <v>40</v>
      </c>
      <c r="X24" s="36"/>
      <c r="Y24" s="36"/>
      <c r="Z24" s="36">
        <f t="shared" si="26"/>
        <v>63.65184</v>
      </c>
      <c r="AA24" s="36">
        <f t="shared" si="27"/>
        <v>0</v>
      </c>
      <c r="AB24" s="36">
        <f t="shared" si="28"/>
        <v>95.735280000000003</v>
      </c>
      <c r="AC24" s="36"/>
      <c r="AD24" s="36"/>
      <c r="AE24" s="36">
        <f t="shared" si="42"/>
        <v>0</v>
      </c>
      <c r="AF24" s="36">
        <f t="shared" si="29"/>
        <v>25.87</v>
      </c>
      <c r="AG24" s="57">
        <f>SUMIFS(Adjustments!H$5:H$557,Adjustments!$B$5:$B$557,'Mar16-Aug16 Billed-RETAIL'!$D24,Adjustments!$C$5:$C$557,'Mar16-Aug16 Billed-RETAIL'!$E24)</f>
        <v>0</v>
      </c>
      <c r="AH24" s="57">
        <f>SUMIFS(Adjustments!I$5:I$557,Adjustments!$B$5:$B$557,'Mar16-Aug16 Billed-RETAIL'!$D24,Adjustments!$C$5:$C$557,'Mar16-Aug16 Billed-RETAIL'!$E24)</f>
        <v>0</v>
      </c>
      <c r="AI24" s="48">
        <f>SUMIFS(Adjustments!J$5:J$557,Adjustments!$B$5:$B$557,'Mar16-Aug16 Billed-RETAIL'!$D24,Adjustments!$C$5:$C$557,'Mar16-Aug16 Billed-RETAIL'!$E24)</f>
        <v>0</v>
      </c>
      <c r="AJ24" s="48">
        <f>SUMIFS(Adjustments!K$5:K$557,Adjustments!$B$5:$B$557,'Mar16-Aug16 Billed-RETAIL'!$D24,Adjustments!$C$5:$C$557,'Mar16-Aug16 Billed-RETAIL'!$E24)</f>
        <v>0</v>
      </c>
      <c r="AK24" s="48">
        <f>SUMIFS(Adjustments!L$5:L$557,Adjustments!$B$5:$B$557,'Mar16-Aug16 Billed-RETAIL'!$D24,Adjustments!$C$5:$C$557,'Mar16-Aug16 Billed-RETAIL'!$E24)</f>
        <v>0</v>
      </c>
      <c r="AL24" s="48">
        <f>SUMIFS(Adjustments!M$5:M$557,Adjustments!$B$5:$B$557,'Mar16-Aug16 Billed-RETAIL'!$D24,Adjustments!$C$5:$C$557,'Mar16-Aug16 Billed-RETAIL'!$E24)</f>
        <v>0</v>
      </c>
      <c r="AM24" s="48">
        <f>SUMIFS(Adjustments!N$5:N$557,Adjustments!$B$5:$B$557,'Mar16-Aug16 Billed-RETAIL'!$D24,Adjustments!$C$5:$C$557,'Mar16-Aug16 Billed-RETAIL'!$E24)</f>
        <v>0</v>
      </c>
      <c r="AN24" s="48">
        <f>SUMIFS(Adjustments!O$5:O$557,Adjustments!$B$5:$B$557,'Mar16-Aug16 Billed-RETAIL'!$D24,Adjustments!$C$5:$C$557,'Mar16-Aug16 Billed-RETAIL'!$E24)</f>
        <v>0</v>
      </c>
      <c r="AO24" s="48">
        <f>SUMIFS(Adjustments!P$5:P$557,Adjustments!$B$5:$B$557,'Mar16-Aug16 Billed-RETAIL'!$D24,Adjustments!$C$5:$C$557,'Mar16-Aug16 Billed-RETAIL'!$E24)</f>
        <v>0</v>
      </c>
      <c r="AP24" s="36">
        <f t="shared" si="30"/>
        <v>40</v>
      </c>
      <c r="AQ24" s="36">
        <f t="shared" si="31"/>
        <v>0</v>
      </c>
      <c r="AR24" s="36">
        <f t="shared" si="32"/>
        <v>63.65184</v>
      </c>
      <c r="AS24" s="36">
        <f t="shared" si="33"/>
        <v>0</v>
      </c>
      <c r="AT24" s="43">
        <f>SUMIFS('SBR Mar16 - Aug16'!$O$16:$O$475,'SBR Mar16 - Aug16'!$A$16:$A$475,'Mar16-Aug16 Billed-RETAIL'!$D24,'SBR Mar16 - Aug16'!$C$16:$C$475,'Mar16-Aug16 Billed-RETAIL'!$E24)</f>
        <v>95.74</v>
      </c>
      <c r="AU24" s="43">
        <f>SUMIFS('SBR Mar16 - Aug16'!$N$16:$N$475,'SBR Mar16 - Aug16'!$A$16:$A$475,'Mar16-Aug16 Billed-RETAIL'!$D24,'SBR Mar16 - Aug16'!$C$16:$C$475,'Mar16-Aug16 Billed-RETAIL'!$E24)</f>
        <v>0.17</v>
      </c>
      <c r="AV24" s="43">
        <f>SUMIFS('SBR Mar16 - Aug16'!$Y$16:$Y$475,'SBR Mar16 - Aug16'!$A$16:$A$475,'Mar16-Aug16 Billed-RETAIL'!$D24,'SBR Mar16 - Aug16'!$C$16:$C$475,'Mar16-Aug16 Billed-RETAIL'!$E24)</f>
        <v>0.13</v>
      </c>
      <c r="AW24" s="43">
        <f>SUMIFS('SBR Mar16 - Aug16'!$X$16:$X$475,'SBR Mar16 - Aug16'!$A$16:$A$475,'Mar16-Aug16 Billed-RETAIL'!$D24,'SBR Mar16 - Aug16'!$C$16:$C$475,'Mar16-Aug16 Billed-RETAIL'!$E24)</f>
        <v>25.87</v>
      </c>
      <c r="AX24" s="36">
        <f t="shared" si="34"/>
        <v>0</v>
      </c>
      <c r="AY24" s="36"/>
      <c r="AZ24" s="43">
        <f t="shared" si="35"/>
        <v>225.56</v>
      </c>
      <c r="BA24" s="43">
        <f t="shared" si="43"/>
        <v>225.56</v>
      </c>
      <c r="BB24" s="44">
        <f t="shared" si="36"/>
        <v>1</v>
      </c>
      <c r="BC24" s="43">
        <f>SUMIFS('SBR Mar16 - Aug16'!$N$16:$N$475,'SBR Mar16 - Aug16'!$A$16:$A$475,'Mar16-Aug16 Billed-RETAIL'!$D24,'SBR Mar16 - Aug16'!$C$16:$C$475,'Mar16-Aug16 Billed-RETAIL'!$E24)</f>
        <v>0.17</v>
      </c>
      <c r="BD24" s="43">
        <f>SUMIFS('SBR Mar16 - Aug16'!$O$16:$O$475,'SBR Mar16 - Aug16'!$A$16:$A$475,'Mar16-Aug16 Billed-RETAIL'!$D24,'SBR Mar16 - Aug16'!$C$16:$C$475,'Mar16-Aug16 Billed-RETAIL'!$E24)</f>
        <v>95.74</v>
      </c>
      <c r="BE24" s="43">
        <f>SUMIFS('SBR Mar16 - Aug16'!$Y$16:$Y$475,'SBR Mar16 - Aug16'!$A$16:$A$475,'Mar16-Aug16 Billed-RETAIL'!$D24,'SBR Mar16 - Aug16'!$C$16:$C$475,'Mar16-Aug16 Billed-RETAIL'!$E24)</f>
        <v>0.13</v>
      </c>
      <c r="BF24" s="43">
        <f>SUMIFS('SBR Mar16 - Aug16'!$AB$16:$AB$475,'SBR Mar16 - Aug16'!$A$16:$A$475,'Mar16-Aug16 Billed-RETAIL'!$D24,'SBR Mar16 - Aug16'!$C$16:$C$475,'Mar16-Aug16 Billed-RETAIL'!$E24)</f>
        <v>0</v>
      </c>
      <c r="BG24" s="43">
        <f>SUMIFS('SBR Mar16 - Aug16'!$G$16:$G$137,'SBR Mar16 - Aug16'!$A$16:$A$137,'Mar16-Aug16 Billed-RETAIL'!$D24,'SBR Mar16 - Aug16'!$C$16:$C$137,'Mar16-Aug16 Billed-RETAIL'!$E24)</f>
        <v>40</v>
      </c>
      <c r="BH24" s="43">
        <f>SUMIFS('SBR Mar16 - Aug16'!$I$16:$I$137,'SBR Mar16 - Aug16'!$A$16:$A$137,'Mar16-Aug16 Billed-RETAIL'!$D24,'SBR Mar16 - Aug16'!$C$16:$C$137,'Mar16-Aug16 Billed-RETAIL'!$E24)</f>
        <v>63.65</v>
      </c>
      <c r="BI24" s="43">
        <f>SUMIFS('SBR Mar16 - Aug16'!$H$16:$H$137,'SBR Mar16 - Aug16'!$A$16:$A$137,'Mar16-Aug16 Billed-RETAIL'!$D24,'SBR Mar16 - Aug16'!$C$16:$C$137,'Mar16-Aug16 Billed-RETAIL'!$E24)</f>
        <v>0</v>
      </c>
      <c r="BJ24" s="43">
        <f>SUMIFS('SBR Mar16 - Aug16'!$X$16:$X$137,'SBR Mar16 - Aug16'!$A$16:$A$137,'Mar16-Aug16 Billed-RETAIL'!$D24,'SBR Mar16 - Aug16'!$C$16:$C$137,'Mar16-Aug16 Billed-RETAIL'!$E24)</f>
        <v>25.87</v>
      </c>
      <c r="BL24" s="51">
        <f t="shared" si="37"/>
        <v>0</v>
      </c>
      <c r="BN24" s="58">
        <f t="shared" si="38"/>
        <v>0</v>
      </c>
      <c r="BO24" s="58">
        <f t="shared" si="39"/>
        <v>1.8400000000013961E-3</v>
      </c>
      <c r="BP24" s="58">
        <f t="shared" si="40"/>
        <v>0</v>
      </c>
    </row>
    <row r="25" spans="3:68" ht="15" customHeight="1" x14ac:dyDescent="0.25">
      <c r="C25" s="14">
        <f t="shared" si="44"/>
        <v>18</v>
      </c>
      <c r="D25" s="604">
        <f t="shared" si="45"/>
        <v>42461</v>
      </c>
      <c r="E25" s="604" t="str">
        <f>+'Retail Rates'!$B$32</f>
        <v>LGRSG840</v>
      </c>
      <c r="F25" s="14" t="str">
        <f t="shared" si="41"/>
        <v>840</v>
      </c>
      <c r="G25" s="14" t="str">
        <f>VLOOKUP(E25,'Retail Rates'!$B$7:$D$34,3,FALSE)</f>
        <v>RGS</v>
      </c>
      <c r="H25" s="33">
        <f>SUMIFS('Data-Retail'!$H$4:$H$1000,'Data-Retail'!$A$4:$A$1000,'Mar16-Aug16 Billed-RETAIL'!$D25,'Data-Retail'!$D$4:$D$1000,'Mar16-Aug16 Billed-RETAIL'!$E25)</f>
        <v>3</v>
      </c>
      <c r="I25" s="33"/>
      <c r="J25" s="33"/>
      <c r="K25" s="33">
        <f>SUMIFS('Data-Retail'!$I$4:$I$1000,'Data-Retail'!$A$4:$A$1000,'Mar16-Aug16 Billed-RETAIL'!$D25,'Data-Retail'!$D$4:$D$1000,'Mar16-Aug16 Billed-RETAIL'!$E25)</f>
        <v>757</v>
      </c>
      <c r="L25" s="33">
        <f>SUMIFS('Data-Retail'!$J$4:$J$1000,'Data-Retail'!$A$4:$A$1000,'Mar16-Aug16 Billed-RETAIL'!$D25,'Data-Retail'!$D$4:$D$1000,'Mar16-Aug16 Billed-RETAIL'!$E25)</f>
        <v>0</v>
      </c>
      <c r="M25" s="33"/>
      <c r="N25" s="34">
        <f>VLOOKUP($E25,'Retail Rates'!$B$7:$L$34,5,FALSE)</f>
        <v>13.5</v>
      </c>
      <c r="O25" s="34">
        <f>VLOOKUP($E25,'Retail Rates'!$B$7:$L$34,6,FALSE)</f>
        <v>0</v>
      </c>
      <c r="P25" s="35">
        <f>VLOOKUP($E25,'Retail Rates'!$B$7:$L$34,7,FALSE)</f>
        <v>0.28693000000000002</v>
      </c>
      <c r="Q25" s="35">
        <f>VLOOKUP($E25,'Retail Rates'!$B$7:$L$34,8,FALSE)</f>
        <v>0</v>
      </c>
      <c r="R25" s="35">
        <f>VLOOKUP($D25,'GSC-DSM-GLT Factors'!$A$1:$B$60,2,FALSE)</f>
        <v>0.32343</v>
      </c>
      <c r="S25" s="34">
        <f>VLOOKUP($E25,'Retail Rates'!$B$7:$L$34,9,FALSE)</f>
        <v>0</v>
      </c>
      <c r="T25" s="35">
        <f>VLOOKUP($E25,'Retail Rates'!$B$7:$L$34,10,FALSE)</f>
        <v>0</v>
      </c>
      <c r="U25" s="34">
        <f>VLOOKUP($E25,'Retail Rates'!$B$7:$L$34,11,FALSE)</f>
        <v>0</v>
      </c>
      <c r="V25" s="556">
        <f>VLOOKUP($D25,'GSC-DSM-GLT Factors'!$A$1:$O$60,11,FALSE)</f>
        <v>4.8499999999999996</v>
      </c>
      <c r="W25" s="36">
        <f t="shared" si="25"/>
        <v>40.5</v>
      </c>
      <c r="X25" s="36"/>
      <c r="Y25" s="36"/>
      <c r="Z25" s="36">
        <f t="shared" si="26"/>
        <v>217.20601000000002</v>
      </c>
      <c r="AA25" s="36">
        <f t="shared" si="27"/>
        <v>0</v>
      </c>
      <c r="AB25" s="36">
        <f t="shared" si="28"/>
        <v>244.83651</v>
      </c>
      <c r="AC25" s="36"/>
      <c r="AD25" s="36"/>
      <c r="AE25" s="36">
        <f t="shared" si="42"/>
        <v>0</v>
      </c>
      <c r="AF25" s="36">
        <f t="shared" si="29"/>
        <v>14.549999999999999</v>
      </c>
      <c r="AG25" s="57">
        <f>SUMIFS(Adjustments!H$5:H$557,Adjustments!$B$5:$B$557,'Mar16-Aug16 Billed-RETAIL'!$D25,Adjustments!$C$5:$C$557,'Mar16-Aug16 Billed-RETAIL'!$E25)</f>
        <v>0</v>
      </c>
      <c r="AH25" s="57">
        <f>SUMIFS(Adjustments!I$5:I$557,Adjustments!$B$5:$B$557,'Mar16-Aug16 Billed-RETAIL'!$D25,Adjustments!$C$5:$C$557,'Mar16-Aug16 Billed-RETAIL'!$E25)</f>
        <v>0</v>
      </c>
      <c r="AI25" s="48">
        <f>SUMIFS(Adjustments!J$5:J$557,Adjustments!$B$5:$B$557,'Mar16-Aug16 Billed-RETAIL'!$D25,Adjustments!$C$5:$C$557,'Mar16-Aug16 Billed-RETAIL'!$E25)</f>
        <v>0</v>
      </c>
      <c r="AJ25" s="48">
        <f>SUMIFS(Adjustments!K$5:K$557,Adjustments!$B$5:$B$557,'Mar16-Aug16 Billed-RETAIL'!$D25,Adjustments!$C$5:$C$557,'Mar16-Aug16 Billed-RETAIL'!$E25)</f>
        <v>0</v>
      </c>
      <c r="AK25" s="48">
        <f>SUMIFS(Adjustments!L$5:L$557,Adjustments!$B$5:$B$557,'Mar16-Aug16 Billed-RETAIL'!$D25,Adjustments!$C$5:$C$557,'Mar16-Aug16 Billed-RETAIL'!$E25)</f>
        <v>-0.01</v>
      </c>
      <c r="AL25" s="48">
        <f>SUMIFS(Adjustments!M$5:M$557,Adjustments!$B$5:$B$557,'Mar16-Aug16 Billed-RETAIL'!$D25,Adjustments!$C$5:$C$557,'Mar16-Aug16 Billed-RETAIL'!$E25)</f>
        <v>0</v>
      </c>
      <c r="AM25" s="48">
        <f>SUMIFS(Adjustments!N$5:N$557,Adjustments!$B$5:$B$557,'Mar16-Aug16 Billed-RETAIL'!$D25,Adjustments!$C$5:$C$557,'Mar16-Aug16 Billed-RETAIL'!$E25)</f>
        <v>0</v>
      </c>
      <c r="AN25" s="48">
        <f>SUMIFS(Adjustments!O$5:O$557,Adjustments!$B$5:$B$557,'Mar16-Aug16 Billed-RETAIL'!$D25,Adjustments!$C$5:$C$557,'Mar16-Aug16 Billed-RETAIL'!$E25)</f>
        <v>0</v>
      </c>
      <c r="AO25" s="48">
        <f>SUMIFS(Adjustments!P$5:P$557,Adjustments!$B$5:$B$557,'Mar16-Aug16 Billed-RETAIL'!$D25,Adjustments!$C$5:$C$557,'Mar16-Aug16 Billed-RETAIL'!$E25)</f>
        <v>0</v>
      </c>
      <c r="AP25" s="36">
        <f t="shared" si="30"/>
        <v>40.5</v>
      </c>
      <c r="AQ25" s="36">
        <f t="shared" si="31"/>
        <v>0</v>
      </c>
      <c r="AR25" s="36">
        <f t="shared" si="32"/>
        <v>217.19601000000003</v>
      </c>
      <c r="AS25" s="36">
        <f t="shared" si="33"/>
        <v>0</v>
      </c>
      <c r="AT25" s="43">
        <f>SUMIFS('SBR Mar16 - Aug16'!$O$16:$O$475,'SBR Mar16 - Aug16'!$A$16:$A$475,'Mar16-Aug16 Billed-RETAIL'!$D25,'SBR Mar16 - Aug16'!$C$16:$C$475,'Mar16-Aug16 Billed-RETAIL'!$E25)</f>
        <v>244.83</v>
      </c>
      <c r="AU25" s="43">
        <f>SUMIFS('SBR Mar16 - Aug16'!$N$16:$N$475,'SBR Mar16 - Aug16'!$A$16:$A$475,'Mar16-Aug16 Billed-RETAIL'!$D25,'SBR Mar16 - Aug16'!$C$16:$C$475,'Mar16-Aug16 Billed-RETAIL'!$E25)</f>
        <v>8.1999999999999993</v>
      </c>
      <c r="AV25" s="43">
        <f>SUMIFS('SBR Mar16 - Aug16'!$Y$16:$Y$475,'SBR Mar16 - Aug16'!$A$16:$A$475,'Mar16-Aug16 Billed-RETAIL'!$D25,'SBR Mar16 - Aug16'!$C$16:$C$475,'Mar16-Aug16 Billed-RETAIL'!$E25)</f>
        <v>15.09</v>
      </c>
      <c r="AW25" s="43">
        <f>SUMIFS('SBR Mar16 - Aug16'!$X$16:$X$475,'SBR Mar16 - Aug16'!$A$16:$A$475,'Mar16-Aug16 Billed-RETAIL'!$D25,'SBR Mar16 - Aug16'!$C$16:$C$475,'Mar16-Aug16 Billed-RETAIL'!$E25)</f>
        <v>14.55</v>
      </c>
      <c r="AX25" s="36">
        <f t="shared" si="34"/>
        <v>0</v>
      </c>
      <c r="AY25" s="36"/>
      <c r="AZ25" s="43">
        <f t="shared" si="35"/>
        <v>540.37</v>
      </c>
      <c r="BA25" s="43">
        <f t="shared" si="43"/>
        <v>540.36999999999989</v>
      </c>
      <c r="BB25" s="44">
        <f t="shared" si="36"/>
        <v>1</v>
      </c>
      <c r="BC25" s="43">
        <f>SUMIFS('SBR Mar16 - Aug16'!$N$16:$N$475,'SBR Mar16 - Aug16'!$A$16:$A$475,'Mar16-Aug16 Billed-RETAIL'!$D25,'SBR Mar16 - Aug16'!$C$16:$C$475,'Mar16-Aug16 Billed-RETAIL'!$E25)</f>
        <v>8.1999999999999993</v>
      </c>
      <c r="BD25" s="43">
        <f>SUMIFS('SBR Mar16 - Aug16'!$O$16:$O$475,'SBR Mar16 - Aug16'!$A$16:$A$475,'Mar16-Aug16 Billed-RETAIL'!$D25,'SBR Mar16 - Aug16'!$C$16:$C$475,'Mar16-Aug16 Billed-RETAIL'!$E25)</f>
        <v>244.83</v>
      </c>
      <c r="BE25" s="43">
        <f>SUMIFS('SBR Mar16 - Aug16'!$Y$16:$Y$475,'SBR Mar16 - Aug16'!$A$16:$A$475,'Mar16-Aug16 Billed-RETAIL'!$D25,'SBR Mar16 - Aug16'!$C$16:$C$475,'Mar16-Aug16 Billed-RETAIL'!$E25)</f>
        <v>15.09</v>
      </c>
      <c r="BF25" s="43">
        <f>SUMIFS('SBR Mar16 - Aug16'!$AB$16:$AB$475,'SBR Mar16 - Aug16'!$A$16:$A$475,'Mar16-Aug16 Billed-RETAIL'!$D25,'SBR Mar16 - Aug16'!$C$16:$C$475,'Mar16-Aug16 Billed-RETAIL'!$E25)</f>
        <v>0</v>
      </c>
      <c r="BG25" s="43">
        <f>SUMIFS('SBR Mar16 - Aug16'!$G$16:$G$137,'SBR Mar16 - Aug16'!$A$16:$A$137,'Mar16-Aug16 Billed-RETAIL'!$D25,'SBR Mar16 - Aug16'!$C$16:$C$137,'Mar16-Aug16 Billed-RETAIL'!$E25)</f>
        <v>40.5</v>
      </c>
      <c r="BH25" s="43">
        <f>SUMIFS('SBR Mar16 - Aug16'!$I$16:$I$137,'SBR Mar16 - Aug16'!$A$16:$A$137,'Mar16-Aug16 Billed-RETAIL'!$D25,'SBR Mar16 - Aug16'!$C$16:$C$137,'Mar16-Aug16 Billed-RETAIL'!$E25)</f>
        <v>217.2</v>
      </c>
      <c r="BI25" s="43">
        <f>SUMIFS('SBR Mar16 - Aug16'!$H$16:$H$137,'SBR Mar16 - Aug16'!$A$16:$A$137,'Mar16-Aug16 Billed-RETAIL'!$D25,'SBR Mar16 - Aug16'!$C$16:$C$137,'Mar16-Aug16 Billed-RETAIL'!$E25)</f>
        <v>0</v>
      </c>
      <c r="BJ25" s="43">
        <f>SUMIFS('SBR Mar16 - Aug16'!$X$16:$X$137,'SBR Mar16 - Aug16'!$A$16:$A$137,'Mar16-Aug16 Billed-RETAIL'!$D25,'SBR Mar16 - Aug16'!$C$16:$C$137,'Mar16-Aug16 Billed-RETAIL'!$E25)</f>
        <v>14.55</v>
      </c>
      <c r="BL25" s="51">
        <f t="shared" si="37"/>
        <v>0</v>
      </c>
      <c r="BN25" s="58">
        <f t="shared" si="38"/>
        <v>0</v>
      </c>
      <c r="BO25" s="58">
        <f t="shared" si="39"/>
        <v>-3.9899999999590818E-3</v>
      </c>
      <c r="BP25" s="58">
        <f t="shared" si="40"/>
        <v>0</v>
      </c>
    </row>
    <row r="26" spans="3:68" s="563" customFormat="1" ht="15" customHeight="1" x14ac:dyDescent="0.25">
      <c r="C26" s="564"/>
      <c r="D26" s="605"/>
      <c r="E26" s="605"/>
      <c r="F26" s="564"/>
      <c r="G26" s="564"/>
      <c r="H26" s="565"/>
      <c r="I26" s="565"/>
      <c r="J26" s="565"/>
      <c r="K26" s="565"/>
      <c r="L26" s="565"/>
      <c r="M26" s="565"/>
      <c r="N26" s="566"/>
      <c r="O26" s="566"/>
      <c r="P26" s="567"/>
      <c r="Q26" s="567"/>
      <c r="R26" s="567"/>
      <c r="S26" s="566"/>
      <c r="T26" s="567"/>
      <c r="U26" s="566"/>
      <c r="V26" s="568"/>
      <c r="W26" s="569"/>
      <c r="X26" s="569"/>
      <c r="Y26" s="569"/>
      <c r="Z26" s="569"/>
      <c r="AA26" s="569"/>
      <c r="AB26" s="569"/>
      <c r="AC26" s="569"/>
      <c r="AD26" s="569"/>
      <c r="AE26" s="569"/>
      <c r="AF26" s="569"/>
      <c r="AG26" s="570"/>
      <c r="AH26" s="570"/>
      <c r="AI26" s="569"/>
      <c r="AJ26" s="569"/>
      <c r="AK26" s="569"/>
      <c r="AL26" s="569"/>
      <c r="AM26" s="569"/>
      <c r="AN26" s="569"/>
      <c r="AO26" s="569"/>
      <c r="AP26" s="569"/>
      <c r="AQ26" s="569"/>
      <c r="AR26" s="569"/>
      <c r="AS26" s="569"/>
      <c r="AT26" s="569"/>
      <c r="AU26" s="569"/>
      <c r="AV26" s="569"/>
      <c r="AW26" s="569"/>
      <c r="AX26" s="569"/>
      <c r="AY26" s="569"/>
      <c r="AZ26" s="569"/>
      <c r="BA26" s="569"/>
      <c r="BB26" s="571"/>
      <c r="BC26" s="569"/>
      <c r="BD26" s="569"/>
      <c r="BE26" s="569"/>
      <c r="BF26" s="569"/>
      <c r="BG26" s="569"/>
      <c r="BH26" s="569"/>
      <c r="BI26" s="569"/>
      <c r="BJ26" s="569"/>
      <c r="BL26" s="569"/>
      <c r="BN26" s="569"/>
      <c r="BO26" s="569"/>
      <c r="BP26" s="569"/>
    </row>
    <row r="27" spans="3:68" ht="15" customHeight="1" x14ac:dyDescent="0.25">
      <c r="C27" s="14">
        <f>C25+1</f>
        <v>19</v>
      </c>
      <c r="D27" s="604">
        <f>EDATE(D17,1)</f>
        <v>42491</v>
      </c>
      <c r="E27" s="604" t="str">
        <f>+'Retail Rates'!$B$7</f>
        <v>LGCMG865</v>
      </c>
      <c r="F27" s="14" t="str">
        <f>MID(E27,6,3)</f>
        <v>865</v>
      </c>
      <c r="G27" s="14" t="str">
        <f>VLOOKUP(E27,'Retail Rates'!$B$7:$D$34,3,FALSE)</f>
        <v>AAGS-C</v>
      </c>
      <c r="H27" s="33">
        <f>SUMIFS('Data-Retail'!$H$4:$H$1000,'Data-Retail'!$A$4:$A$1000,'Mar16-Aug16 Billed-RETAIL'!$D27,'Data-Retail'!$D$4:$D$1000,'Mar16-Aug16 Billed-RETAIL'!$E27)</f>
        <v>2</v>
      </c>
      <c r="I27" s="33"/>
      <c r="J27" s="33"/>
      <c r="K27" s="33">
        <f>SUMIFS('Data-Retail'!$I$4:$I$1000,'Data-Retail'!$A$4:$A$1000,'Mar16-Aug16 Billed-RETAIL'!$D27,'Data-Retail'!$D$4:$D$1000,'Mar16-Aug16 Billed-RETAIL'!$E27)</f>
        <v>35222</v>
      </c>
      <c r="L27" s="33">
        <f>SUMIFS('Data-Retail'!$J$4:$J$1000,'Data-Retail'!$A$4:$A$1000,'Mar16-Aug16 Billed-RETAIL'!$D27,'Data-Retail'!$D$4:$D$1000,'Mar16-Aug16 Billed-RETAIL'!$E27)</f>
        <v>0</v>
      </c>
      <c r="M27" s="33"/>
      <c r="N27" s="34">
        <f>VLOOKUP($E27,'Retail Rates'!$B$7:$L$34,5,FALSE)</f>
        <v>400</v>
      </c>
      <c r="O27" s="34">
        <f>VLOOKUP($E27,'Retail Rates'!$B$7:$L$34,6,FALSE)</f>
        <v>0</v>
      </c>
      <c r="P27" s="35">
        <f>VLOOKUP($E27,'Retail Rates'!$B$7:$L$34,7,FALSE)</f>
        <v>7.009E-2</v>
      </c>
      <c r="Q27" s="35">
        <f>VLOOKUP($E27,'Retail Rates'!$B$7:$L$34,8,FALSE)</f>
        <v>0</v>
      </c>
      <c r="R27" s="35">
        <f>VLOOKUP($D27,'GSC-DSM-GLT Factors'!$A$1:$B$60,2,FALSE)</f>
        <v>0.3513</v>
      </c>
      <c r="S27" s="34">
        <f>VLOOKUP($E27,'Retail Rates'!$B$7:$L$34,9,FALSE)</f>
        <v>0</v>
      </c>
      <c r="T27" s="35">
        <f>VLOOKUP($E27,'Retail Rates'!$B$7:$L$34,10,FALSE)</f>
        <v>0</v>
      </c>
      <c r="U27" s="34">
        <f>VLOOKUP($E27,'Retail Rates'!$B$7:$L$34,11,FALSE)</f>
        <v>0</v>
      </c>
      <c r="V27" s="556">
        <f>VLOOKUP($D27,'GSC-DSM-GLT Factors'!$A$1:$O$60,14,FALSE)</f>
        <v>2838.87</v>
      </c>
      <c r="W27" s="36">
        <f t="shared" ref="W27:W37" si="46">(+H27*N27)+(I27*N27)</f>
        <v>800</v>
      </c>
      <c r="X27" s="36"/>
      <c r="Y27" s="36"/>
      <c r="Z27" s="36">
        <f t="shared" ref="Z27:Z32" si="47">+K27*P27</f>
        <v>2468.7099800000001</v>
      </c>
      <c r="AA27" s="36">
        <f t="shared" ref="AA27:AA32" si="48">+L27*Q27</f>
        <v>0</v>
      </c>
      <c r="AB27" s="36">
        <f t="shared" ref="AB27:AB37" si="49">SUM(K27:L27)*R27</f>
        <v>12373.488600000001</v>
      </c>
      <c r="AC27" s="36"/>
      <c r="AD27" s="36"/>
      <c r="AE27" s="36">
        <f>M27*U27</f>
        <v>0</v>
      </c>
      <c r="AF27" s="36">
        <f t="shared" ref="AF27:AF37" si="50">(+H27*V27)+(I27*V27)</f>
        <v>5677.74</v>
      </c>
      <c r="AG27" s="57">
        <f>SUMIFS(Adjustments!H$5:H$557,Adjustments!$B$5:$B$557,'Mar16-Aug16 Billed-RETAIL'!$D27,Adjustments!$C$5:$C$557,'Mar16-Aug16 Billed-RETAIL'!$E27)</f>
        <v>0</v>
      </c>
      <c r="AH27" s="57">
        <f>SUMIFS(Adjustments!I$5:I$557,Adjustments!$B$5:$B$557,'Mar16-Aug16 Billed-RETAIL'!$D27,Adjustments!$C$5:$C$557,'Mar16-Aug16 Billed-RETAIL'!$E27)</f>
        <v>0</v>
      </c>
      <c r="AI27" s="48">
        <f>SUMIFS(Adjustments!J$5:J$557,Adjustments!$B$5:$B$557,'Mar16-Aug16 Billed-RETAIL'!$D27,Adjustments!$C$5:$C$557,'Mar16-Aug16 Billed-RETAIL'!$E27)</f>
        <v>0</v>
      </c>
      <c r="AJ27" s="48">
        <f>SUMIFS(Adjustments!K$5:K$557,Adjustments!$B$5:$B$557,'Mar16-Aug16 Billed-RETAIL'!$D27,Adjustments!$C$5:$C$557,'Mar16-Aug16 Billed-RETAIL'!$E27)</f>
        <v>0</v>
      </c>
      <c r="AK27" s="48">
        <f>SUMIFS(Adjustments!L$5:L$557,Adjustments!$B$5:$B$557,'Mar16-Aug16 Billed-RETAIL'!$D27,Adjustments!$C$5:$C$557,'Mar16-Aug16 Billed-RETAIL'!$E27)</f>
        <v>0</v>
      </c>
      <c r="AL27" s="48">
        <f>SUMIFS(Adjustments!M$5:M$557,Adjustments!$B$5:$B$557,'Mar16-Aug16 Billed-RETAIL'!$D27,Adjustments!$C$5:$C$557,'Mar16-Aug16 Billed-RETAIL'!$E27)</f>
        <v>0</v>
      </c>
      <c r="AM27" s="48">
        <f>SUMIFS(Adjustments!N$5:N$557,Adjustments!$B$5:$B$557,'Mar16-Aug16 Billed-RETAIL'!$D27,Adjustments!$C$5:$C$557,'Mar16-Aug16 Billed-RETAIL'!$E27)</f>
        <v>0</v>
      </c>
      <c r="AN27" s="48">
        <f>SUMIFS(Adjustments!O$5:O$557,Adjustments!$B$5:$B$557,'Mar16-Aug16 Billed-RETAIL'!$D27,Adjustments!$C$5:$C$557,'Mar16-Aug16 Billed-RETAIL'!$E27)</f>
        <v>0</v>
      </c>
      <c r="AO27" s="48">
        <f>SUMIFS(Adjustments!P$5:P$557,Adjustments!$B$5:$B$557,'Mar16-Aug16 Billed-RETAIL'!$D27,Adjustments!$C$5:$C$557,'Mar16-Aug16 Billed-RETAIL'!$E27)</f>
        <v>0</v>
      </c>
      <c r="AP27" s="36">
        <f t="shared" ref="AP27:AP37" si="51">+W27+AI27+(AG27*N27)</f>
        <v>800</v>
      </c>
      <c r="AQ27" s="36">
        <f t="shared" ref="AQ27:AQ37" si="52">+Y27+AJ27</f>
        <v>0</v>
      </c>
      <c r="AR27" s="36">
        <f t="shared" ref="AR27:AR37" si="53">+Z27+AK27</f>
        <v>2468.7099800000001</v>
      </c>
      <c r="AS27" s="36">
        <f t="shared" ref="AS27:AS37" si="54">+AA27+AL27</f>
        <v>0</v>
      </c>
      <c r="AT27" s="43">
        <f>SUMIFS('SBR Mar16 - Aug16'!$O$16:$O$475,'SBR Mar16 - Aug16'!$A$16:$A$475,'Mar16-Aug16 Billed-RETAIL'!$D27,'SBR Mar16 - Aug16'!$C$16:$C$475,'Mar16-Aug16 Billed-RETAIL'!$E27)</f>
        <v>11939.25</v>
      </c>
      <c r="AU27" s="43">
        <f>SUMIFS('SBR Mar16 - Aug16'!$N$16:$N$475,'SBR Mar16 - Aug16'!$A$16:$A$475,'Mar16-Aug16 Billed-RETAIL'!$D27,'SBR Mar16 - Aug16'!$C$16:$C$475,'Mar16-Aug16 Billed-RETAIL'!$E27)</f>
        <v>20.079999999999998</v>
      </c>
      <c r="AV27" s="43">
        <f>SUMIFS('SBR Mar16 - Aug16'!$Y$16:$Y$475,'SBR Mar16 - Aug16'!$A$16:$A$475,'Mar16-Aug16 Billed-RETAIL'!$D27,'SBR Mar16 - Aug16'!$C$16:$C$475,'Mar16-Aug16 Billed-RETAIL'!$E27)</f>
        <v>0</v>
      </c>
      <c r="AW27" s="43">
        <f>SUMIFS('SBR Mar16 - Aug16'!$X$16:$X$475,'SBR Mar16 - Aug16'!$A$16:$A$475,'Mar16-Aug16 Billed-RETAIL'!$D27,'SBR Mar16 - Aug16'!$C$16:$C$475,'Mar16-Aug16 Billed-RETAIL'!$E27)</f>
        <v>5552.37</v>
      </c>
      <c r="AX27" s="36">
        <f t="shared" ref="AX27:AX37" si="55">+AE27+AO27</f>
        <v>0</v>
      </c>
      <c r="AY27" s="36"/>
      <c r="AZ27" s="43">
        <f t="shared" ref="AZ27:AZ37" si="56">ROUND(SUM(AP27:AY27),2)</f>
        <v>20780.41</v>
      </c>
      <c r="BA27" s="43">
        <f>SUM(BC27:BJ27)-BF27</f>
        <v>20780.41</v>
      </c>
      <c r="BB27" s="44">
        <f t="shared" ref="BB27:BB37" si="57">IF(BA27=0,0,ROUND(BA27/AZ27,6))</f>
        <v>1</v>
      </c>
      <c r="BC27" s="43">
        <f>SUMIFS('SBR Mar16 - Aug16'!$N$16:$N$475,'SBR Mar16 - Aug16'!$A$16:$A$475,'Mar16-Aug16 Billed-RETAIL'!$D27,'SBR Mar16 - Aug16'!$C$16:$C$475,'Mar16-Aug16 Billed-RETAIL'!$E27)</f>
        <v>20.079999999999998</v>
      </c>
      <c r="BD27" s="43">
        <f>SUMIFS('SBR Mar16 - Aug16'!$O$16:$O$475,'SBR Mar16 - Aug16'!$A$16:$A$475,'Mar16-Aug16 Billed-RETAIL'!$D27,'SBR Mar16 - Aug16'!$C$16:$C$475,'Mar16-Aug16 Billed-RETAIL'!$E27)</f>
        <v>11939.25</v>
      </c>
      <c r="BE27" s="43">
        <f>SUMIFS('SBR Mar16 - Aug16'!$Y$16:$Y$475,'SBR Mar16 - Aug16'!$A$16:$A$475,'Mar16-Aug16 Billed-RETAIL'!$D27,'SBR Mar16 - Aug16'!$C$16:$C$475,'Mar16-Aug16 Billed-RETAIL'!$E27)</f>
        <v>0</v>
      </c>
      <c r="BF27" s="43">
        <f>SUMIFS('SBR Mar16 - Aug16'!$AB$16:$AB$475,'SBR Mar16 - Aug16'!$A$16:$A$475,'Mar16-Aug16 Billed-RETAIL'!$D27,'SBR Mar16 - Aug16'!$C$16:$C$475,'Mar16-Aug16 Billed-RETAIL'!$E27)</f>
        <v>0</v>
      </c>
      <c r="BG27" s="43">
        <f>SUMIFS('SBR Mar16 - Aug16'!$G$16:$G$475,'SBR Mar16 - Aug16'!$A$16:$A$475,'Mar16-Aug16 Billed-RETAIL'!$D27,'SBR Mar16 - Aug16'!$C$16:$C$475,'Mar16-Aug16 Billed-RETAIL'!$E27)</f>
        <v>800</v>
      </c>
      <c r="BH27" s="43">
        <f>SUMIFS('SBR Mar16 - Aug16'!$I$16:$I$475,'SBR Mar16 - Aug16'!$A$16:$A$475,'Mar16-Aug16 Billed-RETAIL'!$D27,'SBR Mar16 - Aug16'!$C$16:$C$475,'Mar16-Aug16 Billed-RETAIL'!$E27)</f>
        <v>2468.71</v>
      </c>
      <c r="BI27" s="43">
        <f>SUMIFS('SBR Mar16 - Aug16'!$H$16:$H$475,'SBR Mar16 - Aug16'!$A$16:$A$475,'Mar16-Aug16 Billed-RETAIL'!$D27,'SBR Mar16 - Aug16'!$C$16:$C$475,'Mar16-Aug16 Billed-RETAIL'!$E27)</f>
        <v>0</v>
      </c>
      <c r="BJ27" s="43">
        <f>SUMIFS('SBR Mar16 - Aug16'!$X$16:$X$475,'SBR Mar16 - Aug16'!$A$16:$A$475,'Mar16-Aug16 Billed-RETAIL'!$D27,'SBR Mar16 - Aug16'!$C$16:$C$475,'Mar16-Aug16 Billed-RETAIL'!$E27)</f>
        <v>5552.37</v>
      </c>
      <c r="BL27" s="51">
        <f t="shared" ref="BL27:BL37" si="58">+AZ27-BA27</f>
        <v>0</v>
      </c>
      <c r="BN27" s="58">
        <f t="shared" ref="BN27:BN37" si="59">+AP27+AQ27-BG27</f>
        <v>0</v>
      </c>
      <c r="BO27" s="58">
        <f t="shared" ref="BO27:BO37" si="60">+AR27+AS27-BH27</f>
        <v>-1.9999999949504854E-5</v>
      </c>
      <c r="BP27" s="58">
        <f t="shared" ref="BP27:BP37" si="61">+AT27-BD27</f>
        <v>0</v>
      </c>
    </row>
    <row r="28" spans="3:68" ht="15" customHeight="1" x14ac:dyDescent="0.25">
      <c r="C28" s="14">
        <f>C27+1</f>
        <v>20</v>
      </c>
      <c r="D28" s="604">
        <f>$D$27</f>
        <v>42491</v>
      </c>
      <c r="E28" s="604" t="str">
        <f>+'Retail Rates'!$B$10</f>
        <v>LGING866</v>
      </c>
      <c r="F28" s="14" t="str">
        <f t="shared" ref="F28:F37" si="62">MID(E28,6,3)</f>
        <v>866</v>
      </c>
      <c r="G28" s="14" t="str">
        <f>VLOOKUP(E28,'Retail Rates'!$B$7:$D$34,3,FALSE)</f>
        <v>AAGS-I</v>
      </c>
      <c r="H28" s="33">
        <f>SUMIFS('Data-Retail'!$H$4:$H$1000,'Data-Retail'!$A$4:$A$1000,'Mar16-Aug16 Billed-RETAIL'!$D28,'Data-Retail'!$D$4:$D$1000,'Mar16-Aug16 Billed-RETAIL'!$E28)</f>
        <v>1</v>
      </c>
      <c r="I28" s="33"/>
      <c r="J28" s="33"/>
      <c r="K28" s="33">
        <f>SUMIFS('Data-Retail'!$I$4:$I$1000,'Data-Retail'!$A$4:$A$1000,'Mar16-Aug16 Billed-RETAIL'!$D28,'Data-Retail'!$D$4:$D$1000,'Mar16-Aug16 Billed-RETAIL'!$E28)</f>
        <v>33102</v>
      </c>
      <c r="L28" s="33">
        <f>SUMIFS('Data-Retail'!$J$4:$J$1000,'Data-Retail'!$A$4:$A$1000,'Mar16-Aug16 Billed-RETAIL'!$D28,'Data-Retail'!$D$4:$D$1000,'Mar16-Aug16 Billed-RETAIL'!$E28)</f>
        <v>0</v>
      </c>
      <c r="M28" s="33"/>
      <c r="N28" s="34">
        <f>VLOOKUP($E28,'Retail Rates'!$B$7:$L$34,5,FALSE)</f>
        <v>400</v>
      </c>
      <c r="O28" s="34">
        <f>VLOOKUP($E28,'Retail Rates'!$B$7:$L$34,6,FALSE)</f>
        <v>0</v>
      </c>
      <c r="P28" s="35">
        <f>VLOOKUP($E28,'Retail Rates'!$B$7:$L$34,7,FALSE)</f>
        <v>7.009E-2</v>
      </c>
      <c r="Q28" s="35">
        <f>VLOOKUP($E28,'Retail Rates'!$B$7:$L$34,8,FALSE)</f>
        <v>0</v>
      </c>
      <c r="R28" s="35">
        <f>VLOOKUP($D28,'GSC-DSM-GLT Factors'!$A$1:$B$60,2,FALSE)</f>
        <v>0.3513</v>
      </c>
      <c r="S28" s="34">
        <f>VLOOKUP($E28,'Retail Rates'!$B$7:$L$34,9,FALSE)</f>
        <v>0</v>
      </c>
      <c r="T28" s="35">
        <f>VLOOKUP($E28,'Retail Rates'!$B$7:$L$34,10,FALSE)</f>
        <v>0</v>
      </c>
      <c r="U28" s="34">
        <f>VLOOKUP($E28,'Retail Rates'!$B$7:$L$34,11,FALSE)</f>
        <v>0</v>
      </c>
      <c r="V28" s="556">
        <f>VLOOKUP($D28,'GSC-DSM-GLT Factors'!$A$1:$O$60,14,FALSE)</f>
        <v>2838.87</v>
      </c>
      <c r="W28" s="36">
        <f t="shared" si="46"/>
        <v>400</v>
      </c>
      <c r="X28" s="36"/>
      <c r="Y28" s="36"/>
      <c r="Z28" s="36">
        <f t="shared" si="47"/>
        <v>2320.1191800000001</v>
      </c>
      <c r="AA28" s="36">
        <f t="shared" si="48"/>
        <v>0</v>
      </c>
      <c r="AB28" s="36">
        <f t="shared" si="49"/>
        <v>11628.732599999999</v>
      </c>
      <c r="AC28" s="36"/>
      <c r="AD28" s="36"/>
      <c r="AE28" s="36">
        <f t="shared" ref="AE28:AE37" si="63">M28*U28</f>
        <v>0</v>
      </c>
      <c r="AF28" s="36">
        <f t="shared" si="50"/>
        <v>2838.87</v>
      </c>
      <c r="AG28" s="57">
        <f>SUMIFS(Adjustments!H$5:H$557,Adjustments!$B$5:$B$557,'Mar16-Aug16 Billed-RETAIL'!$D28,Adjustments!$C$5:$C$557,'Mar16-Aug16 Billed-RETAIL'!$E28)</f>
        <v>0</v>
      </c>
      <c r="AH28" s="57">
        <f>SUMIFS(Adjustments!I$5:I$557,Adjustments!$B$5:$B$557,'Mar16-Aug16 Billed-RETAIL'!$D28,Adjustments!$C$5:$C$557,'Mar16-Aug16 Billed-RETAIL'!$E28)</f>
        <v>0</v>
      </c>
      <c r="AI28" s="48">
        <f>SUMIFS(Adjustments!J$5:J$557,Adjustments!$B$5:$B$557,'Mar16-Aug16 Billed-RETAIL'!$D28,Adjustments!$C$5:$C$557,'Mar16-Aug16 Billed-RETAIL'!$E28)</f>
        <v>0</v>
      </c>
      <c r="AJ28" s="48">
        <f>SUMIFS(Adjustments!K$5:K$557,Adjustments!$B$5:$B$557,'Mar16-Aug16 Billed-RETAIL'!$D28,Adjustments!$C$5:$C$557,'Mar16-Aug16 Billed-RETAIL'!$E28)</f>
        <v>0</v>
      </c>
      <c r="AK28" s="48">
        <f>SUMIFS(Adjustments!L$5:L$557,Adjustments!$B$5:$B$557,'Mar16-Aug16 Billed-RETAIL'!$D28,Adjustments!$C$5:$C$557,'Mar16-Aug16 Billed-RETAIL'!$E28)</f>
        <v>0</v>
      </c>
      <c r="AL28" s="48">
        <f>SUMIFS(Adjustments!M$5:M$557,Adjustments!$B$5:$B$557,'Mar16-Aug16 Billed-RETAIL'!$D28,Adjustments!$C$5:$C$557,'Mar16-Aug16 Billed-RETAIL'!$E28)</f>
        <v>0</v>
      </c>
      <c r="AM28" s="48">
        <f>SUMIFS(Adjustments!N$5:N$557,Adjustments!$B$5:$B$557,'Mar16-Aug16 Billed-RETAIL'!$D28,Adjustments!$C$5:$C$557,'Mar16-Aug16 Billed-RETAIL'!$E28)</f>
        <v>0</v>
      </c>
      <c r="AN28" s="48">
        <f>SUMIFS(Adjustments!O$5:O$557,Adjustments!$B$5:$B$557,'Mar16-Aug16 Billed-RETAIL'!$D28,Adjustments!$C$5:$C$557,'Mar16-Aug16 Billed-RETAIL'!$E28)</f>
        <v>0</v>
      </c>
      <c r="AO28" s="48">
        <f>SUMIFS(Adjustments!P$5:P$557,Adjustments!$B$5:$B$557,'Mar16-Aug16 Billed-RETAIL'!$D28,Adjustments!$C$5:$C$557,'Mar16-Aug16 Billed-RETAIL'!$E28)</f>
        <v>0</v>
      </c>
      <c r="AP28" s="36">
        <f t="shared" si="51"/>
        <v>400</v>
      </c>
      <c r="AQ28" s="36">
        <f t="shared" si="52"/>
        <v>0</v>
      </c>
      <c r="AR28" s="36">
        <f t="shared" si="53"/>
        <v>2320.1191800000001</v>
      </c>
      <c r="AS28" s="36">
        <f t="shared" si="54"/>
        <v>0</v>
      </c>
      <c r="AT28" s="43">
        <f>SUMIFS('SBR Mar16 - Aug16'!$O$16:$O$475,'SBR Mar16 - Aug16'!$A$16:$A$475,'Mar16-Aug16 Billed-RETAIL'!$D28,'SBR Mar16 - Aug16'!$C$16:$C$475,'Mar16-Aug16 Billed-RETAIL'!$E28)</f>
        <v>11537.01</v>
      </c>
      <c r="AU28" s="43">
        <f>SUMIFS('SBR Mar16 - Aug16'!$N$16:$N$475,'SBR Mar16 - Aug16'!$A$16:$A$475,'Mar16-Aug16 Billed-RETAIL'!$D28,'SBR Mar16 - Aug16'!$C$16:$C$475,'Mar16-Aug16 Billed-RETAIL'!$E28)</f>
        <v>0</v>
      </c>
      <c r="AV28" s="43">
        <f>SUMIFS('SBR Mar16 - Aug16'!$Y$16:$Y$475,'SBR Mar16 - Aug16'!$A$16:$A$475,'Mar16-Aug16 Billed-RETAIL'!$D28,'SBR Mar16 - Aug16'!$C$16:$C$475,'Mar16-Aug16 Billed-RETAIL'!$E28)</f>
        <v>0</v>
      </c>
      <c r="AW28" s="43">
        <f>SUMIFS('SBR Mar16 - Aug16'!$X$16:$X$475,'SBR Mar16 - Aug16'!$A$16:$A$475,'Mar16-Aug16 Billed-RETAIL'!$D28,'SBR Mar16 - Aug16'!$C$16:$C$475,'Mar16-Aug16 Billed-RETAIL'!$E28)</f>
        <v>2833.49</v>
      </c>
      <c r="AX28" s="36">
        <f t="shared" si="55"/>
        <v>0</v>
      </c>
      <c r="AY28" s="36"/>
      <c r="AZ28" s="43">
        <f t="shared" si="56"/>
        <v>17090.62</v>
      </c>
      <c r="BA28" s="43">
        <f t="shared" ref="BA28:BA37" si="64">SUM(BC28:BJ28)-BF28</f>
        <v>17090.620000000003</v>
      </c>
      <c r="BB28" s="44">
        <f t="shared" si="57"/>
        <v>1</v>
      </c>
      <c r="BC28" s="43">
        <f>SUMIFS('SBR Mar16 - Aug16'!$N$16:$N$475,'SBR Mar16 - Aug16'!$A$16:$A$475,'Mar16-Aug16 Billed-RETAIL'!$D28,'SBR Mar16 - Aug16'!$C$16:$C$475,'Mar16-Aug16 Billed-RETAIL'!$E28)</f>
        <v>0</v>
      </c>
      <c r="BD28" s="43">
        <f>SUMIFS('SBR Mar16 - Aug16'!$O$16:$O$475,'SBR Mar16 - Aug16'!$A$16:$A$475,'Mar16-Aug16 Billed-RETAIL'!$D28,'SBR Mar16 - Aug16'!$C$16:$C$475,'Mar16-Aug16 Billed-RETAIL'!$E28)</f>
        <v>11537.01</v>
      </c>
      <c r="BE28" s="43">
        <f>SUMIFS('SBR Mar16 - Aug16'!$Y$16:$Y$475,'SBR Mar16 - Aug16'!$A$16:$A$475,'Mar16-Aug16 Billed-RETAIL'!$D28,'SBR Mar16 - Aug16'!$C$16:$C$475,'Mar16-Aug16 Billed-RETAIL'!$E28)</f>
        <v>0</v>
      </c>
      <c r="BF28" s="43">
        <f>SUMIFS('SBR Mar16 - Aug16'!$AB$16:$AB$475,'SBR Mar16 - Aug16'!$A$16:$A$475,'Mar16-Aug16 Billed-RETAIL'!$D28,'SBR Mar16 - Aug16'!$C$16:$C$475,'Mar16-Aug16 Billed-RETAIL'!$E28)</f>
        <v>0</v>
      </c>
      <c r="BG28" s="43">
        <f>SUMIFS('SBR Mar16 - Aug16'!$G$16:$G$475,'SBR Mar16 - Aug16'!$A$16:$A$475,'Mar16-Aug16 Billed-RETAIL'!$D28,'SBR Mar16 - Aug16'!$C$16:$C$475,'Mar16-Aug16 Billed-RETAIL'!$E28)</f>
        <v>400</v>
      </c>
      <c r="BH28" s="43">
        <f>SUMIFS('SBR Mar16 - Aug16'!$I$16:$I$475,'SBR Mar16 - Aug16'!$A$16:$A$475,'Mar16-Aug16 Billed-RETAIL'!$D28,'SBR Mar16 - Aug16'!$C$16:$C$475,'Mar16-Aug16 Billed-RETAIL'!$E28)</f>
        <v>2320.12</v>
      </c>
      <c r="BI28" s="43">
        <f>SUMIFS('SBR Mar16 - Aug16'!$H$16:$H$475,'SBR Mar16 - Aug16'!$A$16:$A$475,'Mar16-Aug16 Billed-RETAIL'!$D28,'SBR Mar16 - Aug16'!$C$16:$C$475,'Mar16-Aug16 Billed-RETAIL'!$E28)</f>
        <v>0</v>
      </c>
      <c r="BJ28" s="43">
        <f>SUMIFS('SBR Mar16 - Aug16'!$X$16:$X$475,'SBR Mar16 - Aug16'!$A$16:$A$475,'Mar16-Aug16 Billed-RETAIL'!$D28,'SBR Mar16 - Aug16'!$C$16:$C$475,'Mar16-Aug16 Billed-RETAIL'!$E28)</f>
        <v>2833.49</v>
      </c>
      <c r="BL28" s="51">
        <f t="shared" si="58"/>
        <v>0</v>
      </c>
      <c r="BN28" s="58">
        <f t="shared" si="59"/>
        <v>0</v>
      </c>
      <c r="BO28" s="58">
        <f t="shared" si="60"/>
        <v>-8.1999999974868842E-4</v>
      </c>
      <c r="BP28" s="58">
        <f t="shared" si="61"/>
        <v>0</v>
      </c>
    </row>
    <row r="29" spans="3:68" ht="15" customHeight="1" x14ac:dyDescent="0.25">
      <c r="C29" s="14">
        <f t="shared" ref="C29:C37" si="65">C28+1</f>
        <v>21</v>
      </c>
      <c r="D29" s="604">
        <f t="shared" ref="D29:D37" si="66">$D$27</f>
        <v>42491</v>
      </c>
      <c r="E29" s="604" t="str">
        <f>+'Retail Rates'!$B$11</f>
        <v>LGING866DS</v>
      </c>
      <c r="F29" s="14" t="str">
        <f>MID(E29,6,3)</f>
        <v>866</v>
      </c>
      <c r="G29" s="14" t="str">
        <f>VLOOKUP(E29,'Retail Rates'!$B$7:$D$34,3,FALSE)</f>
        <v>AAGS-I</v>
      </c>
      <c r="H29" s="33">
        <f>SUMIFS('Data-Retail'!$H$4:$H$1000,'Data-Retail'!$A$4:$A$1000,'Mar16-Aug16 Billed-RETAIL'!$D29,'Data-Retail'!$D$4:$D$1000,'Mar16-Aug16 Billed-RETAIL'!$E29)</f>
        <v>1</v>
      </c>
      <c r="I29" s="33"/>
      <c r="J29" s="33"/>
      <c r="K29" s="33">
        <f>SUMIFS('Data-Retail'!$I$4:$I$1000,'Data-Retail'!$A$4:$A$1000,'Mar16-Aug16 Billed-RETAIL'!$D29,'Data-Retail'!$D$4:$D$1000,'Mar16-Aug16 Billed-RETAIL'!$E29)</f>
        <v>28839</v>
      </c>
      <c r="L29" s="33">
        <f>SUMIFS('Data-Retail'!$J$4:$J$1000,'Data-Retail'!$A$4:$A$1000,'Mar16-Aug16 Billed-RETAIL'!$D29,'Data-Retail'!$D$4:$D$1000,'Mar16-Aug16 Billed-RETAIL'!$E29)</f>
        <v>0</v>
      </c>
      <c r="M29" s="33"/>
      <c r="N29" s="34">
        <f>VLOOKUP($E29,'Retail Rates'!$B$7:$L$34,5,FALSE)</f>
        <v>400</v>
      </c>
      <c r="O29" s="34">
        <f>VLOOKUP($E29,'Retail Rates'!$B$7:$L$34,6,FALSE)</f>
        <v>0</v>
      </c>
      <c r="P29" s="35">
        <f>VLOOKUP($E29,'Retail Rates'!$B$7:$L$34,7,FALSE)</f>
        <v>7.009E-2</v>
      </c>
      <c r="Q29" s="35">
        <f>VLOOKUP($E29,'Retail Rates'!$B$7:$L$34,8,FALSE)</f>
        <v>0</v>
      </c>
      <c r="R29" s="35">
        <f>VLOOKUP($D29,'GSC-DSM-GLT Factors'!$A$1:$B$60,2,FALSE)</f>
        <v>0.3513</v>
      </c>
      <c r="S29" s="34">
        <f>VLOOKUP($E29,'Retail Rates'!$B$7:$L$34,9,FALSE)</f>
        <v>0</v>
      </c>
      <c r="T29" s="35">
        <f>VLOOKUP($E29,'Retail Rates'!$B$7:$L$34,10,FALSE)</f>
        <v>0</v>
      </c>
      <c r="U29" s="34">
        <f>VLOOKUP($E29,'Retail Rates'!$B$7:$L$34,11,FALSE)</f>
        <v>0</v>
      </c>
      <c r="V29" s="556">
        <f>VLOOKUP($D29,'GSC-DSM-GLT Factors'!$A$1:$O$60,14,FALSE)</f>
        <v>2838.87</v>
      </c>
      <c r="W29" s="36">
        <f>(+H29*N29)+(I29*N29)</f>
        <v>400</v>
      </c>
      <c r="X29" s="36"/>
      <c r="Y29" s="36"/>
      <c r="Z29" s="36">
        <f>+K29*P29</f>
        <v>2021.3255099999999</v>
      </c>
      <c r="AA29" s="36">
        <f>+L29*Q29</f>
        <v>0</v>
      </c>
      <c r="AB29" s="36">
        <f>SUM(K29:L29)*R29</f>
        <v>10131.1407</v>
      </c>
      <c r="AC29" s="36"/>
      <c r="AD29" s="36"/>
      <c r="AE29" s="36">
        <f>M29*U29</f>
        <v>0</v>
      </c>
      <c r="AF29" s="36">
        <f>(+H29*V29)+(I29*V29)</f>
        <v>2838.87</v>
      </c>
      <c r="AG29" s="57">
        <f>SUMIFS(Adjustments!H$5:H$557,Adjustments!$B$5:$B$557,'Mar16-Aug16 Billed-RETAIL'!$D29,Adjustments!$C$5:$C$557,'Mar16-Aug16 Billed-RETAIL'!$E29)</f>
        <v>0</v>
      </c>
      <c r="AH29" s="57">
        <f>SUMIFS(Adjustments!I$5:I$557,Adjustments!$B$5:$B$557,'Mar16-Aug16 Billed-RETAIL'!$D29,Adjustments!$C$5:$C$557,'Mar16-Aug16 Billed-RETAIL'!$E29)</f>
        <v>0</v>
      </c>
      <c r="AI29" s="48">
        <f>SUMIFS(Adjustments!J$5:J$557,Adjustments!$B$5:$B$557,'Mar16-Aug16 Billed-RETAIL'!$D29,Adjustments!$C$5:$C$557,'Mar16-Aug16 Billed-RETAIL'!$E29)</f>
        <v>0</v>
      </c>
      <c r="AJ29" s="48">
        <f>SUMIFS(Adjustments!K$5:K$557,Adjustments!$B$5:$B$557,'Mar16-Aug16 Billed-RETAIL'!$D29,Adjustments!$C$5:$C$557,'Mar16-Aug16 Billed-RETAIL'!$E29)</f>
        <v>0</v>
      </c>
      <c r="AK29" s="48">
        <f>SUMIFS(Adjustments!L$5:L$557,Adjustments!$B$5:$B$557,'Mar16-Aug16 Billed-RETAIL'!$D29,Adjustments!$C$5:$C$557,'Mar16-Aug16 Billed-RETAIL'!$E29)</f>
        <v>0</v>
      </c>
      <c r="AL29" s="48">
        <f>SUMIFS(Adjustments!M$5:M$557,Adjustments!$B$5:$B$557,'Mar16-Aug16 Billed-RETAIL'!$D29,Adjustments!$C$5:$C$557,'Mar16-Aug16 Billed-RETAIL'!$E29)</f>
        <v>0</v>
      </c>
      <c r="AM29" s="48">
        <f>SUMIFS(Adjustments!N$5:N$557,Adjustments!$B$5:$B$557,'Mar16-Aug16 Billed-RETAIL'!$D29,Adjustments!$C$5:$C$557,'Mar16-Aug16 Billed-RETAIL'!$E29)</f>
        <v>0</v>
      </c>
      <c r="AN29" s="48">
        <f>SUMIFS(Adjustments!O$5:O$557,Adjustments!$B$5:$B$557,'Mar16-Aug16 Billed-RETAIL'!$D29,Adjustments!$C$5:$C$557,'Mar16-Aug16 Billed-RETAIL'!$E29)</f>
        <v>0</v>
      </c>
      <c r="AO29" s="48">
        <f>SUMIFS(Adjustments!P$5:P$557,Adjustments!$B$5:$B$557,'Mar16-Aug16 Billed-RETAIL'!$D29,Adjustments!$C$5:$C$557,'Mar16-Aug16 Billed-RETAIL'!$E29)</f>
        <v>0</v>
      </c>
      <c r="AP29" s="36">
        <f>+W29+AI29+(AG29*N29)</f>
        <v>400</v>
      </c>
      <c r="AQ29" s="36">
        <f>+Y29+AJ29</f>
        <v>0</v>
      </c>
      <c r="AR29" s="36">
        <f>+Z29+AK29</f>
        <v>2021.3255099999999</v>
      </c>
      <c r="AS29" s="36">
        <f>+AA29+AL29</f>
        <v>0</v>
      </c>
      <c r="AT29" s="43">
        <f>SUMIFS('SBR Mar16 - Aug16'!$O$16:$O$475,'SBR Mar16 - Aug16'!$A$16:$A$475,'Mar16-Aug16 Billed-RETAIL'!$D29,'SBR Mar16 - Aug16'!$C$16:$C$475,'Mar16-Aug16 Billed-RETAIL'!$E29)</f>
        <v>10079.08</v>
      </c>
      <c r="AU29" s="43">
        <f>SUMIFS('SBR Mar16 - Aug16'!$N$16:$N$475,'SBR Mar16 - Aug16'!$A$16:$A$475,'Mar16-Aug16 Billed-RETAIL'!$D29,'SBR Mar16 - Aug16'!$C$16:$C$475,'Mar16-Aug16 Billed-RETAIL'!$E29)</f>
        <v>0</v>
      </c>
      <c r="AV29" s="43">
        <f>SUMIFS('SBR Mar16 - Aug16'!$Y$16:$Y$475,'SBR Mar16 - Aug16'!$A$16:$A$475,'Mar16-Aug16 Billed-RETAIL'!$D29,'SBR Mar16 - Aug16'!$C$16:$C$475,'Mar16-Aug16 Billed-RETAIL'!$E29)</f>
        <v>0</v>
      </c>
      <c r="AW29" s="43">
        <f>SUMIFS('SBR Mar16 - Aug16'!$X$16:$X$475,'SBR Mar16 - Aug16'!$A$16:$A$475,'Mar16-Aug16 Billed-RETAIL'!$D29,'SBR Mar16 - Aug16'!$C$16:$C$475,'Mar16-Aug16 Billed-RETAIL'!$E29)</f>
        <v>2838.87</v>
      </c>
      <c r="AX29" s="36">
        <f>+AE29+AO29</f>
        <v>0</v>
      </c>
      <c r="AY29" s="36"/>
      <c r="AZ29" s="43">
        <f>ROUND(SUM(AP29:AY29),2)</f>
        <v>15339.28</v>
      </c>
      <c r="BA29" s="43">
        <f>SUM(BC29:BJ29)-BF29</f>
        <v>15339.279999999999</v>
      </c>
      <c r="BB29" s="44">
        <f>IF(BA29=0,0,ROUND(BA29/AZ29,6))</f>
        <v>1</v>
      </c>
      <c r="BC29" s="43">
        <f>SUMIFS('SBR Mar16 - Aug16'!$N$16:$N$475,'SBR Mar16 - Aug16'!$A$16:$A$475,'Mar16-Aug16 Billed-RETAIL'!$D29,'SBR Mar16 - Aug16'!$C$16:$C$475,'Mar16-Aug16 Billed-RETAIL'!$E29)</f>
        <v>0</v>
      </c>
      <c r="BD29" s="43">
        <f>SUMIFS('SBR Mar16 - Aug16'!$O$16:$O$475,'SBR Mar16 - Aug16'!$A$16:$A$475,'Mar16-Aug16 Billed-RETAIL'!$D29,'SBR Mar16 - Aug16'!$C$16:$C$475,'Mar16-Aug16 Billed-RETAIL'!$E29)</f>
        <v>10079.08</v>
      </c>
      <c r="BE29" s="43">
        <f>SUMIFS('SBR Mar16 - Aug16'!$Y$16:$Y$475,'SBR Mar16 - Aug16'!$A$16:$A$475,'Mar16-Aug16 Billed-RETAIL'!$D29,'SBR Mar16 - Aug16'!$C$16:$C$475,'Mar16-Aug16 Billed-RETAIL'!$E29)</f>
        <v>0</v>
      </c>
      <c r="BF29" s="43">
        <f>SUMIFS('SBR Mar16 - Aug16'!$AB$16:$AB$475,'SBR Mar16 - Aug16'!$A$16:$A$475,'Mar16-Aug16 Billed-RETAIL'!$D29,'SBR Mar16 - Aug16'!$C$16:$C$475,'Mar16-Aug16 Billed-RETAIL'!$E29)</f>
        <v>0</v>
      </c>
      <c r="BG29" s="43">
        <f>SUMIFS('SBR Mar16 - Aug16'!$G$16:$G$475,'SBR Mar16 - Aug16'!$A$16:$A$475,'Mar16-Aug16 Billed-RETAIL'!$D29,'SBR Mar16 - Aug16'!$C$16:$C$475,'Mar16-Aug16 Billed-RETAIL'!$E29)</f>
        <v>400</v>
      </c>
      <c r="BH29" s="43">
        <f>SUMIFS('SBR Mar16 - Aug16'!$I$16:$I$475,'SBR Mar16 - Aug16'!$A$16:$A$475,'Mar16-Aug16 Billed-RETAIL'!$D29,'SBR Mar16 - Aug16'!$C$16:$C$475,'Mar16-Aug16 Billed-RETAIL'!$E29)</f>
        <v>2021.33</v>
      </c>
      <c r="BI29" s="43">
        <f>SUMIFS('SBR Mar16 - Aug16'!$H$16:$H$475,'SBR Mar16 - Aug16'!$A$16:$A$475,'Mar16-Aug16 Billed-RETAIL'!$D29,'SBR Mar16 - Aug16'!$C$16:$C$475,'Mar16-Aug16 Billed-RETAIL'!$E29)</f>
        <v>0</v>
      </c>
      <c r="BJ29" s="43">
        <f>SUMIFS('SBR Mar16 - Aug16'!$X$16:$X$475,'SBR Mar16 - Aug16'!$A$16:$A$475,'Mar16-Aug16 Billed-RETAIL'!$D29,'SBR Mar16 - Aug16'!$C$16:$C$475,'Mar16-Aug16 Billed-RETAIL'!$E29)</f>
        <v>2838.87</v>
      </c>
      <c r="BL29" s="51">
        <f>+AZ29-BA29</f>
        <v>0</v>
      </c>
      <c r="BN29" s="58">
        <f>+AP29+AQ29-BG29</f>
        <v>0</v>
      </c>
      <c r="BO29" s="58">
        <f>+AR29+AS29-BH29</f>
        <v>-4.4900000000325235E-3</v>
      </c>
      <c r="BP29" s="58">
        <f>+AT29-BD29</f>
        <v>0</v>
      </c>
    </row>
    <row r="30" spans="3:68" ht="15" x14ac:dyDescent="0.25">
      <c r="C30" s="14">
        <f t="shared" si="65"/>
        <v>22</v>
      </c>
      <c r="D30" s="604">
        <f t="shared" si="66"/>
        <v>42491</v>
      </c>
      <c r="E30" s="604" t="str">
        <f>+'Retail Rates'!$B$15</f>
        <v>LGCMG851</v>
      </c>
      <c r="F30" s="14" t="str">
        <f t="shared" si="62"/>
        <v>851</v>
      </c>
      <c r="G30" s="14" t="str">
        <f>VLOOKUP(E30,'Retail Rates'!$B$7:$D$34,3,FALSE)</f>
        <v>CGS</v>
      </c>
      <c r="H30" s="33"/>
      <c r="I30" s="33">
        <f>SUMIFS(Adjustments!F$5:F$362,Adjustments!$B$5:$B$362,'Mar16-Aug16 Billed-RETAIL'!$D30,Adjustments!$C$5:$C$362,'Mar16-Aug16 Billed-RETAIL'!$E30)</f>
        <v>24048</v>
      </c>
      <c r="J30" s="33">
        <f>SUMIFS(Adjustments!G$5:G$362,Adjustments!$B$5:$B$362,'Mar16-Aug16 Billed-RETAIL'!$D30,Adjustments!$C$5:$C$362,'Mar16-Aug16 Billed-RETAIL'!$E30)</f>
        <v>1121</v>
      </c>
      <c r="K30" s="33">
        <f>SUMIFS('Data-Retail'!$I$4:$I$1000,'Data-Retail'!$A$4:$A$1000,'Mar16-Aug16 Billed-RETAIL'!$D30,'Data-Retail'!$D$4:$D$1000,'Mar16-Aug16 Billed-RETAIL'!$E30)</f>
        <v>2917368</v>
      </c>
      <c r="L30" s="33">
        <f>SUMIFS('Data-Retail'!$J$4:$J$1000,'Data-Retail'!$A$4:$A$1000,'Mar16-Aug16 Billed-RETAIL'!$D30,'Data-Retail'!$D$4:$D$1000,'Mar16-Aug16 Billed-RETAIL'!$E30)</f>
        <v>1572293</v>
      </c>
      <c r="M30" s="33"/>
      <c r="N30" s="34">
        <f>VLOOKUP($E30,'Retail Rates'!$B$7:$L$34,5,FALSE)</f>
        <v>40</v>
      </c>
      <c r="O30" s="34">
        <f>VLOOKUP($E30,'Retail Rates'!$B$7:$L$34,6,FALSE)</f>
        <v>180</v>
      </c>
      <c r="P30" s="35">
        <f>VLOOKUP($E30,'Retail Rates'!$B$7:$L$34,7,FALSE)</f>
        <v>0.21504000000000001</v>
      </c>
      <c r="Q30" s="35">
        <f>VLOOKUP($E30,'Retail Rates'!$B$7:$L$34,8,FALSE)</f>
        <v>0.16504000000000002</v>
      </c>
      <c r="R30" s="35">
        <f>VLOOKUP($D30,'GSC-DSM-GLT Factors'!$A$1:$B$60,2,FALSE)</f>
        <v>0.3513</v>
      </c>
      <c r="S30" s="34">
        <f>VLOOKUP($E30,'Retail Rates'!$B$7:$L$34,9,FALSE)</f>
        <v>0</v>
      </c>
      <c r="T30" s="35">
        <f>VLOOKUP($E30,'Retail Rates'!$B$7:$L$34,10,FALSE)</f>
        <v>0</v>
      </c>
      <c r="U30" s="34">
        <f>VLOOKUP($E30,'Retail Rates'!$B$7:$L$34,11,FALSE)</f>
        <v>0</v>
      </c>
      <c r="V30" s="556">
        <f>VLOOKUP($D30,'GSC-DSM-GLT Factors'!$A$1:$O$60,12,FALSE)</f>
        <v>27.41</v>
      </c>
      <c r="W30" s="36">
        <f t="shared" si="46"/>
        <v>961920</v>
      </c>
      <c r="X30" s="36"/>
      <c r="Y30" s="36">
        <f>+J30*O30</f>
        <v>201780</v>
      </c>
      <c r="Z30" s="36">
        <f t="shared" si="47"/>
        <v>627350.81472000002</v>
      </c>
      <c r="AA30" s="36">
        <f t="shared" si="48"/>
        <v>259491.23672000004</v>
      </c>
      <c r="AB30" s="36">
        <f t="shared" si="49"/>
        <v>1577217.9092999999</v>
      </c>
      <c r="AC30" s="36"/>
      <c r="AD30" s="36"/>
      <c r="AE30" s="36">
        <f t="shared" si="63"/>
        <v>0</v>
      </c>
      <c r="AF30" s="36">
        <f t="shared" si="50"/>
        <v>659155.68000000005</v>
      </c>
      <c r="AG30" s="57">
        <f>SUMIFS(Adjustments!H$5:H$557,Adjustments!$B$5:$B$557,'Mar16-Aug16 Billed-RETAIL'!$D30,Adjustments!$C$5:$C$557,'Mar16-Aug16 Billed-RETAIL'!$E30)</f>
        <v>0</v>
      </c>
      <c r="AH30" s="57">
        <f>SUMIFS(Adjustments!I$5:I$557,Adjustments!$B$5:$B$557,'Mar16-Aug16 Billed-RETAIL'!$D30,Adjustments!$C$5:$C$557,'Mar16-Aug16 Billed-RETAIL'!$E30)</f>
        <v>0</v>
      </c>
      <c r="AI30" s="48">
        <f>SUMIFS(Adjustments!J$5:J$557,Adjustments!$B$5:$B$557,'Mar16-Aug16 Billed-RETAIL'!$D30,Adjustments!$C$5:$C$557,'Mar16-Aug16 Billed-RETAIL'!$E30)</f>
        <v>-91.69</v>
      </c>
      <c r="AJ30" s="48">
        <f>SUMIFS(Adjustments!K$5:K$557,Adjustments!$B$5:$B$557,'Mar16-Aug16 Billed-RETAIL'!$D30,Adjustments!$C$5:$C$557,'Mar16-Aug16 Billed-RETAIL'!$E30)</f>
        <v>133.13999999999999</v>
      </c>
      <c r="AK30" s="48">
        <f>SUMIFS(Adjustments!L$5:L$557,Adjustments!$B$5:$B$557,'Mar16-Aug16 Billed-RETAIL'!$D30,Adjustments!$C$5:$C$557,'Mar16-Aug16 Billed-RETAIL'!$E30)</f>
        <v>13.62</v>
      </c>
      <c r="AL30" s="48">
        <f>SUMIFS(Adjustments!M$5:M$557,Adjustments!$B$5:$B$557,'Mar16-Aug16 Billed-RETAIL'!$D30,Adjustments!$C$5:$C$557,'Mar16-Aug16 Billed-RETAIL'!$E30)</f>
        <v>0</v>
      </c>
      <c r="AM30" s="48">
        <f>SUMIFS(Adjustments!N$5:N$557,Adjustments!$B$5:$B$557,'Mar16-Aug16 Billed-RETAIL'!$D30,Adjustments!$C$5:$C$557,'Mar16-Aug16 Billed-RETAIL'!$E30)</f>
        <v>0</v>
      </c>
      <c r="AN30" s="48">
        <f>SUMIFS(Adjustments!O$5:O$557,Adjustments!$B$5:$B$557,'Mar16-Aug16 Billed-RETAIL'!$D30,Adjustments!$C$5:$C$557,'Mar16-Aug16 Billed-RETAIL'!$E30)</f>
        <v>0</v>
      </c>
      <c r="AO30" s="48">
        <f>SUMIFS(Adjustments!P$5:P$557,Adjustments!$B$5:$B$557,'Mar16-Aug16 Billed-RETAIL'!$D30,Adjustments!$C$5:$C$557,'Mar16-Aug16 Billed-RETAIL'!$E30)</f>
        <v>0</v>
      </c>
      <c r="AP30" s="36">
        <f t="shared" si="51"/>
        <v>961828.31</v>
      </c>
      <c r="AQ30" s="36">
        <f t="shared" si="52"/>
        <v>201913.14</v>
      </c>
      <c r="AR30" s="36">
        <f t="shared" si="53"/>
        <v>627364.43472000002</v>
      </c>
      <c r="AS30" s="36">
        <f t="shared" si="54"/>
        <v>259491.23672000004</v>
      </c>
      <c r="AT30" s="43">
        <f>SUMIFS('SBR Mar16 - Aug16'!$O$16:$O$475,'SBR Mar16 - Aug16'!$A$16:$A$475,'Mar16-Aug16 Billed-RETAIL'!$D30,'SBR Mar16 - Aug16'!$C$16:$C$475,'Mar16-Aug16 Billed-RETAIL'!$E30)</f>
        <v>1509712.21</v>
      </c>
      <c r="AU30" s="43">
        <f>SUMIFS('SBR Mar16 - Aug16'!$N$16:$N$475,'SBR Mar16 - Aug16'!$A$16:$A$475,'Mar16-Aug16 Billed-RETAIL'!$D30,'SBR Mar16 - Aug16'!$C$16:$C$475,'Mar16-Aug16 Billed-RETAIL'!$E30)</f>
        <v>2555.02</v>
      </c>
      <c r="AV30" s="43">
        <f>SUMIFS('SBR Mar16 - Aug16'!$Y$16:$Y$475,'SBR Mar16 - Aug16'!$A$16:$A$475,'Mar16-Aug16 Billed-RETAIL'!$D30,'SBR Mar16 - Aug16'!$C$16:$C$475,'Mar16-Aug16 Billed-RETAIL'!$E30)</f>
        <v>7870.88</v>
      </c>
      <c r="AW30" s="43">
        <f>SUMIFS('SBR Mar16 - Aug16'!$X$16:$X$475,'SBR Mar16 - Aug16'!$A$16:$A$475,'Mar16-Aug16 Billed-RETAIL'!$D30,'SBR Mar16 - Aug16'!$C$16:$C$475,'Mar16-Aug16 Billed-RETAIL'!$E30)</f>
        <v>672959.61</v>
      </c>
      <c r="AX30" s="36">
        <f t="shared" si="55"/>
        <v>0</v>
      </c>
      <c r="AY30" s="36"/>
      <c r="AZ30" s="43">
        <f t="shared" si="56"/>
        <v>4243694.84</v>
      </c>
      <c r="BA30" s="43">
        <f t="shared" si="64"/>
        <v>4243694.84</v>
      </c>
      <c r="BB30" s="44">
        <f t="shared" si="57"/>
        <v>1</v>
      </c>
      <c r="BC30" s="43">
        <f>SUMIFS('SBR Mar16 - Aug16'!$N$16:$N$475,'SBR Mar16 - Aug16'!$A$16:$A$475,'Mar16-Aug16 Billed-RETAIL'!$D30,'SBR Mar16 - Aug16'!$C$16:$C$475,'Mar16-Aug16 Billed-RETAIL'!$E30)</f>
        <v>2555.02</v>
      </c>
      <c r="BD30" s="43">
        <f>SUMIFS('SBR Mar16 - Aug16'!$O$16:$O$475,'SBR Mar16 - Aug16'!$A$16:$A$475,'Mar16-Aug16 Billed-RETAIL'!$D30,'SBR Mar16 - Aug16'!$C$16:$C$475,'Mar16-Aug16 Billed-RETAIL'!$E30)</f>
        <v>1509712.21</v>
      </c>
      <c r="BE30" s="43">
        <f>SUMIFS('SBR Mar16 - Aug16'!$Y$16:$Y$475,'SBR Mar16 - Aug16'!$A$16:$A$475,'Mar16-Aug16 Billed-RETAIL'!$D30,'SBR Mar16 - Aug16'!$C$16:$C$475,'Mar16-Aug16 Billed-RETAIL'!$E30)</f>
        <v>7870.88</v>
      </c>
      <c r="BF30" s="43">
        <f>SUMIFS('SBR Mar16 - Aug16'!$AB$16:$AB$475,'SBR Mar16 - Aug16'!$A$16:$A$475,'Mar16-Aug16 Billed-RETAIL'!$D30,'SBR Mar16 - Aug16'!$C$16:$C$475,'Mar16-Aug16 Billed-RETAIL'!$E30)</f>
        <v>0</v>
      </c>
      <c r="BG30" s="43">
        <f>SUMIFS('SBR Mar16 - Aug16'!$G$16:$G$475,'SBR Mar16 - Aug16'!$A$16:$A$475,'Mar16-Aug16 Billed-RETAIL'!$D30,'SBR Mar16 - Aug16'!$C$16:$C$475,'Mar16-Aug16 Billed-RETAIL'!$E30)</f>
        <v>1163741.45</v>
      </c>
      <c r="BH30" s="43">
        <f>SUMIFS('SBR Mar16 - Aug16'!$I$16:$I$475,'SBR Mar16 - Aug16'!$A$16:$A$475,'Mar16-Aug16 Billed-RETAIL'!$D30,'SBR Mar16 - Aug16'!$C$16:$C$475,'Mar16-Aug16 Billed-RETAIL'!$E30)</f>
        <v>886855.67</v>
      </c>
      <c r="BI30" s="43">
        <f>SUMIFS('SBR Mar16 - Aug16'!$H$16:$H$475,'SBR Mar16 - Aug16'!$A$16:$A$475,'Mar16-Aug16 Billed-RETAIL'!$D30,'SBR Mar16 - Aug16'!$C$16:$C$475,'Mar16-Aug16 Billed-RETAIL'!$E30)</f>
        <v>0</v>
      </c>
      <c r="BJ30" s="43">
        <f>SUMIFS('SBR Mar16 - Aug16'!$X$16:$X$475,'SBR Mar16 - Aug16'!$A$16:$A$475,'Mar16-Aug16 Billed-RETAIL'!$D30,'SBR Mar16 - Aug16'!$C$16:$C$475,'Mar16-Aug16 Billed-RETAIL'!$E30)</f>
        <v>672959.61</v>
      </c>
      <c r="BL30" s="51">
        <f t="shared" si="58"/>
        <v>0</v>
      </c>
      <c r="BN30" s="58">
        <f t="shared" si="59"/>
        <v>0</v>
      </c>
      <c r="BO30" s="58">
        <f t="shared" si="60"/>
        <v>1.4400000218302011E-3</v>
      </c>
      <c r="BP30" s="58">
        <f t="shared" si="61"/>
        <v>0</v>
      </c>
    </row>
    <row r="31" spans="3:68" ht="15" x14ac:dyDescent="0.25">
      <c r="C31" s="14">
        <f t="shared" si="65"/>
        <v>23</v>
      </c>
      <c r="D31" s="604">
        <f t="shared" si="66"/>
        <v>42491</v>
      </c>
      <c r="E31" s="604" t="str">
        <f>+'Retail Rates'!$B$16</f>
        <v>LGUMG861</v>
      </c>
      <c r="F31" s="14" t="str">
        <f t="shared" si="62"/>
        <v>861</v>
      </c>
      <c r="G31" s="14" t="str">
        <f>VLOOKUP(E31,'Retail Rates'!$B$7:$D$34,3,FALSE)</f>
        <v>CGS</v>
      </c>
      <c r="H31" s="33"/>
      <c r="I31" s="33">
        <f>SUMIFS(Adjustments!F$5:F$362,Adjustments!$B$5:$B$362,'Mar16-Aug16 Billed-RETAIL'!$D31,Adjustments!$C$5:$C$362,'Mar16-Aug16 Billed-RETAIL'!$E31)</f>
        <v>619</v>
      </c>
      <c r="J31" s="33">
        <f>SUMIFS(Adjustments!G$5:G$362,Adjustments!$B$5:$B$362,'Mar16-Aug16 Billed-RETAIL'!$D31,Adjustments!$C$5:$C$362,'Mar16-Aug16 Billed-RETAIL'!$E31)</f>
        <v>0</v>
      </c>
      <c r="K31" s="33">
        <f>SUMIFS('Data-Retail'!$I$4:$I$1000,'Data-Retail'!$A$4:$A$1000,'Mar16-Aug16 Billed-RETAIL'!$D31,'Data-Retail'!$D$4:$D$1000,'Mar16-Aug16 Billed-RETAIL'!$E31)</f>
        <v>612</v>
      </c>
      <c r="L31" s="33">
        <f>SUMIFS('Data-Retail'!$J$4:$J$1000,'Data-Retail'!$A$4:$A$1000,'Mar16-Aug16 Billed-RETAIL'!$D31,'Data-Retail'!$D$4:$D$1000,'Mar16-Aug16 Billed-RETAIL'!$E31)</f>
        <v>0</v>
      </c>
      <c r="M31" s="33"/>
      <c r="N31" s="34">
        <f>VLOOKUP($E31,'Retail Rates'!$B$7:$L$34,5,FALSE)</f>
        <v>40</v>
      </c>
      <c r="O31" s="34">
        <f>VLOOKUP($E31,'Retail Rates'!$B$7:$L$34,6,FALSE)</f>
        <v>180</v>
      </c>
      <c r="P31" s="35">
        <f>VLOOKUP($E31,'Retail Rates'!$B$7:$L$34,7,FALSE)</f>
        <v>0.21504000000000001</v>
      </c>
      <c r="Q31" s="35">
        <f>VLOOKUP($E31,'Retail Rates'!$B$7:$L$34,8,FALSE)</f>
        <v>0.16504000000000002</v>
      </c>
      <c r="R31" s="35">
        <f>VLOOKUP($D31,'GSC-DSM-GLT Factors'!$A$1:$B$60,2,FALSE)</f>
        <v>0.3513</v>
      </c>
      <c r="S31" s="34">
        <f>VLOOKUP($E31,'Retail Rates'!$B$7:$L$34,9,FALSE)</f>
        <v>0</v>
      </c>
      <c r="T31" s="35">
        <f>VLOOKUP($E31,'Retail Rates'!$B$7:$L$34,10,FALSE)</f>
        <v>0</v>
      </c>
      <c r="U31" s="34">
        <f>VLOOKUP($E31,'Retail Rates'!$B$7:$L$34,11,FALSE)</f>
        <v>0</v>
      </c>
      <c r="V31" s="556">
        <f>VLOOKUP($D31,'GSC-DSM-GLT Factors'!$A$1:$O$60,12,FALSE)</f>
        <v>27.41</v>
      </c>
      <c r="W31" s="36">
        <f t="shared" si="46"/>
        <v>24760</v>
      </c>
      <c r="X31" s="36"/>
      <c r="Y31" s="36">
        <f>+J31*O31</f>
        <v>0</v>
      </c>
      <c r="Z31" s="36">
        <f t="shared" si="47"/>
        <v>131.60448</v>
      </c>
      <c r="AA31" s="36">
        <f t="shared" si="48"/>
        <v>0</v>
      </c>
      <c r="AB31" s="36">
        <f t="shared" si="49"/>
        <v>214.9956</v>
      </c>
      <c r="AC31" s="36"/>
      <c r="AD31" s="36"/>
      <c r="AE31" s="36">
        <f t="shared" si="63"/>
        <v>0</v>
      </c>
      <c r="AF31" s="36">
        <f t="shared" si="50"/>
        <v>16966.79</v>
      </c>
      <c r="AG31" s="57">
        <f>SUMIFS(Adjustments!H$5:H$557,Adjustments!$B$5:$B$557,'Mar16-Aug16 Billed-RETAIL'!$D31,Adjustments!$C$5:$C$557,'Mar16-Aug16 Billed-RETAIL'!$E31)</f>
        <v>0</v>
      </c>
      <c r="AH31" s="57">
        <f>SUMIFS(Adjustments!I$5:I$557,Adjustments!$B$5:$B$557,'Mar16-Aug16 Billed-RETAIL'!$D31,Adjustments!$C$5:$C$557,'Mar16-Aug16 Billed-RETAIL'!$E31)</f>
        <v>0</v>
      </c>
      <c r="AI31" s="48">
        <f>SUMIFS(Adjustments!J$5:J$557,Adjustments!$B$5:$B$557,'Mar16-Aug16 Billed-RETAIL'!$D31,Adjustments!$C$5:$C$557,'Mar16-Aug16 Billed-RETAIL'!$E31)</f>
        <v>0</v>
      </c>
      <c r="AJ31" s="48">
        <f>SUMIFS(Adjustments!K$5:K$557,Adjustments!$B$5:$B$557,'Mar16-Aug16 Billed-RETAIL'!$D31,Adjustments!$C$5:$C$557,'Mar16-Aug16 Billed-RETAIL'!$E31)</f>
        <v>0</v>
      </c>
      <c r="AK31" s="48">
        <f>SUMIFS(Adjustments!L$5:L$557,Adjustments!$B$5:$B$557,'Mar16-Aug16 Billed-RETAIL'!$D31,Adjustments!$C$5:$C$557,'Mar16-Aug16 Billed-RETAIL'!$E31)</f>
        <v>2.95</v>
      </c>
      <c r="AL31" s="48">
        <f>SUMIFS(Adjustments!M$5:M$557,Adjustments!$B$5:$B$557,'Mar16-Aug16 Billed-RETAIL'!$D31,Adjustments!$C$5:$C$557,'Mar16-Aug16 Billed-RETAIL'!$E31)</f>
        <v>0</v>
      </c>
      <c r="AM31" s="48">
        <f>SUMIFS(Adjustments!N$5:N$557,Adjustments!$B$5:$B$557,'Mar16-Aug16 Billed-RETAIL'!$D31,Adjustments!$C$5:$C$557,'Mar16-Aug16 Billed-RETAIL'!$E31)</f>
        <v>0</v>
      </c>
      <c r="AN31" s="48">
        <f>SUMIFS(Adjustments!O$5:O$557,Adjustments!$B$5:$B$557,'Mar16-Aug16 Billed-RETAIL'!$D31,Adjustments!$C$5:$C$557,'Mar16-Aug16 Billed-RETAIL'!$E31)</f>
        <v>0</v>
      </c>
      <c r="AO31" s="48">
        <f>SUMIFS(Adjustments!P$5:P$557,Adjustments!$B$5:$B$557,'Mar16-Aug16 Billed-RETAIL'!$D31,Adjustments!$C$5:$C$557,'Mar16-Aug16 Billed-RETAIL'!$E31)</f>
        <v>0</v>
      </c>
      <c r="AP31" s="36">
        <f t="shared" si="51"/>
        <v>24760</v>
      </c>
      <c r="AQ31" s="36">
        <f t="shared" si="52"/>
        <v>0</v>
      </c>
      <c r="AR31" s="36">
        <f t="shared" si="53"/>
        <v>134.55447999999998</v>
      </c>
      <c r="AS31" s="36">
        <f t="shared" si="54"/>
        <v>0</v>
      </c>
      <c r="AT31" s="43">
        <f>SUMIFS('SBR Mar16 - Aug16'!$O$16:$O$475,'SBR Mar16 - Aug16'!$A$16:$A$475,'Mar16-Aug16 Billed-RETAIL'!$D31,'SBR Mar16 - Aug16'!$C$16:$C$475,'Mar16-Aug16 Billed-RETAIL'!$E31)</f>
        <v>204.08</v>
      </c>
      <c r="AU31" s="43">
        <f>SUMIFS('SBR Mar16 - Aug16'!$N$16:$N$475,'SBR Mar16 - Aug16'!$A$16:$A$475,'Mar16-Aug16 Billed-RETAIL'!$D31,'SBR Mar16 - Aug16'!$C$16:$C$475,'Mar16-Aug16 Billed-RETAIL'!$E31)</f>
        <v>0</v>
      </c>
      <c r="AV31" s="43">
        <f>SUMIFS('SBR Mar16 - Aug16'!$Y$16:$Y$475,'SBR Mar16 - Aug16'!$A$16:$A$475,'Mar16-Aug16 Billed-RETAIL'!$D31,'SBR Mar16 - Aug16'!$C$16:$C$475,'Mar16-Aug16 Billed-RETAIL'!$E31)</f>
        <v>0</v>
      </c>
      <c r="AW31" s="43">
        <f>SUMIFS('SBR Mar16 - Aug16'!$X$16:$X$475,'SBR Mar16 - Aug16'!$A$16:$A$475,'Mar16-Aug16 Billed-RETAIL'!$D31,'SBR Mar16 - Aug16'!$C$16:$C$475,'Mar16-Aug16 Billed-RETAIL'!$E31)</f>
        <v>0</v>
      </c>
      <c r="AX31" s="36">
        <f t="shared" si="55"/>
        <v>0</v>
      </c>
      <c r="AY31" s="36"/>
      <c r="AZ31" s="43">
        <f t="shared" si="56"/>
        <v>25098.63</v>
      </c>
      <c r="BA31" s="43">
        <f t="shared" si="64"/>
        <v>25098.63</v>
      </c>
      <c r="BB31" s="44">
        <f t="shared" si="57"/>
        <v>1</v>
      </c>
      <c r="BC31" s="43">
        <f>SUMIFS('SBR Mar16 - Aug16'!$N$16:$N$475,'SBR Mar16 - Aug16'!$A$16:$A$475,'Mar16-Aug16 Billed-RETAIL'!$D31,'SBR Mar16 - Aug16'!$C$16:$C$475,'Mar16-Aug16 Billed-RETAIL'!$E31)</f>
        <v>0</v>
      </c>
      <c r="BD31" s="43">
        <f>SUMIFS('SBR Mar16 - Aug16'!$O$16:$O$475,'SBR Mar16 - Aug16'!$A$16:$A$475,'Mar16-Aug16 Billed-RETAIL'!$D31,'SBR Mar16 - Aug16'!$C$16:$C$475,'Mar16-Aug16 Billed-RETAIL'!$E31)</f>
        <v>204.08</v>
      </c>
      <c r="BE31" s="43">
        <f>SUMIFS('SBR Mar16 - Aug16'!$Y$16:$Y$475,'SBR Mar16 - Aug16'!$A$16:$A$475,'Mar16-Aug16 Billed-RETAIL'!$D31,'SBR Mar16 - Aug16'!$C$16:$C$475,'Mar16-Aug16 Billed-RETAIL'!$E31)</f>
        <v>0</v>
      </c>
      <c r="BF31" s="43">
        <f>SUMIFS('SBR Mar16 - Aug16'!$AB$16:$AB$475,'SBR Mar16 - Aug16'!$A$16:$A$475,'Mar16-Aug16 Billed-RETAIL'!$D31,'SBR Mar16 - Aug16'!$C$16:$C$475,'Mar16-Aug16 Billed-RETAIL'!$E31)</f>
        <v>0</v>
      </c>
      <c r="BG31" s="43">
        <f>SUMIFS('SBR Mar16 - Aug16'!$G$16:$G$475,'SBR Mar16 - Aug16'!$A$16:$A$475,'Mar16-Aug16 Billed-RETAIL'!$D31,'SBR Mar16 - Aug16'!$C$16:$C$475,'Mar16-Aug16 Billed-RETAIL'!$E31)</f>
        <v>24760</v>
      </c>
      <c r="BH31" s="43">
        <f>SUMIFS('SBR Mar16 - Aug16'!$I$16:$I$475,'SBR Mar16 - Aug16'!$A$16:$A$475,'Mar16-Aug16 Billed-RETAIL'!$D31,'SBR Mar16 - Aug16'!$C$16:$C$475,'Mar16-Aug16 Billed-RETAIL'!$E31)</f>
        <v>134.55000000000001</v>
      </c>
      <c r="BI31" s="43">
        <f>SUMIFS('SBR Mar16 - Aug16'!$H$16:$H$475,'SBR Mar16 - Aug16'!$A$16:$A$475,'Mar16-Aug16 Billed-RETAIL'!$D31,'SBR Mar16 - Aug16'!$C$16:$C$475,'Mar16-Aug16 Billed-RETAIL'!$E31)</f>
        <v>0</v>
      </c>
      <c r="BJ31" s="43">
        <f>SUMIFS('SBR Mar16 - Aug16'!$X$16:$X$475,'SBR Mar16 - Aug16'!$A$16:$A$475,'Mar16-Aug16 Billed-RETAIL'!$D31,'SBR Mar16 - Aug16'!$C$16:$C$475,'Mar16-Aug16 Billed-RETAIL'!$E31)</f>
        <v>0</v>
      </c>
      <c r="BL31" s="51">
        <f t="shared" si="58"/>
        <v>0</v>
      </c>
      <c r="BN31" s="58">
        <f t="shared" si="59"/>
        <v>0</v>
      </c>
      <c r="BO31" s="58">
        <f t="shared" si="60"/>
        <v>4.479999999972506E-3</v>
      </c>
      <c r="BP31" s="58">
        <f t="shared" si="61"/>
        <v>0</v>
      </c>
    </row>
    <row r="32" spans="3:68" ht="15" customHeight="1" x14ac:dyDescent="0.25">
      <c r="C32" s="14">
        <f t="shared" si="65"/>
        <v>24</v>
      </c>
      <c r="D32" s="604">
        <f t="shared" si="66"/>
        <v>42491</v>
      </c>
      <c r="E32" s="604" t="str">
        <f>+'Retail Rates'!$B$20</f>
        <v>LGCMG875</v>
      </c>
      <c r="F32" s="14" t="str">
        <f t="shared" si="62"/>
        <v>875</v>
      </c>
      <c r="G32" s="14" t="str">
        <f>VLOOKUP(E32,'Retail Rates'!$B$7:$D$34,3,FALSE)</f>
        <v>DGGS-C</v>
      </c>
      <c r="H32" s="33">
        <f>SUMIFS('Data-Retail'!$H$4:$H$1000,'Data-Retail'!$A$4:$A$1000,'Mar16-Aug16 Billed-RETAIL'!$D32,'Data-Retail'!$D$4:$D$1000,'Mar16-Aug16 Billed-RETAIL'!$E32)</f>
        <v>1</v>
      </c>
      <c r="I32" s="33"/>
      <c r="J32" s="33"/>
      <c r="K32" s="33">
        <f>SUMIFS('Data-Retail'!$I$4:$I$1000,'Data-Retail'!$A$4:$A$1000,'Mar16-Aug16 Billed-RETAIL'!$D32,'Data-Retail'!$D$4:$D$1000,'Mar16-Aug16 Billed-RETAIL'!$E32)</f>
        <v>6</v>
      </c>
      <c r="L32" s="33">
        <f>SUMIFS('Data-Retail'!$J$4:$J$1000,'Data-Retail'!$A$4:$A$1000,'Mar16-Aug16 Billed-RETAIL'!$D32,'Data-Retail'!$D$4:$D$1000,'Mar16-Aug16 Billed-RETAIL'!$E32)</f>
        <v>0</v>
      </c>
      <c r="M32" s="33">
        <v>483</v>
      </c>
      <c r="N32" s="34">
        <f>VLOOKUP($E32,'Retail Rates'!$B$7:$L$34,5,FALSE)</f>
        <v>40</v>
      </c>
      <c r="O32" s="34">
        <f>VLOOKUP($E32,'Retail Rates'!$B$7:$L$34,6,FALSE)</f>
        <v>180</v>
      </c>
      <c r="P32" s="35">
        <f>VLOOKUP($E32,'Retail Rates'!$B$7:$L$34,7,FALSE)</f>
        <v>3.329E-2</v>
      </c>
      <c r="Q32" s="35">
        <f>VLOOKUP($E32,'Retail Rates'!$B$7:$L$34,8,FALSE)</f>
        <v>0</v>
      </c>
      <c r="R32" s="35">
        <f>VLOOKUP($D32,'GSC-DSM-GLT Factors'!$A$1:$B$60,2,FALSE)</f>
        <v>0.3513</v>
      </c>
      <c r="S32" s="34">
        <f>VLOOKUP($E32,'Retail Rates'!$B$7:$L$34,9,FALSE)</f>
        <v>0</v>
      </c>
      <c r="T32" s="35">
        <f>VLOOKUP($E32,'Retail Rates'!$B$7:$L$34,10,FALSE)</f>
        <v>0</v>
      </c>
      <c r="U32" s="699">
        <f>VLOOKUP($E32,'Retail Rates'!$B$7:$L$34,11,FALSE)</f>
        <v>1.1263000000000001</v>
      </c>
      <c r="V32" s="556">
        <f>VLOOKUP($D32,'GSC-DSM-GLT Factors'!$A$1:$O$60,15,FALSE)</f>
        <v>0</v>
      </c>
      <c r="W32" s="36">
        <f t="shared" si="46"/>
        <v>40</v>
      </c>
      <c r="X32" s="36"/>
      <c r="Y32" s="36"/>
      <c r="Z32" s="36">
        <f t="shared" si="47"/>
        <v>0.19974</v>
      </c>
      <c r="AA32" s="36">
        <f t="shared" si="48"/>
        <v>0</v>
      </c>
      <c r="AB32" s="36">
        <f t="shared" si="49"/>
        <v>2.1078000000000001</v>
      </c>
      <c r="AC32" s="36"/>
      <c r="AD32" s="36"/>
      <c r="AE32" s="36">
        <f t="shared" si="63"/>
        <v>544.00290000000007</v>
      </c>
      <c r="AF32" s="36">
        <f t="shared" si="50"/>
        <v>0</v>
      </c>
      <c r="AG32" s="57">
        <f>SUMIFS(Adjustments!H$5:H$557,Adjustments!$B$5:$B$557,'Mar16-Aug16 Billed-RETAIL'!$D32,Adjustments!$C$5:$C$557,'Mar16-Aug16 Billed-RETAIL'!$E32)</f>
        <v>0</v>
      </c>
      <c r="AH32" s="57">
        <f>SUMIFS(Adjustments!I$5:I$557,Adjustments!$B$5:$B$557,'Mar16-Aug16 Billed-RETAIL'!$D32,Adjustments!$C$5:$C$557,'Mar16-Aug16 Billed-RETAIL'!$E32)</f>
        <v>0</v>
      </c>
      <c r="AI32" s="48">
        <f>SUMIFS(Adjustments!J$5:J$557,Adjustments!$B$5:$B$557,'Mar16-Aug16 Billed-RETAIL'!$D32,Adjustments!$C$5:$C$557,'Mar16-Aug16 Billed-RETAIL'!$E32)</f>
        <v>0</v>
      </c>
      <c r="AJ32" s="48">
        <f>SUMIFS(Adjustments!K$5:K$557,Adjustments!$B$5:$B$557,'Mar16-Aug16 Billed-RETAIL'!$D32,Adjustments!$C$5:$C$557,'Mar16-Aug16 Billed-RETAIL'!$E32)</f>
        <v>0</v>
      </c>
      <c r="AK32" s="48">
        <f>SUMIFS(Adjustments!L$5:L$557,Adjustments!$B$5:$B$557,'Mar16-Aug16 Billed-RETAIL'!$D32,Adjustments!$C$5:$C$557,'Mar16-Aug16 Billed-RETAIL'!$E32)</f>
        <v>0</v>
      </c>
      <c r="AL32" s="48">
        <f>SUMIFS(Adjustments!M$5:M$557,Adjustments!$B$5:$B$557,'Mar16-Aug16 Billed-RETAIL'!$D32,Adjustments!$C$5:$C$557,'Mar16-Aug16 Billed-RETAIL'!$E32)</f>
        <v>0</v>
      </c>
      <c r="AM32" s="48">
        <f>SUMIFS(Adjustments!N$5:N$557,Adjustments!$B$5:$B$557,'Mar16-Aug16 Billed-RETAIL'!$D32,Adjustments!$C$5:$C$557,'Mar16-Aug16 Billed-RETAIL'!$E32)</f>
        <v>0</v>
      </c>
      <c r="AN32" s="48">
        <f>SUMIFS(Adjustments!O$5:O$557,Adjustments!$B$5:$B$557,'Mar16-Aug16 Billed-RETAIL'!$D32,Adjustments!$C$5:$C$557,'Mar16-Aug16 Billed-RETAIL'!$E32)</f>
        <v>0</v>
      </c>
      <c r="AO32" s="48">
        <f>SUMIFS(Adjustments!P$5:P$557,Adjustments!$B$5:$B$557,'Mar16-Aug16 Billed-RETAIL'!$D32,Adjustments!$C$5:$C$557,'Mar16-Aug16 Billed-RETAIL'!$E32)</f>
        <v>0</v>
      </c>
      <c r="AP32" s="36">
        <f t="shared" si="51"/>
        <v>40</v>
      </c>
      <c r="AQ32" s="36">
        <f t="shared" si="52"/>
        <v>0</v>
      </c>
      <c r="AR32" s="36">
        <f t="shared" si="53"/>
        <v>0.19974</v>
      </c>
      <c r="AS32" s="36">
        <f t="shared" si="54"/>
        <v>0</v>
      </c>
      <c r="AT32" s="43">
        <f>SUMIFS('SBR Mar16 - Aug16'!$O$16:$O$475,'SBR Mar16 - Aug16'!$A$16:$A$475,'Mar16-Aug16 Billed-RETAIL'!$D32,'SBR Mar16 - Aug16'!$C$16:$C$475,'Mar16-Aug16 Billed-RETAIL'!$E32)</f>
        <v>2.06</v>
      </c>
      <c r="AU32" s="43">
        <f>SUMIFS('SBR Mar16 - Aug16'!$N$16:$N$475,'SBR Mar16 - Aug16'!$A$16:$A$475,'Mar16-Aug16 Billed-RETAIL'!$D32,'SBR Mar16 - Aug16'!$C$16:$C$475,'Mar16-Aug16 Billed-RETAIL'!$E32)</f>
        <v>0</v>
      </c>
      <c r="AV32" s="43">
        <f>SUMIFS('SBR Mar16 - Aug16'!$Y$16:$Y$475,'SBR Mar16 - Aug16'!$A$16:$A$475,'Mar16-Aug16 Billed-RETAIL'!$D32,'SBR Mar16 - Aug16'!$C$16:$C$475,'Mar16-Aug16 Billed-RETAIL'!$E32)</f>
        <v>0</v>
      </c>
      <c r="AW32" s="43">
        <f>SUMIFS('SBR Mar16 - Aug16'!$X$16:$X$475,'SBR Mar16 - Aug16'!$A$16:$A$475,'Mar16-Aug16 Billed-RETAIL'!$D32,'SBR Mar16 - Aug16'!$C$16:$C$475,'Mar16-Aug16 Billed-RETAIL'!$E32)</f>
        <v>0</v>
      </c>
      <c r="AX32" s="36">
        <f t="shared" si="55"/>
        <v>544.00290000000007</v>
      </c>
      <c r="AY32" s="36"/>
      <c r="AZ32" s="43">
        <f t="shared" si="56"/>
        <v>586.26</v>
      </c>
      <c r="BA32" s="43">
        <f t="shared" si="64"/>
        <v>586.26</v>
      </c>
      <c r="BB32" s="44">
        <f t="shared" si="57"/>
        <v>1</v>
      </c>
      <c r="BC32" s="43">
        <f>SUMIFS('SBR Mar16 - Aug16'!$N$16:$N$475,'SBR Mar16 - Aug16'!$A$16:$A$475,'Mar16-Aug16 Billed-RETAIL'!$D32,'SBR Mar16 - Aug16'!$C$16:$C$475,'Mar16-Aug16 Billed-RETAIL'!$E32)</f>
        <v>0</v>
      </c>
      <c r="BD32" s="43">
        <f>SUMIFS('SBR Mar16 - Aug16'!$O$16:$O$475,'SBR Mar16 - Aug16'!$A$16:$A$475,'Mar16-Aug16 Billed-RETAIL'!$D32,'SBR Mar16 - Aug16'!$C$16:$C$475,'Mar16-Aug16 Billed-RETAIL'!$E32)</f>
        <v>2.06</v>
      </c>
      <c r="BE32" s="43">
        <f>SUMIFS('SBR Mar16 - Aug16'!$Y$16:$Y$475,'SBR Mar16 - Aug16'!$A$16:$A$475,'Mar16-Aug16 Billed-RETAIL'!$D32,'SBR Mar16 - Aug16'!$C$16:$C$475,'Mar16-Aug16 Billed-RETAIL'!$E32)</f>
        <v>0</v>
      </c>
      <c r="BF32" s="43">
        <f>SUMIFS('SBR Mar16 - Aug16'!$AB$16:$AB$475,'SBR Mar16 - Aug16'!$A$16:$A$475,'Mar16-Aug16 Billed-RETAIL'!$D32,'SBR Mar16 - Aug16'!$C$16:$C$475,'Mar16-Aug16 Billed-RETAIL'!$E32)</f>
        <v>0</v>
      </c>
      <c r="BG32" s="43">
        <f>SUMIFS('SBR Mar16 - Aug16'!$G$16:$G$475,'SBR Mar16 - Aug16'!$A$16:$A$475,'Mar16-Aug16 Billed-RETAIL'!$D32,'SBR Mar16 - Aug16'!$C$16:$C$475,'Mar16-Aug16 Billed-RETAIL'!$E32)</f>
        <v>40</v>
      </c>
      <c r="BH32" s="43">
        <f>SUMIFS('SBR Mar16 - Aug16'!$I$16:$I$475,'SBR Mar16 - Aug16'!$A$16:$A$475,'Mar16-Aug16 Billed-RETAIL'!$D32,'SBR Mar16 - Aug16'!$C$16:$C$475,'Mar16-Aug16 Billed-RETAIL'!$E32)</f>
        <v>0.2</v>
      </c>
      <c r="BI32" s="43">
        <f>SUMIFS('SBR Mar16 - Aug16'!$H$16:$H$475,'SBR Mar16 - Aug16'!$A$16:$A$475,'Mar16-Aug16 Billed-RETAIL'!$D32,'SBR Mar16 - Aug16'!$C$16:$C$475,'Mar16-Aug16 Billed-RETAIL'!$E32)</f>
        <v>544</v>
      </c>
      <c r="BJ32" s="43">
        <f>SUMIFS('SBR Mar16 - Aug16'!$X$16:$X$475,'SBR Mar16 - Aug16'!$A$16:$A$475,'Mar16-Aug16 Billed-RETAIL'!$D32,'SBR Mar16 - Aug16'!$C$16:$C$475,'Mar16-Aug16 Billed-RETAIL'!$E32)</f>
        <v>0</v>
      </c>
      <c r="BL32" s="51">
        <f t="shared" si="58"/>
        <v>0</v>
      </c>
      <c r="BN32" s="58">
        <f t="shared" si="59"/>
        <v>0</v>
      </c>
      <c r="BO32" s="58">
        <f t="shared" si="60"/>
        <v>-2.6000000000001022E-4</v>
      </c>
      <c r="BP32" s="58">
        <f t="shared" si="61"/>
        <v>0</v>
      </c>
    </row>
    <row r="33" spans="3:68" ht="15" customHeight="1" x14ac:dyDescent="0.25">
      <c r="C33" s="14">
        <f t="shared" si="65"/>
        <v>25</v>
      </c>
      <c r="D33" s="604">
        <f t="shared" si="66"/>
        <v>42491</v>
      </c>
      <c r="E33" s="604" t="str">
        <f>+'Retail Rates'!$B$26</f>
        <v>LGING855</v>
      </c>
      <c r="F33" s="14" t="str">
        <f t="shared" si="62"/>
        <v>855</v>
      </c>
      <c r="G33" s="14" t="s">
        <v>118</v>
      </c>
      <c r="H33" s="33"/>
      <c r="I33" s="33">
        <f>SUMIFS(Adjustments!F$5:F$362,Adjustments!$B$5:$B$362,'Mar16-Aug16 Billed-RETAIL'!$D33,Adjustments!$C$5:$C$362,'Mar16-Aug16 Billed-RETAIL'!$E33)</f>
        <v>115</v>
      </c>
      <c r="J33" s="33">
        <f>SUMIFS(Adjustments!G$5:G$362,Adjustments!$B$5:$B$362,'Mar16-Aug16 Billed-RETAIL'!$D33,Adjustments!$C$5:$C$362,'Mar16-Aug16 Billed-RETAIL'!$E33)</f>
        <v>107</v>
      </c>
      <c r="K33" s="33">
        <f>SUMIFS('Data-Retail'!$I$4:$I$1000,'Data-Retail'!$A$4:$A$1000,'Mar16-Aug16 Billed-RETAIL'!$D33,'Data-Retail'!$D$4:$D$1000,'Mar16-Aug16 Billed-RETAIL'!$E33)</f>
        <v>106582</v>
      </c>
      <c r="L33" s="33">
        <f>SUMIFS('Data-Retail'!$J$4:$J$1000,'Data-Retail'!$A$4:$A$1000,'Mar16-Aug16 Billed-RETAIL'!$D33,'Data-Retail'!$D$4:$D$1000,'Mar16-Aug16 Billed-RETAIL'!$E33)</f>
        <v>665786</v>
      </c>
      <c r="M33" s="33"/>
      <c r="N33" s="34">
        <f>VLOOKUP($E33,'Retail Rates'!$B$7:$L$34,5,FALSE)</f>
        <v>40</v>
      </c>
      <c r="O33" s="34">
        <f>VLOOKUP($E33,'Retail Rates'!$B$7:$L$34,6,FALSE)</f>
        <v>180</v>
      </c>
      <c r="P33" s="35">
        <f>VLOOKUP($E33,'Retail Rates'!$B$7:$L$34,7,FALSE)</f>
        <v>0.22778999999999999</v>
      </c>
      <c r="Q33" s="35">
        <f>VLOOKUP($E33,'Retail Rates'!$B$7:$L$34,8,FALSE)</f>
        <v>0.17779</v>
      </c>
      <c r="R33" s="35">
        <f>VLOOKUP($D33,'GSC-DSM-GLT Factors'!$A$1:$B$60,2,FALSE)</f>
        <v>0.3513</v>
      </c>
      <c r="S33" s="34">
        <f>VLOOKUP($E33,'Retail Rates'!$B$7:$L$34,9,FALSE)</f>
        <v>0</v>
      </c>
      <c r="T33" s="35">
        <f>VLOOKUP($E33,'Retail Rates'!$B$7:$L$34,10,FALSE)</f>
        <v>0</v>
      </c>
      <c r="U33" s="34">
        <f>VLOOKUP($E33,'Retail Rates'!$B$7:$L$34,11,FALSE)</f>
        <v>0</v>
      </c>
      <c r="V33" s="556">
        <f>VLOOKUP($D33,'GSC-DSM-GLT Factors'!$A$1:$O$60,13,FALSE)</f>
        <v>259.54000000000002</v>
      </c>
      <c r="W33" s="36">
        <f t="shared" si="46"/>
        <v>4600</v>
      </c>
      <c r="X33" s="36"/>
      <c r="Y33" s="36">
        <f t="shared" ref="Y33:AA34" si="67">+J33*O33</f>
        <v>19260</v>
      </c>
      <c r="Z33" s="36">
        <f t="shared" si="67"/>
        <v>24278.31378</v>
      </c>
      <c r="AA33" s="36">
        <f t="shared" si="67"/>
        <v>118370.09294</v>
      </c>
      <c r="AB33" s="36">
        <f t="shared" si="49"/>
        <v>271332.87839999999</v>
      </c>
      <c r="AC33" s="36"/>
      <c r="AD33" s="36"/>
      <c r="AE33" s="36">
        <f t="shared" si="63"/>
        <v>0</v>
      </c>
      <c r="AF33" s="36">
        <f>(+I33*V33)+(J33*V33)</f>
        <v>57617.880000000005</v>
      </c>
      <c r="AG33" s="57">
        <f>SUMIFS(Adjustments!H$5:H$557,Adjustments!$B$5:$B$557,'Mar16-Aug16 Billed-RETAIL'!$D33,Adjustments!$C$5:$C$557,'Mar16-Aug16 Billed-RETAIL'!$E33)</f>
        <v>0</v>
      </c>
      <c r="AH33" s="57">
        <f>SUMIFS(Adjustments!I$5:I$557,Adjustments!$B$5:$B$557,'Mar16-Aug16 Billed-RETAIL'!$D33,Adjustments!$C$5:$C$557,'Mar16-Aug16 Billed-RETAIL'!$E33)</f>
        <v>0</v>
      </c>
      <c r="AI33" s="48">
        <f>SUMIFS(Adjustments!J$5:J$557,Adjustments!$B$5:$B$557,'Mar16-Aug16 Billed-RETAIL'!$D33,Adjustments!$C$5:$C$557,'Mar16-Aug16 Billed-RETAIL'!$E33)</f>
        <v>0.19</v>
      </c>
      <c r="AJ33" s="48">
        <f>SUMIFS(Adjustments!K$5:K$557,Adjustments!$B$5:$B$557,'Mar16-Aug16 Billed-RETAIL'!$D33,Adjustments!$C$5:$C$557,'Mar16-Aug16 Billed-RETAIL'!$E33)</f>
        <v>-0.44</v>
      </c>
      <c r="AK33" s="48">
        <f>SUMIFS(Adjustments!L$5:L$557,Adjustments!$B$5:$B$557,'Mar16-Aug16 Billed-RETAIL'!$D33,Adjustments!$C$5:$C$557,'Mar16-Aug16 Billed-RETAIL'!$E33)</f>
        <v>0.03</v>
      </c>
      <c r="AL33" s="48">
        <f>SUMIFS(Adjustments!M$5:M$557,Adjustments!$B$5:$B$557,'Mar16-Aug16 Billed-RETAIL'!$D33,Adjustments!$C$5:$C$557,'Mar16-Aug16 Billed-RETAIL'!$E33)</f>
        <v>0</v>
      </c>
      <c r="AM33" s="48">
        <f>SUMIFS(Adjustments!N$5:N$557,Adjustments!$B$5:$B$557,'Mar16-Aug16 Billed-RETAIL'!$D33,Adjustments!$C$5:$C$557,'Mar16-Aug16 Billed-RETAIL'!$E33)</f>
        <v>0</v>
      </c>
      <c r="AN33" s="48">
        <f>SUMIFS(Adjustments!O$5:O$557,Adjustments!$B$5:$B$557,'Mar16-Aug16 Billed-RETAIL'!$D33,Adjustments!$C$5:$C$557,'Mar16-Aug16 Billed-RETAIL'!$E33)</f>
        <v>0</v>
      </c>
      <c r="AO33" s="48">
        <f>SUMIFS(Adjustments!P$5:P$557,Adjustments!$B$5:$B$557,'Mar16-Aug16 Billed-RETAIL'!$D33,Adjustments!$C$5:$C$557,'Mar16-Aug16 Billed-RETAIL'!$E33)</f>
        <v>0</v>
      </c>
      <c r="AP33" s="36">
        <f t="shared" si="51"/>
        <v>4600.1899999999996</v>
      </c>
      <c r="AQ33" s="36">
        <f t="shared" si="52"/>
        <v>19259.560000000001</v>
      </c>
      <c r="AR33" s="36">
        <f t="shared" si="53"/>
        <v>24278.343779999999</v>
      </c>
      <c r="AS33" s="36">
        <f t="shared" si="54"/>
        <v>118370.09294</v>
      </c>
      <c r="AT33" s="43">
        <f>SUMIFS('SBR Mar16 - Aug16'!$O$16:$O$475,'SBR Mar16 - Aug16'!$A$16:$A$475,'Mar16-Aug16 Billed-RETAIL'!$D33,'SBR Mar16 - Aug16'!$C$16:$C$475,'Mar16-Aug16 Billed-RETAIL'!$E33)</f>
        <v>259081.93</v>
      </c>
      <c r="AU33" s="43">
        <f>SUMIFS('SBR Mar16 - Aug16'!$N$16:$N$475,'SBR Mar16 - Aug16'!$A$16:$A$475,'Mar16-Aug16 Billed-RETAIL'!$D33,'SBR Mar16 - Aug16'!$C$16:$C$475,'Mar16-Aug16 Billed-RETAIL'!$E33)</f>
        <v>0</v>
      </c>
      <c r="AV33" s="43">
        <f>SUMIFS('SBR Mar16 - Aug16'!$Y$16:$Y$475,'SBR Mar16 - Aug16'!$A$16:$A$475,'Mar16-Aug16 Billed-RETAIL'!$D33,'SBR Mar16 - Aug16'!$C$16:$C$475,'Mar16-Aug16 Billed-RETAIL'!$E33)</f>
        <v>0</v>
      </c>
      <c r="AW33" s="43">
        <f>SUMIFS('SBR Mar16 - Aug16'!$X$16:$X$475,'SBR Mar16 - Aug16'!$A$16:$A$475,'Mar16-Aug16 Billed-RETAIL'!$D33,'SBR Mar16 - Aug16'!$C$16:$C$475,'Mar16-Aug16 Billed-RETAIL'!$E33)</f>
        <v>56265.75</v>
      </c>
      <c r="AX33" s="36">
        <f t="shared" si="55"/>
        <v>0</v>
      </c>
      <c r="AY33" s="36"/>
      <c r="AZ33" s="43">
        <f t="shared" si="56"/>
        <v>481855.87</v>
      </c>
      <c r="BA33" s="43">
        <f t="shared" si="64"/>
        <v>481855.86</v>
      </c>
      <c r="BB33" s="44">
        <f t="shared" si="57"/>
        <v>1</v>
      </c>
      <c r="BC33" s="43">
        <f>SUMIFS('SBR Mar16 - Aug16'!$N$16:$N$475,'SBR Mar16 - Aug16'!$A$16:$A$475,'Mar16-Aug16 Billed-RETAIL'!$D33,'SBR Mar16 - Aug16'!$C$16:$C$475,'Mar16-Aug16 Billed-RETAIL'!$E33)</f>
        <v>0</v>
      </c>
      <c r="BD33" s="43">
        <f>SUMIFS('SBR Mar16 - Aug16'!$O$16:$O$475,'SBR Mar16 - Aug16'!$A$16:$A$475,'Mar16-Aug16 Billed-RETAIL'!$D33,'SBR Mar16 - Aug16'!$C$16:$C$475,'Mar16-Aug16 Billed-RETAIL'!$E33)</f>
        <v>259081.93</v>
      </c>
      <c r="BE33" s="43">
        <f>SUMIFS('SBR Mar16 - Aug16'!$Y$16:$Y$475,'SBR Mar16 - Aug16'!$A$16:$A$475,'Mar16-Aug16 Billed-RETAIL'!$D33,'SBR Mar16 - Aug16'!$C$16:$C$475,'Mar16-Aug16 Billed-RETAIL'!$E33)</f>
        <v>0</v>
      </c>
      <c r="BF33" s="43">
        <f>SUMIFS('SBR Mar16 - Aug16'!$AB$16:$AB$475,'SBR Mar16 - Aug16'!$A$16:$A$475,'Mar16-Aug16 Billed-RETAIL'!$D33,'SBR Mar16 - Aug16'!$C$16:$C$475,'Mar16-Aug16 Billed-RETAIL'!$E33)</f>
        <v>0</v>
      </c>
      <c r="BG33" s="43">
        <f>SUMIFS('SBR Mar16 - Aug16'!$G$16:$G$475,'SBR Mar16 - Aug16'!$A$16:$A$475,'Mar16-Aug16 Billed-RETAIL'!$D33,'SBR Mar16 - Aug16'!$C$16:$C$475,'Mar16-Aug16 Billed-RETAIL'!$E33)</f>
        <v>23859.75</v>
      </c>
      <c r="BH33" s="43">
        <f>SUMIFS('SBR Mar16 - Aug16'!$I$16:$I$475,'SBR Mar16 - Aug16'!$A$16:$A$475,'Mar16-Aug16 Billed-RETAIL'!$D33,'SBR Mar16 - Aug16'!$C$16:$C$475,'Mar16-Aug16 Billed-RETAIL'!$E33)</f>
        <v>142648.43</v>
      </c>
      <c r="BI33" s="43">
        <f>SUMIFS('SBR Mar16 - Aug16'!$H$16:$H$475,'SBR Mar16 - Aug16'!$A$16:$A$475,'Mar16-Aug16 Billed-RETAIL'!$D33,'SBR Mar16 - Aug16'!$C$16:$C$475,'Mar16-Aug16 Billed-RETAIL'!$E33)</f>
        <v>0</v>
      </c>
      <c r="BJ33" s="43">
        <f>SUMIFS('SBR Mar16 - Aug16'!$X$16:$X$475,'SBR Mar16 - Aug16'!$A$16:$A$475,'Mar16-Aug16 Billed-RETAIL'!$D33,'SBR Mar16 - Aug16'!$C$16:$C$475,'Mar16-Aug16 Billed-RETAIL'!$E33)</f>
        <v>56265.75</v>
      </c>
      <c r="BL33" s="51">
        <f t="shared" si="58"/>
        <v>1.0000000009313226E-2</v>
      </c>
      <c r="BN33" s="58">
        <f t="shared" si="59"/>
        <v>0</v>
      </c>
      <c r="BO33" s="58">
        <f t="shared" si="60"/>
        <v>6.7200000048615038E-3</v>
      </c>
      <c r="BP33" s="58">
        <f t="shared" si="61"/>
        <v>0</v>
      </c>
    </row>
    <row r="34" spans="3:68" ht="15" customHeight="1" x14ac:dyDescent="0.25">
      <c r="C34" s="14">
        <f t="shared" si="65"/>
        <v>26</v>
      </c>
      <c r="D34" s="604">
        <f t="shared" si="66"/>
        <v>42491</v>
      </c>
      <c r="E34" s="604" t="str">
        <f>+'Retail Rates'!$B$27</f>
        <v>LGING855DS</v>
      </c>
      <c r="F34" s="14" t="str">
        <f>MID(E34,6,3)</f>
        <v>855</v>
      </c>
      <c r="G34" s="14" t="str">
        <f>VLOOKUP(E34,'Retail Rates'!$B$7:$D$34,3,FALSE)</f>
        <v>IGS</v>
      </c>
      <c r="H34" s="33"/>
      <c r="I34" s="33">
        <f>SUMIFS(Adjustments!F$5:F$362,Adjustments!$B$5:$B$362,'Mar16-Aug16 Billed-RETAIL'!$D34,Adjustments!$C$5:$C$362,'Mar16-Aug16 Billed-RETAIL'!$E34)</f>
        <v>11</v>
      </c>
      <c r="J34" s="33">
        <f>SUMIFS(Adjustments!G$5:G$362,Adjustments!$B$5:$B$362,'Mar16-Aug16 Billed-RETAIL'!$D34,Adjustments!$C$5:$C$362,'Mar16-Aug16 Billed-RETAIL'!$E34)</f>
        <v>5</v>
      </c>
      <c r="K34" s="33">
        <f>SUMIFS('Data-Retail'!$I$4:$I$1000,'Data-Retail'!$A$4:$A$1000,'Mar16-Aug16 Billed-RETAIL'!$D34,'Data-Retail'!$D$4:$D$1000,'Mar16-Aug16 Billed-RETAIL'!$E34)</f>
        <v>4728</v>
      </c>
      <c r="L34" s="33">
        <f>SUMIFS('Data-Retail'!$J$4:$J$1000,'Data-Retail'!$A$4:$A$1000,'Mar16-Aug16 Billed-RETAIL'!$D34,'Data-Retail'!$D$4:$D$1000,'Mar16-Aug16 Billed-RETAIL'!$E34)</f>
        <v>51119</v>
      </c>
      <c r="M34" s="33"/>
      <c r="N34" s="34">
        <f>VLOOKUP($E34,'Retail Rates'!$B$7:$L$34,5,FALSE)</f>
        <v>40</v>
      </c>
      <c r="O34" s="34">
        <f>VLOOKUP($E34,'Retail Rates'!$B$7:$L$34,6,FALSE)</f>
        <v>180</v>
      </c>
      <c r="P34" s="35">
        <f>VLOOKUP($E34,'Retail Rates'!$B$7:$L$34,7,FALSE)</f>
        <v>0.22778999999999999</v>
      </c>
      <c r="Q34" s="35">
        <f>VLOOKUP($E34,'Retail Rates'!$B$7:$L$34,8,FALSE)</f>
        <v>0.17779</v>
      </c>
      <c r="R34" s="35">
        <f>VLOOKUP($D34,'GSC-DSM-GLT Factors'!$A$1:$B$60,2,FALSE)</f>
        <v>0.3513</v>
      </c>
      <c r="S34" s="34">
        <f>VLOOKUP($E34,'Retail Rates'!$B$7:$L$34,9,FALSE)</f>
        <v>0</v>
      </c>
      <c r="T34" s="35">
        <f>VLOOKUP($E34,'Retail Rates'!$B$7:$L$34,10,FALSE)</f>
        <v>0</v>
      </c>
      <c r="U34" s="34">
        <f>VLOOKUP($E34,'Retail Rates'!$B$7:$L$34,11,FALSE)</f>
        <v>0</v>
      </c>
      <c r="V34" s="556">
        <f>VLOOKUP($D34,'GSC-DSM-GLT Factors'!$A$1:$O$60,13,FALSE)</f>
        <v>259.54000000000002</v>
      </c>
      <c r="W34" s="36">
        <f>(+H34*N34)+(I34*N34)</f>
        <v>440</v>
      </c>
      <c r="X34" s="36"/>
      <c r="Y34" s="36">
        <f t="shared" si="67"/>
        <v>900</v>
      </c>
      <c r="Z34" s="36">
        <f t="shared" si="67"/>
        <v>1076.9911199999999</v>
      </c>
      <c r="AA34" s="36">
        <f t="shared" si="67"/>
        <v>9088.4470099999999</v>
      </c>
      <c r="AB34" s="36">
        <f>SUM(K34:L34)*R34</f>
        <v>19619.051100000001</v>
      </c>
      <c r="AC34" s="36"/>
      <c r="AD34" s="36"/>
      <c r="AE34" s="36">
        <f>M34*U34</f>
        <v>0</v>
      </c>
      <c r="AF34" s="36">
        <f>(+I34*V34)+(J34*V34)</f>
        <v>4152.6400000000003</v>
      </c>
      <c r="AG34" s="57">
        <f>SUMIFS(Adjustments!H$5:H$557,Adjustments!$B$5:$B$557,'Mar16-Aug16 Billed-RETAIL'!$D34,Adjustments!$C$5:$C$557,'Mar16-Aug16 Billed-RETAIL'!$E34)</f>
        <v>0</v>
      </c>
      <c r="AH34" s="57">
        <f>SUMIFS(Adjustments!I$5:I$557,Adjustments!$B$5:$B$557,'Mar16-Aug16 Billed-RETAIL'!$D34,Adjustments!$C$5:$C$557,'Mar16-Aug16 Billed-RETAIL'!$E34)</f>
        <v>0</v>
      </c>
      <c r="AI34" s="48">
        <f>SUMIFS(Adjustments!J$5:J$557,Adjustments!$B$5:$B$557,'Mar16-Aug16 Billed-RETAIL'!$D34,Adjustments!$C$5:$C$557,'Mar16-Aug16 Billed-RETAIL'!$E34)</f>
        <v>0.02</v>
      </c>
      <c r="AJ34" s="48">
        <f>SUMIFS(Adjustments!K$5:K$557,Adjustments!$B$5:$B$557,'Mar16-Aug16 Billed-RETAIL'!$D34,Adjustments!$C$5:$C$557,'Mar16-Aug16 Billed-RETAIL'!$E34)</f>
        <v>0</v>
      </c>
      <c r="AK34" s="48">
        <f>SUMIFS(Adjustments!L$5:L$557,Adjustments!$B$5:$B$557,'Mar16-Aug16 Billed-RETAIL'!$D34,Adjustments!$C$5:$C$557,'Mar16-Aug16 Billed-RETAIL'!$E34)</f>
        <v>0</v>
      </c>
      <c r="AL34" s="48">
        <f>SUMIFS(Adjustments!M$5:M$557,Adjustments!$B$5:$B$557,'Mar16-Aug16 Billed-RETAIL'!$D34,Adjustments!$C$5:$C$557,'Mar16-Aug16 Billed-RETAIL'!$E34)</f>
        <v>0</v>
      </c>
      <c r="AM34" s="48">
        <f>SUMIFS(Adjustments!N$5:N$557,Adjustments!$B$5:$B$557,'Mar16-Aug16 Billed-RETAIL'!$D34,Adjustments!$C$5:$C$557,'Mar16-Aug16 Billed-RETAIL'!$E34)</f>
        <v>0</v>
      </c>
      <c r="AN34" s="48">
        <f>SUMIFS(Adjustments!O$5:O$557,Adjustments!$B$5:$B$557,'Mar16-Aug16 Billed-RETAIL'!$D34,Adjustments!$C$5:$C$557,'Mar16-Aug16 Billed-RETAIL'!$E34)</f>
        <v>0</v>
      </c>
      <c r="AO34" s="48">
        <f>SUMIFS(Adjustments!P$5:P$557,Adjustments!$B$5:$B$557,'Mar16-Aug16 Billed-RETAIL'!$D34,Adjustments!$C$5:$C$557,'Mar16-Aug16 Billed-RETAIL'!$E34)</f>
        <v>0</v>
      </c>
      <c r="AP34" s="36">
        <f>+W34+AI34+(AG34*N34)</f>
        <v>440.02</v>
      </c>
      <c r="AQ34" s="36">
        <f>+Y34+AJ34</f>
        <v>900</v>
      </c>
      <c r="AR34" s="36">
        <f>+Z34+AK34</f>
        <v>1076.9911199999999</v>
      </c>
      <c r="AS34" s="36">
        <f>+AA34+AL34</f>
        <v>9088.4470099999999</v>
      </c>
      <c r="AT34" s="43">
        <f>SUMIFS('SBR Mar16 - Aug16'!$O$16:$O$475,'SBR Mar16 - Aug16'!$A$16:$A$475,'Mar16-Aug16 Billed-RETAIL'!$D34,'SBR Mar16 - Aug16'!$C$16:$C$475,'Mar16-Aug16 Billed-RETAIL'!$E34)</f>
        <v>19524.919999999998</v>
      </c>
      <c r="AU34" s="43">
        <f>SUMIFS('SBR Mar16 - Aug16'!$N$16:$N$475,'SBR Mar16 - Aug16'!$A$16:$A$475,'Mar16-Aug16 Billed-RETAIL'!$D34,'SBR Mar16 - Aug16'!$C$16:$C$475,'Mar16-Aug16 Billed-RETAIL'!$E34)</f>
        <v>0</v>
      </c>
      <c r="AV34" s="43">
        <f>SUMIFS('SBR Mar16 - Aug16'!$Y$16:$Y$475,'SBR Mar16 - Aug16'!$A$16:$A$475,'Mar16-Aug16 Billed-RETAIL'!$D34,'SBR Mar16 - Aug16'!$C$16:$C$475,'Mar16-Aug16 Billed-RETAIL'!$E34)</f>
        <v>0</v>
      </c>
      <c r="AW34" s="43">
        <f>SUMIFS('SBR Mar16 - Aug16'!$X$16:$X$475,'SBR Mar16 - Aug16'!$A$16:$A$475,'Mar16-Aug16 Billed-RETAIL'!$D34,'SBR Mar16 - Aug16'!$C$16:$C$475,'Mar16-Aug16 Billed-RETAIL'!$E34)</f>
        <v>4149.7299999999996</v>
      </c>
      <c r="AX34" s="36">
        <f>+AE34+AO34</f>
        <v>0</v>
      </c>
      <c r="AY34" s="36"/>
      <c r="AZ34" s="43">
        <f>ROUND(SUM(AP34:AY34),2)</f>
        <v>35180.11</v>
      </c>
      <c r="BA34" s="43">
        <f>SUM(BC34:BJ34)-BF34</f>
        <v>35180.11</v>
      </c>
      <c r="BB34" s="44">
        <f>IF(BA34=0,0,ROUND(BA34/AZ34,6))</f>
        <v>1</v>
      </c>
      <c r="BC34" s="43">
        <f>SUMIFS('SBR Mar16 - Aug16'!$N$16:$N$475,'SBR Mar16 - Aug16'!$A$16:$A$475,'Mar16-Aug16 Billed-RETAIL'!$D34,'SBR Mar16 - Aug16'!$C$16:$C$475,'Mar16-Aug16 Billed-RETAIL'!$E34)</f>
        <v>0</v>
      </c>
      <c r="BD34" s="43">
        <f>SUMIFS('SBR Mar16 - Aug16'!$O$16:$O$475,'SBR Mar16 - Aug16'!$A$16:$A$475,'Mar16-Aug16 Billed-RETAIL'!$D34,'SBR Mar16 - Aug16'!$C$16:$C$475,'Mar16-Aug16 Billed-RETAIL'!$E34)</f>
        <v>19524.919999999998</v>
      </c>
      <c r="BE34" s="43">
        <f>SUMIFS('SBR Mar16 - Aug16'!$Y$16:$Y$475,'SBR Mar16 - Aug16'!$A$16:$A$475,'Mar16-Aug16 Billed-RETAIL'!$D34,'SBR Mar16 - Aug16'!$C$16:$C$475,'Mar16-Aug16 Billed-RETAIL'!$E34)</f>
        <v>0</v>
      </c>
      <c r="BF34" s="43">
        <f>SUMIFS('SBR Mar16 - Aug16'!$AB$16:$AB$475,'SBR Mar16 - Aug16'!$A$16:$A$475,'Mar16-Aug16 Billed-RETAIL'!$D34,'SBR Mar16 - Aug16'!$C$16:$C$475,'Mar16-Aug16 Billed-RETAIL'!$E34)</f>
        <v>0</v>
      </c>
      <c r="BG34" s="43">
        <f>SUMIFS('SBR Mar16 - Aug16'!$G$16:$G$475,'SBR Mar16 - Aug16'!$A$16:$A$475,'Mar16-Aug16 Billed-RETAIL'!$D34,'SBR Mar16 - Aug16'!$C$16:$C$475,'Mar16-Aug16 Billed-RETAIL'!$E34)</f>
        <v>1340.02</v>
      </c>
      <c r="BH34" s="43">
        <f>SUMIFS('SBR Mar16 - Aug16'!$I$16:$I$475,'SBR Mar16 - Aug16'!$A$16:$A$475,'Mar16-Aug16 Billed-RETAIL'!$D34,'SBR Mar16 - Aug16'!$C$16:$C$475,'Mar16-Aug16 Billed-RETAIL'!$E34)</f>
        <v>10165.44</v>
      </c>
      <c r="BI34" s="43">
        <f>SUMIFS('SBR Mar16 - Aug16'!$H$16:$H$475,'SBR Mar16 - Aug16'!$A$16:$A$475,'Mar16-Aug16 Billed-RETAIL'!$D34,'SBR Mar16 - Aug16'!$C$16:$C$475,'Mar16-Aug16 Billed-RETAIL'!$E34)</f>
        <v>0</v>
      </c>
      <c r="BJ34" s="43">
        <f>SUMIFS('SBR Mar16 - Aug16'!$X$16:$X$475,'SBR Mar16 - Aug16'!$A$16:$A$475,'Mar16-Aug16 Billed-RETAIL'!$D34,'SBR Mar16 - Aug16'!$C$16:$C$475,'Mar16-Aug16 Billed-RETAIL'!$E34)</f>
        <v>4149.7299999999996</v>
      </c>
      <c r="BL34" s="51">
        <f>+AZ34-BA34</f>
        <v>0</v>
      </c>
      <c r="BN34" s="58">
        <f>+AP34+AQ34-BG34</f>
        <v>0</v>
      </c>
      <c r="BO34" s="58">
        <f>+AR34+AS34-BH34</f>
        <v>-1.870000000053551E-3</v>
      </c>
      <c r="BP34" s="58">
        <f>+AT34-BD34</f>
        <v>0</v>
      </c>
    </row>
    <row r="35" spans="3:68" ht="15" customHeight="1" x14ac:dyDescent="0.25">
      <c r="C35" s="14">
        <f t="shared" si="65"/>
        <v>27</v>
      </c>
      <c r="D35" s="604">
        <f t="shared" si="66"/>
        <v>42491</v>
      </c>
      <c r="E35" s="604" t="str">
        <f>+'Retail Rates'!$B$31</f>
        <v>LGRSG811</v>
      </c>
      <c r="F35" s="14" t="str">
        <f t="shared" si="62"/>
        <v>811</v>
      </c>
      <c r="G35" s="14" t="str">
        <f>VLOOKUP(E35,'Retail Rates'!$B$7:$D$34,3,FALSE)</f>
        <v>RGS</v>
      </c>
      <c r="H35" s="33">
        <f>SUMIFS('Data-Retail'!$H$4:$H$1000,'Data-Retail'!$A$4:$A$1000,'Mar16-Aug16 Billed-RETAIL'!$D35,'Data-Retail'!$D$4:$D$1000,'Mar16-Aug16 Billed-RETAIL'!$E35)</f>
        <v>297650</v>
      </c>
      <c r="I35" s="33"/>
      <c r="J35" s="33"/>
      <c r="K35" s="33">
        <f>SUMIFS('Data-Retail'!$I$4:$I$1000,'Data-Retail'!$A$4:$A$1000,'Mar16-Aug16 Billed-RETAIL'!$D35,'Data-Retail'!$D$4:$D$1000,'Mar16-Aug16 Billed-RETAIL'!$E35)</f>
        <v>7313646</v>
      </c>
      <c r="L35" s="33">
        <f>SUMIFS('Data-Retail'!$J$4:$J$1000,'Data-Retail'!$A$4:$A$1000,'Mar16-Aug16 Billed-RETAIL'!$D35,'Data-Retail'!$D$4:$D$1000,'Mar16-Aug16 Billed-RETAIL'!$E35)</f>
        <v>0</v>
      </c>
      <c r="M35" s="33"/>
      <c r="N35" s="34">
        <f>VLOOKUP($E35,'Retail Rates'!$B$7:$L$34,5,FALSE)</f>
        <v>13.5</v>
      </c>
      <c r="O35" s="34">
        <f>VLOOKUP($E35,'Retail Rates'!$B$7:$L$34,6,FALSE)</f>
        <v>0</v>
      </c>
      <c r="P35" s="35">
        <f>VLOOKUP($E35,'Retail Rates'!$B$7:$L$34,7,FALSE)</f>
        <v>0.28693000000000002</v>
      </c>
      <c r="Q35" s="35">
        <f>VLOOKUP($E35,'Retail Rates'!$B$7:$L$34,8,FALSE)</f>
        <v>0</v>
      </c>
      <c r="R35" s="35">
        <f>VLOOKUP($D35,'GSC-DSM-GLT Factors'!$A$1:$B$60,2,FALSE)</f>
        <v>0.3513</v>
      </c>
      <c r="S35" s="34">
        <f>VLOOKUP($E35,'Retail Rates'!$B$7:$L$34,9,FALSE)</f>
        <v>0</v>
      </c>
      <c r="T35" s="35">
        <f>VLOOKUP($E35,'Retail Rates'!$B$7:$L$34,10,FALSE)</f>
        <v>0</v>
      </c>
      <c r="U35" s="34">
        <f>VLOOKUP($E35,'Retail Rates'!$B$7:$L$34,11,FALSE)</f>
        <v>0</v>
      </c>
      <c r="V35" s="556">
        <f>VLOOKUP($D35,'GSC-DSM-GLT Factors'!$A$1:$O$60,10,FALSE)</f>
        <v>5.14</v>
      </c>
      <c r="W35" s="36">
        <f t="shared" si="46"/>
        <v>4018275</v>
      </c>
      <c r="X35" s="36"/>
      <c r="Y35" s="36"/>
      <c r="Z35" s="36">
        <f t="shared" ref="Z35:AA37" si="68">+K35*P35</f>
        <v>2098504.4467800003</v>
      </c>
      <c r="AA35" s="36">
        <f t="shared" si="68"/>
        <v>0</v>
      </c>
      <c r="AB35" s="36">
        <f t="shared" si="49"/>
        <v>2569283.8398000002</v>
      </c>
      <c r="AC35" s="36"/>
      <c r="AD35" s="36"/>
      <c r="AE35" s="36">
        <f t="shared" si="63"/>
        <v>0</v>
      </c>
      <c r="AF35" s="36">
        <f t="shared" si="50"/>
        <v>1529921</v>
      </c>
      <c r="AG35" s="57">
        <f>SUMIFS(Adjustments!H$5:H$557,Adjustments!$B$5:$B$557,'Mar16-Aug16 Billed-RETAIL'!$D35,Adjustments!$C$5:$C$557,'Mar16-Aug16 Billed-RETAIL'!$E35)</f>
        <v>-2302</v>
      </c>
      <c r="AH35" s="57">
        <f>SUMIFS(Adjustments!I$5:I$557,Adjustments!$B$5:$B$557,'Mar16-Aug16 Billed-RETAIL'!$D35,Adjustments!$C$5:$C$557,'Mar16-Aug16 Billed-RETAIL'!$E35)</f>
        <v>0</v>
      </c>
      <c r="AI35" s="48">
        <f>SUMIFS(Adjustments!J$5:J$557,Adjustments!$B$5:$B$557,'Mar16-Aug16 Billed-RETAIL'!$D35,Adjustments!$C$5:$C$557,'Mar16-Aug16 Billed-RETAIL'!$E35)</f>
        <v>-11.89</v>
      </c>
      <c r="AJ35" s="48">
        <f>SUMIFS(Adjustments!K$5:K$557,Adjustments!$B$5:$B$557,'Mar16-Aug16 Billed-RETAIL'!$D35,Adjustments!$C$5:$C$557,'Mar16-Aug16 Billed-RETAIL'!$E35)</f>
        <v>0</v>
      </c>
      <c r="AK35" s="48">
        <f>SUMIFS(Adjustments!L$5:L$557,Adjustments!$B$5:$B$557,'Mar16-Aug16 Billed-RETAIL'!$D35,Adjustments!$C$5:$C$557,'Mar16-Aug16 Billed-RETAIL'!$E35)</f>
        <v>-36.5</v>
      </c>
      <c r="AL35" s="48">
        <f>SUMIFS(Adjustments!M$5:M$557,Adjustments!$B$5:$B$557,'Mar16-Aug16 Billed-RETAIL'!$D35,Adjustments!$C$5:$C$557,'Mar16-Aug16 Billed-RETAIL'!$E35)</f>
        <v>0</v>
      </c>
      <c r="AM35" s="48">
        <f>SUMIFS(Adjustments!N$5:N$557,Adjustments!$B$5:$B$557,'Mar16-Aug16 Billed-RETAIL'!$D35,Adjustments!$C$5:$C$557,'Mar16-Aug16 Billed-RETAIL'!$E35)</f>
        <v>0</v>
      </c>
      <c r="AN35" s="48">
        <f>SUMIFS(Adjustments!O$5:O$557,Adjustments!$B$5:$B$557,'Mar16-Aug16 Billed-RETAIL'!$D35,Adjustments!$C$5:$C$557,'Mar16-Aug16 Billed-RETAIL'!$E35)</f>
        <v>0</v>
      </c>
      <c r="AO35" s="48">
        <f>SUMIFS(Adjustments!P$5:P$557,Adjustments!$B$5:$B$557,'Mar16-Aug16 Billed-RETAIL'!$D35,Adjustments!$C$5:$C$557,'Mar16-Aug16 Billed-RETAIL'!$E35)</f>
        <v>0</v>
      </c>
      <c r="AP35" s="36">
        <f t="shared" si="51"/>
        <v>3987186.11</v>
      </c>
      <c r="AQ35" s="36">
        <f t="shared" si="52"/>
        <v>0</v>
      </c>
      <c r="AR35" s="36">
        <f t="shared" si="53"/>
        <v>2098467.9467800003</v>
      </c>
      <c r="AS35" s="36">
        <f t="shared" si="54"/>
        <v>0</v>
      </c>
      <c r="AT35" s="43">
        <f>SUMIFS('SBR Mar16 - Aug16'!$O$16:$O$475,'SBR Mar16 - Aug16'!$A$16:$A$475,'Mar16-Aug16 Billed-RETAIL'!$D35,'SBR Mar16 - Aug16'!$C$16:$C$475,'Mar16-Aug16 Billed-RETAIL'!$E35)</f>
        <v>2463977.42</v>
      </c>
      <c r="AU35" s="43">
        <f>SUMIFS('SBR Mar16 - Aug16'!$N$16:$N$475,'SBR Mar16 - Aug16'!$A$16:$A$475,'Mar16-Aug16 Billed-RETAIL'!$D35,'SBR Mar16 - Aug16'!$C$16:$C$475,'Mar16-Aug16 Billed-RETAIL'!$E35)</f>
        <v>79350.929999999993</v>
      </c>
      <c r="AV35" s="43">
        <f>SUMIFS('SBR Mar16 - Aug16'!$Y$16:$Y$475,'SBR Mar16 - Aug16'!$A$16:$A$475,'Mar16-Aug16 Billed-RETAIL'!$D35,'SBR Mar16 - Aug16'!$C$16:$C$475,'Mar16-Aug16 Billed-RETAIL'!$E35)</f>
        <v>-4825.91</v>
      </c>
      <c r="AW35" s="43">
        <f>SUMIFS('SBR Mar16 - Aug16'!$X$16:$X$475,'SBR Mar16 - Aug16'!$A$16:$A$475,'Mar16-Aug16 Billed-RETAIL'!$D35,'SBR Mar16 - Aug16'!$C$16:$C$475,'Mar16-Aug16 Billed-RETAIL'!$E35)</f>
        <v>1480555.95</v>
      </c>
      <c r="AX35" s="36">
        <f t="shared" si="55"/>
        <v>0</v>
      </c>
      <c r="AY35" s="36"/>
      <c r="AZ35" s="43">
        <f t="shared" si="56"/>
        <v>10104712.449999999</v>
      </c>
      <c r="BA35" s="43">
        <f t="shared" si="64"/>
        <v>10104712.439999999</v>
      </c>
      <c r="BB35" s="44">
        <f t="shared" si="57"/>
        <v>1</v>
      </c>
      <c r="BC35" s="43">
        <f>SUMIFS('SBR Mar16 - Aug16'!$N$16:$N$475,'SBR Mar16 - Aug16'!$A$16:$A$475,'Mar16-Aug16 Billed-RETAIL'!$D35,'SBR Mar16 - Aug16'!$C$16:$C$475,'Mar16-Aug16 Billed-RETAIL'!$E35)</f>
        <v>79350.929999999993</v>
      </c>
      <c r="BD35" s="43">
        <f>SUMIFS('SBR Mar16 - Aug16'!$O$16:$O$475,'SBR Mar16 - Aug16'!$A$16:$A$475,'Mar16-Aug16 Billed-RETAIL'!$D35,'SBR Mar16 - Aug16'!$C$16:$C$475,'Mar16-Aug16 Billed-RETAIL'!$E35)</f>
        <v>2463977.42</v>
      </c>
      <c r="BE35" s="43">
        <f>SUMIFS('SBR Mar16 - Aug16'!$Y$16:$Y$475,'SBR Mar16 - Aug16'!$A$16:$A$475,'Mar16-Aug16 Billed-RETAIL'!$D35,'SBR Mar16 - Aug16'!$C$16:$C$475,'Mar16-Aug16 Billed-RETAIL'!$E35)</f>
        <v>-4825.91</v>
      </c>
      <c r="BF35" s="43">
        <f>SUMIFS('SBR Mar16 - Aug16'!$AB$16:$AB$475,'SBR Mar16 - Aug16'!$A$16:$A$475,'Mar16-Aug16 Billed-RETAIL'!$D35,'SBR Mar16 - Aug16'!$C$16:$C$475,'Mar16-Aug16 Billed-RETAIL'!$E35)</f>
        <v>74549</v>
      </c>
      <c r="BG35" s="43">
        <f>SUMIFS('SBR Mar16 - Aug16'!$G$16:$G$475,'SBR Mar16 - Aug16'!$A$16:$A$475,'Mar16-Aug16 Billed-RETAIL'!$D35,'SBR Mar16 - Aug16'!$C$16:$C$475,'Mar16-Aug16 Billed-RETAIL'!$E35)</f>
        <v>3987186.11</v>
      </c>
      <c r="BH35" s="43">
        <f>SUMIFS('SBR Mar16 - Aug16'!$I$16:$I$475,'SBR Mar16 - Aug16'!$A$16:$A$475,'Mar16-Aug16 Billed-RETAIL'!$D35,'SBR Mar16 - Aug16'!$C$16:$C$475,'Mar16-Aug16 Billed-RETAIL'!$E35)</f>
        <v>2098467.94</v>
      </c>
      <c r="BI35" s="43">
        <f>SUMIFS('SBR Mar16 - Aug16'!$H$16:$H$475,'SBR Mar16 - Aug16'!$A$16:$A$475,'Mar16-Aug16 Billed-RETAIL'!$D35,'SBR Mar16 - Aug16'!$C$16:$C$475,'Mar16-Aug16 Billed-RETAIL'!$E35)</f>
        <v>0</v>
      </c>
      <c r="BJ35" s="43">
        <f>SUMIFS('SBR Mar16 - Aug16'!$X$16:$X$475,'SBR Mar16 - Aug16'!$A$16:$A$475,'Mar16-Aug16 Billed-RETAIL'!$D35,'SBR Mar16 - Aug16'!$C$16:$C$475,'Mar16-Aug16 Billed-RETAIL'!$E35)</f>
        <v>1480555.95</v>
      </c>
      <c r="BL35" s="51">
        <f t="shared" si="58"/>
        <v>9.9999997764825821E-3</v>
      </c>
      <c r="BN35" s="58">
        <f t="shared" si="59"/>
        <v>0</v>
      </c>
      <c r="BO35" s="58">
        <f t="shared" si="60"/>
        <v>6.7800004035234451E-3</v>
      </c>
      <c r="BP35" s="58">
        <f t="shared" si="61"/>
        <v>0</v>
      </c>
    </row>
    <row r="36" spans="3:68" ht="15" customHeight="1" x14ac:dyDescent="0.25">
      <c r="C36" s="14">
        <f t="shared" si="65"/>
        <v>28</v>
      </c>
      <c r="D36" s="604">
        <f t="shared" si="66"/>
        <v>42491</v>
      </c>
      <c r="E36" s="604" t="str">
        <f>+'Retail Rates'!$B$19</f>
        <v>LGCMG851LT</v>
      </c>
      <c r="F36" s="14" t="str">
        <f t="shared" si="62"/>
        <v>851</v>
      </c>
      <c r="G36" s="14" t="str">
        <f>VLOOKUP(E36,'Retail Rates'!$B$7:$D$34,3,FALSE)</f>
        <v>CGS</v>
      </c>
      <c r="H36" s="33"/>
      <c r="I36" s="33">
        <f>SUMIFS('Data-Retail'!$H$4:$H$3368,'Data-Retail'!$A$4:$A$3368,'Mar16-Aug16 Billed-RETAIL'!$D36,'Data-Retail'!$D$4:$D$3368,'Mar16-Aug16 Billed-RETAIL'!$E36)</f>
        <v>1</v>
      </c>
      <c r="J36" s="33"/>
      <c r="K36" s="33">
        <f>SUMIFS('Data-Retail'!$I$4:$I$1000,'Data-Retail'!$A$4:$A$1000,'Mar16-Aug16 Billed-RETAIL'!$D36,'Data-Retail'!$D$4:$D$1000,'Mar16-Aug16 Billed-RETAIL'!$E36)</f>
        <v>268</v>
      </c>
      <c r="L36" s="33">
        <f>SUMIFS('Data-Retail'!$J$4:$J$1000,'Data-Retail'!$A$4:$A$1000,'Mar16-Aug16 Billed-RETAIL'!$D36,'Data-Retail'!$D$4:$D$1000,'Mar16-Aug16 Billed-RETAIL'!$E36)</f>
        <v>0</v>
      </c>
      <c r="M36" s="33"/>
      <c r="N36" s="34">
        <f>VLOOKUP($E36,'Retail Rates'!$B$7:$L$34,5,FALSE)</f>
        <v>40</v>
      </c>
      <c r="O36" s="34">
        <f>VLOOKUP($E36,'Retail Rates'!$B$7:$L$34,6,FALSE)</f>
        <v>180</v>
      </c>
      <c r="P36" s="35">
        <f>VLOOKUP($E36,'Retail Rates'!$B$7:$L$34,7,FALSE)</f>
        <v>0.21504000000000001</v>
      </c>
      <c r="Q36" s="35">
        <f>VLOOKUP($E36,'Retail Rates'!$B$7:$L$34,8,FALSE)</f>
        <v>0.16504000000000002</v>
      </c>
      <c r="R36" s="35">
        <f>VLOOKUP($D36,'GSC-DSM-GLT Factors'!$A$1:$B$60,2,FALSE)</f>
        <v>0.3513</v>
      </c>
      <c r="S36" s="34">
        <f>VLOOKUP($E36,'Retail Rates'!$B$7:$L$34,9,FALSE)</f>
        <v>0</v>
      </c>
      <c r="T36" s="35">
        <f>VLOOKUP($E36,'Retail Rates'!$B$7:$L$34,10,FALSE)</f>
        <v>0</v>
      </c>
      <c r="U36" s="34">
        <f>VLOOKUP($E36,'Retail Rates'!$B$7:$L$34,11,FALSE)</f>
        <v>0</v>
      </c>
      <c r="V36" s="556">
        <f>VLOOKUP($D36,'GSC-DSM-GLT Factors'!$A$1:$O$60,12,FALSE)</f>
        <v>27.41</v>
      </c>
      <c r="W36" s="36">
        <f t="shared" si="46"/>
        <v>40</v>
      </c>
      <c r="X36" s="36"/>
      <c r="Y36" s="36"/>
      <c r="Z36" s="36">
        <f t="shared" si="68"/>
        <v>57.630720000000004</v>
      </c>
      <c r="AA36" s="36">
        <f t="shared" si="68"/>
        <v>0</v>
      </c>
      <c r="AB36" s="36">
        <f t="shared" si="49"/>
        <v>94.148399999999995</v>
      </c>
      <c r="AC36" s="36"/>
      <c r="AD36" s="36"/>
      <c r="AE36" s="36">
        <f t="shared" si="63"/>
        <v>0</v>
      </c>
      <c r="AF36" s="36">
        <f t="shared" si="50"/>
        <v>27.41</v>
      </c>
      <c r="AG36" s="57">
        <f>SUMIFS(Adjustments!H$5:H$557,Adjustments!$B$5:$B$557,'Mar16-Aug16 Billed-RETAIL'!$D36,Adjustments!$C$5:$C$557,'Mar16-Aug16 Billed-RETAIL'!$E36)</f>
        <v>0</v>
      </c>
      <c r="AH36" s="57">
        <f>SUMIFS(Adjustments!I$5:I$557,Adjustments!$B$5:$B$557,'Mar16-Aug16 Billed-RETAIL'!$D36,Adjustments!$C$5:$C$557,'Mar16-Aug16 Billed-RETAIL'!$E36)</f>
        <v>0</v>
      </c>
      <c r="AI36" s="48">
        <f>SUMIFS(Adjustments!J$5:J$557,Adjustments!$B$5:$B$557,'Mar16-Aug16 Billed-RETAIL'!$D36,Adjustments!$C$5:$C$557,'Mar16-Aug16 Billed-RETAIL'!$E36)</f>
        <v>0</v>
      </c>
      <c r="AJ36" s="48">
        <f>SUMIFS(Adjustments!K$5:K$557,Adjustments!$B$5:$B$557,'Mar16-Aug16 Billed-RETAIL'!$D36,Adjustments!$C$5:$C$557,'Mar16-Aug16 Billed-RETAIL'!$E36)</f>
        <v>0</v>
      </c>
      <c r="AK36" s="48">
        <f>SUMIFS(Adjustments!L$5:L$557,Adjustments!$B$5:$B$557,'Mar16-Aug16 Billed-RETAIL'!$D36,Adjustments!$C$5:$C$557,'Mar16-Aug16 Billed-RETAIL'!$E36)</f>
        <v>0</v>
      </c>
      <c r="AL36" s="48">
        <f>SUMIFS(Adjustments!M$5:M$557,Adjustments!$B$5:$B$557,'Mar16-Aug16 Billed-RETAIL'!$D36,Adjustments!$C$5:$C$557,'Mar16-Aug16 Billed-RETAIL'!$E36)</f>
        <v>0</v>
      </c>
      <c r="AM36" s="48">
        <f>SUMIFS(Adjustments!N$5:N$557,Adjustments!$B$5:$B$557,'Mar16-Aug16 Billed-RETAIL'!$D36,Adjustments!$C$5:$C$557,'Mar16-Aug16 Billed-RETAIL'!$E36)</f>
        <v>0</v>
      </c>
      <c r="AN36" s="48">
        <f>SUMIFS(Adjustments!O$5:O$557,Adjustments!$B$5:$B$557,'Mar16-Aug16 Billed-RETAIL'!$D36,Adjustments!$C$5:$C$557,'Mar16-Aug16 Billed-RETAIL'!$E36)</f>
        <v>0</v>
      </c>
      <c r="AO36" s="48">
        <f>SUMIFS(Adjustments!P$5:P$557,Adjustments!$B$5:$B$557,'Mar16-Aug16 Billed-RETAIL'!$D36,Adjustments!$C$5:$C$557,'Mar16-Aug16 Billed-RETAIL'!$E36)</f>
        <v>0</v>
      </c>
      <c r="AP36" s="36">
        <f t="shared" si="51"/>
        <v>40</v>
      </c>
      <c r="AQ36" s="36">
        <f t="shared" si="52"/>
        <v>0</v>
      </c>
      <c r="AR36" s="36">
        <f t="shared" si="53"/>
        <v>57.630720000000004</v>
      </c>
      <c r="AS36" s="36">
        <f t="shared" si="54"/>
        <v>0</v>
      </c>
      <c r="AT36" s="43">
        <f>SUMIFS('SBR Mar16 - Aug16'!$O$16:$O$475,'SBR Mar16 - Aug16'!$A$16:$A$475,'Mar16-Aug16 Billed-RETAIL'!$D36,'SBR Mar16 - Aug16'!$C$16:$C$475,'Mar16-Aug16 Billed-RETAIL'!$E36)</f>
        <v>93.04</v>
      </c>
      <c r="AU36" s="43">
        <f>SUMIFS('SBR Mar16 - Aug16'!$N$16:$N$475,'SBR Mar16 - Aug16'!$A$16:$A$475,'Mar16-Aug16 Billed-RETAIL'!$D36,'SBR Mar16 - Aug16'!$C$16:$C$475,'Mar16-Aug16 Billed-RETAIL'!$E36)</f>
        <v>0.15</v>
      </c>
      <c r="AV36" s="43">
        <f>SUMIFS('SBR Mar16 - Aug16'!$Y$16:$Y$475,'SBR Mar16 - Aug16'!$A$16:$A$475,'Mar16-Aug16 Billed-RETAIL'!$D36,'SBR Mar16 - Aug16'!$C$16:$C$475,'Mar16-Aug16 Billed-RETAIL'!$E36)</f>
        <v>0</v>
      </c>
      <c r="AW36" s="43">
        <f>SUMIFS('SBR Mar16 - Aug16'!$X$16:$X$475,'SBR Mar16 - Aug16'!$A$16:$A$475,'Mar16-Aug16 Billed-RETAIL'!$D36,'SBR Mar16 - Aug16'!$C$16:$C$475,'Mar16-Aug16 Billed-RETAIL'!$E36)</f>
        <v>27.25</v>
      </c>
      <c r="AX36" s="36">
        <f t="shared" si="55"/>
        <v>0</v>
      </c>
      <c r="AY36" s="36"/>
      <c r="AZ36" s="43">
        <f t="shared" si="56"/>
        <v>218.07</v>
      </c>
      <c r="BA36" s="43">
        <f t="shared" si="64"/>
        <v>218.07</v>
      </c>
      <c r="BB36" s="44">
        <f t="shared" si="57"/>
        <v>1</v>
      </c>
      <c r="BC36" s="43">
        <f>SUMIFS('SBR Mar16 - Aug16'!$N$16:$N$475,'SBR Mar16 - Aug16'!$A$16:$A$475,'Mar16-Aug16 Billed-RETAIL'!$D36,'SBR Mar16 - Aug16'!$C$16:$C$475,'Mar16-Aug16 Billed-RETAIL'!$E36)</f>
        <v>0.15</v>
      </c>
      <c r="BD36" s="43">
        <f>SUMIFS('SBR Mar16 - Aug16'!$O$16:$O$475,'SBR Mar16 - Aug16'!$A$16:$A$475,'Mar16-Aug16 Billed-RETAIL'!$D36,'SBR Mar16 - Aug16'!$C$16:$C$475,'Mar16-Aug16 Billed-RETAIL'!$E36)</f>
        <v>93.04</v>
      </c>
      <c r="BE36" s="43">
        <f>SUMIFS('SBR Mar16 - Aug16'!$Y$16:$Y$475,'SBR Mar16 - Aug16'!$A$16:$A$475,'Mar16-Aug16 Billed-RETAIL'!$D36,'SBR Mar16 - Aug16'!$C$16:$C$475,'Mar16-Aug16 Billed-RETAIL'!$E36)</f>
        <v>0</v>
      </c>
      <c r="BF36" s="43">
        <f>SUMIFS('SBR Mar16 - Aug16'!$AB$16:$AB$475,'SBR Mar16 - Aug16'!$A$16:$A$475,'Mar16-Aug16 Billed-RETAIL'!$D36,'SBR Mar16 - Aug16'!$C$16:$C$475,'Mar16-Aug16 Billed-RETAIL'!$E36)</f>
        <v>0</v>
      </c>
      <c r="BG36" s="43">
        <f>SUMIFS('SBR Mar16 - Aug16'!$G$16:$G$475,'SBR Mar16 - Aug16'!$A$16:$A$475,'Mar16-Aug16 Billed-RETAIL'!$D36,'SBR Mar16 - Aug16'!$C$16:$C$475,'Mar16-Aug16 Billed-RETAIL'!$E36)</f>
        <v>40</v>
      </c>
      <c r="BH36" s="43">
        <f>SUMIFS('SBR Mar16 - Aug16'!$I$16:$I$475,'SBR Mar16 - Aug16'!$A$16:$A$475,'Mar16-Aug16 Billed-RETAIL'!$D36,'SBR Mar16 - Aug16'!$C$16:$C$475,'Mar16-Aug16 Billed-RETAIL'!$E36)</f>
        <v>57.63</v>
      </c>
      <c r="BI36" s="43">
        <f>SUMIFS('SBR Mar16 - Aug16'!$H$16:$H$475,'SBR Mar16 - Aug16'!$A$16:$A$475,'Mar16-Aug16 Billed-RETAIL'!$D36,'SBR Mar16 - Aug16'!$C$16:$C$475,'Mar16-Aug16 Billed-RETAIL'!$E36)</f>
        <v>0</v>
      </c>
      <c r="BJ36" s="43">
        <f>SUMIFS('SBR Mar16 - Aug16'!$X$16:$X$475,'SBR Mar16 - Aug16'!$A$16:$A$475,'Mar16-Aug16 Billed-RETAIL'!$D36,'SBR Mar16 - Aug16'!$C$16:$C$475,'Mar16-Aug16 Billed-RETAIL'!$E36)</f>
        <v>27.25</v>
      </c>
      <c r="BL36" s="51">
        <f t="shared" si="58"/>
        <v>0</v>
      </c>
      <c r="BN36" s="58">
        <f t="shared" si="59"/>
        <v>0</v>
      </c>
      <c r="BO36" s="58">
        <f t="shared" si="60"/>
        <v>7.2000000000116415E-4</v>
      </c>
      <c r="BP36" s="58">
        <f t="shared" si="61"/>
        <v>0</v>
      </c>
    </row>
    <row r="37" spans="3:68" ht="15" customHeight="1" x14ac:dyDescent="0.25">
      <c r="C37" s="14">
        <f t="shared" si="65"/>
        <v>29</v>
      </c>
      <c r="D37" s="604">
        <f t="shared" si="66"/>
        <v>42491</v>
      </c>
      <c r="E37" s="604" t="str">
        <f>+'Retail Rates'!$B$32</f>
        <v>LGRSG840</v>
      </c>
      <c r="F37" s="14" t="str">
        <f t="shared" si="62"/>
        <v>840</v>
      </c>
      <c r="G37" s="14" t="str">
        <f>VLOOKUP(E37,'Retail Rates'!$B$7:$D$34,3,FALSE)</f>
        <v>RGS</v>
      </c>
      <c r="H37" s="33">
        <f>SUMIFS('Data-Retail'!$H$4:$H$1000,'Data-Retail'!$A$4:$A$1000,'Mar16-Aug16 Billed-RETAIL'!$D37,'Data-Retail'!$D$4:$D$1000,'Mar16-Aug16 Billed-RETAIL'!$E37)</f>
        <v>3</v>
      </c>
      <c r="I37" s="33"/>
      <c r="J37" s="33"/>
      <c r="K37" s="33">
        <f>SUMIFS('Data-Retail'!$I$4:$I$1000,'Data-Retail'!$A$4:$A$1000,'Mar16-Aug16 Billed-RETAIL'!$D37,'Data-Retail'!$D$4:$D$1000,'Mar16-Aug16 Billed-RETAIL'!$E37)</f>
        <v>346</v>
      </c>
      <c r="L37" s="33">
        <f>SUMIFS('Data-Retail'!$J$4:$J$1000,'Data-Retail'!$A$4:$A$1000,'Mar16-Aug16 Billed-RETAIL'!$D37,'Data-Retail'!$D$4:$D$1000,'Mar16-Aug16 Billed-RETAIL'!$E37)</f>
        <v>0</v>
      </c>
      <c r="M37" s="33"/>
      <c r="N37" s="34">
        <f>VLOOKUP($E37,'Retail Rates'!$B$7:$L$34,5,FALSE)</f>
        <v>13.5</v>
      </c>
      <c r="O37" s="34">
        <f>VLOOKUP($E37,'Retail Rates'!$B$7:$L$34,6,FALSE)</f>
        <v>0</v>
      </c>
      <c r="P37" s="35">
        <f>VLOOKUP($E37,'Retail Rates'!$B$7:$L$34,7,FALSE)</f>
        <v>0.28693000000000002</v>
      </c>
      <c r="Q37" s="35">
        <f>VLOOKUP($E37,'Retail Rates'!$B$7:$L$34,8,FALSE)</f>
        <v>0</v>
      </c>
      <c r="R37" s="35">
        <f>VLOOKUP($D37,'GSC-DSM-GLT Factors'!$A$1:$B$60,2,FALSE)</f>
        <v>0.3513</v>
      </c>
      <c r="S37" s="34">
        <f>VLOOKUP($E37,'Retail Rates'!$B$7:$L$34,9,FALSE)</f>
        <v>0</v>
      </c>
      <c r="T37" s="35">
        <f>VLOOKUP($E37,'Retail Rates'!$B$7:$L$34,10,FALSE)</f>
        <v>0</v>
      </c>
      <c r="U37" s="34">
        <f>VLOOKUP($E37,'Retail Rates'!$B$7:$L$34,11,FALSE)</f>
        <v>0</v>
      </c>
      <c r="V37" s="556">
        <f>VLOOKUP($D37,'GSC-DSM-GLT Factors'!$A$1:$O$60,11,FALSE)</f>
        <v>5.14</v>
      </c>
      <c r="W37" s="36">
        <f t="shared" si="46"/>
        <v>40.5</v>
      </c>
      <c r="X37" s="36"/>
      <c r="Y37" s="36"/>
      <c r="Z37" s="36">
        <f t="shared" si="68"/>
        <v>99.277780000000007</v>
      </c>
      <c r="AA37" s="36">
        <f t="shared" si="68"/>
        <v>0</v>
      </c>
      <c r="AB37" s="36">
        <f t="shared" si="49"/>
        <v>121.5498</v>
      </c>
      <c r="AC37" s="36"/>
      <c r="AD37" s="36"/>
      <c r="AE37" s="36">
        <f t="shared" si="63"/>
        <v>0</v>
      </c>
      <c r="AF37" s="36">
        <f t="shared" si="50"/>
        <v>15.419999999999998</v>
      </c>
      <c r="AG37" s="57">
        <f>SUMIFS(Adjustments!H$5:H$557,Adjustments!$B$5:$B$557,'Mar16-Aug16 Billed-RETAIL'!$D37,Adjustments!$C$5:$C$557,'Mar16-Aug16 Billed-RETAIL'!$E37)</f>
        <v>0</v>
      </c>
      <c r="AH37" s="57">
        <f>SUMIFS(Adjustments!I$5:I$557,Adjustments!$B$5:$B$557,'Mar16-Aug16 Billed-RETAIL'!$D37,Adjustments!$C$5:$C$557,'Mar16-Aug16 Billed-RETAIL'!$E37)</f>
        <v>0</v>
      </c>
      <c r="AI37" s="48">
        <f>SUMIFS(Adjustments!J$5:J$557,Adjustments!$B$5:$B$557,'Mar16-Aug16 Billed-RETAIL'!$D37,Adjustments!$C$5:$C$557,'Mar16-Aug16 Billed-RETAIL'!$E37)</f>
        <v>0</v>
      </c>
      <c r="AJ37" s="48">
        <f>SUMIFS(Adjustments!K$5:K$557,Adjustments!$B$5:$B$557,'Mar16-Aug16 Billed-RETAIL'!$D37,Adjustments!$C$5:$C$557,'Mar16-Aug16 Billed-RETAIL'!$E37)</f>
        <v>0</v>
      </c>
      <c r="AK37" s="48">
        <f>SUMIFS(Adjustments!L$5:L$557,Adjustments!$B$5:$B$557,'Mar16-Aug16 Billed-RETAIL'!$D37,Adjustments!$C$5:$C$557,'Mar16-Aug16 Billed-RETAIL'!$E37)</f>
        <v>0</v>
      </c>
      <c r="AL37" s="48">
        <f>SUMIFS(Adjustments!M$5:M$557,Adjustments!$B$5:$B$557,'Mar16-Aug16 Billed-RETAIL'!$D37,Adjustments!$C$5:$C$557,'Mar16-Aug16 Billed-RETAIL'!$E37)</f>
        <v>0</v>
      </c>
      <c r="AM37" s="48">
        <f>SUMIFS(Adjustments!N$5:N$557,Adjustments!$B$5:$B$557,'Mar16-Aug16 Billed-RETAIL'!$D37,Adjustments!$C$5:$C$557,'Mar16-Aug16 Billed-RETAIL'!$E37)</f>
        <v>0</v>
      </c>
      <c r="AN37" s="48">
        <f>SUMIFS(Adjustments!O$5:O$557,Adjustments!$B$5:$B$557,'Mar16-Aug16 Billed-RETAIL'!$D37,Adjustments!$C$5:$C$557,'Mar16-Aug16 Billed-RETAIL'!$E37)</f>
        <v>0</v>
      </c>
      <c r="AO37" s="48">
        <f>SUMIFS(Adjustments!P$5:P$557,Adjustments!$B$5:$B$557,'Mar16-Aug16 Billed-RETAIL'!$D37,Adjustments!$C$5:$C$557,'Mar16-Aug16 Billed-RETAIL'!$E37)</f>
        <v>0</v>
      </c>
      <c r="AP37" s="36">
        <f t="shared" si="51"/>
        <v>40.5</v>
      </c>
      <c r="AQ37" s="36">
        <f t="shared" si="52"/>
        <v>0</v>
      </c>
      <c r="AR37" s="36">
        <f t="shared" si="53"/>
        <v>99.277780000000007</v>
      </c>
      <c r="AS37" s="36">
        <f t="shared" si="54"/>
        <v>0</v>
      </c>
      <c r="AT37" s="43">
        <f>SUMIFS('SBR Mar16 - Aug16'!$O$16:$O$475,'SBR Mar16 - Aug16'!$A$16:$A$475,'Mar16-Aug16 Billed-RETAIL'!$D37,'SBR Mar16 - Aug16'!$C$16:$C$475,'Mar16-Aug16 Billed-RETAIL'!$E37)</f>
        <v>118.01</v>
      </c>
      <c r="AU37" s="43">
        <f>SUMIFS('SBR Mar16 - Aug16'!$N$16:$N$475,'SBR Mar16 - Aug16'!$A$16:$A$475,'Mar16-Aug16 Billed-RETAIL'!$D37,'SBR Mar16 - Aug16'!$C$16:$C$475,'Mar16-Aug16 Billed-RETAIL'!$E37)</f>
        <v>3.75</v>
      </c>
      <c r="AV37" s="43">
        <f>SUMIFS('SBR Mar16 - Aug16'!$Y$16:$Y$475,'SBR Mar16 - Aug16'!$A$16:$A$475,'Mar16-Aug16 Billed-RETAIL'!$D37,'SBR Mar16 - Aug16'!$C$16:$C$475,'Mar16-Aug16 Billed-RETAIL'!$E37)</f>
        <v>0</v>
      </c>
      <c r="AW37" s="43">
        <f>SUMIFS('SBR Mar16 - Aug16'!$X$16:$X$475,'SBR Mar16 - Aug16'!$A$16:$A$475,'Mar16-Aug16 Billed-RETAIL'!$D37,'SBR Mar16 - Aug16'!$C$16:$C$475,'Mar16-Aug16 Billed-RETAIL'!$E37)</f>
        <v>15.12</v>
      </c>
      <c r="AX37" s="36">
        <f t="shared" si="55"/>
        <v>0</v>
      </c>
      <c r="AY37" s="36"/>
      <c r="AZ37" s="43">
        <f t="shared" si="56"/>
        <v>276.66000000000003</v>
      </c>
      <c r="BA37" s="43">
        <f t="shared" si="64"/>
        <v>276.65999999999997</v>
      </c>
      <c r="BB37" s="44">
        <f t="shared" si="57"/>
        <v>1</v>
      </c>
      <c r="BC37" s="43">
        <f>SUMIFS('SBR Mar16 - Aug16'!$N$16:$N$475,'SBR Mar16 - Aug16'!$A$16:$A$475,'Mar16-Aug16 Billed-RETAIL'!$D37,'SBR Mar16 - Aug16'!$C$16:$C$475,'Mar16-Aug16 Billed-RETAIL'!$E37)</f>
        <v>3.75</v>
      </c>
      <c r="BD37" s="43">
        <f>SUMIFS('SBR Mar16 - Aug16'!$O$16:$O$475,'SBR Mar16 - Aug16'!$A$16:$A$475,'Mar16-Aug16 Billed-RETAIL'!$D37,'SBR Mar16 - Aug16'!$C$16:$C$475,'Mar16-Aug16 Billed-RETAIL'!$E37)</f>
        <v>118.01</v>
      </c>
      <c r="BE37" s="43">
        <f>SUMIFS('SBR Mar16 - Aug16'!$Y$16:$Y$475,'SBR Mar16 - Aug16'!$A$16:$A$475,'Mar16-Aug16 Billed-RETAIL'!$D37,'SBR Mar16 - Aug16'!$C$16:$C$475,'Mar16-Aug16 Billed-RETAIL'!$E37)</f>
        <v>0</v>
      </c>
      <c r="BF37" s="43">
        <f>SUMIFS('SBR Mar16 - Aug16'!$AB$16:$AB$475,'SBR Mar16 - Aug16'!$A$16:$A$475,'Mar16-Aug16 Billed-RETAIL'!$D37,'SBR Mar16 - Aug16'!$C$16:$C$475,'Mar16-Aug16 Billed-RETAIL'!$E37)</f>
        <v>0</v>
      </c>
      <c r="BG37" s="43">
        <f>SUMIFS('SBR Mar16 - Aug16'!$G$16:$G$475,'SBR Mar16 - Aug16'!$A$16:$A$475,'Mar16-Aug16 Billed-RETAIL'!$D37,'SBR Mar16 - Aug16'!$C$16:$C$475,'Mar16-Aug16 Billed-RETAIL'!$E37)</f>
        <v>40.5</v>
      </c>
      <c r="BH37" s="43">
        <f>SUMIFS('SBR Mar16 - Aug16'!$I$16:$I$475,'SBR Mar16 - Aug16'!$A$16:$A$475,'Mar16-Aug16 Billed-RETAIL'!$D37,'SBR Mar16 - Aug16'!$C$16:$C$475,'Mar16-Aug16 Billed-RETAIL'!$E37)</f>
        <v>99.28</v>
      </c>
      <c r="BI37" s="43">
        <f>SUMIFS('SBR Mar16 - Aug16'!$H$16:$H$475,'SBR Mar16 - Aug16'!$A$16:$A$475,'Mar16-Aug16 Billed-RETAIL'!$D37,'SBR Mar16 - Aug16'!$C$16:$C$475,'Mar16-Aug16 Billed-RETAIL'!$E37)</f>
        <v>0</v>
      </c>
      <c r="BJ37" s="43">
        <f>SUMIFS('SBR Mar16 - Aug16'!$X$16:$X$475,'SBR Mar16 - Aug16'!$A$16:$A$475,'Mar16-Aug16 Billed-RETAIL'!$D37,'SBR Mar16 - Aug16'!$C$16:$C$475,'Mar16-Aug16 Billed-RETAIL'!$E37)</f>
        <v>15.12</v>
      </c>
      <c r="BL37" s="51">
        <f t="shared" si="58"/>
        <v>0</v>
      </c>
      <c r="BN37" s="58">
        <f t="shared" si="59"/>
        <v>0</v>
      </c>
      <c r="BO37" s="58">
        <f t="shared" si="60"/>
        <v>-2.2199999999941156E-3</v>
      </c>
      <c r="BP37" s="58">
        <f t="shared" si="61"/>
        <v>0</v>
      </c>
    </row>
    <row r="38" spans="3:68" s="563" customFormat="1" ht="15" customHeight="1" x14ac:dyDescent="0.25">
      <c r="C38" s="564"/>
      <c r="D38" s="605"/>
      <c r="E38" s="605"/>
      <c r="F38" s="564"/>
      <c r="G38" s="564"/>
      <c r="H38" s="565"/>
      <c r="I38" s="565"/>
      <c r="J38" s="565"/>
      <c r="K38" s="565"/>
      <c r="L38" s="565"/>
      <c r="M38" s="565"/>
      <c r="N38" s="566"/>
      <c r="O38" s="566"/>
      <c r="P38" s="567"/>
      <c r="Q38" s="567"/>
      <c r="R38" s="567"/>
      <c r="S38" s="566"/>
      <c r="T38" s="567"/>
      <c r="U38" s="566"/>
      <c r="V38" s="568"/>
      <c r="W38" s="569"/>
      <c r="X38" s="569"/>
      <c r="Y38" s="569"/>
      <c r="Z38" s="569"/>
      <c r="AA38" s="569"/>
      <c r="AB38" s="569"/>
      <c r="AC38" s="569"/>
      <c r="AD38" s="569"/>
      <c r="AE38" s="569"/>
      <c r="AF38" s="569"/>
      <c r="AG38" s="570"/>
      <c r="AH38" s="570"/>
      <c r="AI38" s="569"/>
      <c r="AJ38" s="569"/>
      <c r="AK38" s="569"/>
      <c r="AL38" s="569"/>
      <c r="AM38" s="569"/>
      <c r="AN38" s="569"/>
      <c r="AO38" s="569"/>
      <c r="AP38" s="569"/>
      <c r="AQ38" s="569"/>
      <c r="AR38" s="569"/>
      <c r="AS38" s="569"/>
      <c r="AT38" s="569"/>
      <c r="AU38" s="569"/>
      <c r="AV38" s="569"/>
      <c r="AW38" s="569"/>
      <c r="AX38" s="569"/>
      <c r="AY38" s="569"/>
      <c r="AZ38" s="569"/>
      <c r="BA38" s="569"/>
      <c r="BB38" s="571"/>
      <c r="BC38" s="569"/>
      <c r="BD38" s="569"/>
      <c r="BE38" s="569"/>
      <c r="BF38" s="569"/>
      <c r="BG38" s="569"/>
      <c r="BH38" s="569"/>
      <c r="BI38" s="569"/>
      <c r="BJ38" s="569"/>
      <c r="BL38" s="569"/>
      <c r="BN38" s="569"/>
      <c r="BO38" s="569"/>
      <c r="BP38" s="569"/>
    </row>
    <row r="39" spans="3:68" ht="15" customHeight="1" x14ac:dyDescent="0.25">
      <c r="C39" s="14">
        <f>C37+1</f>
        <v>30</v>
      </c>
      <c r="D39" s="604">
        <f>EDATE(D27,1)</f>
        <v>42522</v>
      </c>
      <c r="E39" s="604" t="str">
        <f>+'Retail Rates'!$B$7</f>
        <v>LGCMG865</v>
      </c>
      <c r="F39" s="14" t="str">
        <f>MID(E39,6,3)</f>
        <v>865</v>
      </c>
      <c r="G39" s="14" t="str">
        <f>VLOOKUP(E39,'Retail Rates'!$B$7:$D$34,3,FALSE)</f>
        <v>AAGS-C</v>
      </c>
      <c r="H39" s="33">
        <f>SUMIFS('Data-Retail'!$H$4:$H$1000,'Data-Retail'!$A$4:$A$1000,'Mar16-Aug16 Billed-RETAIL'!$D39,'Data-Retail'!$D$4:$D$1000,'Mar16-Aug16 Billed-RETAIL'!$E39)</f>
        <v>2</v>
      </c>
      <c r="I39" s="33"/>
      <c r="J39" s="33"/>
      <c r="K39" s="33">
        <f>SUMIFS('Data-Retail'!$I$4:$I$1000,'Data-Retail'!$A$4:$A$1000,'Mar16-Aug16 Billed-RETAIL'!$D39,'Data-Retail'!$D$4:$D$1000,'Mar16-Aug16 Billed-RETAIL'!$E39)</f>
        <v>26653</v>
      </c>
      <c r="L39" s="33">
        <f>SUMIFS('Data-Retail'!$J$4:$J$1000,'Data-Retail'!$A$4:$A$1000,'Mar16-Aug16 Billed-RETAIL'!$D39,'Data-Retail'!$D$4:$D$1000,'Mar16-Aug16 Billed-RETAIL'!$E39)</f>
        <v>0</v>
      </c>
      <c r="M39" s="33"/>
      <c r="N39" s="34">
        <f>VLOOKUP($E39,'Retail Rates'!$B$7:$L$34,5,FALSE)</f>
        <v>400</v>
      </c>
      <c r="O39" s="34">
        <f>VLOOKUP($E39,'Retail Rates'!$B$7:$L$34,6,FALSE)</f>
        <v>0</v>
      </c>
      <c r="P39" s="35">
        <f>VLOOKUP($E39,'Retail Rates'!$B$7:$L$34,7,FALSE)</f>
        <v>7.009E-2</v>
      </c>
      <c r="Q39" s="35">
        <f>VLOOKUP($E39,'Retail Rates'!$B$7:$L$34,8,FALSE)</f>
        <v>0</v>
      </c>
      <c r="R39" s="35">
        <f>VLOOKUP($D39,'GSC-DSM-GLT Factors'!$A$1:$B$60,2,FALSE)</f>
        <v>0.3513</v>
      </c>
      <c r="S39" s="34">
        <f>VLOOKUP($E39,'Retail Rates'!$B$7:$L$34,9,FALSE)</f>
        <v>0</v>
      </c>
      <c r="T39" s="35">
        <f>VLOOKUP($E39,'Retail Rates'!$B$7:$L$34,10,FALSE)</f>
        <v>0</v>
      </c>
      <c r="U39" s="34">
        <f>VLOOKUP($E39,'Retail Rates'!$B$7:$L$34,11,FALSE)</f>
        <v>0</v>
      </c>
      <c r="V39" s="556">
        <f>VLOOKUP($D39,'GSC-DSM-GLT Factors'!$A$1:$O$60,14,FALSE)</f>
        <v>2838.87</v>
      </c>
      <c r="W39" s="36">
        <f t="shared" ref="W39:W49" si="69">(+H39*N39)+(I39*N39)</f>
        <v>800</v>
      </c>
      <c r="X39" s="36"/>
      <c r="Y39" s="36"/>
      <c r="Z39" s="36">
        <f t="shared" ref="Z39:Z49" si="70">+K39*P39</f>
        <v>1868.10877</v>
      </c>
      <c r="AA39" s="36">
        <f t="shared" ref="AA39:AA49" si="71">+L39*Q39</f>
        <v>0</v>
      </c>
      <c r="AB39" s="36">
        <f t="shared" ref="AB39:AB49" si="72">SUM(K39:L39)*R39</f>
        <v>9363.1988999999994</v>
      </c>
      <c r="AC39" s="36"/>
      <c r="AD39" s="36"/>
      <c r="AE39" s="36">
        <f>M39*U39</f>
        <v>0</v>
      </c>
      <c r="AF39" s="36">
        <f t="shared" ref="AF39:AF44" si="73">(+H39*V39)+(I39*V39)</f>
        <v>5677.74</v>
      </c>
      <c r="AG39" s="57">
        <f>SUMIFS(Adjustments!H$5:H$557,Adjustments!$B$5:$B$557,'Mar16-Aug16 Billed-RETAIL'!$D39,Adjustments!$C$5:$C$557,'Mar16-Aug16 Billed-RETAIL'!$E39)</f>
        <v>0</v>
      </c>
      <c r="AH39" s="57">
        <f>SUMIFS(Adjustments!I$5:I$557,Adjustments!$B$5:$B$557,'Mar16-Aug16 Billed-RETAIL'!$D39,Adjustments!$C$5:$C$557,'Mar16-Aug16 Billed-RETAIL'!$E39)</f>
        <v>0</v>
      </c>
      <c r="AI39" s="48">
        <f>SUMIFS(Adjustments!J$5:J$557,Adjustments!$B$5:$B$557,'Mar16-Aug16 Billed-RETAIL'!$D39,Adjustments!$C$5:$C$557,'Mar16-Aug16 Billed-RETAIL'!$E39)</f>
        <v>0</v>
      </c>
      <c r="AJ39" s="48">
        <f>SUMIFS(Adjustments!K$5:K$557,Adjustments!$B$5:$B$557,'Mar16-Aug16 Billed-RETAIL'!$D39,Adjustments!$C$5:$C$557,'Mar16-Aug16 Billed-RETAIL'!$E39)</f>
        <v>0</v>
      </c>
      <c r="AK39" s="48">
        <f>SUMIFS(Adjustments!L$5:L$557,Adjustments!$B$5:$B$557,'Mar16-Aug16 Billed-RETAIL'!$D39,Adjustments!$C$5:$C$557,'Mar16-Aug16 Billed-RETAIL'!$E39)</f>
        <v>0</v>
      </c>
      <c r="AL39" s="48">
        <f>SUMIFS(Adjustments!M$5:M$557,Adjustments!$B$5:$B$557,'Mar16-Aug16 Billed-RETAIL'!$D39,Adjustments!$C$5:$C$557,'Mar16-Aug16 Billed-RETAIL'!$E39)</f>
        <v>0</v>
      </c>
      <c r="AM39" s="48">
        <f>SUMIFS(Adjustments!N$5:N$557,Adjustments!$B$5:$B$557,'Mar16-Aug16 Billed-RETAIL'!$D39,Adjustments!$C$5:$C$557,'Mar16-Aug16 Billed-RETAIL'!$E39)</f>
        <v>0</v>
      </c>
      <c r="AN39" s="48">
        <f>SUMIFS(Adjustments!O$5:O$557,Adjustments!$B$5:$B$557,'Mar16-Aug16 Billed-RETAIL'!$D39,Adjustments!$C$5:$C$557,'Mar16-Aug16 Billed-RETAIL'!$E39)</f>
        <v>0</v>
      </c>
      <c r="AO39" s="48">
        <f>SUMIFS(Adjustments!P$5:P$557,Adjustments!$B$5:$B$557,'Mar16-Aug16 Billed-RETAIL'!$D39,Adjustments!$C$5:$C$557,'Mar16-Aug16 Billed-RETAIL'!$E39)</f>
        <v>0</v>
      </c>
      <c r="AP39" s="36">
        <f t="shared" ref="AP39:AP45" si="74">+W39+AI39+(AG39*N39)</f>
        <v>800</v>
      </c>
      <c r="AQ39" s="36">
        <f t="shared" ref="AQ39:AQ49" si="75">+Y39+AJ39</f>
        <v>0</v>
      </c>
      <c r="AR39" s="36">
        <f t="shared" ref="AR39:AR49" si="76">+Z39+AK39</f>
        <v>1868.10877</v>
      </c>
      <c r="AS39" s="36">
        <f t="shared" ref="AS39:AS49" si="77">+AA39+AL39</f>
        <v>0</v>
      </c>
      <c r="AT39" s="43">
        <f>SUMIFS('SBR Mar16 - Aug16'!$O$16:$O$475,'SBR Mar16 - Aug16'!$A$16:$A$475,'Mar16-Aug16 Billed-RETAIL'!$D39,'SBR Mar16 - Aug16'!$C$16:$C$475,'Mar16-Aug16 Billed-RETAIL'!$E39)</f>
        <v>9363.2000000000007</v>
      </c>
      <c r="AU39" s="43">
        <f>SUMIFS('SBR Mar16 - Aug16'!$N$16:$N$475,'SBR Mar16 - Aug16'!$A$16:$A$475,'Mar16-Aug16 Billed-RETAIL'!$D39,'SBR Mar16 - Aug16'!$C$16:$C$475,'Mar16-Aug16 Billed-RETAIL'!$E39)</f>
        <v>15.19</v>
      </c>
      <c r="AV39" s="43">
        <f>SUMIFS('SBR Mar16 - Aug16'!$Y$16:$Y$475,'SBR Mar16 - Aug16'!$A$16:$A$475,'Mar16-Aug16 Billed-RETAIL'!$D39,'SBR Mar16 - Aug16'!$C$16:$C$475,'Mar16-Aug16 Billed-RETAIL'!$E39)</f>
        <v>0</v>
      </c>
      <c r="AW39" s="43">
        <f>SUMIFS('SBR Mar16 - Aug16'!$X$16:$X$475,'SBR Mar16 - Aug16'!$A$16:$A$475,'Mar16-Aug16 Billed-RETAIL'!$D39,'SBR Mar16 - Aug16'!$C$16:$C$475,'Mar16-Aug16 Billed-RETAIL'!$E39)</f>
        <v>5677.74</v>
      </c>
      <c r="AX39" s="36">
        <f t="shared" ref="AX39:AX49" si="78">+AE39+AO39</f>
        <v>0</v>
      </c>
      <c r="AY39" s="36"/>
      <c r="AZ39" s="43">
        <f t="shared" ref="AZ39:AZ49" si="79">ROUND(SUM(AP39:AY39),2)</f>
        <v>17724.240000000002</v>
      </c>
      <c r="BA39" s="43">
        <f t="shared" ref="BA39:BA49" si="80">SUM(BC39:BJ39)-BF39</f>
        <v>17724.240000000002</v>
      </c>
      <c r="BB39" s="44">
        <f t="shared" ref="BB39:BB49" si="81">IF(BA39=0,0,ROUND(BA39/AZ39,6))</f>
        <v>1</v>
      </c>
      <c r="BC39" s="43">
        <f>SUMIFS('SBR Mar16 - Aug16'!$N$16:$N$475,'SBR Mar16 - Aug16'!$A$16:$A$475,'Mar16-Aug16 Billed-RETAIL'!$D39,'SBR Mar16 - Aug16'!$C$16:$C$475,'Mar16-Aug16 Billed-RETAIL'!$E39)</f>
        <v>15.19</v>
      </c>
      <c r="BD39" s="43">
        <f>SUMIFS('SBR Mar16 - Aug16'!$O$16:$O$475,'SBR Mar16 - Aug16'!$A$16:$A$475,'Mar16-Aug16 Billed-RETAIL'!$D39,'SBR Mar16 - Aug16'!$C$16:$C$475,'Mar16-Aug16 Billed-RETAIL'!$E39)</f>
        <v>9363.2000000000007</v>
      </c>
      <c r="BE39" s="43">
        <f>SUMIFS('SBR Mar16 - Aug16'!$Y$16:$Y$475,'SBR Mar16 - Aug16'!$A$16:$A$475,'Mar16-Aug16 Billed-RETAIL'!$D39,'SBR Mar16 - Aug16'!$C$16:$C$475,'Mar16-Aug16 Billed-RETAIL'!$E39)</f>
        <v>0</v>
      </c>
      <c r="BF39" s="43">
        <f>SUMIFS('SBR Mar16 - Aug16'!$AB$16:$AB$475,'SBR Mar16 - Aug16'!$A$16:$A$475,'Mar16-Aug16 Billed-RETAIL'!$D39,'SBR Mar16 - Aug16'!$C$16:$C$475,'Mar16-Aug16 Billed-RETAIL'!$E39)</f>
        <v>0</v>
      </c>
      <c r="BG39" s="43">
        <f>SUMIFS('SBR Mar16 - Aug16'!$G$16:$G$475,'SBR Mar16 - Aug16'!$A$16:$A$475,'Mar16-Aug16 Billed-RETAIL'!$D39,'SBR Mar16 - Aug16'!$C$16:$C$475,'Mar16-Aug16 Billed-RETAIL'!$E39)</f>
        <v>800</v>
      </c>
      <c r="BH39" s="43">
        <f>SUMIFS('SBR Mar16 - Aug16'!$I$16:$I$475,'SBR Mar16 - Aug16'!$A$16:$A$475,'Mar16-Aug16 Billed-RETAIL'!$D39,'SBR Mar16 - Aug16'!$C$16:$C$475,'Mar16-Aug16 Billed-RETAIL'!$E39)</f>
        <v>1868.11</v>
      </c>
      <c r="BI39" s="43">
        <f>SUMIFS('SBR Mar16 - Aug16'!$H$16:$H$475,'SBR Mar16 - Aug16'!$A$16:$A$475,'Mar16-Aug16 Billed-RETAIL'!$D39,'SBR Mar16 - Aug16'!$C$16:$C$475,'Mar16-Aug16 Billed-RETAIL'!$E39)</f>
        <v>0</v>
      </c>
      <c r="BJ39" s="43">
        <f>SUMIFS('SBR Mar16 - Aug16'!$X$16:$X$475,'SBR Mar16 - Aug16'!$A$16:$A$475,'Mar16-Aug16 Billed-RETAIL'!$D39,'SBR Mar16 - Aug16'!$C$16:$C$475,'Mar16-Aug16 Billed-RETAIL'!$E39)</f>
        <v>5677.74</v>
      </c>
      <c r="BL39" s="51">
        <f t="shared" ref="BL39:BL49" si="82">+AZ39-BA39</f>
        <v>0</v>
      </c>
      <c r="BN39" s="58">
        <f t="shared" ref="BN39:BN49" si="83">+AP39+AQ39-BG39</f>
        <v>0</v>
      </c>
      <c r="BO39" s="58">
        <f t="shared" ref="BO39:BO49" si="84">+AR39+AS39-BH39</f>
        <v>-1.2299999998504063E-3</v>
      </c>
      <c r="BP39" s="58">
        <f t="shared" ref="BP39:BP49" si="85">+AT39-BD39</f>
        <v>0</v>
      </c>
    </row>
    <row r="40" spans="3:68" ht="15" customHeight="1" x14ac:dyDescent="0.25">
      <c r="C40" s="14">
        <f>C39+1</f>
        <v>31</v>
      </c>
      <c r="D40" s="604">
        <f>$D$39</f>
        <v>42522</v>
      </c>
      <c r="E40" s="604" t="str">
        <f>+'Retail Rates'!$B$10</f>
        <v>LGING866</v>
      </c>
      <c r="F40" s="14" t="str">
        <f t="shared" ref="F40:F49" si="86">MID(E40,6,3)</f>
        <v>866</v>
      </c>
      <c r="G40" s="14" t="str">
        <f>VLOOKUP(E40,'Retail Rates'!$B$7:$D$34,3,FALSE)</f>
        <v>AAGS-I</v>
      </c>
      <c r="H40" s="33">
        <f>SUMIFS('Data-Retail'!$H$4:$H$1000,'Data-Retail'!$A$4:$A$1000,'Mar16-Aug16 Billed-RETAIL'!$D40,'Data-Retail'!$D$4:$D$1000,'Mar16-Aug16 Billed-RETAIL'!$E40)</f>
        <v>0</v>
      </c>
      <c r="I40" s="33"/>
      <c r="J40" s="33"/>
      <c r="K40" s="33">
        <f>SUMIFS('Data-Retail'!$I$4:$I$1000,'Data-Retail'!$A$4:$A$1000,'Mar16-Aug16 Billed-RETAIL'!$D40,'Data-Retail'!$D$4:$D$1000,'Mar16-Aug16 Billed-RETAIL'!$E40)</f>
        <v>0</v>
      </c>
      <c r="L40" s="33">
        <f>SUMIFS('Data-Retail'!$J$4:$J$1000,'Data-Retail'!$A$4:$A$1000,'Mar16-Aug16 Billed-RETAIL'!$D40,'Data-Retail'!$D$4:$D$1000,'Mar16-Aug16 Billed-RETAIL'!$E40)</f>
        <v>0</v>
      </c>
      <c r="M40" s="33"/>
      <c r="N40" s="34">
        <f>VLOOKUP($E40,'Retail Rates'!$B$7:$L$34,5,FALSE)</f>
        <v>400</v>
      </c>
      <c r="O40" s="34">
        <f>VLOOKUP($E40,'Retail Rates'!$B$7:$L$34,6,FALSE)</f>
        <v>0</v>
      </c>
      <c r="P40" s="35">
        <f>VLOOKUP($E40,'Retail Rates'!$B$7:$L$34,7,FALSE)</f>
        <v>7.009E-2</v>
      </c>
      <c r="Q40" s="35">
        <f>VLOOKUP($E40,'Retail Rates'!$B$7:$L$34,8,FALSE)</f>
        <v>0</v>
      </c>
      <c r="R40" s="35">
        <f>VLOOKUP($D40,'GSC-DSM-GLT Factors'!$A$1:$B$60,2,FALSE)</f>
        <v>0.3513</v>
      </c>
      <c r="S40" s="34">
        <f>VLOOKUP($E40,'Retail Rates'!$B$7:$L$34,9,FALSE)</f>
        <v>0</v>
      </c>
      <c r="T40" s="35">
        <f>VLOOKUP($E40,'Retail Rates'!$B$7:$L$34,10,FALSE)</f>
        <v>0</v>
      </c>
      <c r="U40" s="34">
        <f>VLOOKUP($E40,'Retail Rates'!$B$7:$L$34,11,FALSE)</f>
        <v>0</v>
      </c>
      <c r="V40" s="556">
        <f>VLOOKUP($D40,'GSC-DSM-GLT Factors'!$A$1:$O$60,14,FALSE)</f>
        <v>2838.87</v>
      </c>
      <c r="W40" s="36">
        <f t="shared" si="69"/>
        <v>0</v>
      </c>
      <c r="X40" s="36"/>
      <c r="Y40" s="36"/>
      <c r="Z40" s="36">
        <f t="shared" si="70"/>
        <v>0</v>
      </c>
      <c r="AA40" s="36">
        <f t="shared" si="71"/>
        <v>0</v>
      </c>
      <c r="AB40" s="36">
        <f t="shared" si="72"/>
        <v>0</v>
      </c>
      <c r="AC40" s="36"/>
      <c r="AD40" s="36"/>
      <c r="AE40" s="36">
        <f t="shared" ref="AE40:AE49" si="87">M40*U40</f>
        <v>0</v>
      </c>
      <c r="AF40" s="36">
        <f t="shared" si="73"/>
        <v>0</v>
      </c>
      <c r="AG40" s="57">
        <f>SUMIFS(Adjustments!H$5:H$557,Adjustments!$B$5:$B$557,'Mar16-Aug16 Billed-RETAIL'!$D40,Adjustments!$C$5:$C$557,'Mar16-Aug16 Billed-RETAIL'!$E40)</f>
        <v>0</v>
      </c>
      <c r="AH40" s="57">
        <f>SUMIFS(Adjustments!I$5:I$557,Adjustments!$B$5:$B$557,'Mar16-Aug16 Billed-RETAIL'!$D40,Adjustments!$C$5:$C$557,'Mar16-Aug16 Billed-RETAIL'!$E40)</f>
        <v>0</v>
      </c>
      <c r="AI40" s="48">
        <f>SUMIFS(Adjustments!J$5:J$557,Adjustments!$B$5:$B$557,'Mar16-Aug16 Billed-RETAIL'!$D40,Adjustments!$C$5:$C$557,'Mar16-Aug16 Billed-RETAIL'!$E40)</f>
        <v>0</v>
      </c>
      <c r="AJ40" s="48">
        <f>SUMIFS(Adjustments!K$5:K$557,Adjustments!$B$5:$B$557,'Mar16-Aug16 Billed-RETAIL'!$D40,Adjustments!$C$5:$C$557,'Mar16-Aug16 Billed-RETAIL'!$E40)</f>
        <v>0</v>
      </c>
      <c r="AK40" s="48">
        <f>SUMIFS(Adjustments!L$5:L$557,Adjustments!$B$5:$B$557,'Mar16-Aug16 Billed-RETAIL'!$D40,Adjustments!$C$5:$C$557,'Mar16-Aug16 Billed-RETAIL'!$E40)</f>
        <v>0</v>
      </c>
      <c r="AL40" s="48">
        <f>SUMIFS(Adjustments!M$5:M$557,Adjustments!$B$5:$B$557,'Mar16-Aug16 Billed-RETAIL'!$D40,Adjustments!$C$5:$C$557,'Mar16-Aug16 Billed-RETAIL'!$E40)</f>
        <v>0</v>
      </c>
      <c r="AM40" s="48">
        <f>SUMIFS(Adjustments!N$5:N$557,Adjustments!$B$5:$B$557,'Mar16-Aug16 Billed-RETAIL'!$D40,Adjustments!$C$5:$C$557,'Mar16-Aug16 Billed-RETAIL'!$E40)</f>
        <v>0</v>
      </c>
      <c r="AN40" s="48">
        <f>SUMIFS(Adjustments!O$5:O$557,Adjustments!$B$5:$B$557,'Mar16-Aug16 Billed-RETAIL'!$D40,Adjustments!$C$5:$C$557,'Mar16-Aug16 Billed-RETAIL'!$E40)</f>
        <v>0</v>
      </c>
      <c r="AO40" s="48">
        <f>SUMIFS(Adjustments!P$5:P$557,Adjustments!$B$5:$B$557,'Mar16-Aug16 Billed-RETAIL'!$D40,Adjustments!$C$5:$C$557,'Mar16-Aug16 Billed-RETAIL'!$E40)</f>
        <v>0</v>
      </c>
      <c r="AP40" s="36">
        <f t="shared" si="74"/>
        <v>0</v>
      </c>
      <c r="AQ40" s="36">
        <f t="shared" si="75"/>
        <v>0</v>
      </c>
      <c r="AR40" s="36">
        <f t="shared" si="76"/>
        <v>0</v>
      </c>
      <c r="AS40" s="36">
        <f t="shared" si="77"/>
        <v>0</v>
      </c>
      <c r="AT40" s="43">
        <f>SUMIFS('SBR Mar16 - Aug16'!$O$16:$O$475,'SBR Mar16 - Aug16'!$A$16:$A$475,'Mar16-Aug16 Billed-RETAIL'!$D40,'SBR Mar16 - Aug16'!$C$16:$C$475,'Mar16-Aug16 Billed-RETAIL'!$E40)</f>
        <v>0</v>
      </c>
      <c r="AU40" s="43">
        <f>SUMIFS('SBR Mar16 - Aug16'!$N$16:$N$475,'SBR Mar16 - Aug16'!$A$16:$A$475,'Mar16-Aug16 Billed-RETAIL'!$D40,'SBR Mar16 - Aug16'!$C$16:$C$475,'Mar16-Aug16 Billed-RETAIL'!$E40)</f>
        <v>0</v>
      </c>
      <c r="AV40" s="43">
        <f>SUMIFS('SBR Mar16 - Aug16'!$Y$16:$Y$475,'SBR Mar16 - Aug16'!$A$16:$A$475,'Mar16-Aug16 Billed-RETAIL'!$D40,'SBR Mar16 - Aug16'!$C$16:$C$475,'Mar16-Aug16 Billed-RETAIL'!$E40)</f>
        <v>0</v>
      </c>
      <c r="AW40" s="43">
        <f>SUMIFS('SBR Mar16 - Aug16'!$X$16:$X$475,'SBR Mar16 - Aug16'!$A$16:$A$475,'Mar16-Aug16 Billed-RETAIL'!$D40,'SBR Mar16 - Aug16'!$C$16:$C$475,'Mar16-Aug16 Billed-RETAIL'!$E40)</f>
        <v>0</v>
      </c>
      <c r="AX40" s="36">
        <f t="shared" si="78"/>
        <v>0</v>
      </c>
      <c r="AY40" s="36"/>
      <c r="AZ40" s="43">
        <f t="shared" si="79"/>
        <v>0</v>
      </c>
      <c r="BA40" s="43">
        <f t="shared" si="80"/>
        <v>0</v>
      </c>
      <c r="BB40" s="44">
        <f t="shared" si="81"/>
        <v>0</v>
      </c>
      <c r="BC40" s="43">
        <f>SUMIFS('SBR Mar16 - Aug16'!$N$16:$N$475,'SBR Mar16 - Aug16'!$A$16:$A$475,'Mar16-Aug16 Billed-RETAIL'!$D40,'SBR Mar16 - Aug16'!$C$16:$C$475,'Mar16-Aug16 Billed-RETAIL'!$E40)</f>
        <v>0</v>
      </c>
      <c r="BD40" s="43">
        <f>SUMIFS('SBR Mar16 - Aug16'!$O$16:$O$475,'SBR Mar16 - Aug16'!$A$16:$A$475,'Mar16-Aug16 Billed-RETAIL'!$D40,'SBR Mar16 - Aug16'!$C$16:$C$475,'Mar16-Aug16 Billed-RETAIL'!$E40)</f>
        <v>0</v>
      </c>
      <c r="BE40" s="43">
        <f>SUMIFS('SBR Mar16 - Aug16'!$Y$16:$Y$475,'SBR Mar16 - Aug16'!$A$16:$A$475,'Mar16-Aug16 Billed-RETAIL'!$D40,'SBR Mar16 - Aug16'!$C$16:$C$475,'Mar16-Aug16 Billed-RETAIL'!$E40)</f>
        <v>0</v>
      </c>
      <c r="BF40" s="43">
        <f>SUMIFS('SBR Mar16 - Aug16'!$AB$16:$AB$475,'SBR Mar16 - Aug16'!$A$16:$A$475,'Mar16-Aug16 Billed-RETAIL'!$D40,'SBR Mar16 - Aug16'!$C$16:$C$475,'Mar16-Aug16 Billed-RETAIL'!$E40)</f>
        <v>0</v>
      </c>
      <c r="BG40" s="43">
        <f>SUMIFS('SBR Mar16 - Aug16'!$G$16:$G$475,'SBR Mar16 - Aug16'!$A$16:$A$475,'Mar16-Aug16 Billed-RETAIL'!$D40,'SBR Mar16 - Aug16'!$C$16:$C$475,'Mar16-Aug16 Billed-RETAIL'!$E40)</f>
        <v>0</v>
      </c>
      <c r="BH40" s="43">
        <f>SUMIFS('SBR Mar16 - Aug16'!$I$16:$I$475,'SBR Mar16 - Aug16'!$A$16:$A$475,'Mar16-Aug16 Billed-RETAIL'!$D40,'SBR Mar16 - Aug16'!$C$16:$C$475,'Mar16-Aug16 Billed-RETAIL'!$E40)</f>
        <v>0</v>
      </c>
      <c r="BI40" s="43">
        <f>SUMIFS('SBR Mar16 - Aug16'!$H$16:$H$475,'SBR Mar16 - Aug16'!$A$16:$A$475,'Mar16-Aug16 Billed-RETAIL'!$D40,'SBR Mar16 - Aug16'!$C$16:$C$475,'Mar16-Aug16 Billed-RETAIL'!$E40)</f>
        <v>0</v>
      </c>
      <c r="BJ40" s="43">
        <f>SUMIFS('SBR Mar16 - Aug16'!$X$16:$X$475,'SBR Mar16 - Aug16'!$A$16:$A$475,'Mar16-Aug16 Billed-RETAIL'!$D40,'SBR Mar16 - Aug16'!$C$16:$C$475,'Mar16-Aug16 Billed-RETAIL'!$E40)</f>
        <v>0</v>
      </c>
      <c r="BL40" s="51">
        <f t="shared" si="82"/>
        <v>0</v>
      </c>
      <c r="BN40" s="58">
        <f t="shared" si="83"/>
        <v>0</v>
      </c>
      <c r="BO40" s="58">
        <f t="shared" si="84"/>
        <v>0</v>
      </c>
      <c r="BP40" s="58">
        <f t="shared" si="85"/>
        <v>0</v>
      </c>
    </row>
    <row r="41" spans="3:68" ht="15" x14ac:dyDescent="0.25">
      <c r="C41" s="14">
        <f t="shared" ref="C41:C61" si="88">C40+1</f>
        <v>32</v>
      </c>
      <c r="D41" s="604">
        <f t="shared" ref="D41:D49" si="89">$D$39</f>
        <v>42522</v>
      </c>
      <c r="E41" s="604" t="str">
        <f>+'Retail Rates'!$B$11</f>
        <v>LGING866DS</v>
      </c>
      <c r="F41" s="14" t="str">
        <f t="shared" si="86"/>
        <v>866</v>
      </c>
      <c r="G41" s="14" t="str">
        <f>VLOOKUP(E41,'Retail Rates'!$B$7:$D$34,3,FALSE)</f>
        <v>AAGS-I</v>
      </c>
      <c r="H41" s="33">
        <f>SUMIFS('Data-Retail'!$H$4:$H$1000,'Data-Retail'!$A$4:$A$1000,'Mar16-Aug16 Billed-RETAIL'!$D41,'Data-Retail'!$D$4:$D$1000,'Mar16-Aug16 Billed-RETAIL'!$E41)</f>
        <v>2</v>
      </c>
      <c r="I41" s="33"/>
      <c r="J41" s="33"/>
      <c r="K41" s="33">
        <f>SUMIFS('Data-Retail'!$I$4:$I$1000,'Data-Retail'!$A$4:$A$1000,'Mar16-Aug16 Billed-RETAIL'!$D41,'Data-Retail'!$D$4:$D$1000,'Mar16-Aug16 Billed-RETAIL'!$E41)</f>
        <v>75584</v>
      </c>
      <c r="L41" s="33">
        <f>SUMIFS('Data-Retail'!$J$4:$J$1000,'Data-Retail'!$A$4:$A$1000,'Mar16-Aug16 Billed-RETAIL'!$D41,'Data-Retail'!$D$4:$D$1000,'Mar16-Aug16 Billed-RETAIL'!$E41)</f>
        <v>0</v>
      </c>
      <c r="M41" s="33"/>
      <c r="N41" s="34">
        <f>VLOOKUP($E41,'Retail Rates'!$B$7:$L$34,5,FALSE)</f>
        <v>400</v>
      </c>
      <c r="O41" s="34">
        <f>VLOOKUP($E41,'Retail Rates'!$B$7:$L$34,6,FALSE)</f>
        <v>0</v>
      </c>
      <c r="P41" s="35">
        <f>VLOOKUP($E41,'Retail Rates'!$B$7:$L$34,7,FALSE)</f>
        <v>7.009E-2</v>
      </c>
      <c r="Q41" s="35">
        <f>VLOOKUP($E41,'Retail Rates'!$B$7:$L$34,8,FALSE)</f>
        <v>0</v>
      </c>
      <c r="R41" s="35">
        <f>VLOOKUP($D41,'GSC-DSM-GLT Factors'!$A$1:$B$60,2,FALSE)</f>
        <v>0.3513</v>
      </c>
      <c r="S41" s="34">
        <f>VLOOKUP($E41,'Retail Rates'!$B$7:$L$34,9,FALSE)</f>
        <v>0</v>
      </c>
      <c r="T41" s="35">
        <f>VLOOKUP($E41,'Retail Rates'!$B$7:$L$34,10,FALSE)</f>
        <v>0</v>
      </c>
      <c r="U41" s="34">
        <f>VLOOKUP($E41,'Retail Rates'!$B$7:$L$34,11,FALSE)</f>
        <v>0</v>
      </c>
      <c r="V41" s="556">
        <f>VLOOKUP($D41,'GSC-DSM-GLT Factors'!$A$1:$O$60,14,FALSE)</f>
        <v>2838.87</v>
      </c>
      <c r="W41" s="36">
        <f t="shared" si="69"/>
        <v>800</v>
      </c>
      <c r="X41" s="36"/>
      <c r="Y41" s="36"/>
      <c r="Z41" s="36">
        <f t="shared" si="70"/>
        <v>5297.6825600000002</v>
      </c>
      <c r="AA41" s="36">
        <f t="shared" si="71"/>
        <v>0</v>
      </c>
      <c r="AB41" s="36">
        <f t="shared" si="72"/>
        <v>26552.659200000002</v>
      </c>
      <c r="AC41" s="36"/>
      <c r="AD41" s="36"/>
      <c r="AE41" s="36">
        <f t="shared" si="87"/>
        <v>0</v>
      </c>
      <c r="AF41" s="36">
        <f t="shared" si="73"/>
        <v>5677.74</v>
      </c>
      <c r="AG41" s="57">
        <f>SUMIFS(Adjustments!H$5:H$557,Adjustments!$B$5:$B$557,'Mar16-Aug16 Billed-RETAIL'!$D41,Adjustments!$C$5:$C$557,'Mar16-Aug16 Billed-RETAIL'!$E41)</f>
        <v>0</v>
      </c>
      <c r="AH41" s="57">
        <f>SUMIFS(Adjustments!I$5:I$557,Adjustments!$B$5:$B$557,'Mar16-Aug16 Billed-RETAIL'!$D41,Adjustments!$C$5:$C$557,'Mar16-Aug16 Billed-RETAIL'!$E41)</f>
        <v>0</v>
      </c>
      <c r="AI41" s="48">
        <f>SUMIFS(Adjustments!J$5:J$557,Adjustments!$B$5:$B$557,'Mar16-Aug16 Billed-RETAIL'!$D41,Adjustments!$C$5:$C$557,'Mar16-Aug16 Billed-RETAIL'!$E41)</f>
        <v>0</v>
      </c>
      <c r="AJ41" s="48">
        <f>SUMIFS(Adjustments!K$5:K$557,Adjustments!$B$5:$B$557,'Mar16-Aug16 Billed-RETAIL'!$D41,Adjustments!$C$5:$C$557,'Mar16-Aug16 Billed-RETAIL'!$E41)</f>
        <v>0</v>
      </c>
      <c r="AK41" s="48">
        <f>SUMIFS(Adjustments!L$5:L$557,Adjustments!$B$5:$B$557,'Mar16-Aug16 Billed-RETAIL'!$D41,Adjustments!$C$5:$C$557,'Mar16-Aug16 Billed-RETAIL'!$E41)</f>
        <v>0</v>
      </c>
      <c r="AL41" s="48">
        <f>SUMIFS(Adjustments!M$5:M$557,Adjustments!$B$5:$B$557,'Mar16-Aug16 Billed-RETAIL'!$D41,Adjustments!$C$5:$C$557,'Mar16-Aug16 Billed-RETAIL'!$E41)</f>
        <v>0</v>
      </c>
      <c r="AM41" s="48">
        <f>SUMIFS(Adjustments!N$5:N$557,Adjustments!$B$5:$B$557,'Mar16-Aug16 Billed-RETAIL'!$D41,Adjustments!$C$5:$C$557,'Mar16-Aug16 Billed-RETAIL'!$E41)</f>
        <v>0</v>
      </c>
      <c r="AN41" s="48">
        <f>SUMIFS(Adjustments!O$5:O$557,Adjustments!$B$5:$B$557,'Mar16-Aug16 Billed-RETAIL'!$D41,Adjustments!$C$5:$C$557,'Mar16-Aug16 Billed-RETAIL'!$E41)</f>
        <v>0</v>
      </c>
      <c r="AO41" s="48">
        <f>SUMIFS(Adjustments!P$5:P$557,Adjustments!$B$5:$B$557,'Mar16-Aug16 Billed-RETAIL'!$D41,Adjustments!$C$5:$C$557,'Mar16-Aug16 Billed-RETAIL'!$E41)</f>
        <v>0</v>
      </c>
      <c r="AP41" s="36">
        <f t="shared" si="74"/>
        <v>800</v>
      </c>
      <c r="AQ41" s="36">
        <f t="shared" si="75"/>
        <v>0</v>
      </c>
      <c r="AR41" s="36">
        <f t="shared" si="76"/>
        <v>5297.6825600000002</v>
      </c>
      <c r="AS41" s="36">
        <f t="shared" si="77"/>
        <v>0</v>
      </c>
      <c r="AT41" s="43">
        <f>SUMIFS('SBR Mar16 - Aug16'!$O$16:$O$475,'SBR Mar16 - Aug16'!$A$16:$A$475,'Mar16-Aug16 Billed-RETAIL'!$D41,'SBR Mar16 - Aug16'!$C$16:$C$475,'Mar16-Aug16 Billed-RETAIL'!$E41)</f>
        <v>26552.66</v>
      </c>
      <c r="AU41" s="43">
        <f>SUMIFS('SBR Mar16 - Aug16'!$N$16:$N$475,'SBR Mar16 - Aug16'!$A$16:$A$475,'Mar16-Aug16 Billed-RETAIL'!$D41,'SBR Mar16 - Aug16'!$C$16:$C$475,'Mar16-Aug16 Billed-RETAIL'!$E41)</f>
        <v>0</v>
      </c>
      <c r="AV41" s="43">
        <f>SUMIFS('SBR Mar16 - Aug16'!$Y$16:$Y$475,'SBR Mar16 - Aug16'!$A$16:$A$475,'Mar16-Aug16 Billed-RETAIL'!$D41,'SBR Mar16 - Aug16'!$C$16:$C$475,'Mar16-Aug16 Billed-RETAIL'!$E41)</f>
        <v>0</v>
      </c>
      <c r="AW41" s="43">
        <f>SUMIFS('SBR Mar16 - Aug16'!$X$16:$X$475,'SBR Mar16 - Aug16'!$A$16:$A$475,'Mar16-Aug16 Billed-RETAIL'!$D41,'SBR Mar16 - Aug16'!$C$16:$C$475,'Mar16-Aug16 Billed-RETAIL'!$E41)</f>
        <v>5677.74</v>
      </c>
      <c r="AX41" s="36">
        <f t="shared" si="78"/>
        <v>0</v>
      </c>
      <c r="AY41" s="36"/>
      <c r="AZ41" s="43">
        <f t="shared" si="79"/>
        <v>38328.080000000002</v>
      </c>
      <c r="BA41" s="43">
        <f t="shared" si="80"/>
        <v>38328.080000000002</v>
      </c>
      <c r="BB41" s="44">
        <f t="shared" si="81"/>
        <v>1</v>
      </c>
      <c r="BC41" s="43">
        <f>SUMIFS('SBR Mar16 - Aug16'!$N$16:$N$475,'SBR Mar16 - Aug16'!$A$16:$A$475,'Mar16-Aug16 Billed-RETAIL'!$D41,'SBR Mar16 - Aug16'!$C$16:$C$475,'Mar16-Aug16 Billed-RETAIL'!$E41)</f>
        <v>0</v>
      </c>
      <c r="BD41" s="43">
        <f>SUMIFS('SBR Mar16 - Aug16'!$O$16:$O$475,'SBR Mar16 - Aug16'!$A$16:$A$475,'Mar16-Aug16 Billed-RETAIL'!$D41,'SBR Mar16 - Aug16'!$C$16:$C$475,'Mar16-Aug16 Billed-RETAIL'!$E41)</f>
        <v>26552.66</v>
      </c>
      <c r="BE41" s="43">
        <f>SUMIFS('SBR Mar16 - Aug16'!$Y$16:$Y$475,'SBR Mar16 - Aug16'!$A$16:$A$475,'Mar16-Aug16 Billed-RETAIL'!$D41,'SBR Mar16 - Aug16'!$C$16:$C$475,'Mar16-Aug16 Billed-RETAIL'!$E41)</f>
        <v>0</v>
      </c>
      <c r="BF41" s="43">
        <f>SUMIFS('SBR Mar16 - Aug16'!$AB$16:$AB$475,'SBR Mar16 - Aug16'!$A$16:$A$475,'Mar16-Aug16 Billed-RETAIL'!$D41,'SBR Mar16 - Aug16'!$C$16:$C$475,'Mar16-Aug16 Billed-RETAIL'!$E41)</f>
        <v>0</v>
      </c>
      <c r="BG41" s="43">
        <f>SUMIFS('SBR Mar16 - Aug16'!$G$16:$G$475,'SBR Mar16 - Aug16'!$A$16:$A$475,'Mar16-Aug16 Billed-RETAIL'!$D41,'SBR Mar16 - Aug16'!$C$16:$C$475,'Mar16-Aug16 Billed-RETAIL'!$E41)</f>
        <v>800</v>
      </c>
      <c r="BH41" s="43">
        <f>SUMIFS('SBR Mar16 - Aug16'!$I$16:$I$475,'SBR Mar16 - Aug16'!$A$16:$A$475,'Mar16-Aug16 Billed-RETAIL'!$D41,'SBR Mar16 - Aug16'!$C$16:$C$475,'Mar16-Aug16 Billed-RETAIL'!$E41)</f>
        <v>5297.68</v>
      </c>
      <c r="BI41" s="43">
        <f>SUMIFS('SBR Mar16 - Aug16'!$H$16:$H$475,'SBR Mar16 - Aug16'!$A$16:$A$475,'Mar16-Aug16 Billed-RETAIL'!$D41,'SBR Mar16 - Aug16'!$C$16:$C$475,'Mar16-Aug16 Billed-RETAIL'!$E41)</f>
        <v>0</v>
      </c>
      <c r="BJ41" s="43">
        <f>SUMIFS('SBR Mar16 - Aug16'!$X$16:$X$475,'SBR Mar16 - Aug16'!$A$16:$A$475,'Mar16-Aug16 Billed-RETAIL'!$D41,'SBR Mar16 - Aug16'!$C$16:$C$475,'Mar16-Aug16 Billed-RETAIL'!$E41)</f>
        <v>5677.74</v>
      </c>
      <c r="BL41" s="51">
        <f t="shared" si="82"/>
        <v>0</v>
      </c>
      <c r="BN41" s="58">
        <f t="shared" si="83"/>
        <v>0</v>
      </c>
      <c r="BO41" s="58">
        <f t="shared" si="84"/>
        <v>2.5599999999030842E-3</v>
      </c>
      <c r="BP41" s="58">
        <f t="shared" si="85"/>
        <v>0</v>
      </c>
    </row>
    <row r="42" spans="3:68" ht="15" x14ac:dyDescent="0.25">
      <c r="C42" s="14">
        <f t="shared" si="88"/>
        <v>33</v>
      </c>
      <c r="D42" s="604">
        <f t="shared" si="89"/>
        <v>42522</v>
      </c>
      <c r="E42" s="604" t="str">
        <f>+'Retail Rates'!$B$15</f>
        <v>LGCMG851</v>
      </c>
      <c r="F42" s="14" t="str">
        <f t="shared" si="86"/>
        <v>851</v>
      </c>
      <c r="G42" s="14" t="str">
        <f>VLOOKUP(E42,'Retail Rates'!$B$7:$D$34,3,FALSE)</f>
        <v>CGS</v>
      </c>
      <c r="H42" s="33"/>
      <c r="I42" s="33">
        <f>SUMIFS(Adjustments!F$5:F$362,Adjustments!$B$5:$B$362,'Mar16-Aug16 Billed-RETAIL'!$D42,Adjustments!$C$5:$C$362,'Mar16-Aug16 Billed-RETAIL'!$E42)</f>
        <v>23728</v>
      </c>
      <c r="J42" s="33">
        <f>SUMIFS(Adjustments!G$5:G$362,Adjustments!$B$5:$B$362,'Mar16-Aug16 Billed-RETAIL'!$D42,Adjustments!$C$5:$C$362,'Mar16-Aug16 Billed-RETAIL'!$E42)</f>
        <v>1100</v>
      </c>
      <c r="K42" s="33">
        <f>SUMIFS('Data-Retail'!$I$4:$I$1000,'Data-Retail'!$A$4:$A$1000,'Mar16-Aug16 Billed-RETAIL'!$D42,'Data-Retail'!$D$4:$D$1000,'Mar16-Aug16 Billed-RETAIL'!$E42)</f>
        <v>2248476</v>
      </c>
      <c r="L42" s="33">
        <f>SUMIFS('Data-Retail'!$J$4:$J$1000,'Data-Retail'!$A$4:$A$1000,'Mar16-Aug16 Billed-RETAIL'!$D42,'Data-Retail'!$D$4:$D$1000,'Mar16-Aug16 Billed-RETAIL'!$E42)</f>
        <v>1216824</v>
      </c>
      <c r="M42" s="33"/>
      <c r="N42" s="34">
        <f>VLOOKUP($E42,'Retail Rates'!$B$7:$L$34,5,FALSE)</f>
        <v>40</v>
      </c>
      <c r="O42" s="34">
        <f>VLOOKUP($E42,'Retail Rates'!$B$7:$L$34,6,FALSE)</f>
        <v>180</v>
      </c>
      <c r="P42" s="35">
        <f>VLOOKUP($E42,'Retail Rates'!$B$7:$L$34,7,FALSE)</f>
        <v>0.21504000000000001</v>
      </c>
      <c r="Q42" s="35">
        <f>VLOOKUP($E42,'Retail Rates'!$B$7:$L$34,8,FALSE)</f>
        <v>0.16504000000000002</v>
      </c>
      <c r="R42" s="35">
        <f>VLOOKUP($D42,'GSC-DSM-GLT Factors'!$A$1:$B$60,2,FALSE)</f>
        <v>0.3513</v>
      </c>
      <c r="S42" s="34">
        <f>VLOOKUP($E42,'Retail Rates'!$B$7:$L$34,9,FALSE)</f>
        <v>0</v>
      </c>
      <c r="T42" s="35">
        <f>VLOOKUP($E42,'Retail Rates'!$B$7:$L$34,10,FALSE)</f>
        <v>0</v>
      </c>
      <c r="U42" s="34">
        <f>VLOOKUP($E42,'Retail Rates'!$B$7:$L$34,11,FALSE)</f>
        <v>0</v>
      </c>
      <c r="V42" s="556">
        <f>VLOOKUP($D42,'GSC-DSM-GLT Factors'!$A$1:$O$60,12,FALSE)</f>
        <v>27.41</v>
      </c>
      <c r="W42" s="36">
        <f t="shared" si="69"/>
        <v>949120</v>
      </c>
      <c r="X42" s="36"/>
      <c r="Y42" s="36">
        <f>+J42*O42</f>
        <v>198000</v>
      </c>
      <c r="Z42" s="36">
        <f t="shared" si="70"/>
        <v>483512.27903999999</v>
      </c>
      <c r="AA42" s="36">
        <f t="shared" si="71"/>
        <v>200824.63296000002</v>
      </c>
      <c r="AB42" s="36">
        <f t="shared" si="72"/>
        <v>1217359.8899999999</v>
      </c>
      <c r="AC42" s="36"/>
      <c r="AD42" s="36"/>
      <c r="AE42" s="36">
        <f t="shared" si="87"/>
        <v>0</v>
      </c>
      <c r="AF42" s="36">
        <f t="shared" si="73"/>
        <v>650384.48</v>
      </c>
      <c r="AG42" s="57">
        <f>SUMIFS(Adjustments!H$5:H$557,Adjustments!$B$5:$B$557,'Mar16-Aug16 Billed-RETAIL'!$D42,Adjustments!$C$5:$C$557,'Mar16-Aug16 Billed-RETAIL'!$E42)</f>
        <v>0</v>
      </c>
      <c r="AH42" s="57">
        <f>SUMIFS(Adjustments!I$5:I$557,Adjustments!$B$5:$B$557,'Mar16-Aug16 Billed-RETAIL'!$D42,Adjustments!$C$5:$C$557,'Mar16-Aug16 Billed-RETAIL'!$E42)</f>
        <v>0</v>
      </c>
      <c r="AI42" s="48">
        <f>SUMIFS(Adjustments!J$5:J$557,Adjustments!$B$5:$B$557,'Mar16-Aug16 Billed-RETAIL'!$D42,Adjustments!$C$5:$C$557,'Mar16-Aug16 Billed-RETAIL'!$E42)</f>
        <v>306.37</v>
      </c>
      <c r="AJ42" s="48">
        <f>SUMIFS(Adjustments!K$5:K$557,Adjustments!$B$5:$B$557,'Mar16-Aug16 Billed-RETAIL'!$D42,Adjustments!$C$5:$C$557,'Mar16-Aug16 Billed-RETAIL'!$E42)</f>
        <v>36</v>
      </c>
      <c r="AK42" s="48">
        <f>SUMIFS(Adjustments!L$5:L$557,Adjustments!$B$5:$B$557,'Mar16-Aug16 Billed-RETAIL'!$D42,Adjustments!$C$5:$C$557,'Mar16-Aug16 Billed-RETAIL'!$E42)</f>
        <v>119.98</v>
      </c>
      <c r="AL42" s="48">
        <f>SUMIFS(Adjustments!M$5:M$557,Adjustments!$B$5:$B$557,'Mar16-Aug16 Billed-RETAIL'!$D42,Adjustments!$C$5:$C$557,'Mar16-Aug16 Billed-RETAIL'!$E42)</f>
        <v>0</v>
      </c>
      <c r="AM42" s="48">
        <f>SUMIFS(Adjustments!N$5:N$557,Adjustments!$B$5:$B$557,'Mar16-Aug16 Billed-RETAIL'!$D42,Adjustments!$C$5:$C$557,'Mar16-Aug16 Billed-RETAIL'!$E42)</f>
        <v>0</v>
      </c>
      <c r="AN42" s="48">
        <f>SUMIFS(Adjustments!O$5:O$557,Adjustments!$B$5:$B$557,'Mar16-Aug16 Billed-RETAIL'!$D42,Adjustments!$C$5:$C$557,'Mar16-Aug16 Billed-RETAIL'!$E42)</f>
        <v>0</v>
      </c>
      <c r="AO42" s="48">
        <f>SUMIFS(Adjustments!P$5:P$557,Adjustments!$B$5:$B$557,'Mar16-Aug16 Billed-RETAIL'!$D42,Adjustments!$C$5:$C$557,'Mar16-Aug16 Billed-RETAIL'!$E42)</f>
        <v>0</v>
      </c>
      <c r="AP42" s="36">
        <f t="shared" si="74"/>
        <v>949426.37</v>
      </c>
      <c r="AQ42" s="36">
        <f t="shared" si="75"/>
        <v>198036</v>
      </c>
      <c r="AR42" s="36">
        <f t="shared" si="76"/>
        <v>483632.25903999998</v>
      </c>
      <c r="AS42" s="36">
        <f t="shared" si="77"/>
        <v>200824.63296000002</v>
      </c>
      <c r="AT42" s="43">
        <f>SUMIFS('SBR Mar16 - Aug16'!$O$16:$O$475,'SBR Mar16 - Aug16'!$A$16:$A$475,'Mar16-Aug16 Billed-RETAIL'!$D42,'SBR Mar16 - Aug16'!$C$16:$C$475,'Mar16-Aug16 Billed-RETAIL'!$E42)</f>
        <v>1213779.69</v>
      </c>
      <c r="AU42" s="43">
        <f>SUMIFS('SBR Mar16 - Aug16'!$N$16:$N$475,'SBR Mar16 - Aug16'!$A$16:$A$475,'Mar16-Aug16 Billed-RETAIL'!$D42,'SBR Mar16 - Aug16'!$C$16:$C$475,'Mar16-Aug16 Billed-RETAIL'!$E42)</f>
        <v>1965.76</v>
      </c>
      <c r="AV42" s="43">
        <f>SUMIFS('SBR Mar16 - Aug16'!$Y$16:$Y$475,'SBR Mar16 - Aug16'!$A$16:$A$475,'Mar16-Aug16 Billed-RETAIL'!$D42,'SBR Mar16 - Aug16'!$C$16:$C$475,'Mar16-Aug16 Billed-RETAIL'!$E42)</f>
        <v>-211.08</v>
      </c>
      <c r="AW42" s="43">
        <f>SUMIFS('SBR Mar16 - Aug16'!$X$16:$X$475,'SBR Mar16 - Aug16'!$A$16:$A$475,'Mar16-Aug16 Billed-RETAIL'!$D42,'SBR Mar16 - Aug16'!$C$16:$C$475,'Mar16-Aug16 Billed-RETAIL'!$E42)</f>
        <v>681526.15</v>
      </c>
      <c r="AX42" s="36">
        <f t="shared" si="78"/>
        <v>0</v>
      </c>
      <c r="AY42" s="36"/>
      <c r="AZ42" s="43">
        <f t="shared" si="79"/>
        <v>3728979.78</v>
      </c>
      <c r="BA42" s="43">
        <f t="shared" si="80"/>
        <v>3728979.7800000003</v>
      </c>
      <c r="BB42" s="44">
        <f t="shared" si="81"/>
        <v>1</v>
      </c>
      <c r="BC42" s="43">
        <f>SUMIFS('SBR Mar16 - Aug16'!$N$16:$N$475,'SBR Mar16 - Aug16'!$A$16:$A$475,'Mar16-Aug16 Billed-RETAIL'!$D42,'SBR Mar16 - Aug16'!$C$16:$C$475,'Mar16-Aug16 Billed-RETAIL'!$E42)</f>
        <v>1965.76</v>
      </c>
      <c r="BD42" s="43">
        <f>SUMIFS('SBR Mar16 - Aug16'!$O$16:$O$475,'SBR Mar16 - Aug16'!$A$16:$A$475,'Mar16-Aug16 Billed-RETAIL'!$D42,'SBR Mar16 - Aug16'!$C$16:$C$475,'Mar16-Aug16 Billed-RETAIL'!$E42)</f>
        <v>1213779.69</v>
      </c>
      <c r="BE42" s="43">
        <f>SUMIFS('SBR Mar16 - Aug16'!$Y$16:$Y$475,'SBR Mar16 - Aug16'!$A$16:$A$475,'Mar16-Aug16 Billed-RETAIL'!$D42,'SBR Mar16 - Aug16'!$C$16:$C$475,'Mar16-Aug16 Billed-RETAIL'!$E42)</f>
        <v>-211.08</v>
      </c>
      <c r="BF42" s="43">
        <f>SUMIFS('SBR Mar16 - Aug16'!$AB$16:$AB$475,'SBR Mar16 - Aug16'!$A$16:$A$475,'Mar16-Aug16 Billed-RETAIL'!$D42,'SBR Mar16 - Aug16'!$C$16:$C$475,'Mar16-Aug16 Billed-RETAIL'!$E42)</f>
        <v>0</v>
      </c>
      <c r="BG42" s="43">
        <f>SUMIFS('SBR Mar16 - Aug16'!$G$16:$G$475,'SBR Mar16 - Aug16'!$A$16:$A$475,'Mar16-Aug16 Billed-RETAIL'!$D42,'SBR Mar16 - Aug16'!$C$16:$C$475,'Mar16-Aug16 Billed-RETAIL'!$E42)</f>
        <v>1147462.3700000001</v>
      </c>
      <c r="BH42" s="43">
        <f>SUMIFS('SBR Mar16 - Aug16'!$I$16:$I$475,'SBR Mar16 - Aug16'!$A$16:$A$475,'Mar16-Aug16 Billed-RETAIL'!$D42,'SBR Mar16 - Aug16'!$C$16:$C$475,'Mar16-Aug16 Billed-RETAIL'!$E42)</f>
        <v>684456.89</v>
      </c>
      <c r="BI42" s="43">
        <f>SUMIFS('SBR Mar16 - Aug16'!$H$16:$H$475,'SBR Mar16 - Aug16'!$A$16:$A$475,'Mar16-Aug16 Billed-RETAIL'!$D42,'SBR Mar16 - Aug16'!$C$16:$C$475,'Mar16-Aug16 Billed-RETAIL'!$E42)</f>
        <v>0</v>
      </c>
      <c r="BJ42" s="43">
        <f>SUMIFS('SBR Mar16 - Aug16'!$X$16:$X$475,'SBR Mar16 - Aug16'!$A$16:$A$475,'Mar16-Aug16 Billed-RETAIL'!$D42,'SBR Mar16 - Aug16'!$C$16:$C$475,'Mar16-Aug16 Billed-RETAIL'!$E42)</f>
        <v>681526.15</v>
      </c>
      <c r="BL42" s="51">
        <f t="shared" si="82"/>
        <v>0</v>
      </c>
      <c r="BN42" s="58">
        <f t="shared" si="83"/>
        <v>0</v>
      </c>
      <c r="BO42" s="58">
        <f t="shared" si="84"/>
        <v>1.9999999785795808E-3</v>
      </c>
      <c r="BP42" s="58">
        <f t="shared" si="85"/>
        <v>0</v>
      </c>
    </row>
    <row r="43" spans="3:68" ht="15" customHeight="1" x14ac:dyDescent="0.25">
      <c r="C43" s="14">
        <f t="shared" si="88"/>
        <v>34</v>
      </c>
      <c r="D43" s="604">
        <f t="shared" si="89"/>
        <v>42522</v>
      </c>
      <c r="E43" s="604" t="str">
        <f>+'Retail Rates'!$B$16</f>
        <v>LGUMG861</v>
      </c>
      <c r="F43" s="14" t="str">
        <f t="shared" si="86"/>
        <v>861</v>
      </c>
      <c r="G43" s="14" t="str">
        <f>VLOOKUP(E43,'Retail Rates'!$B$7:$D$34,3,FALSE)</f>
        <v>CGS</v>
      </c>
      <c r="H43" s="33"/>
      <c r="I43" s="33">
        <f>SUMIFS(Adjustments!F$5:F$362,Adjustments!$B$5:$B$362,'Mar16-Aug16 Billed-RETAIL'!$D43,Adjustments!$C$5:$C$362,'Mar16-Aug16 Billed-RETAIL'!$E43)</f>
        <v>620</v>
      </c>
      <c r="J43" s="33">
        <f>SUMIFS(Adjustments!G$5:G$362,Adjustments!$B$5:$B$362,'Mar16-Aug16 Billed-RETAIL'!$D43,Adjustments!$C$5:$C$362,'Mar16-Aug16 Billed-RETAIL'!$E43)</f>
        <v>0</v>
      </c>
      <c r="K43" s="33">
        <f>SUMIFS('Data-Retail'!$I$4:$I$1000,'Data-Retail'!$A$4:$A$1000,'Mar16-Aug16 Billed-RETAIL'!$D43,'Data-Retail'!$D$4:$D$1000,'Mar16-Aug16 Billed-RETAIL'!$E43)</f>
        <v>613</v>
      </c>
      <c r="L43" s="33">
        <f>SUMIFS('Data-Retail'!$J$4:$J$1000,'Data-Retail'!$A$4:$A$1000,'Mar16-Aug16 Billed-RETAIL'!$D43,'Data-Retail'!$D$4:$D$1000,'Mar16-Aug16 Billed-RETAIL'!$E43)</f>
        <v>0</v>
      </c>
      <c r="M43" s="33"/>
      <c r="N43" s="34">
        <f>VLOOKUP($E43,'Retail Rates'!$B$7:$L$34,5,FALSE)</f>
        <v>40</v>
      </c>
      <c r="O43" s="34">
        <f>VLOOKUP($E43,'Retail Rates'!$B$7:$L$34,6,FALSE)</f>
        <v>180</v>
      </c>
      <c r="P43" s="35">
        <f>VLOOKUP($E43,'Retail Rates'!$B$7:$L$34,7,FALSE)</f>
        <v>0.21504000000000001</v>
      </c>
      <c r="Q43" s="35">
        <f>VLOOKUP($E43,'Retail Rates'!$B$7:$L$34,8,FALSE)</f>
        <v>0.16504000000000002</v>
      </c>
      <c r="R43" s="35">
        <f>VLOOKUP($D43,'GSC-DSM-GLT Factors'!$A$1:$B$60,2,FALSE)</f>
        <v>0.3513</v>
      </c>
      <c r="S43" s="34">
        <f>VLOOKUP($E43,'Retail Rates'!$B$7:$L$34,9,FALSE)</f>
        <v>0</v>
      </c>
      <c r="T43" s="35">
        <f>VLOOKUP($E43,'Retail Rates'!$B$7:$L$34,10,FALSE)</f>
        <v>0</v>
      </c>
      <c r="U43" s="34">
        <f>VLOOKUP($E43,'Retail Rates'!$B$7:$L$34,11,FALSE)</f>
        <v>0</v>
      </c>
      <c r="V43" s="556">
        <f>VLOOKUP($D43,'GSC-DSM-GLT Factors'!$A$1:$O$60,12,FALSE)</f>
        <v>27.41</v>
      </c>
      <c r="W43" s="36">
        <f t="shared" si="69"/>
        <v>24800</v>
      </c>
      <c r="X43" s="36"/>
      <c r="Y43" s="36">
        <f>+J43*O43</f>
        <v>0</v>
      </c>
      <c r="Z43" s="36">
        <f t="shared" si="70"/>
        <v>131.81952000000001</v>
      </c>
      <c r="AA43" s="36">
        <f t="shared" si="71"/>
        <v>0</v>
      </c>
      <c r="AB43" s="36">
        <f t="shared" si="72"/>
        <v>215.34690000000001</v>
      </c>
      <c r="AC43" s="36"/>
      <c r="AD43" s="36"/>
      <c r="AE43" s="36">
        <f t="shared" si="87"/>
        <v>0</v>
      </c>
      <c r="AF43" s="36">
        <f t="shared" si="73"/>
        <v>16994.2</v>
      </c>
      <c r="AG43" s="57">
        <f>SUMIFS(Adjustments!H$5:H$557,Adjustments!$B$5:$B$557,'Mar16-Aug16 Billed-RETAIL'!$D43,Adjustments!$C$5:$C$557,'Mar16-Aug16 Billed-RETAIL'!$E43)</f>
        <v>0</v>
      </c>
      <c r="AH43" s="57">
        <f>SUMIFS(Adjustments!I$5:I$557,Adjustments!$B$5:$B$557,'Mar16-Aug16 Billed-RETAIL'!$D43,Adjustments!$C$5:$C$557,'Mar16-Aug16 Billed-RETAIL'!$E43)</f>
        <v>0</v>
      </c>
      <c r="AI43" s="48">
        <f>SUMIFS(Adjustments!J$5:J$557,Adjustments!$B$5:$B$557,'Mar16-Aug16 Billed-RETAIL'!$D43,Adjustments!$C$5:$C$557,'Mar16-Aug16 Billed-RETAIL'!$E43)</f>
        <v>0</v>
      </c>
      <c r="AJ43" s="48">
        <f>SUMIFS(Adjustments!K$5:K$557,Adjustments!$B$5:$B$557,'Mar16-Aug16 Billed-RETAIL'!$D43,Adjustments!$C$5:$C$557,'Mar16-Aug16 Billed-RETAIL'!$E43)</f>
        <v>0</v>
      </c>
      <c r="AK43" s="48">
        <f>SUMIFS(Adjustments!L$5:L$557,Adjustments!$B$5:$B$557,'Mar16-Aug16 Billed-RETAIL'!$D43,Adjustments!$C$5:$C$557,'Mar16-Aug16 Billed-RETAIL'!$E43)</f>
        <v>2.95</v>
      </c>
      <c r="AL43" s="48">
        <f>SUMIFS(Adjustments!M$5:M$557,Adjustments!$B$5:$B$557,'Mar16-Aug16 Billed-RETAIL'!$D43,Adjustments!$C$5:$C$557,'Mar16-Aug16 Billed-RETAIL'!$E43)</f>
        <v>0</v>
      </c>
      <c r="AM43" s="48">
        <f>SUMIFS(Adjustments!N$5:N$557,Adjustments!$B$5:$B$557,'Mar16-Aug16 Billed-RETAIL'!$D43,Adjustments!$C$5:$C$557,'Mar16-Aug16 Billed-RETAIL'!$E43)</f>
        <v>0</v>
      </c>
      <c r="AN43" s="48">
        <f>SUMIFS(Adjustments!O$5:O$557,Adjustments!$B$5:$B$557,'Mar16-Aug16 Billed-RETAIL'!$D43,Adjustments!$C$5:$C$557,'Mar16-Aug16 Billed-RETAIL'!$E43)</f>
        <v>0</v>
      </c>
      <c r="AO43" s="48">
        <f>SUMIFS(Adjustments!P$5:P$557,Adjustments!$B$5:$B$557,'Mar16-Aug16 Billed-RETAIL'!$D43,Adjustments!$C$5:$C$557,'Mar16-Aug16 Billed-RETAIL'!$E43)</f>
        <v>0</v>
      </c>
      <c r="AP43" s="36">
        <f t="shared" si="74"/>
        <v>24800</v>
      </c>
      <c r="AQ43" s="36">
        <f t="shared" si="75"/>
        <v>0</v>
      </c>
      <c r="AR43" s="36">
        <f t="shared" si="76"/>
        <v>134.76952</v>
      </c>
      <c r="AS43" s="36">
        <f t="shared" si="77"/>
        <v>0</v>
      </c>
      <c r="AT43" s="43">
        <f>SUMIFS('SBR Mar16 - Aug16'!$O$16:$O$475,'SBR Mar16 - Aug16'!$A$16:$A$475,'Mar16-Aug16 Billed-RETAIL'!$D43,'SBR Mar16 - Aug16'!$C$16:$C$475,'Mar16-Aug16 Billed-RETAIL'!$E43)</f>
        <v>214.55</v>
      </c>
      <c r="AU43" s="43">
        <f>SUMIFS('SBR Mar16 - Aug16'!$N$16:$N$475,'SBR Mar16 - Aug16'!$A$16:$A$475,'Mar16-Aug16 Billed-RETAIL'!$D43,'SBR Mar16 - Aug16'!$C$16:$C$475,'Mar16-Aug16 Billed-RETAIL'!$E43)</f>
        <v>0</v>
      </c>
      <c r="AV43" s="43">
        <f>SUMIFS('SBR Mar16 - Aug16'!$Y$16:$Y$475,'SBR Mar16 - Aug16'!$A$16:$A$475,'Mar16-Aug16 Billed-RETAIL'!$D43,'SBR Mar16 - Aug16'!$C$16:$C$475,'Mar16-Aug16 Billed-RETAIL'!$E43)</f>
        <v>0</v>
      </c>
      <c r="AW43" s="43">
        <f>SUMIFS('SBR Mar16 - Aug16'!$X$16:$X$475,'SBR Mar16 - Aug16'!$A$16:$A$475,'Mar16-Aug16 Billed-RETAIL'!$D43,'SBR Mar16 - Aug16'!$C$16:$C$475,'Mar16-Aug16 Billed-RETAIL'!$E43)</f>
        <v>0</v>
      </c>
      <c r="AX43" s="36">
        <f t="shared" si="78"/>
        <v>0</v>
      </c>
      <c r="AY43" s="36"/>
      <c r="AZ43" s="43">
        <f t="shared" si="79"/>
        <v>25149.32</v>
      </c>
      <c r="BA43" s="43">
        <f t="shared" si="80"/>
        <v>25149.32</v>
      </c>
      <c r="BB43" s="44">
        <f t="shared" si="81"/>
        <v>1</v>
      </c>
      <c r="BC43" s="43">
        <f>SUMIFS('SBR Mar16 - Aug16'!$N$16:$N$475,'SBR Mar16 - Aug16'!$A$16:$A$475,'Mar16-Aug16 Billed-RETAIL'!$D43,'SBR Mar16 - Aug16'!$C$16:$C$475,'Mar16-Aug16 Billed-RETAIL'!$E43)</f>
        <v>0</v>
      </c>
      <c r="BD43" s="43">
        <f>SUMIFS('SBR Mar16 - Aug16'!$O$16:$O$475,'SBR Mar16 - Aug16'!$A$16:$A$475,'Mar16-Aug16 Billed-RETAIL'!$D43,'SBR Mar16 - Aug16'!$C$16:$C$475,'Mar16-Aug16 Billed-RETAIL'!$E43)</f>
        <v>214.55</v>
      </c>
      <c r="BE43" s="43">
        <f>SUMIFS('SBR Mar16 - Aug16'!$Y$16:$Y$475,'SBR Mar16 - Aug16'!$A$16:$A$475,'Mar16-Aug16 Billed-RETAIL'!$D43,'SBR Mar16 - Aug16'!$C$16:$C$475,'Mar16-Aug16 Billed-RETAIL'!$E43)</f>
        <v>0</v>
      </c>
      <c r="BF43" s="43">
        <f>SUMIFS('SBR Mar16 - Aug16'!$AB$16:$AB$475,'SBR Mar16 - Aug16'!$A$16:$A$475,'Mar16-Aug16 Billed-RETAIL'!$D43,'SBR Mar16 - Aug16'!$C$16:$C$475,'Mar16-Aug16 Billed-RETAIL'!$E43)</f>
        <v>0</v>
      </c>
      <c r="BG43" s="43">
        <f>SUMIFS('SBR Mar16 - Aug16'!$G$16:$G$475,'SBR Mar16 - Aug16'!$A$16:$A$475,'Mar16-Aug16 Billed-RETAIL'!$D43,'SBR Mar16 - Aug16'!$C$16:$C$475,'Mar16-Aug16 Billed-RETAIL'!$E43)</f>
        <v>24800</v>
      </c>
      <c r="BH43" s="43">
        <f>SUMIFS('SBR Mar16 - Aug16'!$I$16:$I$475,'SBR Mar16 - Aug16'!$A$16:$A$475,'Mar16-Aug16 Billed-RETAIL'!$D43,'SBR Mar16 - Aug16'!$C$16:$C$475,'Mar16-Aug16 Billed-RETAIL'!$E43)</f>
        <v>134.77000000000001</v>
      </c>
      <c r="BI43" s="43">
        <f>SUMIFS('SBR Mar16 - Aug16'!$H$16:$H$475,'SBR Mar16 - Aug16'!$A$16:$A$475,'Mar16-Aug16 Billed-RETAIL'!$D43,'SBR Mar16 - Aug16'!$C$16:$C$475,'Mar16-Aug16 Billed-RETAIL'!$E43)</f>
        <v>0</v>
      </c>
      <c r="BJ43" s="43">
        <f>SUMIFS('SBR Mar16 - Aug16'!$X$16:$X$475,'SBR Mar16 - Aug16'!$A$16:$A$475,'Mar16-Aug16 Billed-RETAIL'!$D43,'SBR Mar16 - Aug16'!$C$16:$C$475,'Mar16-Aug16 Billed-RETAIL'!$E43)</f>
        <v>0</v>
      </c>
      <c r="BL43" s="51">
        <f t="shared" si="82"/>
        <v>0</v>
      </c>
      <c r="BN43" s="58">
        <f t="shared" si="83"/>
        <v>0</v>
      </c>
      <c r="BO43" s="58">
        <f t="shared" si="84"/>
        <v>-4.8000000001025001E-4</v>
      </c>
      <c r="BP43" s="58">
        <f t="shared" si="85"/>
        <v>0</v>
      </c>
    </row>
    <row r="44" spans="3:68" ht="15" customHeight="1" x14ac:dyDescent="0.25">
      <c r="C44" s="14">
        <f t="shared" si="88"/>
        <v>35</v>
      </c>
      <c r="D44" s="604">
        <f t="shared" si="89"/>
        <v>42522</v>
      </c>
      <c r="E44" s="604" t="str">
        <f>+'Retail Rates'!$B$20</f>
        <v>LGCMG875</v>
      </c>
      <c r="F44" s="14" t="str">
        <f t="shared" si="86"/>
        <v>875</v>
      </c>
      <c r="G44" s="14" t="str">
        <f>VLOOKUP(E44,'Retail Rates'!$B$7:$D$34,3,FALSE)</f>
        <v>DGGS-C</v>
      </c>
      <c r="H44" s="33">
        <f>SUMIFS('Data-Retail'!$H$4:$H$1000,'Data-Retail'!$A$4:$A$1000,'Mar16-Aug16 Billed-RETAIL'!$D44,'Data-Retail'!$D$4:$D$1000,'Mar16-Aug16 Billed-RETAIL'!$E44)</f>
        <v>1</v>
      </c>
      <c r="I44" s="33"/>
      <c r="J44" s="33"/>
      <c r="K44" s="33">
        <f>SUMIFS('Data-Retail'!$I$4:$I$1000,'Data-Retail'!$A$4:$A$1000,'Mar16-Aug16 Billed-RETAIL'!$D44,'Data-Retail'!$D$4:$D$1000,'Mar16-Aug16 Billed-RETAIL'!$E44)</f>
        <v>7</v>
      </c>
      <c r="L44" s="33">
        <f>SUMIFS('Data-Retail'!$J$4:$J$1000,'Data-Retail'!$A$4:$A$1000,'Mar16-Aug16 Billed-RETAIL'!$D44,'Data-Retail'!$D$4:$D$1000,'Mar16-Aug16 Billed-RETAIL'!$E44)</f>
        <v>0</v>
      </c>
      <c r="M44" s="33">
        <v>483</v>
      </c>
      <c r="N44" s="34">
        <f>VLOOKUP($E44,'Retail Rates'!$B$7:$L$34,5,FALSE)</f>
        <v>40</v>
      </c>
      <c r="O44" s="34">
        <f>VLOOKUP($E44,'Retail Rates'!$B$7:$L$34,6,FALSE)</f>
        <v>180</v>
      </c>
      <c r="P44" s="35">
        <f>VLOOKUP($E44,'Retail Rates'!$B$7:$L$34,7,FALSE)</f>
        <v>3.329E-2</v>
      </c>
      <c r="Q44" s="35">
        <f>VLOOKUP($E44,'Retail Rates'!$B$7:$L$34,8,FALSE)</f>
        <v>0</v>
      </c>
      <c r="R44" s="35">
        <f>VLOOKUP($D44,'GSC-DSM-GLT Factors'!$A$1:$B$60,2,FALSE)</f>
        <v>0.3513</v>
      </c>
      <c r="S44" s="34">
        <f>VLOOKUP($E44,'Retail Rates'!$B$7:$L$34,9,FALSE)</f>
        <v>0</v>
      </c>
      <c r="T44" s="35">
        <f>VLOOKUP($E44,'Retail Rates'!$B$7:$L$34,10,FALSE)</f>
        <v>0</v>
      </c>
      <c r="U44" s="699">
        <f>VLOOKUP($E44,'Retail Rates'!$B$7:$L$34,11,FALSE)</f>
        <v>1.1263000000000001</v>
      </c>
      <c r="V44" s="556">
        <f>VLOOKUP($D44,'GSC-DSM-GLT Factors'!$A$1:$O$60,15,FALSE)</f>
        <v>0</v>
      </c>
      <c r="W44" s="36">
        <f t="shared" si="69"/>
        <v>40</v>
      </c>
      <c r="X44" s="36"/>
      <c r="Y44" s="36"/>
      <c r="Z44" s="36">
        <f t="shared" si="70"/>
        <v>0.23303000000000001</v>
      </c>
      <c r="AA44" s="36">
        <f t="shared" si="71"/>
        <v>0</v>
      </c>
      <c r="AB44" s="36">
        <f t="shared" si="72"/>
        <v>2.4590999999999998</v>
      </c>
      <c r="AC44" s="36"/>
      <c r="AD44" s="36"/>
      <c r="AE44" s="36">
        <f t="shared" si="87"/>
        <v>544.00290000000007</v>
      </c>
      <c r="AF44" s="36">
        <f t="shared" si="73"/>
        <v>0</v>
      </c>
      <c r="AG44" s="57">
        <f>SUMIFS(Adjustments!H$5:H$557,Adjustments!$B$5:$B$557,'Mar16-Aug16 Billed-RETAIL'!$D44,Adjustments!$C$5:$C$557,'Mar16-Aug16 Billed-RETAIL'!$E44)</f>
        <v>0</v>
      </c>
      <c r="AH44" s="57">
        <f>SUMIFS(Adjustments!I$5:I$557,Adjustments!$B$5:$B$557,'Mar16-Aug16 Billed-RETAIL'!$D44,Adjustments!$C$5:$C$557,'Mar16-Aug16 Billed-RETAIL'!$E44)</f>
        <v>0</v>
      </c>
      <c r="AI44" s="48">
        <f>SUMIFS(Adjustments!J$5:J$557,Adjustments!$B$5:$B$557,'Mar16-Aug16 Billed-RETAIL'!$D44,Adjustments!$C$5:$C$557,'Mar16-Aug16 Billed-RETAIL'!$E44)</f>
        <v>0</v>
      </c>
      <c r="AJ44" s="48">
        <f>SUMIFS(Adjustments!K$5:K$557,Adjustments!$B$5:$B$557,'Mar16-Aug16 Billed-RETAIL'!$D44,Adjustments!$C$5:$C$557,'Mar16-Aug16 Billed-RETAIL'!$E44)</f>
        <v>0</v>
      </c>
      <c r="AK44" s="48">
        <f>SUMIFS(Adjustments!L$5:L$557,Adjustments!$B$5:$B$557,'Mar16-Aug16 Billed-RETAIL'!$D44,Adjustments!$C$5:$C$557,'Mar16-Aug16 Billed-RETAIL'!$E44)</f>
        <v>-0.01</v>
      </c>
      <c r="AL44" s="48">
        <f>SUMIFS(Adjustments!M$5:M$557,Adjustments!$B$5:$B$557,'Mar16-Aug16 Billed-RETAIL'!$D44,Adjustments!$C$5:$C$557,'Mar16-Aug16 Billed-RETAIL'!$E44)</f>
        <v>0</v>
      </c>
      <c r="AM44" s="48">
        <f>SUMIFS(Adjustments!N$5:N$557,Adjustments!$B$5:$B$557,'Mar16-Aug16 Billed-RETAIL'!$D44,Adjustments!$C$5:$C$557,'Mar16-Aug16 Billed-RETAIL'!$E44)</f>
        <v>0</v>
      </c>
      <c r="AN44" s="48">
        <f>SUMIFS(Adjustments!O$5:O$557,Adjustments!$B$5:$B$557,'Mar16-Aug16 Billed-RETAIL'!$D44,Adjustments!$C$5:$C$557,'Mar16-Aug16 Billed-RETAIL'!$E44)</f>
        <v>0</v>
      </c>
      <c r="AO44" s="48">
        <f>SUMIFS(Adjustments!P$5:P$557,Adjustments!$B$5:$B$557,'Mar16-Aug16 Billed-RETAIL'!$D44,Adjustments!$C$5:$C$557,'Mar16-Aug16 Billed-RETAIL'!$E44)</f>
        <v>0</v>
      </c>
      <c r="AP44" s="36">
        <f t="shared" si="74"/>
        <v>40</v>
      </c>
      <c r="AQ44" s="36">
        <f t="shared" si="75"/>
        <v>0</v>
      </c>
      <c r="AR44" s="36">
        <f t="shared" si="76"/>
        <v>0.22303000000000001</v>
      </c>
      <c r="AS44" s="36">
        <f t="shared" si="77"/>
        <v>0</v>
      </c>
      <c r="AT44" s="43">
        <f>SUMIFS('SBR Mar16 - Aug16'!$O$16:$O$475,'SBR Mar16 - Aug16'!$A$16:$A$475,'Mar16-Aug16 Billed-RETAIL'!$D44,'SBR Mar16 - Aug16'!$C$16:$C$475,'Mar16-Aug16 Billed-RETAIL'!$E44)</f>
        <v>2.46</v>
      </c>
      <c r="AU44" s="43">
        <f>SUMIFS('SBR Mar16 - Aug16'!$N$16:$N$475,'SBR Mar16 - Aug16'!$A$16:$A$475,'Mar16-Aug16 Billed-RETAIL'!$D44,'SBR Mar16 - Aug16'!$C$16:$C$475,'Mar16-Aug16 Billed-RETAIL'!$E44)</f>
        <v>0</v>
      </c>
      <c r="AV44" s="43">
        <f>SUMIFS('SBR Mar16 - Aug16'!$Y$16:$Y$475,'SBR Mar16 - Aug16'!$A$16:$A$475,'Mar16-Aug16 Billed-RETAIL'!$D44,'SBR Mar16 - Aug16'!$C$16:$C$475,'Mar16-Aug16 Billed-RETAIL'!$E44)</f>
        <v>0</v>
      </c>
      <c r="AW44" s="43">
        <f>SUMIFS('SBR Mar16 - Aug16'!$X$16:$X$475,'SBR Mar16 - Aug16'!$A$16:$A$475,'Mar16-Aug16 Billed-RETAIL'!$D44,'SBR Mar16 - Aug16'!$C$16:$C$475,'Mar16-Aug16 Billed-RETAIL'!$E44)</f>
        <v>0</v>
      </c>
      <c r="AX44" s="36">
        <f t="shared" si="78"/>
        <v>544.00290000000007</v>
      </c>
      <c r="AY44" s="36"/>
      <c r="AZ44" s="43">
        <f t="shared" si="79"/>
        <v>586.69000000000005</v>
      </c>
      <c r="BA44" s="43">
        <f t="shared" si="80"/>
        <v>586.69000000000005</v>
      </c>
      <c r="BB44" s="44">
        <f t="shared" si="81"/>
        <v>1</v>
      </c>
      <c r="BC44" s="43">
        <f>SUMIFS('SBR Mar16 - Aug16'!$N$16:$N$475,'SBR Mar16 - Aug16'!$A$16:$A$475,'Mar16-Aug16 Billed-RETAIL'!$D44,'SBR Mar16 - Aug16'!$C$16:$C$475,'Mar16-Aug16 Billed-RETAIL'!$E44)</f>
        <v>0</v>
      </c>
      <c r="BD44" s="43">
        <f>SUMIFS('SBR Mar16 - Aug16'!$O$16:$O$475,'SBR Mar16 - Aug16'!$A$16:$A$475,'Mar16-Aug16 Billed-RETAIL'!$D44,'SBR Mar16 - Aug16'!$C$16:$C$475,'Mar16-Aug16 Billed-RETAIL'!$E44)</f>
        <v>2.46</v>
      </c>
      <c r="BE44" s="43">
        <f>SUMIFS('SBR Mar16 - Aug16'!$Y$16:$Y$475,'SBR Mar16 - Aug16'!$A$16:$A$475,'Mar16-Aug16 Billed-RETAIL'!$D44,'SBR Mar16 - Aug16'!$C$16:$C$475,'Mar16-Aug16 Billed-RETAIL'!$E44)</f>
        <v>0</v>
      </c>
      <c r="BF44" s="43">
        <f>SUMIFS('SBR Mar16 - Aug16'!$AB$16:$AB$475,'SBR Mar16 - Aug16'!$A$16:$A$475,'Mar16-Aug16 Billed-RETAIL'!$D44,'SBR Mar16 - Aug16'!$C$16:$C$475,'Mar16-Aug16 Billed-RETAIL'!$E44)</f>
        <v>0</v>
      </c>
      <c r="BG44" s="43">
        <f>SUMIFS('SBR Mar16 - Aug16'!$G$16:$G$475,'SBR Mar16 - Aug16'!$A$16:$A$475,'Mar16-Aug16 Billed-RETAIL'!$D44,'SBR Mar16 - Aug16'!$C$16:$C$475,'Mar16-Aug16 Billed-RETAIL'!$E44)</f>
        <v>40</v>
      </c>
      <c r="BH44" s="43">
        <f>SUMIFS('SBR Mar16 - Aug16'!$I$16:$I$475,'SBR Mar16 - Aug16'!$A$16:$A$475,'Mar16-Aug16 Billed-RETAIL'!$D44,'SBR Mar16 - Aug16'!$C$16:$C$475,'Mar16-Aug16 Billed-RETAIL'!$E44)</f>
        <v>0.23</v>
      </c>
      <c r="BI44" s="43">
        <f>SUMIFS('SBR Mar16 - Aug16'!$H$16:$H$475,'SBR Mar16 - Aug16'!$A$16:$A$475,'Mar16-Aug16 Billed-RETAIL'!$D44,'SBR Mar16 - Aug16'!$C$16:$C$475,'Mar16-Aug16 Billed-RETAIL'!$E44)</f>
        <v>544</v>
      </c>
      <c r="BJ44" s="43">
        <f>SUMIFS('SBR Mar16 - Aug16'!$X$16:$X$475,'SBR Mar16 - Aug16'!$A$16:$A$475,'Mar16-Aug16 Billed-RETAIL'!$D44,'SBR Mar16 - Aug16'!$C$16:$C$475,'Mar16-Aug16 Billed-RETAIL'!$E44)</f>
        <v>0</v>
      </c>
      <c r="BL44" s="51">
        <f t="shared" si="82"/>
        <v>0</v>
      </c>
      <c r="BN44" s="58">
        <f t="shared" si="83"/>
        <v>0</v>
      </c>
      <c r="BO44" s="58">
        <f t="shared" si="84"/>
        <v>-6.970000000000004E-3</v>
      </c>
      <c r="BP44" s="58">
        <f t="shared" si="85"/>
        <v>0</v>
      </c>
    </row>
    <row r="45" spans="3:68" ht="15" customHeight="1" x14ac:dyDescent="0.25">
      <c r="C45" s="14">
        <f t="shared" si="88"/>
        <v>36</v>
      </c>
      <c r="D45" s="604">
        <f t="shared" si="89"/>
        <v>42522</v>
      </c>
      <c r="E45" s="604" t="str">
        <f>+'Retail Rates'!$B$26</f>
        <v>LGING855</v>
      </c>
      <c r="F45" s="14" t="str">
        <f t="shared" si="86"/>
        <v>855</v>
      </c>
      <c r="G45" s="14" t="s">
        <v>118</v>
      </c>
      <c r="H45" s="33"/>
      <c r="I45" s="33">
        <f>SUMIFS(Adjustments!F$5:F$362,Adjustments!$B$5:$B$362,'Mar16-Aug16 Billed-RETAIL'!$D45,Adjustments!$C$5:$C$362,'Mar16-Aug16 Billed-RETAIL'!$E45)</f>
        <v>-2</v>
      </c>
      <c r="J45" s="33">
        <f>SUMIFS(Adjustments!G$5:G$362,Adjustments!$B$5:$B$362,'Mar16-Aug16 Billed-RETAIL'!$D45,Adjustments!$C$5:$C$362,'Mar16-Aug16 Billed-RETAIL'!$E45)</f>
        <v>0</v>
      </c>
      <c r="K45" s="33">
        <f>SUMIFS('Data-Retail'!$I$4:$I$1000,'Data-Retail'!$A$4:$A$1000,'Mar16-Aug16 Billed-RETAIL'!$D45,'Data-Retail'!$D$4:$D$1000,'Mar16-Aug16 Billed-RETAIL'!$E45)</f>
        <v>-956</v>
      </c>
      <c r="L45" s="33">
        <f>SUMIFS('Data-Retail'!$J$4:$J$1000,'Data-Retail'!$A$4:$A$1000,'Mar16-Aug16 Billed-RETAIL'!$D45,'Data-Retail'!$D$4:$D$1000,'Mar16-Aug16 Billed-RETAIL'!$E45)</f>
        <v>-57341</v>
      </c>
      <c r="M45" s="33"/>
      <c r="N45" s="34">
        <f>VLOOKUP($E45,'Retail Rates'!$B$7:$L$34,5,FALSE)</f>
        <v>40</v>
      </c>
      <c r="O45" s="34">
        <f>VLOOKUP($E45,'Retail Rates'!$B$7:$L$34,6,FALSE)</f>
        <v>180</v>
      </c>
      <c r="P45" s="35">
        <f>VLOOKUP($E45,'Retail Rates'!$B$7:$L$34,7,FALSE)</f>
        <v>0.22778999999999999</v>
      </c>
      <c r="Q45" s="35">
        <f>VLOOKUP($E45,'Retail Rates'!$B$7:$L$34,8,FALSE)</f>
        <v>0.17779</v>
      </c>
      <c r="R45" s="35">
        <f>VLOOKUP($D45,'GSC-DSM-GLT Factors'!$A$1:$B$60,2,FALSE)</f>
        <v>0.3513</v>
      </c>
      <c r="S45" s="34">
        <f>VLOOKUP($E45,'Retail Rates'!$B$7:$L$34,9,FALSE)</f>
        <v>0</v>
      </c>
      <c r="T45" s="35">
        <f>VLOOKUP($E45,'Retail Rates'!$B$7:$L$34,10,FALSE)</f>
        <v>0</v>
      </c>
      <c r="U45" s="34">
        <f>VLOOKUP($E45,'Retail Rates'!$B$7:$L$34,11,FALSE)</f>
        <v>0</v>
      </c>
      <c r="V45" s="556">
        <f>VLOOKUP($D45,'GSC-DSM-GLT Factors'!$A$1:$O$60,13,FALSE)</f>
        <v>259.54000000000002</v>
      </c>
      <c r="W45" s="36">
        <f t="shared" si="69"/>
        <v>-80</v>
      </c>
      <c r="X45" s="36"/>
      <c r="Y45" s="36">
        <f>+J45*O45</f>
        <v>0</v>
      </c>
      <c r="Z45" s="36">
        <f t="shared" si="70"/>
        <v>-217.76723999999999</v>
      </c>
      <c r="AA45" s="36">
        <f t="shared" si="71"/>
        <v>-10194.65639</v>
      </c>
      <c r="AB45" s="36">
        <f t="shared" si="72"/>
        <v>-20479.736099999998</v>
      </c>
      <c r="AC45" s="36"/>
      <c r="AD45" s="36"/>
      <c r="AE45" s="36">
        <f t="shared" si="87"/>
        <v>0</v>
      </c>
      <c r="AF45" s="36">
        <f>(+I45*V45)+(J45*V45)</f>
        <v>-519.08000000000004</v>
      </c>
      <c r="AG45" s="57">
        <f>SUMIFS(Adjustments!H$5:H$557,Adjustments!$B$5:$B$557,'Mar16-Aug16 Billed-RETAIL'!$D45,Adjustments!$C$5:$C$557,'Mar16-Aug16 Billed-RETAIL'!$E45)</f>
        <v>0</v>
      </c>
      <c r="AH45" s="57">
        <f>SUMIFS(Adjustments!I$5:I$557,Adjustments!$B$5:$B$557,'Mar16-Aug16 Billed-RETAIL'!$D45,Adjustments!$C$5:$C$557,'Mar16-Aug16 Billed-RETAIL'!$E45)</f>
        <v>0</v>
      </c>
      <c r="AI45" s="48">
        <f>SUMIFS(Adjustments!J$5:J$557,Adjustments!$B$5:$B$557,'Mar16-Aug16 Billed-RETAIL'!$D45,Adjustments!$C$5:$C$557,'Mar16-Aug16 Billed-RETAIL'!$E45)</f>
        <v>0</v>
      </c>
      <c r="AJ45" s="48">
        <f>SUMIFS(Adjustments!K$5:K$557,Adjustments!$B$5:$B$557,'Mar16-Aug16 Billed-RETAIL'!$D45,Adjustments!$C$5:$C$557,'Mar16-Aug16 Billed-RETAIL'!$E45)</f>
        <v>-0.01</v>
      </c>
      <c r="AK45" s="48">
        <f>SUMIFS(Adjustments!L$5:L$557,Adjustments!$B$5:$B$557,'Mar16-Aug16 Billed-RETAIL'!$D45,Adjustments!$C$5:$C$557,'Mar16-Aug16 Billed-RETAIL'!$E45)</f>
        <v>0</v>
      </c>
      <c r="AL45" s="48">
        <f>SUMIFS(Adjustments!M$5:M$557,Adjustments!$B$5:$B$557,'Mar16-Aug16 Billed-RETAIL'!$D45,Adjustments!$C$5:$C$557,'Mar16-Aug16 Billed-RETAIL'!$E45)</f>
        <v>0</v>
      </c>
      <c r="AM45" s="48">
        <f>SUMIFS(Adjustments!N$5:N$557,Adjustments!$B$5:$B$557,'Mar16-Aug16 Billed-RETAIL'!$D45,Adjustments!$C$5:$C$557,'Mar16-Aug16 Billed-RETAIL'!$E45)</f>
        <v>0</v>
      </c>
      <c r="AN45" s="48">
        <f>SUMIFS(Adjustments!O$5:O$557,Adjustments!$B$5:$B$557,'Mar16-Aug16 Billed-RETAIL'!$D45,Adjustments!$C$5:$C$557,'Mar16-Aug16 Billed-RETAIL'!$E45)</f>
        <v>0</v>
      </c>
      <c r="AO45" s="48">
        <f>SUMIFS(Adjustments!P$5:P$557,Adjustments!$B$5:$B$557,'Mar16-Aug16 Billed-RETAIL'!$D45,Adjustments!$C$5:$C$557,'Mar16-Aug16 Billed-RETAIL'!$E45)</f>
        <v>0</v>
      </c>
      <c r="AP45" s="36">
        <f t="shared" si="74"/>
        <v>-80</v>
      </c>
      <c r="AQ45" s="36">
        <f t="shared" si="75"/>
        <v>-0.01</v>
      </c>
      <c r="AR45" s="36">
        <f t="shared" si="76"/>
        <v>-217.76723999999999</v>
      </c>
      <c r="AS45" s="36">
        <f t="shared" si="77"/>
        <v>-10194.65639</v>
      </c>
      <c r="AT45" s="43">
        <f>SUMIFS('SBR Mar16 - Aug16'!$O$16:$O$475,'SBR Mar16 - Aug16'!$A$16:$A$475,'Mar16-Aug16 Billed-RETAIL'!$D45,'SBR Mar16 - Aug16'!$C$16:$C$475,'Mar16-Aug16 Billed-RETAIL'!$E45)</f>
        <v>-18998.02</v>
      </c>
      <c r="AU45" s="43">
        <f>SUMIFS('SBR Mar16 - Aug16'!$N$16:$N$475,'SBR Mar16 - Aug16'!$A$16:$A$475,'Mar16-Aug16 Billed-RETAIL'!$D45,'SBR Mar16 - Aug16'!$C$16:$C$475,'Mar16-Aug16 Billed-RETAIL'!$E45)</f>
        <v>0</v>
      </c>
      <c r="AV45" s="43">
        <f>SUMIFS('SBR Mar16 - Aug16'!$Y$16:$Y$475,'SBR Mar16 - Aug16'!$A$16:$A$475,'Mar16-Aug16 Billed-RETAIL'!$D45,'SBR Mar16 - Aug16'!$C$16:$C$475,'Mar16-Aug16 Billed-RETAIL'!$E45)</f>
        <v>0</v>
      </c>
      <c r="AW45" s="43">
        <f>SUMIFS('SBR Mar16 - Aug16'!$X$16:$X$475,'SBR Mar16 - Aug16'!$A$16:$A$475,'Mar16-Aug16 Billed-RETAIL'!$D45,'SBR Mar16 - Aug16'!$C$16:$C$475,'Mar16-Aug16 Billed-RETAIL'!$E45)</f>
        <v>-492.16</v>
      </c>
      <c r="AX45" s="36">
        <f t="shared" si="78"/>
        <v>0</v>
      </c>
      <c r="AY45" s="36"/>
      <c r="AZ45" s="43">
        <f t="shared" si="79"/>
        <v>-29982.61</v>
      </c>
      <c r="BA45" s="43">
        <f t="shared" si="80"/>
        <v>-29982.62</v>
      </c>
      <c r="BB45" s="44">
        <f t="shared" si="81"/>
        <v>1</v>
      </c>
      <c r="BC45" s="43">
        <f>SUMIFS('SBR Mar16 - Aug16'!$N$16:$N$475,'SBR Mar16 - Aug16'!$A$16:$A$475,'Mar16-Aug16 Billed-RETAIL'!$D45,'SBR Mar16 - Aug16'!$C$16:$C$475,'Mar16-Aug16 Billed-RETAIL'!$E45)</f>
        <v>0</v>
      </c>
      <c r="BD45" s="43">
        <f>SUMIFS('SBR Mar16 - Aug16'!$O$16:$O$475,'SBR Mar16 - Aug16'!$A$16:$A$475,'Mar16-Aug16 Billed-RETAIL'!$D45,'SBR Mar16 - Aug16'!$C$16:$C$475,'Mar16-Aug16 Billed-RETAIL'!$E45)</f>
        <v>-18998.02</v>
      </c>
      <c r="BE45" s="43">
        <f>SUMIFS('SBR Mar16 - Aug16'!$Y$16:$Y$475,'SBR Mar16 - Aug16'!$A$16:$A$475,'Mar16-Aug16 Billed-RETAIL'!$D45,'SBR Mar16 - Aug16'!$C$16:$C$475,'Mar16-Aug16 Billed-RETAIL'!$E45)</f>
        <v>0</v>
      </c>
      <c r="BF45" s="43">
        <f>SUMIFS('SBR Mar16 - Aug16'!$AB$16:$AB$475,'SBR Mar16 - Aug16'!$A$16:$A$475,'Mar16-Aug16 Billed-RETAIL'!$D45,'SBR Mar16 - Aug16'!$C$16:$C$475,'Mar16-Aug16 Billed-RETAIL'!$E45)</f>
        <v>0</v>
      </c>
      <c r="BG45" s="43">
        <f>SUMIFS('SBR Mar16 - Aug16'!$G$16:$G$475,'SBR Mar16 - Aug16'!$A$16:$A$475,'Mar16-Aug16 Billed-RETAIL'!$D45,'SBR Mar16 - Aug16'!$C$16:$C$475,'Mar16-Aug16 Billed-RETAIL'!$E45)</f>
        <v>-80.010000000000005</v>
      </c>
      <c r="BH45" s="43">
        <f>SUMIFS('SBR Mar16 - Aug16'!$I$16:$I$475,'SBR Mar16 - Aug16'!$A$16:$A$475,'Mar16-Aug16 Billed-RETAIL'!$D45,'SBR Mar16 - Aug16'!$C$16:$C$475,'Mar16-Aug16 Billed-RETAIL'!$E45)</f>
        <v>-10412.43</v>
      </c>
      <c r="BI45" s="43">
        <f>SUMIFS('SBR Mar16 - Aug16'!$H$16:$H$475,'SBR Mar16 - Aug16'!$A$16:$A$475,'Mar16-Aug16 Billed-RETAIL'!$D45,'SBR Mar16 - Aug16'!$C$16:$C$475,'Mar16-Aug16 Billed-RETAIL'!$E45)</f>
        <v>0</v>
      </c>
      <c r="BJ45" s="43">
        <f>SUMIFS('SBR Mar16 - Aug16'!$X$16:$X$475,'SBR Mar16 - Aug16'!$A$16:$A$475,'Mar16-Aug16 Billed-RETAIL'!$D45,'SBR Mar16 - Aug16'!$C$16:$C$475,'Mar16-Aug16 Billed-RETAIL'!$E45)</f>
        <v>-492.16</v>
      </c>
      <c r="BL45" s="51">
        <f t="shared" si="82"/>
        <v>9.9999999983992893E-3</v>
      </c>
      <c r="BN45" s="58">
        <f t="shared" si="83"/>
        <v>0</v>
      </c>
      <c r="BO45" s="58">
        <f t="shared" si="84"/>
        <v>6.3700000009703217E-3</v>
      </c>
      <c r="BP45" s="58">
        <f t="shared" si="85"/>
        <v>0</v>
      </c>
    </row>
    <row r="46" spans="3:68" ht="15" customHeight="1" x14ac:dyDescent="0.25">
      <c r="C46" s="14">
        <f t="shared" si="88"/>
        <v>37</v>
      </c>
      <c r="D46" s="604">
        <f t="shared" si="89"/>
        <v>42522</v>
      </c>
      <c r="E46" s="604" t="str">
        <f>+'Retail Rates'!$B$27</f>
        <v>LGING855DS</v>
      </c>
      <c r="F46" s="14" t="str">
        <f t="shared" si="86"/>
        <v>855</v>
      </c>
      <c r="G46" s="14" t="str">
        <f>VLOOKUP(E46,'Retail Rates'!$B$7:$D$34,3,FALSE)</f>
        <v>IGS</v>
      </c>
      <c r="H46" s="33"/>
      <c r="I46" s="33">
        <f>SUMIFS(Adjustments!F$5:F$362,Adjustments!$B$5:$B$362,'Mar16-Aug16 Billed-RETAIL'!$D46,Adjustments!$C$5:$C$362,'Mar16-Aug16 Billed-RETAIL'!$E46)</f>
        <v>124</v>
      </c>
      <c r="J46" s="33">
        <f>SUMIFS(Adjustments!G$5:G$362,Adjustments!$B$5:$B$362,'Mar16-Aug16 Billed-RETAIL'!$D46,Adjustments!$C$5:$C$362,'Mar16-Aug16 Billed-RETAIL'!$E46)</f>
        <v>115</v>
      </c>
      <c r="K46" s="33">
        <f>SUMIFS('Data-Retail'!$I$4:$I$1000,'Data-Retail'!$A$4:$A$1000,'Mar16-Aug16 Billed-RETAIL'!$D46,'Data-Retail'!$D$4:$D$1000,'Mar16-Aug16 Billed-RETAIL'!$E46)</f>
        <v>92308</v>
      </c>
      <c r="L46" s="33">
        <f>SUMIFS('Data-Retail'!$J$4:$J$1000,'Data-Retail'!$A$4:$A$1000,'Mar16-Aug16 Billed-RETAIL'!$D46,'Data-Retail'!$D$4:$D$1000,'Mar16-Aug16 Billed-RETAIL'!$E46)</f>
        <v>788094</v>
      </c>
      <c r="M46" s="33"/>
      <c r="N46" s="34">
        <f>VLOOKUP($E46,'Retail Rates'!$B$7:$L$34,5,FALSE)</f>
        <v>40</v>
      </c>
      <c r="O46" s="34">
        <f>VLOOKUP($E46,'Retail Rates'!$B$7:$L$34,6,FALSE)</f>
        <v>180</v>
      </c>
      <c r="P46" s="35">
        <f>VLOOKUP($E46,'Retail Rates'!$B$7:$L$34,7,FALSE)</f>
        <v>0.22778999999999999</v>
      </c>
      <c r="Q46" s="35">
        <f>VLOOKUP($E46,'Retail Rates'!$B$7:$L$34,8,FALSE)</f>
        <v>0.17779</v>
      </c>
      <c r="R46" s="35">
        <f>VLOOKUP($D46,'GSC-DSM-GLT Factors'!$A$1:$B$60,2,FALSE)</f>
        <v>0.3513</v>
      </c>
      <c r="S46" s="34">
        <f>VLOOKUP($E46,'Retail Rates'!$B$7:$L$34,9,FALSE)</f>
        <v>0</v>
      </c>
      <c r="T46" s="35">
        <f>VLOOKUP($E46,'Retail Rates'!$B$7:$L$34,10,FALSE)</f>
        <v>0</v>
      </c>
      <c r="U46" s="34">
        <f>VLOOKUP($E46,'Retail Rates'!$B$7:$L$34,11,FALSE)</f>
        <v>0</v>
      </c>
      <c r="V46" s="556">
        <f>VLOOKUP($D46,'GSC-DSM-GLT Factors'!$A$1:$O$60,13,FALSE)</f>
        <v>259.54000000000002</v>
      </c>
      <c r="W46" s="36">
        <f t="shared" si="69"/>
        <v>4960</v>
      </c>
      <c r="X46" s="36"/>
      <c r="Y46" s="36">
        <f>+J46*O46</f>
        <v>20700</v>
      </c>
      <c r="Z46" s="36">
        <f t="shared" si="70"/>
        <v>21026.839319999999</v>
      </c>
      <c r="AA46" s="36">
        <f t="shared" si="71"/>
        <v>140115.23225999999</v>
      </c>
      <c r="AB46" s="36">
        <f t="shared" si="72"/>
        <v>309285.22259999998</v>
      </c>
      <c r="AC46" s="36"/>
      <c r="AD46" s="36"/>
      <c r="AE46" s="36">
        <f t="shared" si="87"/>
        <v>0</v>
      </c>
      <c r="AF46" s="36">
        <f>(+I46*V46)+(J46*V46)</f>
        <v>62030.060000000005</v>
      </c>
      <c r="AG46" s="57">
        <f>SUMIFS(Adjustments!H$5:H$557,Adjustments!$B$5:$B$557,'Mar16-Aug16 Billed-RETAIL'!$D46,Adjustments!$C$5:$C$557,'Mar16-Aug16 Billed-RETAIL'!$E46)</f>
        <v>0</v>
      </c>
      <c r="AH46" s="57">
        <f>SUMIFS(Adjustments!I$5:I$557,Adjustments!$B$5:$B$557,'Mar16-Aug16 Billed-RETAIL'!$D46,Adjustments!$C$5:$C$557,'Mar16-Aug16 Billed-RETAIL'!$E46)</f>
        <v>0</v>
      </c>
      <c r="AI46" s="48">
        <f>SUMIFS(Adjustments!J$5:J$557,Adjustments!$B$5:$B$557,'Mar16-Aug16 Billed-RETAIL'!$D46,Adjustments!$C$5:$C$557,'Mar16-Aug16 Billed-RETAIL'!$E46)</f>
        <v>12</v>
      </c>
      <c r="AJ46" s="48">
        <f>SUMIFS(Adjustments!K$5:K$557,Adjustments!$B$5:$B$557,'Mar16-Aug16 Billed-RETAIL'!$D46,Adjustments!$C$5:$C$557,'Mar16-Aug16 Billed-RETAIL'!$E46)</f>
        <v>72.010000000000005</v>
      </c>
      <c r="AK46" s="48">
        <f>SUMIFS(Adjustments!L$5:L$557,Adjustments!$B$5:$B$557,'Mar16-Aug16 Billed-RETAIL'!$D46,Adjustments!$C$5:$C$557,'Mar16-Aug16 Billed-RETAIL'!$E46)</f>
        <v>0.02</v>
      </c>
      <c r="AL46" s="48">
        <f>SUMIFS(Adjustments!M$5:M$557,Adjustments!$B$5:$B$557,'Mar16-Aug16 Billed-RETAIL'!$D46,Adjustments!$C$5:$C$557,'Mar16-Aug16 Billed-RETAIL'!$E46)</f>
        <v>0</v>
      </c>
      <c r="AM46" s="48">
        <f>SUMIFS(Adjustments!N$5:N$557,Adjustments!$B$5:$B$557,'Mar16-Aug16 Billed-RETAIL'!$D46,Adjustments!$C$5:$C$557,'Mar16-Aug16 Billed-RETAIL'!$E46)</f>
        <v>0</v>
      </c>
      <c r="AN46" s="48">
        <f>SUMIFS(Adjustments!O$5:O$557,Adjustments!$B$5:$B$557,'Mar16-Aug16 Billed-RETAIL'!$D46,Adjustments!$C$5:$C$557,'Mar16-Aug16 Billed-RETAIL'!$E46)</f>
        <v>0</v>
      </c>
      <c r="AO46" s="48">
        <f>SUMIFS(Adjustments!P$5:P$557,Adjustments!$B$5:$B$557,'Mar16-Aug16 Billed-RETAIL'!$D46,Adjustments!$C$5:$C$557,'Mar16-Aug16 Billed-RETAIL'!$E46)</f>
        <v>0</v>
      </c>
      <c r="AP46" s="36">
        <f>+W46+AI46+(AG46*N46)</f>
        <v>4972</v>
      </c>
      <c r="AQ46" s="36">
        <f t="shared" si="75"/>
        <v>20772.009999999998</v>
      </c>
      <c r="AR46" s="36">
        <f t="shared" si="76"/>
        <v>21026.85932</v>
      </c>
      <c r="AS46" s="36">
        <f t="shared" si="77"/>
        <v>140115.23225999999</v>
      </c>
      <c r="AT46" s="43">
        <f>SUMIFS('SBR Mar16 - Aug16'!$O$16:$O$475,'SBR Mar16 - Aug16'!$A$16:$A$475,'Mar16-Aug16 Billed-RETAIL'!$D46,'SBR Mar16 - Aug16'!$C$16:$C$475,'Mar16-Aug16 Billed-RETAIL'!$E46)</f>
        <v>309278.77</v>
      </c>
      <c r="AU46" s="43">
        <f>SUMIFS('SBR Mar16 - Aug16'!$N$16:$N$475,'SBR Mar16 - Aug16'!$A$16:$A$475,'Mar16-Aug16 Billed-RETAIL'!$D46,'SBR Mar16 - Aug16'!$C$16:$C$475,'Mar16-Aug16 Billed-RETAIL'!$E46)</f>
        <v>0</v>
      </c>
      <c r="AV46" s="43">
        <f>SUMIFS('SBR Mar16 - Aug16'!$Y$16:$Y$475,'SBR Mar16 - Aug16'!$A$16:$A$475,'Mar16-Aug16 Billed-RETAIL'!$D46,'SBR Mar16 - Aug16'!$C$16:$C$475,'Mar16-Aug16 Billed-RETAIL'!$E46)</f>
        <v>0</v>
      </c>
      <c r="AW46" s="43">
        <f>SUMIFS('SBR Mar16 - Aug16'!$X$16:$X$475,'SBR Mar16 - Aug16'!$A$16:$A$475,'Mar16-Aug16 Billed-RETAIL'!$D46,'SBR Mar16 - Aug16'!$C$16:$C$475,'Mar16-Aug16 Billed-RETAIL'!$E46)</f>
        <v>62211.74</v>
      </c>
      <c r="AX46" s="36">
        <f t="shared" si="78"/>
        <v>0</v>
      </c>
      <c r="AY46" s="36"/>
      <c r="AZ46" s="43">
        <f t="shared" si="79"/>
        <v>558376.61</v>
      </c>
      <c r="BA46" s="43">
        <f t="shared" si="80"/>
        <v>558376.62</v>
      </c>
      <c r="BB46" s="44">
        <f t="shared" si="81"/>
        <v>1</v>
      </c>
      <c r="BC46" s="43">
        <f>SUMIFS('SBR Mar16 - Aug16'!$N$16:$N$475,'SBR Mar16 - Aug16'!$A$16:$A$475,'Mar16-Aug16 Billed-RETAIL'!$D46,'SBR Mar16 - Aug16'!$C$16:$C$475,'Mar16-Aug16 Billed-RETAIL'!$E46)</f>
        <v>0</v>
      </c>
      <c r="BD46" s="43">
        <f>SUMIFS('SBR Mar16 - Aug16'!$O$16:$O$475,'SBR Mar16 - Aug16'!$A$16:$A$475,'Mar16-Aug16 Billed-RETAIL'!$D46,'SBR Mar16 - Aug16'!$C$16:$C$475,'Mar16-Aug16 Billed-RETAIL'!$E46)</f>
        <v>309278.77</v>
      </c>
      <c r="BE46" s="43">
        <f>SUMIFS('SBR Mar16 - Aug16'!$Y$16:$Y$475,'SBR Mar16 - Aug16'!$A$16:$A$475,'Mar16-Aug16 Billed-RETAIL'!$D46,'SBR Mar16 - Aug16'!$C$16:$C$475,'Mar16-Aug16 Billed-RETAIL'!$E46)</f>
        <v>0</v>
      </c>
      <c r="BF46" s="43">
        <f>SUMIFS('SBR Mar16 - Aug16'!$AB$16:$AB$475,'SBR Mar16 - Aug16'!$A$16:$A$475,'Mar16-Aug16 Billed-RETAIL'!$D46,'SBR Mar16 - Aug16'!$C$16:$C$475,'Mar16-Aug16 Billed-RETAIL'!$E46)</f>
        <v>0</v>
      </c>
      <c r="BG46" s="43">
        <f>SUMIFS('SBR Mar16 - Aug16'!$G$16:$G$475,'SBR Mar16 - Aug16'!$A$16:$A$475,'Mar16-Aug16 Billed-RETAIL'!$D46,'SBR Mar16 - Aug16'!$C$16:$C$475,'Mar16-Aug16 Billed-RETAIL'!$E46)</f>
        <v>25744.01</v>
      </c>
      <c r="BH46" s="43">
        <f>SUMIFS('SBR Mar16 - Aug16'!$I$16:$I$475,'SBR Mar16 - Aug16'!$A$16:$A$475,'Mar16-Aug16 Billed-RETAIL'!$D46,'SBR Mar16 - Aug16'!$C$16:$C$475,'Mar16-Aug16 Billed-RETAIL'!$E46)</f>
        <v>161142.1</v>
      </c>
      <c r="BI46" s="43">
        <f>SUMIFS('SBR Mar16 - Aug16'!$H$16:$H$475,'SBR Mar16 - Aug16'!$A$16:$A$475,'Mar16-Aug16 Billed-RETAIL'!$D46,'SBR Mar16 - Aug16'!$C$16:$C$475,'Mar16-Aug16 Billed-RETAIL'!$E46)</f>
        <v>0</v>
      </c>
      <c r="BJ46" s="43">
        <f>SUMIFS('SBR Mar16 - Aug16'!$X$16:$X$475,'SBR Mar16 - Aug16'!$A$16:$A$475,'Mar16-Aug16 Billed-RETAIL'!$D46,'SBR Mar16 - Aug16'!$C$16:$C$475,'Mar16-Aug16 Billed-RETAIL'!$E46)</f>
        <v>62211.74</v>
      </c>
      <c r="BL46" s="51">
        <f t="shared" si="82"/>
        <v>-1.0000000009313226E-2</v>
      </c>
      <c r="BN46" s="58">
        <f t="shared" si="83"/>
        <v>0</v>
      </c>
      <c r="BO46" s="58">
        <f t="shared" si="84"/>
        <v>-8.4200000273995101E-3</v>
      </c>
      <c r="BP46" s="58">
        <f t="shared" si="85"/>
        <v>0</v>
      </c>
    </row>
    <row r="47" spans="3:68" ht="15" customHeight="1" x14ac:dyDescent="0.25">
      <c r="C47" s="14">
        <f t="shared" si="88"/>
        <v>38</v>
      </c>
      <c r="D47" s="604">
        <f t="shared" si="89"/>
        <v>42522</v>
      </c>
      <c r="E47" s="604" t="str">
        <f>+'Retail Rates'!$B$31</f>
        <v>LGRSG811</v>
      </c>
      <c r="F47" s="14" t="str">
        <f t="shared" si="86"/>
        <v>811</v>
      </c>
      <c r="G47" s="14" t="str">
        <f>VLOOKUP(E47,'Retail Rates'!$B$7:$D$34,3,FALSE)</f>
        <v>RGS</v>
      </c>
      <c r="H47" s="33">
        <f>SUMIFS('Data-Retail'!$H$4:$H$1000,'Data-Retail'!$A$4:$A$1000,'Mar16-Aug16 Billed-RETAIL'!$D47,'Data-Retail'!$D$4:$D$1000,'Mar16-Aug16 Billed-RETAIL'!$E47)</f>
        <v>297158</v>
      </c>
      <c r="I47" s="33"/>
      <c r="J47" s="33"/>
      <c r="K47" s="33">
        <f>SUMIFS('Data-Retail'!$I$4:$I$1000,'Data-Retail'!$A$4:$A$1000,'Mar16-Aug16 Billed-RETAIL'!$D47,'Data-Retail'!$D$4:$D$1000,'Mar16-Aug16 Billed-RETAIL'!$E47)</f>
        <v>5195048</v>
      </c>
      <c r="L47" s="33">
        <f>SUMIFS('Data-Retail'!$J$4:$J$1000,'Data-Retail'!$A$4:$A$1000,'Mar16-Aug16 Billed-RETAIL'!$D47,'Data-Retail'!$D$4:$D$1000,'Mar16-Aug16 Billed-RETAIL'!$E47)</f>
        <v>0</v>
      </c>
      <c r="M47" s="33"/>
      <c r="N47" s="34">
        <f>VLOOKUP($E47,'Retail Rates'!$B$7:$L$34,5,FALSE)</f>
        <v>13.5</v>
      </c>
      <c r="O47" s="34">
        <f>VLOOKUP($E47,'Retail Rates'!$B$7:$L$34,6,FALSE)</f>
        <v>0</v>
      </c>
      <c r="P47" s="35">
        <f>VLOOKUP($E47,'Retail Rates'!$B$7:$L$34,7,FALSE)</f>
        <v>0.28693000000000002</v>
      </c>
      <c r="Q47" s="35">
        <f>VLOOKUP($E47,'Retail Rates'!$B$7:$L$34,8,FALSE)</f>
        <v>0</v>
      </c>
      <c r="R47" s="35">
        <f>VLOOKUP($D47,'GSC-DSM-GLT Factors'!$A$1:$B$60,2,FALSE)</f>
        <v>0.3513</v>
      </c>
      <c r="S47" s="34">
        <f>VLOOKUP($E47,'Retail Rates'!$B$7:$L$34,9,FALSE)</f>
        <v>0</v>
      </c>
      <c r="T47" s="35">
        <f>VLOOKUP($E47,'Retail Rates'!$B$7:$L$34,10,FALSE)</f>
        <v>0</v>
      </c>
      <c r="U47" s="34">
        <f>VLOOKUP($E47,'Retail Rates'!$B$7:$L$34,11,FALSE)</f>
        <v>0</v>
      </c>
      <c r="V47" s="556">
        <f>VLOOKUP($D47,'GSC-DSM-GLT Factors'!$A$1:$O$60,10,FALSE)</f>
        <v>5.14</v>
      </c>
      <c r="W47" s="36">
        <f t="shared" si="69"/>
        <v>4011633</v>
      </c>
      <c r="X47" s="36"/>
      <c r="Y47" s="36"/>
      <c r="Z47" s="36">
        <f t="shared" si="70"/>
        <v>1490615.1226400002</v>
      </c>
      <c r="AA47" s="36">
        <f t="shared" si="71"/>
        <v>0</v>
      </c>
      <c r="AB47" s="36">
        <f t="shared" si="72"/>
        <v>1825020.3624</v>
      </c>
      <c r="AC47" s="36"/>
      <c r="AD47" s="36"/>
      <c r="AE47" s="36">
        <f t="shared" si="87"/>
        <v>0</v>
      </c>
      <c r="AF47" s="36">
        <f>(+H47*V47)+(I47*V47)</f>
        <v>1527392.1199999999</v>
      </c>
      <c r="AG47" s="57">
        <f>SUMIFS(Adjustments!H$5:H$557,Adjustments!$B$5:$B$557,'Mar16-Aug16 Billed-RETAIL'!$D47,Adjustments!$C$5:$C$557,'Mar16-Aug16 Billed-RETAIL'!$E47)</f>
        <v>-1951</v>
      </c>
      <c r="AH47" s="57">
        <f>SUMIFS(Adjustments!I$5:I$557,Adjustments!$B$5:$B$557,'Mar16-Aug16 Billed-RETAIL'!$D47,Adjustments!$C$5:$C$557,'Mar16-Aug16 Billed-RETAIL'!$E47)</f>
        <v>0</v>
      </c>
      <c r="AI47" s="48">
        <f>SUMIFS(Adjustments!J$5:J$557,Adjustments!$B$5:$B$557,'Mar16-Aug16 Billed-RETAIL'!$D47,Adjustments!$C$5:$C$557,'Mar16-Aug16 Billed-RETAIL'!$E47)</f>
        <v>-2.1800000000000002</v>
      </c>
      <c r="AJ47" s="48">
        <f>SUMIFS(Adjustments!K$5:K$557,Adjustments!$B$5:$B$557,'Mar16-Aug16 Billed-RETAIL'!$D47,Adjustments!$C$5:$C$557,'Mar16-Aug16 Billed-RETAIL'!$E47)</f>
        <v>0</v>
      </c>
      <c r="AK47" s="48">
        <f>SUMIFS(Adjustments!L$5:L$557,Adjustments!$B$5:$B$557,'Mar16-Aug16 Billed-RETAIL'!$D47,Adjustments!$C$5:$C$557,'Mar16-Aug16 Billed-RETAIL'!$E47)</f>
        <v>-15.62</v>
      </c>
      <c r="AL47" s="48">
        <f>SUMIFS(Adjustments!M$5:M$557,Adjustments!$B$5:$B$557,'Mar16-Aug16 Billed-RETAIL'!$D47,Adjustments!$C$5:$C$557,'Mar16-Aug16 Billed-RETAIL'!$E47)</f>
        <v>0</v>
      </c>
      <c r="AM47" s="48">
        <f>SUMIFS(Adjustments!N$5:N$557,Adjustments!$B$5:$B$557,'Mar16-Aug16 Billed-RETAIL'!$D47,Adjustments!$C$5:$C$557,'Mar16-Aug16 Billed-RETAIL'!$E47)</f>
        <v>0</v>
      </c>
      <c r="AN47" s="48">
        <f>SUMIFS(Adjustments!O$5:O$557,Adjustments!$B$5:$B$557,'Mar16-Aug16 Billed-RETAIL'!$D47,Adjustments!$C$5:$C$557,'Mar16-Aug16 Billed-RETAIL'!$E47)</f>
        <v>0</v>
      </c>
      <c r="AO47" s="48">
        <f>SUMIFS(Adjustments!P$5:P$557,Adjustments!$B$5:$B$557,'Mar16-Aug16 Billed-RETAIL'!$D47,Adjustments!$C$5:$C$557,'Mar16-Aug16 Billed-RETAIL'!$E47)</f>
        <v>0</v>
      </c>
      <c r="AP47" s="36">
        <f>+W47+AI47+(AG47*N47)</f>
        <v>3985292.32</v>
      </c>
      <c r="AQ47" s="36">
        <f t="shared" si="75"/>
        <v>0</v>
      </c>
      <c r="AR47" s="36">
        <f t="shared" si="76"/>
        <v>1490599.5026400001</v>
      </c>
      <c r="AS47" s="36">
        <f t="shared" si="77"/>
        <v>0</v>
      </c>
      <c r="AT47" s="43">
        <f>SUMIFS('SBR Mar16 - Aug16'!$O$16:$O$475,'SBR Mar16 - Aug16'!$A$16:$A$475,'Mar16-Aug16 Billed-RETAIL'!$D47,'SBR Mar16 - Aug16'!$C$16:$C$475,'Mar16-Aug16 Billed-RETAIL'!$E47)</f>
        <v>1825421.2</v>
      </c>
      <c r="AU47" s="43">
        <f>SUMIFS('SBR Mar16 - Aug16'!$N$16:$N$475,'SBR Mar16 - Aug16'!$A$16:$A$475,'Mar16-Aug16 Billed-RETAIL'!$D47,'SBR Mar16 - Aug16'!$C$16:$C$475,'Mar16-Aug16 Billed-RETAIL'!$E47)</f>
        <v>56395.82</v>
      </c>
      <c r="AV47" s="43">
        <f>SUMIFS('SBR Mar16 - Aug16'!$Y$16:$Y$475,'SBR Mar16 - Aug16'!$A$16:$A$475,'Mar16-Aug16 Billed-RETAIL'!$D47,'SBR Mar16 - Aug16'!$C$16:$C$475,'Mar16-Aug16 Billed-RETAIL'!$E47)</f>
        <v>-596.51</v>
      </c>
      <c r="AW47" s="43">
        <f>SUMIFS('SBR Mar16 - Aug16'!$X$16:$X$475,'SBR Mar16 - Aug16'!$A$16:$A$475,'Mar16-Aug16 Billed-RETAIL'!$D47,'SBR Mar16 - Aug16'!$C$16:$C$475,'Mar16-Aug16 Billed-RETAIL'!$E47)</f>
        <v>1517365.06</v>
      </c>
      <c r="AX47" s="36">
        <f t="shared" si="78"/>
        <v>0</v>
      </c>
      <c r="AY47" s="36"/>
      <c r="AZ47" s="43">
        <f t="shared" si="79"/>
        <v>8874477.3900000006</v>
      </c>
      <c r="BA47" s="43">
        <f t="shared" si="80"/>
        <v>8874477.3900000006</v>
      </c>
      <c r="BB47" s="44">
        <f t="shared" si="81"/>
        <v>1</v>
      </c>
      <c r="BC47" s="43">
        <f>SUMIFS('SBR Mar16 - Aug16'!$N$16:$N$475,'SBR Mar16 - Aug16'!$A$16:$A$475,'Mar16-Aug16 Billed-RETAIL'!$D47,'SBR Mar16 - Aug16'!$C$16:$C$475,'Mar16-Aug16 Billed-RETAIL'!$E47)</f>
        <v>56395.82</v>
      </c>
      <c r="BD47" s="43">
        <f>SUMIFS('SBR Mar16 - Aug16'!$O$16:$O$475,'SBR Mar16 - Aug16'!$A$16:$A$475,'Mar16-Aug16 Billed-RETAIL'!$D47,'SBR Mar16 - Aug16'!$C$16:$C$475,'Mar16-Aug16 Billed-RETAIL'!$E47)</f>
        <v>1825421.2</v>
      </c>
      <c r="BE47" s="43">
        <f>SUMIFS('SBR Mar16 - Aug16'!$Y$16:$Y$475,'SBR Mar16 - Aug16'!$A$16:$A$475,'Mar16-Aug16 Billed-RETAIL'!$D47,'SBR Mar16 - Aug16'!$C$16:$C$475,'Mar16-Aug16 Billed-RETAIL'!$E47)</f>
        <v>-596.51</v>
      </c>
      <c r="BF47" s="43">
        <f>SUMIFS('SBR Mar16 - Aug16'!$AB$16:$AB$475,'SBR Mar16 - Aug16'!$A$16:$A$475,'Mar16-Aug16 Billed-RETAIL'!$D47,'SBR Mar16 - Aug16'!$C$16:$C$475,'Mar16-Aug16 Billed-RETAIL'!$E47)</f>
        <v>74572.75</v>
      </c>
      <c r="BG47" s="43">
        <f>SUMIFS('SBR Mar16 - Aug16'!$G$16:$G$475,'SBR Mar16 - Aug16'!$A$16:$A$475,'Mar16-Aug16 Billed-RETAIL'!$D47,'SBR Mar16 - Aug16'!$C$16:$C$475,'Mar16-Aug16 Billed-RETAIL'!$E47)</f>
        <v>3985292.32</v>
      </c>
      <c r="BH47" s="43">
        <f>SUMIFS('SBR Mar16 - Aug16'!$I$16:$I$475,'SBR Mar16 - Aug16'!$A$16:$A$475,'Mar16-Aug16 Billed-RETAIL'!$D47,'SBR Mar16 - Aug16'!$C$16:$C$475,'Mar16-Aug16 Billed-RETAIL'!$E47)</f>
        <v>1490599.5</v>
      </c>
      <c r="BI47" s="43">
        <f>SUMIFS('SBR Mar16 - Aug16'!$H$16:$H$475,'SBR Mar16 - Aug16'!$A$16:$A$475,'Mar16-Aug16 Billed-RETAIL'!$D47,'SBR Mar16 - Aug16'!$C$16:$C$475,'Mar16-Aug16 Billed-RETAIL'!$E47)</f>
        <v>0</v>
      </c>
      <c r="BJ47" s="43">
        <f>SUMIFS('SBR Mar16 - Aug16'!$X$16:$X$475,'SBR Mar16 - Aug16'!$A$16:$A$475,'Mar16-Aug16 Billed-RETAIL'!$D47,'SBR Mar16 - Aug16'!$C$16:$C$475,'Mar16-Aug16 Billed-RETAIL'!$E47)</f>
        <v>1517365.06</v>
      </c>
      <c r="BL47" s="51">
        <f t="shared" si="82"/>
        <v>0</v>
      </c>
      <c r="BN47" s="58">
        <f t="shared" si="83"/>
        <v>0</v>
      </c>
      <c r="BO47" s="58">
        <f t="shared" si="84"/>
        <v>2.6400000788271427E-3</v>
      </c>
      <c r="BP47" s="58">
        <f t="shared" si="85"/>
        <v>0</v>
      </c>
    </row>
    <row r="48" spans="3:68" ht="15" customHeight="1" x14ac:dyDescent="0.25">
      <c r="C48" s="14">
        <f t="shared" si="88"/>
        <v>39</v>
      </c>
      <c r="D48" s="604">
        <f t="shared" si="89"/>
        <v>42522</v>
      </c>
      <c r="E48" s="604" t="str">
        <f>+'Retail Rates'!$B$19</f>
        <v>LGCMG851LT</v>
      </c>
      <c r="F48" s="14" t="str">
        <f t="shared" si="86"/>
        <v>851</v>
      </c>
      <c r="G48" s="14" t="str">
        <f>VLOOKUP(E48,'Retail Rates'!$B$7:$D$34,3,FALSE)</f>
        <v>CGS</v>
      </c>
      <c r="H48" s="33"/>
      <c r="I48" s="33">
        <f>SUMIFS('Data-Retail'!$H$4:$H$3368,'Data-Retail'!$A$4:$A$3368,'Mar16-Aug16 Billed-RETAIL'!$D48,'Data-Retail'!$D$4:$D$3368,'Mar16-Aug16 Billed-RETAIL'!$E48)</f>
        <v>1</v>
      </c>
      <c r="J48" s="33"/>
      <c r="K48" s="33">
        <f>SUMIFS('Data-Retail'!$I$4:$I$1000,'Data-Retail'!$A$4:$A$1000,'Mar16-Aug16 Billed-RETAIL'!$D48,'Data-Retail'!$D$4:$D$1000,'Mar16-Aug16 Billed-RETAIL'!$E48)</f>
        <v>308</v>
      </c>
      <c r="L48" s="33">
        <f>SUMIFS('Data-Retail'!$J$4:$J$1000,'Data-Retail'!$A$4:$A$1000,'Mar16-Aug16 Billed-RETAIL'!$D48,'Data-Retail'!$D$4:$D$1000,'Mar16-Aug16 Billed-RETAIL'!$E48)</f>
        <v>0</v>
      </c>
      <c r="M48" s="33"/>
      <c r="N48" s="34">
        <f>VLOOKUP($E48,'Retail Rates'!$B$7:$L$34,5,FALSE)</f>
        <v>40</v>
      </c>
      <c r="O48" s="34">
        <f>VLOOKUP($E48,'Retail Rates'!$B$7:$L$34,6,FALSE)</f>
        <v>180</v>
      </c>
      <c r="P48" s="35">
        <f>VLOOKUP($E48,'Retail Rates'!$B$7:$L$34,7,FALSE)</f>
        <v>0.21504000000000001</v>
      </c>
      <c r="Q48" s="35">
        <f>VLOOKUP($E48,'Retail Rates'!$B$7:$L$34,8,FALSE)</f>
        <v>0.16504000000000002</v>
      </c>
      <c r="R48" s="35">
        <f>VLOOKUP($D48,'GSC-DSM-GLT Factors'!$A$1:$B$60,2,FALSE)</f>
        <v>0.3513</v>
      </c>
      <c r="S48" s="34">
        <f>VLOOKUP($E48,'Retail Rates'!$B$7:$L$34,9,FALSE)</f>
        <v>0</v>
      </c>
      <c r="T48" s="35">
        <f>VLOOKUP($E48,'Retail Rates'!$B$7:$L$34,10,FALSE)</f>
        <v>0</v>
      </c>
      <c r="U48" s="34">
        <f>VLOOKUP($E48,'Retail Rates'!$B$7:$L$34,11,FALSE)</f>
        <v>0</v>
      </c>
      <c r="V48" s="556">
        <f>VLOOKUP($D48,'GSC-DSM-GLT Factors'!$A$1:$O$60,12,FALSE)</f>
        <v>27.41</v>
      </c>
      <c r="W48" s="36">
        <f t="shared" si="69"/>
        <v>40</v>
      </c>
      <c r="X48" s="36"/>
      <c r="Y48" s="36"/>
      <c r="Z48" s="36">
        <f t="shared" si="70"/>
        <v>66.232320000000001</v>
      </c>
      <c r="AA48" s="36">
        <f t="shared" si="71"/>
        <v>0</v>
      </c>
      <c r="AB48" s="36">
        <f t="shared" si="72"/>
        <v>108.2004</v>
      </c>
      <c r="AC48" s="36"/>
      <c r="AD48" s="36"/>
      <c r="AE48" s="36">
        <f t="shared" si="87"/>
        <v>0</v>
      </c>
      <c r="AF48" s="36">
        <f>(+H48*V48)+(I48*V48)</f>
        <v>27.41</v>
      </c>
      <c r="AG48" s="57">
        <f>SUMIFS(Adjustments!H$5:H$557,Adjustments!$B$5:$B$557,'Mar16-Aug16 Billed-RETAIL'!$D48,Adjustments!$C$5:$C$557,'Mar16-Aug16 Billed-RETAIL'!$E48)</f>
        <v>0</v>
      </c>
      <c r="AH48" s="57">
        <f>SUMIFS(Adjustments!I$5:I$557,Adjustments!$B$5:$B$557,'Mar16-Aug16 Billed-RETAIL'!$D48,Adjustments!$C$5:$C$557,'Mar16-Aug16 Billed-RETAIL'!$E48)</f>
        <v>0</v>
      </c>
      <c r="AI48" s="48">
        <f>SUMIFS(Adjustments!J$5:J$557,Adjustments!$B$5:$B$557,'Mar16-Aug16 Billed-RETAIL'!$D48,Adjustments!$C$5:$C$557,'Mar16-Aug16 Billed-RETAIL'!$E48)</f>
        <v>0</v>
      </c>
      <c r="AJ48" s="48">
        <f>SUMIFS(Adjustments!K$5:K$557,Adjustments!$B$5:$B$557,'Mar16-Aug16 Billed-RETAIL'!$D48,Adjustments!$C$5:$C$557,'Mar16-Aug16 Billed-RETAIL'!$E48)</f>
        <v>0</v>
      </c>
      <c r="AK48" s="48">
        <f>SUMIFS(Adjustments!L$5:L$557,Adjustments!$B$5:$B$557,'Mar16-Aug16 Billed-RETAIL'!$D48,Adjustments!$C$5:$C$557,'Mar16-Aug16 Billed-RETAIL'!$E48)</f>
        <v>0</v>
      </c>
      <c r="AL48" s="48">
        <f>SUMIFS(Adjustments!M$5:M$557,Adjustments!$B$5:$B$557,'Mar16-Aug16 Billed-RETAIL'!$D48,Adjustments!$C$5:$C$557,'Mar16-Aug16 Billed-RETAIL'!$E48)</f>
        <v>0</v>
      </c>
      <c r="AM48" s="48">
        <f>SUMIFS(Adjustments!N$5:N$557,Adjustments!$B$5:$B$557,'Mar16-Aug16 Billed-RETAIL'!$D48,Adjustments!$C$5:$C$557,'Mar16-Aug16 Billed-RETAIL'!$E48)</f>
        <v>0</v>
      </c>
      <c r="AN48" s="48">
        <f>SUMIFS(Adjustments!O$5:O$557,Adjustments!$B$5:$B$557,'Mar16-Aug16 Billed-RETAIL'!$D48,Adjustments!$C$5:$C$557,'Mar16-Aug16 Billed-RETAIL'!$E48)</f>
        <v>0</v>
      </c>
      <c r="AO48" s="48">
        <f>SUMIFS(Adjustments!P$5:P$557,Adjustments!$B$5:$B$557,'Mar16-Aug16 Billed-RETAIL'!$D48,Adjustments!$C$5:$C$557,'Mar16-Aug16 Billed-RETAIL'!$E48)</f>
        <v>0</v>
      </c>
      <c r="AP48" s="36">
        <f>+W48+AI48+(AG48*N48)</f>
        <v>40</v>
      </c>
      <c r="AQ48" s="36">
        <f t="shared" si="75"/>
        <v>0</v>
      </c>
      <c r="AR48" s="36">
        <f t="shared" si="76"/>
        <v>66.232320000000001</v>
      </c>
      <c r="AS48" s="36">
        <f t="shared" si="77"/>
        <v>0</v>
      </c>
      <c r="AT48" s="43">
        <f>SUMIFS('SBR Mar16 - Aug16'!$O$16:$O$475,'SBR Mar16 - Aug16'!$A$16:$A$475,'Mar16-Aug16 Billed-RETAIL'!$D48,'SBR Mar16 - Aug16'!$C$16:$C$475,'Mar16-Aug16 Billed-RETAIL'!$E48)</f>
        <v>108.2</v>
      </c>
      <c r="AU48" s="43">
        <f>SUMIFS('SBR Mar16 - Aug16'!$N$16:$N$475,'SBR Mar16 - Aug16'!$A$16:$A$475,'Mar16-Aug16 Billed-RETAIL'!$D48,'SBR Mar16 - Aug16'!$C$16:$C$475,'Mar16-Aug16 Billed-RETAIL'!$E48)</f>
        <v>0.18</v>
      </c>
      <c r="AV48" s="43">
        <f>SUMIFS('SBR Mar16 - Aug16'!$Y$16:$Y$475,'SBR Mar16 - Aug16'!$A$16:$A$475,'Mar16-Aug16 Billed-RETAIL'!$D48,'SBR Mar16 - Aug16'!$C$16:$C$475,'Mar16-Aug16 Billed-RETAIL'!$E48)</f>
        <v>0</v>
      </c>
      <c r="AW48" s="43">
        <f>SUMIFS('SBR Mar16 - Aug16'!$X$16:$X$475,'SBR Mar16 - Aug16'!$A$16:$A$475,'Mar16-Aug16 Billed-RETAIL'!$D48,'SBR Mar16 - Aug16'!$C$16:$C$475,'Mar16-Aug16 Billed-RETAIL'!$E48)</f>
        <v>27.41</v>
      </c>
      <c r="AX48" s="36">
        <f t="shared" si="78"/>
        <v>0</v>
      </c>
      <c r="AY48" s="36"/>
      <c r="AZ48" s="43">
        <f t="shared" si="79"/>
        <v>242.02</v>
      </c>
      <c r="BA48" s="43">
        <f t="shared" si="80"/>
        <v>242.02</v>
      </c>
      <c r="BB48" s="44">
        <f t="shared" si="81"/>
        <v>1</v>
      </c>
      <c r="BC48" s="43">
        <f>SUMIFS('SBR Mar16 - Aug16'!$N$16:$N$475,'SBR Mar16 - Aug16'!$A$16:$A$475,'Mar16-Aug16 Billed-RETAIL'!$D48,'SBR Mar16 - Aug16'!$C$16:$C$475,'Mar16-Aug16 Billed-RETAIL'!$E48)</f>
        <v>0.18</v>
      </c>
      <c r="BD48" s="43">
        <f>SUMIFS('SBR Mar16 - Aug16'!$O$16:$O$475,'SBR Mar16 - Aug16'!$A$16:$A$475,'Mar16-Aug16 Billed-RETAIL'!$D48,'SBR Mar16 - Aug16'!$C$16:$C$475,'Mar16-Aug16 Billed-RETAIL'!$E48)</f>
        <v>108.2</v>
      </c>
      <c r="BE48" s="43">
        <f>SUMIFS('SBR Mar16 - Aug16'!$Y$16:$Y$475,'SBR Mar16 - Aug16'!$A$16:$A$475,'Mar16-Aug16 Billed-RETAIL'!$D48,'SBR Mar16 - Aug16'!$C$16:$C$475,'Mar16-Aug16 Billed-RETAIL'!$E48)</f>
        <v>0</v>
      </c>
      <c r="BF48" s="43">
        <f>SUMIFS('SBR Mar16 - Aug16'!$AB$16:$AB$475,'SBR Mar16 - Aug16'!$A$16:$A$475,'Mar16-Aug16 Billed-RETAIL'!$D48,'SBR Mar16 - Aug16'!$C$16:$C$475,'Mar16-Aug16 Billed-RETAIL'!$E48)</f>
        <v>0</v>
      </c>
      <c r="BG48" s="43">
        <f>SUMIFS('SBR Mar16 - Aug16'!$G$16:$G$475,'SBR Mar16 - Aug16'!$A$16:$A$475,'Mar16-Aug16 Billed-RETAIL'!$D48,'SBR Mar16 - Aug16'!$C$16:$C$475,'Mar16-Aug16 Billed-RETAIL'!$E48)</f>
        <v>40</v>
      </c>
      <c r="BH48" s="43">
        <f>SUMIFS('SBR Mar16 - Aug16'!$I$16:$I$475,'SBR Mar16 - Aug16'!$A$16:$A$475,'Mar16-Aug16 Billed-RETAIL'!$D48,'SBR Mar16 - Aug16'!$C$16:$C$475,'Mar16-Aug16 Billed-RETAIL'!$E48)</f>
        <v>66.23</v>
      </c>
      <c r="BI48" s="43">
        <f>SUMIFS('SBR Mar16 - Aug16'!$H$16:$H$475,'SBR Mar16 - Aug16'!$A$16:$A$475,'Mar16-Aug16 Billed-RETAIL'!$D48,'SBR Mar16 - Aug16'!$C$16:$C$475,'Mar16-Aug16 Billed-RETAIL'!$E48)</f>
        <v>0</v>
      </c>
      <c r="BJ48" s="43">
        <f>SUMIFS('SBR Mar16 - Aug16'!$X$16:$X$475,'SBR Mar16 - Aug16'!$A$16:$A$475,'Mar16-Aug16 Billed-RETAIL'!$D48,'SBR Mar16 - Aug16'!$C$16:$C$475,'Mar16-Aug16 Billed-RETAIL'!$E48)</f>
        <v>27.41</v>
      </c>
      <c r="BL48" s="51">
        <f t="shared" si="82"/>
        <v>0</v>
      </c>
      <c r="BN48" s="58">
        <f t="shared" si="83"/>
        <v>0</v>
      </c>
      <c r="BO48" s="58">
        <f t="shared" si="84"/>
        <v>2.3199999999974352E-3</v>
      </c>
      <c r="BP48" s="58">
        <f t="shared" si="85"/>
        <v>0</v>
      </c>
    </row>
    <row r="49" spans="3:68" ht="15" customHeight="1" x14ac:dyDescent="0.25">
      <c r="C49" s="14">
        <f t="shared" si="88"/>
        <v>40</v>
      </c>
      <c r="D49" s="604">
        <f t="shared" si="89"/>
        <v>42522</v>
      </c>
      <c r="E49" s="604" t="str">
        <f>+'Retail Rates'!$B$32</f>
        <v>LGRSG840</v>
      </c>
      <c r="F49" s="14" t="str">
        <f t="shared" si="86"/>
        <v>840</v>
      </c>
      <c r="G49" s="14" t="str">
        <f>VLOOKUP(E49,'Retail Rates'!$B$7:$D$34,3,FALSE)</f>
        <v>RGS</v>
      </c>
      <c r="H49" s="33">
        <f>SUMIFS('Data-Retail'!$H$4:$H$1000,'Data-Retail'!$A$4:$A$1000,'Mar16-Aug16 Billed-RETAIL'!$D49,'Data-Retail'!$D$4:$D$1000,'Mar16-Aug16 Billed-RETAIL'!$E49)</f>
        <v>3</v>
      </c>
      <c r="I49" s="33"/>
      <c r="J49" s="33"/>
      <c r="K49" s="33">
        <f>SUMIFS('Data-Retail'!$I$4:$I$1000,'Data-Retail'!$A$4:$A$1000,'Mar16-Aug16 Billed-RETAIL'!$D49,'Data-Retail'!$D$4:$D$1000,'Mar16-Aug16 Billed-RETAIL'!$E49)</f>
        <v>298</v>
      </c>
      <c r="L49" s="33">
        <f>SUMIFS('Data-Retail'!$J$4:$J$1000,'Data-Retail'!$A$4:$A$1000,'Mar16-Aug16 Billed-RETAIL'!$D49,'Data-Retail'!$D$4:$D$1000,'Mar16-Aug16 Billed-RETAIL'!$E49)</f>
        <v>0</v>
      </c>
      <c r="M49" s="33"/>
      <c r="N49" s="34">
        <f>VLOOKUP($E49,'Retail Rates'!$B$7:$L$34,5,FALSE)</f>
        <v>13.5</v>
      </c>
      <c r="O49" s="34">
        <f>VLOOKUP($E49,'Retail Rates'!$B$7:$L$34,6,FALSE)</f>
        <v>0</v>
      </c>
      <c r="P49" s="35">
        <f>VLOOKUP($E49,'Retail Rates'!$B$7:$L$34,7,FALSE)</f>
        <v>0.28693000000000002</v>
      </c>
      <c r="Q49" s="35">
        <f>VLOOKUP($E49,'Retail Rates'!$B$7:$L$34,8,FALSE)</f>
        <v>0</v>
      </c>
      <c r="R49" s="35">
        <f>VLOOKUP($D49,'GSC-DSM-GLT Factors'!$A$1:$B$60,2,FALSE)</f>
        <v>0.3513</v>
      </c>
      <c r="S49" s="34">
        <f>VLOOKUP($E49,'Retail Rates'!$B$7:$L$34,9,FALSE)</f>
        <v>0</v>
      </c>
      <c r="T49" s="35">
        <f>VLOOKUP($E49,'Retail Rates'!$B$7:$L$34,10,FALSE)</f>
        <v>0</v>
      </c>
      <c r="U49" s="34">
        <f>VLOOKUP($E49,'Retail Rates'!$B$7:$L$34,11,FALSE)</f>
        <v>0</v>
      </c>
      <c r="V49" s="556">
        <f>VLOOKUP($D49,'GSC-DSM-GLT Factors'!$A$1:$O$60,11,FALSE)</f>
        <v>5.14</v>
      </c>
      <c r="W49" s="36">
        <f t="shared" si="69"/>
        <v>40.5</v>
      </c>
      <c r="X49" s="36"/>
      <c r="Y49" s="36"/>
      <c r="Z49" s="36">
        <f t="shared" si="70"/>
        <v>85.505140000000011</v>
      </c>
      <c r="AA49" s="36">
        <f t="shared" si="71"/>
        <v>0</v>
      </c>
      <c r="AB49" s="36">
        <f t="shared" si="72"/>
        <v>104.6874</v>
      </c>
      <c r="AC49" s="36"/>
      <c r="AD49" s="36"/>
      <c r="AE49" s="36">
        <f t="shared" si="87"/>
        <v>0</v>
      </c>
      <c r="AF49" s="36">
        <f>(+H49*V49)+(I49*V49)</f>
        <v>15.419999999999998</v>
      </c>
      <c r="AG49" s="57">
        <f>SUMIFS(Adjustments!H$5:H$557,Adjustments!$B$5:$B$557,'Mar16-Aug16 Billed-RETAIL'!$D49,Adjustments!$C$5:$C$557,'Mar16-Aug16 Billed-RETAIL'!$E49)</f>
        <v>0</v>
      </c>
      <c r="AH49" s="57">
        <f>SUMIFS(Adjustments!I$5:I$557,Adjustments!$B$5:$B$557,'Mar16-Aug16 Billed-RETAIL'!$D49,Adjustments!$C$5:$C$557,'Mar16-Aug16 Billed-RETAIL'!$E49)</f>
        <v>0</v>
      </c>
      <c r="AI49" s="48">
        <f>SUMIFS(Adjustments!J$5:J$557,Adjustments!$B$5:$B$557,'Mar16-Aug16 Billed-RETAIL'!$D49,Adjustments!$C$5:$C$557,'Mar16-Aug16 Billed-RETAIL'!$E49)</f>
        <v>0</v>
      </c>
      <c r="AJ49" s="48">
        <f>SUMIFS(Adjustments!K$5:K$557,Adjustments!$B$5:$B$557,'Mar16-Aug16 Billed-RETAIL'!$D49,Adjustments!$C$5:$C$557,'Mar16-Aug16 Billed-RETAIL'!$E49)</f>
        <v>0</v>
      </c>
      <c r="AK49" s="48">
        <f>SUMIFS(Adjustments!L$5:L$557,Adjustments!$B$5:$B$557,'Mar16-Aug16 Billed-RETAIL'!$D49,Adjustments!$C$5:$C$557,'Mar16-Aug16 Billed-RETAIL'!$E49)</f>
        <v>-0.01</v>
      </c>
      <c r="AL49" s="48">
        <f>SUMIFS(Adjustments!M$5:M$557,Adjustments!$B$5:$B$557,'Mar16-Aug16 Billed-RETAIL'!$D49,Adjustments!$C$5:$C$557,'Mar16-Aug16 Billed-RETAIL'!$E49)</f>
        <v>0</v>
      </c>
      <c r="AM49" s="48">
        <f>SUMIFS(Adjustments!N$5:N$557,Adjustments!$B$5:$B$557,'Mar16-Aug16 Billed-RETAIL'!$D49,Adjustments!$C$5:$C$557,'Mar16-Aug16 Billed-RETAIL'!$E49)</f>
        <v>0</v>
      </c>
      <c r="AN49" s="48">
        <f>SUMIFS(Adjustments!O$5:O$557,Adjustments!$B$5:$B$557,'Mar16-Aug16 Billed-RETAIL'!$D49,Adjustments!$C$5:$C$557,'Mar16-Aug16 Billed-RETAIL'!$E49)</f>
        <v>0</v>
      </c>
      <c r="AO49" s="48">
        <f>SUMIFS(Adjustments!P$5:P$557,Adjustments!$B$5:$B$557,'Mar16-Aug16 Billed-RETAIL'!$D49,Adjustments!$C$5:$C$557,'Mar16-Aug16 Billed-RETAIL'!$E49)</f>
        <v>0</v>
      </c>
      <c r="AP49" s="36">
        <f>+W49+AI49+(AG49*N49)</f>
        <v>40.5</v>
      </c>
      <c r="AQ49" s="36">
        <f t="shared" si="75"/>
        <v>0</v>
      </c>
      <c r="AR49" s="36">
        <f t="shared" si="76"/>
        <v>85.495140000000006</v>
      </c>
      <c r="AS49" s="36">
        <f t="shared" si="77"/>
        <v>0</v>
      </c>
      <c r="AT49" s="43">
        <f>SUMIFS('SBR Mar16 - Aug16'!$O$16:$O$475,'SBR Mar16 - Aug16'!$A$16:$A$475,'Mar16-Aug16 Billed-RETAIL'!$D49,'SBR Mar16 - Aug16'!$C$16:$C$475,'Mar16-Aug16 Billed-RETAIL'!$E49)</f>
        <v>104.69</v>
      </c>
      <c r="AU49" s="43">
        <f>SUMIFS('SBR Mar16 - Aug16'!$N$16:$N$475,'SBR Mar16 - Aug16'!$A$16:$A$475,'Mar16-Aug16 Billed-RETAIL'!$D49,'SBR Mar16 - Aug16'!$C$16:$C$475,'Mar16-Aug16 Billed-RETAIL'!$E49)</f>
        <v>3.23</v>
      </c>
      <c r="AV49" s="43">
        <f>SUMIFS('SBR Mar16 - Aug16'!$Y$16:$Y$475,'SBR Mar16 - Aug16'!$A$16:$A$475,'Mar16-Aug16 Billed-RETAIL'!$D49,'SBR Mar16 - Aug16'!$C$16:$C$475,'Mar16-Aug16 Billed-RETAIL'!$E49)</f>
        <v>0</v>
      </c>
      <c r="AW49" s="43">
        <f>SUMIFS('SBR Mar16 - Aug16'!$X$16:$X$475,'SBR Mar16 - Aug16'!$A$16:$A$475,'Mar16-Aug16 Billed-RETAIL'!$D49,'SBR Mar16 - Aug16'!$C$16:$C$475,'Mar16-Aug16 Billed-RETAIL'!$E49)</f>
        <v>15.42</v>
      </c>
      <c r="AX49" s="36">
        <f t="shared" si="78"/>
        <v>0</v>
      </c>
      <c r="AY49" s="36"/>
      <c r="AZ49" s="43">
        <f t="shared" si="79"/>
        <v>249.34</v>
      </c>
      <c r="BA49" s="43">
        <f t="shared" si="80"/>
        <v>249.34</v>
      </c>
      <c r="BB49" s="44">
        <f t="shared" si="81"/>
        <v>1</v>
      </c>
      <c r="BC49" s="43">
        <f>SUMIFS('SBR Mar16 - Aug16'!$N$16:$N$475,'SBR Mar16 - Aug16'!$A$16:$A$475,'Mar16-Aug16 Billed-RETAIL'!$D49,'SBR Mar16 - Aug16'!$C$16:$C$475,'Mar16-Aug16 Billed-RETAIL'!$E49)</f>
        <v>3.23</v>
      </c>
      <c r="BD49" s="43">
        <f>SUMIFS('SBR Mar16 - Aug16'!$O$16:$O$475,'SBR Mar16 - Aug16'!$A$16:$A$475,'Mar16-Aug16 Billed-RETAIL'!$D49,'SBR Mar16 - Aug16'!$C$16:$C$475,'Mar16-Aug16 Billed-RETAIL'!$E49)</f>
        <v>104.69</v>
      </c>
      <c r="BE49" s="43">
        <f>SUMIFS('SBR Mar16 - Aug16'!$Y$16:$Y$475,'SBR Mar16 - Aug16'!$A$16:$A$475,'Mar16-Aug16 Billed-RETAIL'!$D49,'SBR Mar16 - Aug16'!$C$16:$C$475,'Mar16-Aug16 Billed-RETAIL'!$E49)</f>
        <v>0</v>
      </c>
      <c r="BF49" s="43">
        <f>SUMIFS('SBR Mar16 - Aug16'!$AB$16:$AB$475,'SBR Mar16 - Aug16'!$A$16:$A$475,'Mar16-Aug16 Billed-RETAIL'!$D49,'SBR Mar16 - Aug16'!$C$16:$C$475,'Mar16-Aug16 Billed-RETAIL'!$E49)</f>
        <v>0</v>
      </c>
      <c r="BG49" s="43">
        <f>SUMIFS('SBR Mar16 - Aug16'!$G$16:$G$475,'SBR Mar16 - Aug16'!$A$16:$A$475,'Mar16-Aug16 Billed-RETAIL'!$D49,'SBR Mar16 - Aug16'!$C$16:$C$475,'Mar16-Aug16 Billed-RETAIL'!$E49)</f>
        <v>40.5</v>
      </c>
      <c r="BH49" s="43">
        <f>SUMIFS('SBR Mar16 - Aug16'!$I$16:$I$475,'SBR Mar16 - Aug16'!$A$16:$A$475,'Mar16-Aug16 Billed-RETAIL'!$D49,'SBR Mar16 - Aug16'!$C$16:$C$475,'Mar16-Aug16 Billed-RETAIL'!$E49)</f>
        <v>85.5</v>
      </c>
      <c r="BI49" s="43">
        <f>SUMIFS('SBR Mar16 - Aug16'!$H$16:$H$475,'SBR Mar16 - Aug16'!$A$16:$A$475,'Mar16-Aug16 Billed-RETAIL'!$D49,'SBR Mar16 - Aug16'!$C$16:$C$475,'Mar16-Aug16 Billed-RETAIL'!$E49)</f>
        <v>0</v>
      </c>
      <c r="BJ49" s="43">
        <f>SUMIFS('SBR Mar16 - Aug16'!$X$16:$X$475,'SBR Mar16 - Aug16'!$A$16:$A$475,'Mar16-Aug16 Billed-RETAIL'!$D49,'SBR Mar16 - Aug16'!$C$16:$C$475,'Mar16-Aug16 Billed-RETAIL'!$E49)</f>
        <v>15.42</v>
      </c>
      <c r="BL49" s="51">
        <f t="shared" si="82"/>
        <v>0</v>
      </c>
      <c r="BN49" s="58">
        <f t="shared" si="83"/>
        <v>0</v>
      </c>
      <c r="BO49" s="58">
        <f t="shared" si="84"/>
        <v>-4.8599999999936472E-3</v>
      </c>
      <c r="BP49" s="58">
        <f t="shared" si="85"/>
        <v>0</v>
      </c>
    </row>
    <row r="50" spans="3:68" s="563" customFormat="1" ht="15" customHeight="1" x14ac:dyDescent="0.25">
      <c r="C50" s="564"/>
      <c r="D50" s="605"/>
      <c r="E50" s="605"/>
      <c r="F50" s="564"/>
      <c r="G50" s="564"/>
      <c r="H50" s="565"/>
      <c r="I50" s="565"/>
      <c r="J50" s="565"/>
      <c r="K50" s="565"/>
      <c r="L50" s="565"/>
      <c r="M50" s="565"/>
      <c r="N50" s="566"/>
      <c r="O50" s="566"/>
      <c r="P50" s="567"/>
      <c r="Q50" s="567"/>
      <c r="R50" s="567"/>
      <c r="S50" s="566"/>
      <c r="T50" s="567"/>
      <c r="U50" s="566"/>
      <c r="V50" s="568"/>
      <c r="W50" s="569"/>
      <c r="X50" s="569"/>
      <c r="Y50" s="569"/>
      <c r="Z50" s="569"/>
      <c r="AA50" s="569"/>
      <c r="AB50" s="569"/>
      <c r="AC50" s="569"/>
      <c r="AD50" s="569"/>
      <c r="AE50" s="569"/>
      <c r="AF50" s="569"/>
      <c r="AG50" s="570"/>
      <c r="AH50" s="570"/>
      <c r="AI50" s="569"/>
      <c r="AJ50" s="569"/>
      <c r="AK50" s="569"/>
      <c r="AL50" s="569"/>
      <c r="AM50" s="569"/>
      <c r="AN50" s="569"/>
      <c r="AO50" s="569"/>
      <c r="AP50" s="569"/>
      <c r="AQ50" s="569"/>
      <c r="AR50" s="569"/>
      <c r="AS50" s="569"/>
      <c r="AT50" s="569"/>
      <c r="AU50" s="569"/>
      <c r="AV50" s="569"/>
      <c r="AW50" s="569"/>
      <c r="AX50" s="569"/>
      <c r="AY50" s="569"/>
      <c r="AZ50" s="569"/>
      <c r="BA50" s="569"/>
      <c r="BB50" s="571"/>
      <c r="BC50" s="569"/>
      <c r="BD50" s="569"/>
      <c r="BE50" s="569"/>
      <c r="BF50" s="569"/>
      <c r="BG50" s="569"/>
      <c r="BH50" s="569"/>
      <c r="BI50" s="569"/>
      <c r="BJ50" s="569"/>
      <c r="BL50" s="569"/>
      <c r="BN50" s="569"/>
      <c r="BO50" s="569"/>
      <c r="BP50" s="569"/>
    </row>
    <row r="51" spans="3:68" ht="15" customHeight="1" x14ac:dyDescent="0.25">
      <c r="C51" s="14">
        <f>C49+1</f>
        <v>41</v>
      </c>
      <c r="D51" s="604">
        <f>EDATE(D39,1)</f>
        <v>42552</v>
      </c>
      <c r="E51" s="604" t="str">
        <f>+'Retail Rates'!$B$7</f>
        <v>LGCMG865</v>
      </c>
      <c r="F51" s="14" t="str">
        <f>MID(E51,6,3)</f>
        <v>865</v>
      </c>
      <c r="G51" s="14" t="str">
        <f>VLOOKUP(E51,'Retail Rates'!$B$7:$D$34,3,FALSE)</f>
        <v>AAGS-C</v>
      </c>
      <c r="H51" s="33">
        <f>SUMIFS('Data-Retail'!$H$4:$H$1000,'Data-Retail'!$A$4:$A$1000,'Mar16-Aug16 Billed-RETAIL'!$D51,'Data-Retail'!$D$4:$D$1000,'Mar16-Aug16 Billed-RETAIL'!$E51)</f>
        <v>2</v>
      </c>
      <c r="I51" s="33"/>
      <c r="J51" s="33"/>
      <c r="K51" s="33">
        <f>SUMIFS('Data-Retail'!$I$4:$I$1000,'Data-Retail'!$A$4:$A$1000,'Mar16-Aug16 Billed-RETAIL'!$D51,'Data-Retail'!$D$4:$D$1000,'Mar16-Aug16 Billed-RETAIL'!$E51)</f>
        <v>27909</v>
      </c>
      <c r="L51" s="33">
        <f>SUMIFS('Data-Retail'!$J$4:$J$1000,'Data-Retail'!$A$4:$A$1000,'Mar16-Aug16 Billed-RETAIL'!$D51,'Data-Retail'!$D$4:$D$1000,'Mar16-Aug16 Billed-RETAIL'!$E51)</f>
        <v>0</v>
      </c>
      <c r="M51" s="33"/>
      <c r="N51" s="34">
        <f>VLOOKUP($E51,'Retail Rates'!$B$7:$L$34,5,FALSE)</f>
        <v>400</v>
      </c>
      <c r="O51" s="34">
        <f>VLOOKUP($E51,'Retail Rates'!$B$7:$L$34,6,FALSE)</f>
        <v>0</v>
      </c>
      <c r="P51" s="35">
        <f>VLOOKUP($E51,'Retail Rates'!$B$7:$L$34,7,FALSE)</f>
        <v>7.009E-2</v>
      </c>
      <c r="Q51" s="35">
        <f>VLOOKUP($E51,'Retail Rates'!$B$7:$L$34,8,FALSE)</f>
        <v>0</v>
      </c>
      <c r="R51" s="35">
        <f>VLOOKUP($D51,'GSC-DSM-GLT Factors'!$A$1:$B$60,2,FALSE)</f>
        <v>0.3513</v>
      </c>
      <c r="S51" s="34">
        <f>VLOOKUP($E51,'Retail Rates'!$B$7:$L$34,9,FALSE)</f>
        <v>0</v>
      </c>
      <c r="T51" s="35">
        <f>VLOOKUP($E51,'Retail Rates'!$B$7:$L$34,10,FALSE)</f>
        <v>0</v>
      </c>
      <c r="U51" s="34">
        <f>VLOOKUP($E51,'Retail Rates'!$B$7:$L$34,11,FALSE)</f>
        <v>0</v>
      </c>
      <c r="V51" s="556">
        <f>VLOOKUP($D51,'GSC-DSM-GLT Factors'!$A$1:$O$60,14,FALSE)</f>
        <v>2838.87</v>
      </c>
      <c r="W51" s="36">
        <f t="shared" ref="W51:W61" si="90">(+H51*N51)+(I51*N51)</f>
        <v>800</v>
      </c>
      <c r="X51" s="36"/>
      <c r="Y51" s="36"/>
      <c r="Z51" s="36">
        <f t="shared" ref="Z51:Z61" si="91">+K51*P51</f>
        <v>1956.1418100000001</v>
      </c>
      <c r="AA51" s="36">
        <f t="shared" ref="AA51:AA61" si="92">+L51*Q51</f>
        <v>0</v>
      </c>
      <c r="AB51" s="36">
        <f t="shared" ref="AB51:AB61" si="93">SUM(K51:L51)*R51</f>
        <v>9804.4316999999992</v>
      </c>
      <c r="AC51" s="36"/>
      <c r="AD51" s="36"/>
      <c r="AE51" s="36">
        <f>M51*U51</f>
        <v>0</v>
      </c>
      <c r="AF51" s="36">
        <f t="shared" ref="AF51:AF56" si="94">(+H51*V51)+(I51*V51)</f>
        <v>5677.74</v>
      </c>
      <c r="AG51" s="57">
        <f>SUMIFS(Adjustments!H$5:H$557,Adjustments!$B$5:$B$557,'Mar16-Aug16 Billed-RETAIL'!$D51,Adjustments!$C$5:$C$557,'Mar16-Aug16 Billed-RETAIL'!$E51)</f>
        <v>0</v>
      </c>
      <c r="AH51" s="57">
        <f>SUMIFS(Adjustments!I$5:I$557,Adjustments!$B$5:$B$557,'Mar16-Aug16 Billed-RETAIL'!$D51,Adjustments!$C$5:$C$557,'Mar16-Aug16 Billed-RETAIL'!$E51)</f>
        <v>0</v>
      </c>
      <c r="AI51" s="48">
        <f>SUMIFS(Adjustments!J$5:J$557,Adjustments!$B$5:$B$557,'Mar16-Aug16 Billed-RETAIL'!$D51,Adjustments!$C$5:$C$557,'Mar16-Aug16 Billed-RETAIL'!$E51)</f>
        <v>0</v>
      </c>
      <c r="AJ51" s="48">
        <f>SUMIFS(Adjustments!K$5:K$557,Adjustments!$B$5:$B$557,'Mar16-Aug16 Billed-RETAIL'!$D51,Adjustments!$C$5:$C$557,'Mar16-Aug16 Billed-RETAIL'!$E51)</f>
        <v>0</v>
      </c>
      <c r="AK51" s="48">
        <f>SUMIFS(Adjustments!L$5:L$557,Adjustments!$B$5:$B$557,'Mar16-Aug16 Billed-RETAIL'!$D51,Adjustments!$C$5:$C$557,'Mar16-Aug16 Billed-RETAIL'!$E51)</f>
        <v>0</v>
      </c>
      <c r="AL51" s="48">
        <f>SUMIFS(Adjustments!M$5:M$557,Adjustments!$B$5:$B$557,'Mar16-Aug16 Billed-RETAIL'!$D51,Adjustments!$C$5:$C$557,'Mar16-Aug16 Billed-RETAIL'!$E51)</f>
        <v>0</v>
      </c>
      <c r="AM51" s="48">
        <f>SUMIFS(Adjustments!N$5:N$557,Adjustments!$B$5:$B$557,'Mar16-Aug16 Billed-RETAIL'!$D51,Adjustments!$C$5:$C$557,'Mar16-Aug16 Billed-RETAIL'!$E51)</f>
        <v>0</v>
      </c>
      <c r="AN51" s="48">
        <f>SUMIFS(Adjustments!O$5:O$557,Adjustments!$B$5:$B$557,'Mar16-Aug16 Billed-RETAIL'!$D51,Adjustments!$C$5:$C$557,'Mar16-Aug16 Billed-RETAIL'!$E51)</f>
        <v>0</v>
      </c>
      <c r="AO51" s="48">
        <f>SUMIFS(Adjustments!P$5:P$557,Adjustments!$B$5:$B$557,'Mar16-Aug16 Billed-RETAIL'!$D51,Adjustments!$C$5:$C$557,'Mar16-Aug16 Billed-RETAIL'!$E51)</f>
        <v>0</v>
      </c>
      <c r="AP51" s="36">
        <f t="shared" ref="AP51:AP57" si="95">+W51+AI51+(AG51*N51)</f>
        <v>800</v>
      </c>
      <c r="AQ51" s="36">
        <f t="shared" ref="AQ51:AQ61" si="96">+Y51+AJ51</f>
        <v>0</v>
      </c>
      <c r="AR51" s="36">
        <f t="shared" ref="AR51:AR61" si="97">+Z51+AK51</f>
        <v>1956.1418100000001</v>
      </c>
      <c r="AS51" s="36">
        <f t="shared" ref="AS51:AS61" si="98">+AA51+AL51</f>
        <v>0</v>
      </c>
      <c r="AT51" s="43">
        <f>SUMIFS('SBR Mar16 - Aug16'!$O$16:$O$475,'SBR Mar16 - Aug16'!$A$16:$A$475,'Mar16-Aug16 Billed-RETAIL'!$D51,'SBR Mar16 - Aug16'!$C$16:$C$475,'Mar16-Aug16 Billed-RETAIL'!$E51)</f>
        <v>9804.43</v>
      </c>
      <c r="AU51" s="43">
        <f>SUMIFS('SBR Mar16 - Aug16'!$N$16:$N$475,'SBR Mar16 - Aug16'!$A$16:$A$475,'Mar16-Aug16 Billed-RETAIL'!$D51,'SBR Mar16 - Aug16'!$C$16:$C$475,'Mar16-Aug16 Billed-RETAIL'!$E51)</f>
        <v>15.9</v>
      </c>
      <c r="AV51" s="43">
        <f>SUMIFS('SBR Mar16 - Aug16'!$Y$16:$Y$475,'SBR Mar16 - Aug16'!$A$16:$A$475,'Mar16-Aug16 Billed-RETAIL'!$D51,'SBR Mar16 - Aug16'!$C$16:$C$475,'Mar16-Aug16 Billed-RETAIL'!$E51)</f>
        <v>0</v>
      </c>
      <c r="AW51" s="43">
        <f>SUMIFS('SBR Mar16 - Aug16'!$X$16:$X$475,'SBR Mar16 - Aug16'!$A$16:$A$475,'Mar16-Aug16 Billed-RETAIL'!$D51,'SBR Mar16 - Aug16'!$C$16:$C$475,'Mar16-Aug16 Billed-RETAIL'!$E51)</f>
        <v>5677.74</v>
      </c>
      <c r="AX51" s="36">
        <f t="shared" ref="AX51:AX61" si="99">+AE51+AO51</f>
        <v>0</v>
      </c>
      <c r="AY51" s="36"/>
      <c r="AZ51" s="43">
        <f t="shared" ref="AZ51:AZ61" si="100">ROUND(SUM(AP51:AY51),2)</f>
        <v>18254.21</v>
      </c>
      <c r="BA51" s="43">
        <f t="shared" ref="BA51:BA61" si="101">SUM(BC51:BJ51)-BF51</f>
        <v>18254.21</v>
      </c>
      <c r="BB51" s="44">
        <f t="shared" ref="BB51:BB61" si="102">IF(BA51=0,0,ROUND(BA51/AZ51,6))</f>
        <v>1</v>
      </c>
      <c r="BC51" s="43">
        <f>SUMIFS('SBR Mar16 - Aug16'!$N$16:$N$475,'SBR Mar16 - Aug16'!$A$16:$A$475,'Mar16-Aug16 Billed-RETAIL'!$D51,'SBR Mar16 - Aug16'!$C$16:$C$475,'Mar16-Aug16 Billed-RETAIL'!$E51)</f>
        <v>15.9</v>
      </c>
      <c r="BD51" s="43">
        <f>SUMIFS('SBR Mar16 - Aug16'!$O$16:$O$475,'SBR Mar16 - Aug16'!$A$16:$A$475,'Mar16-Aug16 Billed-RETAIL'!$D51,'SBR Mar16 - Aug16'!$C$16:$C$475,'Mar16-Aug16 Billed-RETAIL'!$E51)</f>
        <v>9804.43</v>
      </c>
      <c r="BE51" s="43">
        <f>SUMIFS('SBR Mar16 - Aug16'!$Y$16:$Y$475,'SBR Mar16 - Aug16'!$A$16:$A$475,'Mar16-Aug16 Billed-RETAIL'!$D51,'SBR Mar16 - Aug16'!$C$16:$C$475,'Mar16-Aug16 Billed-RETAIL'!$E51)</f>
        <v>0</v>
      </c>
      <c r="BF51" s="43">
        <f>SUMIFS('SBR Mar16 - Aug16'!$AB$16:$AB$475,'SBR Mar16 - Aug16'!$A$16:$A$475,'Mar16-Aug16 Billed-RETAIL'!$D51,'SBR Mar16 - Aug16'!$C$16:$C$475,'Mar16-Aug16 Billed-RETAIL'!$E51)</f>
        <v>0</v>
      </c>
      <c r="BG51" s="43">
        <f>SUMIFS('SBR Mar16 - Aug16'!$G$16:$G$475,'SBR Mar16 - Aug16'!$A$16:$A$475,'Mar16-Aug16 Billed-RETAIL'!$D51,'SBR Mar16 - Aug16'!$C$16:$C$475,'Mar16-Aug16 Billed-RETAIL'!$E51)</f>
        <v>800</v>
      </c>
      <c r="BH51" s="43">
        <f>SUMIFS('SBR Mar16 - Aug16'!$I$16:$I$475,'SBR Mar16 - Aug16'!$A$16:$A$475,'Mar16-Aug16 Billed-RETAIL'!$D51,'SBR Mar16 - Aug16'!$C$16:$C$475,'Mar16-Aug16 Billed-RETAIL'!$E51)</f>
        <v>1956.14</v>
      </c>
      <c r="BI51" s="43">
        <f>SUMIFS('SBR Mar16 - Aug16'!$H$16:$H$475,'SBR Mar16 - Aug16'!$A$16:$A$475,'Mar16-Aug16 Billed-RETAIL'!$D51,'SBR Mar16 - Aug16'!$C$16:$C$475,'Mar16-Aug16 Billed-RETAIL'!$E51)</f>
        <v>0</v>
      </c>
      <c r="BJ51" s="43">
        <f>SUMIFS('SBR Mar16 - Aug16'!$X$16:$X$475,'SBR Mar16 - Aug16'!$A$16:$A$475,'Mar16-Aug16 Billed-RETAIL'!$D51,'SBR Mar16 - Aug16'!$C$16:$C$475,'Mar16-Aug16 Billed-RETAIL'!$E51)</f>
        <v>5677.74</v>
      </c>
      <c r="BL51" s="51">
        <f t="shared" ref="BL51:BL61" si="103">+AZ51-BA51</f>
        <v>0</v>
      </c>
      <c r="BN51" s="58">
        <f t="shared" ref="BN51:BN61" si="104">+AP51+AQ51-BG51</f>
        <v>0</v>
      </c>
      <c r="BO51" s="58">
        <f t="shared" ref="BO51:BO61" si="105">+AR51+AS51-BH51</f>
        <v>1.8099999999776628E-3</v>
      </c>
      <c r="BP51" s="58">
        <f t="shared" ref="BP51:BP61" si="106">+AT51-BD51</f>
        <v>0</v>
      </c>
    </row>
    <row r="52" spans="3:68" ht="15" customHeight="1" x14ac:dyDescent="0.25">
      <c r="C52" s="14">
        <f t="shared" si="88"/>
        <v>42</v>
      </c>
      <c r="D52" s="604">
        <f>$D$51</f>
        <v>42552</v>
      </c>
      <c r="E52" s="604" t="str">
        <f>+'Retail Rates'!$B$10</f>
        <v>LGING866</v>
      </c>
      <c r="F52" s="14" t="str">
        <f t="shared" ref="F52:F61" si="107">MID(E52,6,3)</f>
        <v>866</v>
      </c>
      <c r="G52" s="14" t="str">
        <f>VLOOKUP(E52,'Retail Rates'!$B$7:$D$34,3,FALSE)</f>
        <v>AAGS-I</v>
      </c>
      <c r="H52" s="33">
        <f>SUMIFS('Data-Retail'!$H$4:$H$1000,'Data-Retail'!$A$4:$A$1000,'Mar16-Aug16 Billed-RETAIL'!$D52,'Data-Retail'!$D$4:$D$1000,'Mar16-Aug16 Billed-RETAIL'!$E52)</f>
        <v>0</v>
      </c>
      <c r="I52" s="33"/>
      <c r="J52" s="33"/>
      <c r="K52" s="33">
        <f>SUMIFS('Data-Retail'!$I$4:$I$1000,'Data-Retail'!$A$4:$A$1000,'Mar16-Aug16 Billed-RETAIL'!$D52,'Data-Retail'!$D$4:$D$1000,'Mar16-Aug16 Billed-RETAIL'!$E52)</f>
        <v>0</v>
      </c>
      <c r="L52" s="33">
        <f>SUMIFS('Data-Retail'!$J$4:$J$1000,'Data-Retail'!$A$4:$A$1000,'Mar16-Aug16 Billed-RETAIL'!$D52,'Data-Retail'!$D$4:$D$1000,'Mar16-Aug16 Billed-RETAIL'!$E52)</f>
        <v>0</v>
      </c>
      <c r="M52" s="33"/>
      <c r="N52" s="34">
        <f>VLOOKUP($E52,'Retail Rates'!$B$7:$L$34,5,FALSE)</f>
        <v>400</v>
      </c>
      <c r="O52" s="34">
        <f>VLOOKUP($E52,'Retail Rates'!$B$7:$L$34,6,FALSE)</f>
        <v>0</v>
      </c>
      <c r="P52" s="35">
        <f>VLOOKUP($E52,'Retail Rates'!$B$7:$L$34,7,FALSE)</f>
        <v>7.009E-2</v>
      </c>
      <c r="Q52" s="35">
        <f>VLOOKUP($E52,'Retail Rates'!$B$7:$L$34,8,FALSE)</f>
        <v>0</v>
      </c>
      <c r="R52" s="35">
        <f>VLOOKUP($D52,'GSC-DSM-GLT Factors'!$A$1:$B$60,2,FALSE)</f>
        <v>0.3513</v>
      </c>
      <c r="S52" s="34">
        <f>VLOOKUP($E52,'Retail Rates'!$B$7:$L$34,9,FALSE)</f>
        <v>0</v>
      </c>
      <c r="T52" s="35">
        <f>VLOOKUP($E52,'Retail Rates'!$B$7:$L$34,10,FALSE)</f>
        <v>0</v>
      </c>
      <c r="U52" s="34">
        <f>VLOOKUP($E52,'Retail Rates'!$B$7:$L$34,11,FALSE)</f>
        <v>0</v>
      </c>
      <c r="V52" s="556">
        <f>VLOOKUP($D52,'GSC-DSM-GLT Factors'!$A$1:$O$60,14,FALSE)</f>
        <v>2838.87</v>
      </c>
      <c r="W52" s="36">
        <f t="shared" si="90"/>
        <v>0</v>
      </c>
      <c r="X52" s="36"/>
      <c r="Y52" s="36"/>
      <c r="Z52" s="36">
        <f t="shared" si="91"/>
        <v>0</v>
      </c>
      <c r="AA52" s="36">
        <f t="shared" si="92"/>
        <v>0</v>
      </c>
      <c r="AB52" s="36">
        <f t="shared" si="93"/>
        <v>0</v>
      </c>
      <c r="AC52" s="36"/>
      <c r="AD52" s="36"/>
      <c r="AE52" s="36">
        <f t="shared" ref="AE52:AE61" si="108">M52*U52</f>
        <v>0</v>
      </c>
      <c r="AF52" s="36">
        <f t="shared" si="94"/>
        <v>0</v>
      </c>
      <c r="AG52" s="57">
        <f>SUMIFS(Adjustments!H$5:H$557,Adjustments!$B$5:$B$557,'Mar16-Aug16 Billed-RETAIL'!$D52,Adjustments!$C$5:$C$557,'Mar16-Aug16 Billed-RETAIL'!$E52)</f>
        <v>0</v>
      </c>
      <c r="AH52" s="57">
        <f>SUMIFS(Adjustments!I$5:I$557,Adjustments!$B$5:$B$557,'Mar16-Aug16 Billed-RETAIL'!$D52,Adjustments!$C$5:$C$557,'Mar16-Aug16 Billed-RETAIL'!$E52)</f>
        <v>0</v>
      </c>
      <c r="AI52" s="48">
        <f>SUMIFS(Adjustments!J$5:J$557,Adjustments!$B$5:$B$557,'Mar16-Aug16 Billed-RETAIL'!$D52,Adjustments!$C$5:$C$557,'Mar16-Aug16 Billed-RETAIL'!$E52)</f>
        <v>0</v>
      </c>
      <c r="AJ52" s="48">
        <f>SUMIFS(Adjustments!K$5:K$557,Adjustments!$B$5:$B$557,'Mar16-Aug16 Billed-RETAIL'!$D52,Adjustments!$C$5:$C$557,'Mar16-Aug16 Billed-RETAIL'!$E52)</f>
        <v>0</v>
      </c>
      <c r="AK52" s="48">
        <f>SUMIFS(Adjustments!L$5:L$557,Adjustments!$B$5:$B$557,'Mar16-Aug16 Billed-RETAIL'!$D52,Adjustments!$C$5:$C$557,'Mar16-Aug16 Billed-RETAIL'!$E52)</f>
        <v>0</v>
      </c>
      <c r="AL52" s="48">
        <f>SUMIFS(Adjustments!M$5:M$557,Adjustments!$B$5:$B$557,'Mar16-Aug16 Billed-RETAIL'!$D52,Adjustments!$C$5:$C$557,'Mar16-Aug16 Billed-RETAIL'!$E52)</f>
        <v>0</v>
      </c>
      <c r="AM52" s="48">
        <f>SUMIFS(Adjustments!N$5:N$557,Adjustments!$B$5:$B$557,'Mar16-Aug16 Billed-RETAIL'!$D52,Adjustments!$C$5:$C$557,'Mar16-Aug16 Billed-RETAIL'!$E52)</f>
        <v>0</v>
      </c>
      <c r="AN52" s="48">
        <f>SUMIFS(Adjustments!O$5:O$557,Adjustments!$B$5:$B$557,'Mar16-Aug16 Billed-RETAIL'!$D52,Adjustments!$C$5:$C$557,'Mar16-Aug16 Billed-RETAIL'!$E52)</f>
        <v>0</v>
      </c>
      <c r="AO52" s="48">
        <f>SUMIFS(Adjustments!P$5:P$557,Adjustments!$B$5:$B$557,'Mar16-Aug16 Billed-RETAIL'!$D52,Adjustments!$C$5:$C$557,'Mar16-Aug16 Billed-RETAIL'!$E52)</f>
        <v>0</v>
      </c>
      <c r="AP52" s="36">
        <f t="shared" si="95"/>
        <v>0</v>
      </c>
      <c r="AQ52" s="36">
        <f t="shared" si="96"/>
        <v>0</v>
      </c>
      <c r="AR52" s="36">
        <f t="shared" si="97"/>
        <v>0</v>
      </c>
      <c r="AS52" s="36">
        <f t="shared" si="98"/>
        <v>0</v>
      </c>
      <c r="AT52" s="43">
        <f>SUMIFS('SBR Mar16 - Aug16'!$O$16:$O$475,'SBR Mar16 - Aug16'!$A$16:$A$475,'Mar16-Aug16 Billed-RETAIL'!$D52,'SBR Mar16 - Aug16'!$C$16:$C$475,'Mar16-Aug16 Billed-RETAIL'!$E52)</f>
        <v>0</v>
      </c>
      <c r="AU52" s="43">
        <f>SUMIFS('SBR Mar16 - Aug16'!$N$16:$N$475,'SBR Mar16 - Aug16'!$A$16:$A$475,'Mar16-Aug16 Billed-RETAIL'!$D52,'SBR Mar16 - Aug16'!$C$16:$C$475,'Mar16-Aug16 Billed-RETAIL'!$E52)</f>
        <v>0</v>
      </c>
      <c r="AV52" s="43">
        <f>SUMIFS('SBR Mar16 - Aug16'!$Y$16:$Y$475,'SBR Mar16 - Aug16'!$A$16:$A$475,'Mar16-Aug16 Billed-RETAIL'!$D52,'SBR Mar16 - Aug16'!$C$16:$C$475,'Mar16-Aug16 Billed-RETAIL'!$E52)</f>
        <v>0</v>
      </c>
      <c r="AW52" s="43">
        <f>SUMIFS('SBR Mar16 - Aug16'!$X$16:$X$475,'SBR Mar16 - Aug16'!$A$16:$A$475,'Mar16-Aug16 Billed-RETAIL'!$D52,'SBR Mar16 - Aug16'!$C$16:$C$475,'Mar16-Aug16 Billed-RETAIL'!$E52)</f>
        <v>0</v>
      </c>
      <c r="AX52" s="36">
        <f t="shared" si="99"/>
        <v>0</v>
      </c>
      <c r="AY52" s="36"/>
      <c r="AZ52" s="43">
        <f t="shared" si="100"/>
        <v>0</v>
      </c>
      <c r="BA52" s="43">
        <f t="shared" si="101"/>
        <v>0</v>
      </c>
      <c r="BB52" s="44">
        <f t="shared" si="102"/>
        <v>0</v>
      </c>
      <c r="BC52" s="43">
        <f>SUMIFS('SBR Mar16 - Aug16'!$N$16:$N$475,'SBR Mar16 - Aug16'!$A$16:$A$475,'Mar16-Aug16 Billed-RETAIL'!$D52,'SBR Mar16 - Aug16'!$C$16:$C$475,'Mar16-Aug16 Billed-RETAIL'!$E52)</f>
        <v>0</v>
      </c>
      <c r="BD52" s="43">
        <f>SUMIFS('SBR Mar16 - Aug16'!$O$16:$O$475,'SBR Mar16 - Aug16'!$A$16:$A$475,'Mar16-Aug16 Billed-RETAIL'!$D52,'SBR Mar16 - Aug16'!$C$16:$C$475,'Mar16-Aug16 Billed-RETAIL'!$E52)</f>
        <v>0</v>
      </c>
      <c r="BE52" s="43">
        <f>SUMIFS('SBR Mar16 - Aug16'!$Y$16:$Y$475,'SBR Mar16 - Aug16'!$A$16:$A$475,'Mar16-Aug16 Billed-RETAIL'!$D52,'SBR Mar16 - Aug16'!$C$16:$C$475,'Mar16-Aug16 Billed-RETAIL'!$E52)</f>
        <v>0</v>
      </c>
      <c r="BF52" s="43">
        <f>SUMIFS('SBR Mar16 - Aug16'!$AB$16:$AB$475,'SBR Mar16 - Aug16'!$A$16:$A$475,'Mar16-Aug16 Billed-RETAIL'!$D52,'SBR Mar16 - Aug16'!$C$16:$C$475,'Mar16-Aug16 Billed-RETAIL'!$E52)</f>
        <v>0</v>
      </c>
      <c r="BG52" s="43">
        <f>SUMIFS('SBR Mar16 - Aug16'!$G$16:$G$475,'SBR Mar16 - Aug16'!$A$16:$A$475,'Mar16-Aug16 Billed-RETAIL'!$D52,'SBR Mar16 - Aug16'!$C$16:$C$475,'Mar16-Aug16 Billed-RETAIL'!$E52)</f>
        <v>0</v>
      </c>
      <c r="BH52" s="43">
        <f>SUMIFS('SBR Mar16 - Aug16'!$I$16:$I$475,'SBR Mar16 - Aug16'!$A$16:$A$475,'Mar16-Aug16 Billed-RETAIL'!$D52,'SBR Mar16 - Aug16'!$C$16:$C$475,'Mar16-Aug16 Billed-RETAIL'!$E52)</f>
        <v>0</v>
      </c>
      <c r="BI52" s="43">
        <f>SUMIFS('SBR Mar16 - Aug16'!$H$16:$H$475,'SBR Mar16 - Aug16'!$A$16:$A$475,'Mar16-Aug16 Billed-RETAIL'!$D52,'SBR Mar16 - Aug16'!$C$16:$C$475,'Mar16-Aug16 Billed-RETAIL'!$E52)</f>
        <v>0</v>
      </c>
      <c r="BJ52" s="43">
        <f>SUMIFS('SBR Mar16 - Aug16'!$X$16:$X$475,'SBR Mar16 - Aug16'!$A$16:$A$475,'Mar16-Aug16 Billed-RETAIL'!$D52,'SBR Mar16 - Aug16'!$C$16:$C$475,'Mar16-Aug16 Billed-RETAIL'!$E52)</f>
        <v>0</v>
      </c>
      <c r="BL52" s="51">
        <f t="shared" si="103"/>
        <v>0</v>
      </c>
      <c r="BN52" s="58">
        <f t="shared" si="104"/>
        <v>0</v>
      </c>
      <c r="BO52" s="58">
        <f t="shared" si="105"/>
        <v>0</v>
      </c>
      <c r="BP52" s="58">
        <f t="shared" si="106"/>
        <v>0</v>
      </c>
    </row>
    <row r="53" spans="3:68" ht="15" x14ac:dyDescent="0.25">
      <c r="C53" s="14">
        <f t="shared" si="88"/>
        <v>43</v>
      </c>
      <c r="D53" s="604">
        <f t="shared" ref="D53:D61" si="109">$D$51</f>
        <v>42552</v>
      </c>
      <c r="E53" s="604" t="str">
        <f>+'Retail Rates'!$B$11</f>
        <v>LGING866DS</v>
      </c>
      <c r="F53" s="14" t="str">
        <f t="shared" si="107"/>
        <v>866</v>
      </c>
      <c r="G53" s="14" t="str">
        <f>VLOOKUP(E53,'Retail Rates'!$B$7:$D$34,3,FALSE)</f>
        <v>AAGS-I</v>
      </c>
      <c r="H53" s="33">
        <f>SUMIFS('Data-Retail'!$H$4:$H$1000,'Data-Retail'!$A$4:$A$1000,'Mar16-Aug16 Billed-RETAIL'!$D53,'Data-Retail'!$D$4:$D$1000,'Mar16-Aug16 Billed-RETAIL'!$E53)</f>
        <v>2</v>
      </c>
      <c r="I53" s="33"/>
      <c r="J53" s="33"/>
      <c r="K53" s="33">
        <f>SUMIFS('Data-Retail'!$I$4:$I$1000,'Data-Retail'!$A$4:$A$1000,'Mar16-Aug16 Billed-RETAIL'!$D53,'Data-Retail'!$D$4:$D$1000,'Mar16-Aug16 Billed-RETAIL'!$E53)</f>
        <v>35046</v>
      </c>
      <c r="L53" s="33">
        <f>SUMIFS('Data-Retail'!$J$4:$J$1000,'Data-Retail'!$A$4:$A$1000,'Mar16-Aug16 Billed-RETAIL'!$D53,'Data-Retail'!$D$4:$D$1000,'Mar16-Aug16 Billed-RETAIL'!$E53)</f>
        <v>0</v>
      </c>
      <c r="M53" s="33"/>
      <c r="N53" s="34">
        <f>VLOOKUP($E53,'Retail Rates'!$B$7:$L$34,5,FALSE)</f>
        <v>400</v>
      </c>
      <c r="O53" s="34">
        <f>VLOOKUP($E53,'Retail Rates'!$B$7:$L$34,6,FALSE)</f>
        <v>0</v>
      </c>
      <c r="P53" s="35">
        <f>VLOOKUP($E53,'Retail Rates'!$B$7:$L$34,7,FALSE)</f>
        <v>7.009E-2</v>
      </c>
      <c r="Q53" s="35">
        <f>VLOOKUP($E53,'Retail Rates'!$B$7:$L$34,8,FALSE)</f>
        <v>0</v>
      </c>
      <c r="R53" s="35">
        <f>VLOOKUP($D53,'GSC-DSM-GLT Factors'!$A$1:$B$60,2,FALSE)</f>
        <v>0.3513</v>
      </c>
      <c r="S53" s="34">
        <f>VLOOKUP($E53,'Retail Rates'!$B$7:$L$34,9,FALSE)</f>
        <v>0</v>
      </c>
      <c r="T53" s="35">
        <f>VLOOKUP($E53,'Retail Rates'!$B$7:$L$34,10,FALSE)</f>
        <v>0</v>
      </c>
      <c r="U53" s="34">
        <f>VLOOKUP($E53,'Retail Rates'!$B$7:$L$34,11,FALSE)</f>
        <v>0</v>
      </c>
      <c r="V53" s="556">
        <f>VLOOKUP($D53,'GSC-DSM-GLT Factors'!$A$1:$O$60,14,FALSE)</f>
        <v>2838.87</v>
      </c>
      <c r="W53" s="36">
        <f t="shared" si="90"/>
        <v>800</v>
      </c>
      <c r="X53" s="36"/>
      <c r="Y53" s="36"/>
      <c r="Z53" s="36">
        <f t="shared" si="91"/>
        <v>2456.3741399999999</v>
      </c>
      <c r="AA53" s="36">
        <f t="shared" si="92"/>
        <v>0</v>
      </c>
      <c r="AB53" s="36">
        <f t="shared" si="93"/>
        <v>12311.659799999999</v>
      </c>
      <c r="AC53" s="36"/>
      <c r="AD53" s="36"/>
      <c r="AE53" s="36">
        <f t="shared" si="108"/>
        <v>0</v>
      </c>
      <c r="AF53" s="36">
        <f t="shared" si="94"/>
        <v>5677.74</v>
      </c>
      <c r="AG53" s="57">
        <f>SUMIFS(Adjustments!H$5:H$557,Adjustments!$B$5:$B$557,'Mar16-Aug16 Billed-RETAIL'!$D53,Adjustments!$C$5:$C$557,'Mar16-Aug16 Billed-RETAIL'!$E53)</f>
        <v>0</v>
      </c>
      <c r="AH53" s="57">
        <f>SUMIFS(Adjustments!I$5:I$557,Adjustments!$B$5:$B$557,'Mar16-Aug16 Billed-RETAIL'!$D53,Adjustments!$C$5:$C$557,'Mar16-Aug16 Billed-RETAIL'!$E53)</f>
        <v>0</v>
      </c>
      <c r="AI53" s="48">
        <f>SUMIFS(Adjustments!J$5:J$557,Adjustments!$B$5:$B$557,'Mar16-Aug16 Billed-RETAIL'!$D53,Adjustments!$C$5:$C$557,'Mar16-Aug16 Billed-RETAIL'!$E53)</f>
        <v>0</v>
      </c>
      <c r="AJ53" s="48">
        <f>SUMIFS(Adjustments!K$5:K$557,Adjustments!$B$5:$B$557,'Mar16-Aug16 Billed-RETAIL'!$D53,Adjustments!$C$5:$C$557,'Mar16-Aug16 Billed-RETAIL'!$E53)</f>
        <v>0</v>
      </c>
      <c r="AK53" s="48">
        <f>SUMIFS(Adjustments!L$5:L$557,Adjustments!$B$5:$B$557,'Mar16-Aug16 Billed-RETAIL'!$D53,Adjustments!$C$5:$C$557,'Mar16-Aug16 Billed-RETAIL'!$E53)</f>
        <v>0</v>
      </c>
      <c r="AL53" s="48">
        <f>SUMIFS(Adjustments!M$5:M$557,Adjustments!$B$5:$B$557,'Mar16-Aug16 Billed-RETAIL'!$D53,Adjustments!$C$5:$C$557,'Mar16-Aug16 Billed-RETAIL'!$E53)</f>
        <v>0</v>
      </c>
      <c r="AM53" s="48">
        <f>SUMIFS(Adjustments!N$5:N$557,Adjustments!$B$5:$B$557,'Mar16-Aug16 Billed-RETAIL'!$D53,Adjustments!$C$5:$C$557,'Mar16-Aug16 Billed-RETAIL'!$E53)</f>
        <v>0</v>
      </c>
      <c r="AN53" s="48">
        <f>SUMIFS(Adjustments!O$5:O$557,Adjustments!$B$5:$B$557,'Mar16-Aug16 Billed-RETAIL'!$D53,Adjustments!$C$5:$C$557,'Mar16-Aug16 Billed-RETAIL'!$E53)</f>
        <v>0</v>
      </c>
      <c r="AO53" s="48">
        <f>SUMIFS(Adjustments!P$5:P$557,Adjustments!$B$5:$B$557,'Mar16-Aug16 Billed-RETAIL'!$D53,Adjustments!$C$5:$C$557,'Mar16-Aug16 Billed-RETAIL'!$E53)</f>
        <v>0</v>
      </c>
      <c r="AP53" s="36">
        <f t="shared" si="95"/>
        <v>800</v>
      </c>
      <c r="AQ53" s="36">
        <f t="shared" si="96"/>
        <v>0</v>
      </c>
      <c r="AR53" s="36">
        <f t="shared" si="97"/>
        <v>2456.3741399999999</v>
      </c>
      <c r="AS53" s="36">
        <f t="shared" si="98"/>
        <v>0</v>
      </c>
      <c r="AT53" s="43">
        <f>SUMIFS('SBR Mar16 - Aug16'!$O$16:$O$475,'SBR Mar16 - Aug16'!$A$16:$A$475,'Mar16-Aug16 Billed-RETAIL'!$D53,'SBR Mar16 - Aug16'!$C$16:$C$475,'Mar16-Aug16 Billed-RETAIL'!$E53)</f>
        <v>12311.66</v>
      </c>
      <c r="AU53" s="43">
        <f>SUMIFS('SBR Mar16 - Aug16'!$N$16:$N$475,'SBR Mar16 - Aug16'!$A$16:$A$475,'Mar16-Aug16 Billed-RETAIL'!$D53,'SBR Mar16 - Aug16'!$C$16:$C$475,'Mar16-Aug16 Billed-RETAIL'!$E53)</f>
        <v>0</v>
      </c>
      <c r="AV53" s="43">
        <f>SUMIFS('SBR Mar16 - Aug16'!$Y$16:$Y$475,'SBR Mar16 - Aug16'!$A$16:$A$475,'Mar16-Aug16 Billed-RETAIL'!$D53,'SBR Mar16 - Aug16'!$C$16:$C$475,'Mar16-Aug16 Billed-RETAIL'!$E53)</f>
        <v>0</v>
      </c>
      <c r="AW53" s="43">
        <f>SUMIFS('SBR Mar16 - Aug16'!$X$16:$X$475,'SBR Mar16 - Aug16'!$A$16:$A$475,'Mar16-Aug16 Billed-RETAIL'!$D53,'SBR Mar16 - Aug16'!$C$16:$C$475,'Mar16-Aug16 Billed-RETAIL'!$E53)</f>
        <v>5677.74</v>
      </c>
      <c r="AX53" s="36">
        <f t="shared" si="99"/>
        <v>0</v>
      </c>
      <c r="AY53" s="36"/>
      <c r="AZ53" s="43">
        <f t="shared" si="100"/>
        <v>21245.77</v>
      </c>
      <c r="BA53" s="43">
        <f t="shared" si="101"/>
        <v>21245.769999999997</v>
      </c>
      <c r="BB53" s="44">
        <f t="shared" si="102"/>
        <v>1</v>
      </c>
      <c r="BC53" s="43">
        <f>SUMIFS('SBR Mar16 - Aug16'!$N$16:$N$475,'SBR Mar16 - Aug16'!$A$16:$A$475,'Mar16-Aug16 Billed-RETAIL'!$D53,'SBR Mar16 - Aug16'!$C$16:$C$475,'Mar16-Aug16 Billed-RETAIL'!$E53)</f>
        <v>0</v>
      </c>
      <c r="BD53" s="43">
        <f>SUMIFS('SBR Mar16 - Aug16'!$O$16:$O$475,'SBR Mar16 - Aug16'!$A$16:$A$475,'Mar16-Aug16 Billed-RETAIL'!$D53,'SBR Mar16 - Aug16'!$C$16:$C$475,'Mar16-Aug16 Billed-RETAIL'!$E53)</f>
        <v>12311.66</v>
      </c>
      <c r="BE53" s="43">
        <f>SUMIFS('SBR Mar16 - Aug16'!$Y$16:$Y$475,'SBR Mar16 - Aug16'!$A$16:$A$475,'Mar16-Aug16 Billed-RETAIL'!$D53,'SBR Mar16 - Aug16'!$C$16:$C$475,'Mar16-Aug16 Billed-RETAIL'!$E53)</f>
        <v>0</v>
      </c>
      <c r="BF53" s="43">
        <f>SUMIFS('SBR Mar16 - Aug16'!$AB$16:$AB$475,'SBR Mar16 - Aug16'!$A$16:$A$475,'Mar16-Aug16 Billed-RETAIL'!$D53,'SBR Mar16 - Aug16'!$C$16:$C$475,'Mar16-Aug16 Billed-RETAIL'!$E53)</f>
        <v>0</v>
      </c>
      <c r="BG53" s="43">
        <f>SUMIFS('SBR Mar16 - Aug16'!$G$16:$G$475,'SBR Mar16 - Aug16'!$A$16:$A$475,'Mar16-Aug16 Billed-RETAIL'!$D53,'SBR Mar16 - Aug16'!$C$16:$C$475,'Mar16-Aug16 Billed-RETAIL'!$E53)</f>
        <v>800</v>
      </c>
      <c r="BH53" s="43">
        <f>SUMIFS('SBR Mar16 - Aug16'!$I$16:$I$475,'SBR Mar16 - Aug16'!$A$16:$A$475,'Mar16-Aug16 Billed-RETAIL'!$D53,'SBR Mar16 - Aug16'!$C$16:$C$475,'Mar16-Aug16 Billed-RETAIL'!$E53)</f>
        <v>2456.37</v>
      </c>
      <c r="BI53" s="43">
        <f>SUMIFS('SBR Mar16 - Aug16'!$H$16:$H$475,'SBR Mar16 - Aug16'!$A$16:$A$475,'Mar16-Aug16 Billed-RETAIL'!$D53,'SBR Mar16 - Aug16'!$C$16:$C$475,'Mar16-Aug16 Billed-RETAIL'!$E53)</f>
        <v>0</v>
      </c>
      <c r="BJ53" s="43">
        <f>SUMIFS('SBR Mar16 - Aug16'!$X$16:$X$475,'SBR Mar16 - Aug16'!$A$16:$A$475,'Mar16-Aug16 Billed-RETAIL'!$D53,'SBR Mar16 - Aug16'!$C$16:$C$475,'Mar16-Aug16 Billed-RETAIL'!$E53)</f>
        <v>5677.74</v>
      </c>
      <c r="BL53" s="51">
        <f t="shared" si="103"/>
        <v>0</v>
      </c>
      <c r="BN53" s="58">
        <f t="shared" si="104"/>
        <v>0</v>
      </c>
      <c r="BO53" s="58">
        <f t="shared" si="105"/>
        <v>4.1400000000066939E-3</v>
      </c>
      <c r="BP53" s="58">
        <f t="shared" si="106"/>
        <v>0</v>
      </c>
    </row>
    <row r="54" spans="3:68" ht="15" x14ac:dyDescent="0.25">
      <c r="C54" s="14">
        <f t="shared" si="88"/>
        <v>44</v>
      </c>
      <c r="D54" s="604">
        <f t="shared" si="109"/>
        <v>42552</v>
      </c>
      <c r="E54" s="604" t="str">
        <f>+'Retail Rates'!$B$15</f>
        <v>LGCMG851</v>
      </c>
      <c r="F54" s="14" t="str">
        <f t="shared" si="107"/>
        <v>851</v>
      </c>
      <c r="G54" s="14" t="str">
        <f>VLOOKUP(E54,'Retail Rates'!$B$7:$D$34,3,FALSE)</f>
        <v>CGS</v>
      </c>
      <c r="H54" s="33"/>
      <c r="I54" s="33">
        <f>SUMIFS(Adjustments!F$5:F$362,Adjustments!$B$5:$B$362,'Mar16-Aug16 Billed-RETAIL'!$D54,Adjustments!$C$5:$C$362,'Mar16-Aug16 Billed-RETAIL'!$E54)</f>
        <v>23387</v>
      </c>
      <c r="J54" s="33">
        <f>SUMIFS(Adjustments!G$5:G$362,Adjustments!$B$5:$B$362,'Mar16-Aug16 Billed-RETAIL'!$D54,Adjustments!$C$5:$C$362,'Mar16-Aug16 Billed-RETAIL'!$E54)</f>
        <v>1088</v>
      </c>
      <c r="K54" s="33">
        <f>SUMIFS('Data-Retail'!$I$4:$I$1000,'Data-Retail'!$A$4:$A$1000,'Mar16-Aug16 Billed-RETAIL'!$D54,'Data-Retail'!$D$4:$D$1000,'Mar16-Aug16 Billed-RETAIL'!$E54)</f>
        <v>1866953</v>
      </c>
      <c r="L54" s="33">
        <f>SUMIFS('Data-Retail'!$J$4:$J$1000,'Data-Retail'!$A$4:$A$1000,'Mar16-Aug16 Billed-RETAIL'!$D54,'Data-Retail'!$D$4:$D$1000,'Mar16-Aug16 Billed-RETAIL'!$E54)</f>
        <v>862116</v>
      </c>
      <c r="M54" s="33"/>
      <c r="N54" s="34">
        <f>VLOOKUP($E54,'Retail Rates'!$B$7:$L$34,5,FALSE)</f>
        <v>40</v>
      </c>
      <c r="O54" s="34">
        <f>VLOOKUP($E54,'Retail Rates'!$B$7:$L$34,6,FALSE)</f>
        <v>180</v>
      </c>
      <c r="P54" s="35">
        <f>VLOOKUP($E54,'Retail Rates'!$B$7:$L$34,7,FALSE)</f>
        <v>0.21504000000000001</v>
      </c>
      <c r="Q54" s="35">
        <f>VLOOKUP($E54,'Retail Rates'!$B$7:$L$34,8,FALSE)</f>
        <v>0.16504000000000002</v>
      </c>
      <c r="R54" s="35">
        <f>VLOOKUP($D54,'GSC-DSM-GLT Factors'!$A$1:$B$60,2,FALSE)</f>
        <v>0.3513</v>
      </c>
      <c r="S54" s="34">
        <f>VLOOKUP($E54,'Retail Rates'!$B$7:$L$34,9,FALSE)</f>
        <v>0</v>
      </c>
      <c r="T54" s="35">
        <f>VLOOKUP($E54,'Retail Rates'!$B$7:$L$34,10,FALSE)</f>
        <v>0</v>
      </c>
      <c r="U54" s="34">
        <f>VLOOKUP($E54,'Retail Rates'!$B$7:$L$34,11,FALSE)</f>
        <v>0</v>
      </c>
      <c r="V54" s="556">
        <f>VLOOKUP($D54,'GSC-DSM-GLT Factors'!$A$1:$O$60,12,FALSE)</f>
        <v>27.41</v>
      </c>
      <c r="W54" s="36">
        <f t="shared" si="90"/>
        <v>935480</v>
      </c>
      <c r="X54" s="36"/>
      <c r="Y54" s="36">
        <f>+J54*O54</f>
        <v>195840</v>
      </c>
      <c r="Z54" s="36">
        <f t="shared" si="91"/>
        <v>401469.57312000002</v>
      </c>
      <c r="AA54" s="36">
        <f t="shared" si="92"/>
        <v>142283.62464000002</v>
      </c>
      <c r="AB54" s="36">
        <f t="shared" si="93"/>
        <v>958721.93969999999</v>
      </c>
      <c r="AC54" s="36"/>
      <c r="AD54" s="36"/>
      <c r="AE54" s="36">
        <f t="shared" si="108"/>
        <v>0</v>
      </c>
      <c r="AF54" s="36">
        <f t="shared" si="94"/>
        <v>641037.67000000004</v>
      </c>
      <c r="AG54" s="57">
        <f>SUMIFS(Adjustments!H$5:H$557,Adjustments!$B$5:$B$557,'Mar16-Aug16 Billed-RETAIL'!$D54,Adjustments!$C$5:$C$557,'Mar16-Aug16 Billed-RETAIL'!$E54)</f>
        <v>0</v>
      </c>
      <c r="AH54" s="57">
        <f>SUMIFS(Adjustments!I$5:I$557,Adjustments!$B$5:$B$557,'Mar16-Aug16 Billed-RETAIL'!$D54,Adjustments!$C$5:$C$557,'Mar16-Aug16 Billed-RETAIL'!$E54)</f>
        <v>0</v>
      </c>
      <c r="AI54" s="48">
        <f>SUMIFS(Adjustments!J$5:J$557,Adjustments!$B$5:$B$557,'Mar16-Aug16 Billed-RETAIL'!$D54,Adjustments!$C$5:$C$557,'Mar16-Aug16 Billed-RETAIL'!$E54)</f>
        <v>-34.049999999999997</v>
      </c>
      <c r="AJ54" s="48">
        <f>SUMIFS(Adjustments!K$5:K$557,Adjustments!$B$5:$B$557,'Mar16-Aug16 Billed-RETAIL'!$D54,Adjustments!$C$5:$C$557,'Mar16-Aug16 Billed-RETAIL'!$E54)</f>
        <v>-96</v>
      </c>
      <c r="AK54" s="48">
        <f>SUMIFS(Adjustments!L$5:L$557,Adjustments!$B$5:$B$557,'Mar16-Aug16 Billed-RETAIL'!$D54,Adjustments!$C$5:$C$557,'Mar16-Aug16 Billed-RETAIL'!$E54)</f>
        <v>21.17</v>
      </c>
      <c r="AL54" s="48">
        <f>SUMIFS(Adjustments!M$5:M$557,Adjustments!$B$5:$B$557,'Mar16-Aug16 Billed-RETAIL'!$D54,Adjustments!$C$5:$C$557,'Mar16-Aug16 Billed-RETAIL'!$E54)</f>
        <v>0</v>
      </c>
      <c r="AM54" s="48">
        <f>SUMIFS(Adjustments!N$5:N$557,Adjustments!$B$5:$B$557,'Mar16-Aug16 Billed-RETAIL'!$D54,Adjustments!$C$5:$C$557,'Mar16-Aug16 Billed-RETAIL'!$E54)</f>
        <v>0</v>
      </c>
      <c r="AN54" s="48">
        <f>SUMIFS(Adjustments!O$5:O$557,Adjustments!$B$5:$B$557,'Mar16-Aug16 Billed-RETAIL'!$D54,Adjustments!$C$5:$C$557,'Mar16-Aug16 Billed-RETAIL'!$E54)</f>
        <v>0</v>
      </c>
      <c r="AO54" s="48">
        <f>SUMIFS(Adjustments!P$5:P$557,Adjustments!$B$5:$B$557,'Mar16-Aug16 Billed-RETAIL'!$D54,Adjustments!$C$5:$C$557,'Mar16-Aug16 Billed-RETAIL'!$E54)</f>
        <v>0</v>
      </c>
      <c r="AP54" s="36">
        <f t="shared" si="95"/>
        <v>935445.95</v>
      </c>
      <c r="AQ54" s="36">
        <f t="shared" si="96"/>
        <v>195744</v>
      </c>
      <c r="AR54" s="36">
        <f t="shared" si="97"/>
        <v>401490.74312</v>
      </c>
      <c r="AS54" s="36">
        <f t="shared" si="98"/>
        <v>142283.62464000002</v>
      </c>
      <c r="AT54" s="43">
        <f>SUMIFS('SBR Mar16 - Aug16'!$O$16:$O$475,'SBR Mar16 - Aug16'!$A$16:$A$475,'Mar16-Aug16 Billed-RETAIL'!$D54,'SBR Mar16 - Aug16'!$C$16:$C$475,'Mar16-Aug16 Billed-RETAIL'!$E54)</f>
        <v>959338.35</v>
      </c>
      <c r="AU54" s="43">
        <f>SUMIFS('SBR Mar16 - Aug16'!$N$16:$N$475,'SBR Mar16 - Aug16'!$A$16:$A$475,'Mar16-Aug16 Billed-RETAIL'!$D54,'SBR Mar16 - Aug16'!$C$16:$C$475,'Mar16-Aug16 Billed-RETAIL'!$E54)</f>
        <v>1550.09</v>
      </c>
      <c r="AV54" s="43">
        <f>SUMIFS('SBR Mar16 - Aug16'!$Y$16:$Y$475,'SBR Mar16 - Aug16'!$A$16:$A$475,'Mar16-Aug16 Billed-RETAIL'!$D54,'SBR Mar16 - Aug16'!$C$16:$C$475,'Mar16-Aug16 Billed-RETAIL'!$E54)</f>
        <v>-1150.57</v>
      </c>
      <c r="AW54" s="43">
        <f>SUMIFS('SBR Mar16 - Aug16'!$X$16:$X$475,'SBR Mar16 - Aug16'!$A$16:$A$475,'Mar16-Aug16 Billed-RETAIL'!$D54,'SBR Mar16 - Aug16'!$C$16:$C$475,'Mar16-Aug16 Billed-RETAIL'!$E54)</f>
        <v>670825.15</v>
      </c>
      <c r="AX54" s="36">
        <f t="shared" si="99"/>
        <v>0</v>
      </c>
      <c r="AY54" s="36"/>
      <c r="AZ54" s="43">
        <f t="shared" si="100"/>
        <v>3305527.34</v>
      </c>
      <c r="BA54" s="43">
        <f t="shared" si="101"/>
        <v>3305527.34</v>
      </c>
      <c r="BB54" s="44">
        <f t="shared" si="102"/>
        <v>1</v>
      </c>
      <c r="BC54" s="43">
        <f>SUMIFS('SBR Mar16 - Aug16'!$N$16:$N$475,'SBR Mar16 - Aug16'!$A$16:$A$475,'Mar16-Aug16 Billed-RETAIL'!$D54,'SBR Mar16 - Aug16'!$C$16:$C$475,'Mar16-Aug16 Billed-RETAIL'!$E54)</f>
        <v>1550.09</v>
      </c>
      <c r="BD54" s="43">
        <f>SUMIFS('SBR Mar16 - Aug16'!$O$16:$O$475,'SBR Mar16 - Aug16'!$A$16:$A$475,'Mar16-Aug16 Billed-RETAIL'!$D54,'SBR Mar16 - Aug16'!$C$16:$C$475,'Mar16-Aug16 Billed-RETAIL'!$E54)</f>
        <v>959338.35</v>
      </c>
      <c r="BE54" s="43">
        <f>SUMIFS('SBR Mar16 - Aug16'!$Y$16:$Y$475,'SBR Mar16 - Aug16'!$A$16:$A$475,'Mar16-Aug16 Billed-RETAIL'!$D54,'SBR Mar16 - Aug16'!$C$16:$C$475,'Mar16-Aug16 Billed-RETAIL'!$E54)</f>
        <v>-1150.57</v>
      </c>
      <c r="BF54" s="43">
        <f>SUMIFS('SBR Mar16 - Aug16'!$AB$16:$AB$475,'SBR Mar16 - Aug16'!$A$16:$A$475,'Mar16-Aug16 Billed-RETAIL'!$D54,'SBR Mar16 - Aug16'!$C$16:$C$475,'Mar16-Aug16 Billed-RETAIL'!$E54)</f>
        <v>0</v>
      </c>
      <c r="BG54" s="43">
        <f>SUMIFS('SBR Mar16 - Aug16'!$G$16:$G$475,'SBR Mar16 - Aug16'!$A$16:$A$475,'Mar16-Aug16 Billed-RETAIL'!$D54,'SBR Mar16 - Aug16'!$C$16:$C$475,'Mar16-Aug16 Billed-RETAIL'!$E54)</f>
        <v>1131189.95</v>
      </c>
      <c r="BH54" s="43">
        <f>SUMIFS('SBR Mar16 - Aug16'!$I$16:$I$475,'SBR Mar16 - Aug16'!$A$16:$A$475,'Mar16-Aug16 Billed-RETAIL'!$D54,'SBR Mar16 - Aug16'!$C$16:$C$475,'Mar16-Aug16 Billed-RETAIL'!$E54)</f>
        <v>543774.37</v>
      </c>
      <c r="BI54" s="43">
        <f>SUMIFS('SBR Mar16 - Aug16'!$H$16:$H$475,'SBR Mar16 - Aug16'!$A$16:$A$475,'Mar16-Aug16 Billed-RETAIL'!$D54,'SBR Mar16 - Aug16'!$C$16:$C$475,'Mar16-Aug16 Billed-RETAIL'!$E54)</f>
        <v>0</v>
      </c>
      <c r="BJ54" s="43">
        <f>SUMIFS('SBR Mar16 - Aug16'!$X$16:$X$475,'SBR Mar16 - Aug16'!$A$16:$A$475,'Mar16-Aug16 Billed-RETAIL'!$D54,'SBR Mar16 - Aug16'!$C$16:$C$475,'Mar16-Aug16 Billed-RETAIL'!$E54)</f>
        <v>670825.15</v>
      </c>
      <c r="BL54" s="51">
        <f t="shared" si="103"/>
        <v>0</v>
      </c>
      <c r="BN54" s="58">
        <f t="shared" si="104"/>
        <v>0</v>
      </c>
      <c r="BO54" s="58">
        <f t="shared" si="105"/>
        <v>-2.2399999434128404E-3</v>
      </c>
      <c r="BP54" s="58">
        <f t="shared" si="106"/>
        <v>0</v>
      </c>
    </row>
    <row r="55" spans="3:68" ht="15" customHeight="1" x14ac:dyDescent="0.25">
      <c r="C55" s="14">
        <f t="shared" si="88"/>
        <v>45</v>
      </c>
      <c r="D55" s="604">
        <f t="shared" si="109"/>
        <v>42552</v>
      </c>
      <c r="E55" s="604" t="str">
        <f>+'Retail Rates'!$B$16</f>
        <v>LGUMG861</v>
      </c>
      <c r="F55" s="14" t="str">
        <f t="shared" si="107"/>
        <v>861</v>
      </c>
      <c r="G55" s="14" t="str">
        <f>VLOOKUP(E55,'Retail Rates'!$B$7:$D$34,3,FALSE)</f>
        <v>CGS</v>
      </c>
      <c r="H55" s="33"/>
      <c r="I55" s="33">
        <f>SUMIFS(Adjustments!F$5:F$362,Adjustments!$B$5:$B$362,'Mar16-Aug16 Billed-RETAIL'!$D55,Adjustments!$C$5:$C$362,'Mar16-Aug16 Billed-RETAIL'!$E55)</f>
        <v>620</v>
      </c>
      <c r="J55" s="33">
        <f>SUMIFS(Adjustments!G$5:G$362,Adjustments!$B$5:$B$362,'Mar16-Aug16 Billed-RETAIL'!$D55,Adjustments!$C$5:$C$362,'Mar16-Aug16 Billed-RETAIL'!$E55)</f>
        <v>0</v>
      </c>
      <c r="K55" s="33">
        <f>SUMIFS('Data-Retail'!$I$4:$I$1000,'Data-Retail'!$A$4:$A$1000,'Mar16-Aug16 Billed-RETAIL'!$D55,'Data-Retail'!$D$4:$D$1000,'Mar16-Aug16 Billed-RETAIL'!$E55)</f>
        <v>613</v>
      </c>
      <c r="L55" s="33">
        <f>SUMIFS('Data-Retail'!$J$4:$J$1000,'Data-Retail'!$A$4:$A$1000,'Mar16-Aug16 Billed-RETAIL'!$D55,'Data-Retail'!$D$4:$D$1000,'Mar16-Aug16 Billed-RETAIL'!$E55)</f>
        <v>0</v>
      </c>
      <c r="M55" s="33"/>
      <c r="N55" s="34">
        <f>VLOOKUP($E55,'Retail Rates'!$B$7:$L$34,5,FALSE)</f>
        <v>40</v>
      </c>
      <c r="O55" s="34">
        <f>VLOOKUP($E55,'Retail Rates'!$B$7:$L$34,6,FALSE)</f>
        <v>180</v>
      </c>
      <c r="P55" s="35">
        <f>VLOOKUP($E55,'Retail Rates'!$B$7:$L$34,7,FALSE)</f>
        <v>0.21504000000000001</v>
      </c>
      <c r="Q55" s="35">
        <f>VLOOKUP($E55,'Retail Rates'!$B$7:$L$34,8,FALSE)</f>
        <v>0.16504000000000002</v>
      </c>
      <c r="R55" s="35">
        <f>VLOOKUP($D55,'GSC-DSM-GLT Factors'!$A$1:$B$60,2,FALSE)</f>
        <v>0.3513</v>
      </c>
      <c r="S55" s="34">
        <f>VLOOKUP($E55,'Retail Rates'!$B$7:$L$34,9,FALSE)</f>
        <v>0</v>
      </c>
      <c r="T55" s="35">
        <f>VLOOKUP($E55,'Retail Rates'!$B$7:$L$34,10,FALSE)</f>
        <v>0</v>
      </c>
      <c r="U55" s="34">
        <f>VLOOKUP($E55,'Retail Rates'!$B$7:$L$34,11,FALSE)</f>
        <v>0</v>
      </c>
      <c r="V55" s="556">
        <f>VLOOKUP($D55,'GSC-DSM-GLT Factors'!$A$1:$O$60,12,FALSE)</f>
        <v>27.41</v>
      </c>
      <c r="W55" s="36">
        <f t="shared" si="90"/>
        <v>24800</v>
      </c>
      <c r="X55" s="36"/>
      <c r="Y55" s="36">
        <f>+J55*O55</f>
        <v>0</v>
      </c>
      <c r="Z55" s="36">
        <f t="shared" si="91"/>
        <v>131.81952000000001</v>
      </c>
      <c r="AA55" s="36">
        <f t="shared" si="92"/>
        <v>0</v>
      </c>
      <c r="AB55" s="36">
        <f t="shared" si="93"/>
        <v>215.34690000000001</v>
      </c>
      <c r="AC55" s="36"/>
      <c r="AD55" s="36"/>
      <c r="AE55" s="36">
        <f t="shared" si="108"/>
        <v>0</v>
      </c>
      <c r="AF55" s="36">
        <f t="shared" si="94"/>
        <v>16994.2</v>
      </c>
      <c r="AG55" s="57">
        <f>SUMIFS(Adjustments!H$5:H$557,Adjustments!$B$5:$B$557,'Mar16-Aug16 Billed-RETAIL'!$D55,Adjustments!$C$5:$C$557,'Mar16-Aug16 Billed-RETAIL'!$E55)</f>
        <v>0</v>
      </c>
      <c r="AH55" s="57">
        <f>SUMIFS(Adjustments!I$5:I$557,Adjustments!$B$5:$B$557,'Mar16-Aug16 Billed-RETAIL'!$D55,Adjustments!$C$5:$C$557,'Mar16-Aug16 Billed-RETAIL'!$E55)</f>
        <v>0</v>
      </c>
      <c r="AI55" s="48">
        <f>SUMIFS(Adjustments!J$5:J$557,Adjustments!$B$5:$B$557,'Mar16-Aug16 Billed-RETAIL'!$D55,Adjustments!$C$5:$C$557,'Mar16-Aug16 Billed-RETAIL'!$E55)</f>
        <v>0</v>
      </c>
      <c r="AJ55" s="48">
        <f>SUMIFS(Adjustments!K$5:K$557,Adjustments!$B$5:$B$557,'Mar16-Aug16 Billed-RETAIL'!$D55,Adjustments!$C$5:$C$557,'Mar16-Aug16 Billed-RETAIL'!$E55)</f>
        <v>0</v>
      </c>
      <c r="AK55" s="48">
        <f>SUMIFS(Adjustments!L$5:L$557,Adjustments!$B$5:$B$557,'Mar16-Aug16 Billed-RETAIL'!$D55,Adjustments!$C$5:$C$557,'Mar16-Aug16 Billed-RETAIL'!$E55)</f>
        <v>2.95</v>
      </c>
      <c r="AL55" s="48">
        <f>SUMIFS(Adjustments!M$5:M$557,Adjustments!$B$5:$B$557,'Mar16-Aug16 Billed-RETAIL'!$D55,Adjustments!$C$5:$C$557,'Mar16-Aug16 Billed-RETAIL'!$E55)</f>
        <v>0</v>
      </c>
      <c r="AM55" s="48">
        <f>SUMIFS(Adjustments!N$5:N$557,Adjustments!$B$5:$B$557,'Mar16-Aug16 Billed-RETAIL'!$D55,Adjustments!$C$5:$C$557,'Mar16-Aug16 Billed-RETAIL'!$E55)</f>
        <v>0</v>
      </c>
      <c r="AN55" s="48">
        <f>SUMIFS(Adjustments!O$5:O$557,Adjustments!$B$5:$B$557,'Mar16-Aug16 Billed-RETAIL'!$D55,Adjustments!$C$5:$C$557,'Mar16-Aug16 Billed-RETAIL'!$E55)</f>
        <v>0</v>
      </c>
      <c r="AO55" s="48">
        <f>SUMIFS(Adjustments!P$5:P$557,Adjustments!$B$5:$B$557,'Mar16-Aug16 Billed-RETAIL'!$D55,Adjustments!$C$5:$C$557,'Mar16-Aug16 Billed-RETAIL'!$E55)</f>
        <v>0</v>
      </c>
      <c r="AP55" s="36">
        <f t="shared" si="95"/>
        <v>24800</v>
      </c>
      <c r="AQ55" s="36">
        <f t="shared" si="96"/>
        <v>0</v>
      </c>
      <c r="AR55" s="36">
        <f t="shared" si="97"/>
        <v>134.76952</v>
      </c>
      <c r="AS55" s="36">
        <f t="shared" si="98"/>
        <v>0</v>
      </c>
      <c r="AT55" s="43">
        <f>SUMIFS('SBR Mar16 - Aug16'!$O$16:$O$475,'SBR Mar16 - Aug16'!$A$16:$A$475,'Mar16-Aug16 Billed-RETAIL'!$D55,'SBR Mar16 - Aug16'!$C$16:$C$475,'Mar16-Aug16 Billed-RETAIL'!$E55)</f>
        <v>214.55</v>
      </c>
      <c r="AU55" s="43">
        <f>SUMIFS('SBR Mar16 - Aug16'!$N$16:$N$475,'SBR Mar16 - Aug16'!$A$16:$A$475,'Mar16-Aug16 Billed-RETAIL'!$D55,'SBR Mar16 - Aug16'!$C$16:$C$475,'Mar16-Aug16 Billed-RETAIL'!$E55)</f>
        <v>0</v>
      </c>
      <c r="AV55" s="43">
        <f>SUMIFS('SBR Mar16 - Aug16'!$Y$16:$Y$475,'SBR Mar16 - Aug16'!$A$16:$A$475,'Mar16-Aug16 Billed-RETAIL'!$D55,'SBR Mar16 - Aug16'!$C$16:$C$475,'Mar16-Aug16 Billed-RETAIL'!$E55)</f>
        <v>0</v>
      </c>
      <c r="AW55" s="43">
        <f>SUMIFS('SBR Mar16 - Aug16'!$X$16:$X$475,'SBR Mar16 - Aug16'!$A$16:$A$475,'Mar16-Aug16 Billed-RETAIL'!$D55,'SBR Mar16 - Aug16'!$C$16:$C$475,'Mar16-Aug16 Billed-RETAIL'!$E55)</f>
        <v>0</v>
      </c>
      <c r="AX55" s="36">
        <f t="shared" si="99"/>
        <v>0</v>
      </c>
      <c r="AY55" s="36"/>
      <c r="AZ55" s="43">
        <f t="shared" si="100"/>
        <v>25149.32</v>
      </c>
      <c r="BA55" s="43">
        <f t="shared" si="101"/>
        <v>25149.32</v>
      </c>
      <c r="BB55" s="44">
        <f t="shared" si="102"/>
        <v>1</v>
      </c>
      <c r="BC55" s="43">
        <f>SUMIFS('SBR Mar16 - Aug16'!$N$16:$N$475,'SBR Mar16 - Aug16'!$A$16:$A$475,'Mar16-Aug16 Billed-RETAIL'!$D55,'SBR Mar16 - Aug16'!$C$16:$C$475,'Mar16-Aug16 Billed-RETAIL'!$E55)</f>
        <v>0</v>
      </c>
      <c r="BD55" s="43">
        <f>SUMIFS('SBR Mar16 - Aug16'!$O$16:$O$475,'SBR Mar16 - Aug16'!$A$16:$A$475,'Mar16-Aug16 Billed-RETAIL'!$D55,'SBR Mar16 - Aug16'!$C$16:$C$475,'Mar16-Aug16 Billed-RETAIL'!$E55)</f>
        <v>214.55</v>
      </c>
      <c r="BE55" s="43">
        <f>SUMIFS('SBR Mar16 - Aug16'!$Y$16:$Y$475,'SBR Mar16 - Aug16'!$A$16:$A$475,'Mar16-Aug16 Billed-RETAIL'!$D55,'SBR Mar16 - Aug16'!$C$16:$C$475,'Mar16-Aug16 Billed-RETAIL'!$E55)</f>
        <v>0</v>
      </c>
      <c r="BF55" s="43">
        <f>SUMIFS('SBR Mar16 - Aug16'!$AB$16:$AB$475,'SBR Mar16 - Aug16'!$A$16:$A$475,'Mar16-Aug16 Billed-RETAIL'!$D55,'SBR Mar16 - Aug16'!$C$16:$C$475,'Mar16-Aug16 Billed-RETAIL'!$E55)</f>
        <v>0</v>
      </c>
      <c r="BG55" s="43">
        <f>SUMIFS('SBR Mar16 - Aug16'!$G$16:$G$475,'SBR Mar16 - Aug16'!$A$16:$A$475,'Mar16-Aug16 Billed-RETAIL'!$D55,'SBR Mar16 - Aug16'!$C$16:$C$475,'Mar16-Aug16 Billed-RETAIL'!$E55)</f>
        <v>24800</v>
      </c>
      <c r="BH55" s="43">
        <f>SUMIFS('SBR Mar16 - Aug16'!$I$16:$I$475,'SBR Mar16 - Aug16'!$A$16:$A$475,'Mar16-Aug16 Billed-RETAIL'!$D55,'SBR Mar16 - Aug16'!$C$16:$C$475,'Mar16-Aug16 Billed-RETAIL'!$E55)</f>
        <v>134.77000000000001</v>
      </c>
      <c r="BI55" s="43">
        <f>SUMIFS('SBR Mar16 - Aug16'!$H$16:$H$475,'SBR Mar16 - Aug16'!$A$16:$A$475,'Mar16-Aug16 Billed-RETAIL'!$D55,'SBR Mar16 - Aug16'!$C$16:$C$475,'Mar16-Aug16 Billed-RETAIL'!$E55)</f>
        <v>0</v>
      </c>
      <c r="BJ55" s="43">
        <f>SUMIFS('SBR Mar16 - Aug16'!$X$16:$X$475,'SBR Mar16 - Aug16'!$A$16:$A$475,'Mar16-Aug16 Billed-RETAIL'!$D55,'SBR Mar16 - Aug16'!$C$16:$C$475,'Mar16-Aug16 Billed-RETAIL'!$E55)</f>
        <v>0</v>
      </c>
      <c r="BL55" s="51">
        <f t="shared" si="103"/>
        <v>0</v>
      </c>
      <c r="BN55" s="58">
        <f t="shared" si="104"/>
        <v>0</v>
      </c>
      <c r="BO55" s="58">
        <f t="shared" si="105"/>
        <v>-4.8000000001025001E-4</v>
      </c>
      <c r="BP55" s="58">
        <f t="shared" si="106"/>
        <v>0</v>
      </c>
    </row>
    <row r="56" spans="3:68" ht="15" customHeight="1" x14ac:dyDescent="0.25">
      <c r="C56" s="14">
        <f t="shared" si="88"/>
        <v>46</v>
      </c>
      <c r="D56" s="604">
        <f t="shared" si="109"/>
        <v>42552</v>
      </c>
      <c r="E56" s="604" t="str">
        <f>+'Retail Rates'!$B$20</f>
        <v>LGCMG875</v>
      </c>
      <c r="F56" s="14" t="str">
        <f t="shared" si="107"/>
        <v>875</v>
      </c>
      <c r="G56" s="14" t="str">
        <f>VLOOKUP(E56,'Retail Rates'!$B$7:$D$34,3,FALSE)</f>
        <v>DGGS-C</v>
      </c>
      <c r="H56" s="33">
        <f>SUMIFS('Data-Retail'!$H$4:$H$1000,'Data-Retail'!$A$4:$A$1000,'Mar16-Aug16 Billed-RETAIL'!$D56,'Data-Retail'!$D$4:$D$1000,'Mar16-Aug16 Billed-RETAIL'!$E56)</f>
        <v>1</v>
      </c>
      <c r="I56" s="33"/>
      <c r="J56" s="33"/>
      <c r="K56" s="33">
        <f>SUMIFS('Data-Retail'!$I$4:$I$1000,'Data-Retail'!$A$4:$A$1000,'Mar16-Aug16 Billed-RETAIL'!$D56,'Data-Retail'!$D$4:$D$1000,'Mar16-Aug16 Billed-RETAIL'!$E56)</f>
        <v>7</v>
      </c>
      <c r="L56" s="33">
        <f>SUMIFS('Data-Retail'!$J$4:$J$1000,'Data-Retail'!$A$4:$A$1000,'Mar16-Aug16 Billed-RETAIL'!$D56,'Data-Retail'!$D$4:$D$1000,'Mar16-Aug16 Billed-RETAIL'!$E56)</f>
        <v>0</v>
      </c>
      <c r="M56" s="33">
        <v>483</v>
      </c>
      <c r="N56" s="34">
        <f>VLOOKUP($E56,'Retail Rates'!$B$7:$L$34,5,FALSE)</f>
        <v>40</v>
      </c>
      <c r="O56" s="34">
        <f>VLOOKUP($E56,'Retail Rates'!$B$7:$L$34,6,FALSE)</f>
        <v>180</v>
      </c>
      <c r="P56" s="35">
        <f>VLOOKUP($E56,'Retail Rates'!$B$7:$L$34,7,FALSE)</f>
        <v>3.329E-2</v>
      </c>
      <c r="Q56" s="35">
        <f>VLOOKUP($E56,'Retail Rates'!$B$7:$L$34,8,FALSE)</f>
        <v>0</v>
      </c>
      <c r="R56" s="35">
        <f>VLOOKUP($D56,'GSC-DSM-GLT Factors'!$A$1:$B$60,2,FALSE)</f>
        <v>0.3513</v>
      </c>
      <c r="S56" s="34">
        <f>VLOOKUP($E56,'Retail Rates'!$B$7:$L$34,9,FALSE)</f>
        <v>0</v>
      </c>
      <c r="T56" s="35">
        <f>VLOOKUP($E56,'Retail Rates'!$B$7:$L$34,10,FALSE)</f>
        <v>0</v>
      </c>
      <c r="U56" s="699">
        <f>VLOOKUP($E56,'Retail Rates'!$B$7:$L$34,11,FALSE)</f>
        <v>1.1263000000000001</v>
      </c>
      <c r="V56" s="556">
        <f>VLOOKUP($D56,'GSC-DSM-GLT Factors'!$A$1:$O$60,15,FALSE)</f>
        <v>0</v>
      </c>
      <c r="W56" s="36">
        <f t="shared" si="90"/>
        <v>40</v>
      </c>
      <c r="X56" s="36"/>
      <c r="Y56" s="36"/>
      <c r="Z56" s="36">
        <f t="shared" si="91"/>
        <v>0.23303000000000001</v>
      </c>
      <c r="AA56" s="36">
        <f t="shared" si="92"/>
        <v>0</v>
      </c>
      <c r="AB56" s="36">
        <f t="shared" si="93"/>
        <v>2.4590999999999998</v>
      </c>
      <c r="AC56" s="36"/>
      <c r="AD56" s="36"/>
      <c r="AE56" s="36">
        <f t="shared" si="108"/>
        <v>544.00290000000007</v>
      </c>
      <c r="AF56" s="36">
        <f t="shared" si="94"/>
        <v>0</v>
      </c>
      <c r="AG56" s="57">
        <f>SUMIFS(Adjustments!H$5:H$557,Adjustments!$B$5:$B$557,'Mar16-Aug16 Billed-RETAIL'!$D56,Adjustments!$C$5:$C$557,'Mar16-Aug16 Billed-RETAIL'!$E56)</f>
        <v>0</v>
      </c>
      <c r="AH56" s="57">
        <f>SUMIFS(Adjustments!I$5:I$557,Adjustments!$B$5:$B$557,'Mar16-Aug16 Billed-RETAIL'!$D56,Adjustments!$C$5:$C$557,'Mar16-Aug16 Billed-RETAIL'!$E56)</f>
        <v>0</v>
      </c>
      <c r="AI56" s="48">
        <f>SUMIFS(Adjustments!J$5:J$557,Adjustments!$B$5:$B$557,'Mar16-Aug16 Billed-RETAIL'!$D56,Adjustments!$C$5:$C$557,'Mar16-Aug16 Billed-RETAIL'!$E56)</f>
        <v>0</v>
      </c>
      <c r="AJ56" s="48">
        <f>SUMIFS(Adjustments!K$5:K$557,Adjustments!$B$5:$B$557,'Mar16-Aug16 Billed-RETAIL'!$D56,Adjustments!$C$5:$C$557,'Mar16-Aug16 Billed-RETAIL'!$E56)</f>
        <v>0</v>
      </c>
      <c r="AK56" s="48">
        <f>SUMIFS(Adjustments!L$5:L$557,Adjustments!$B$5:$B$557,'Mar16-Aug16 Billed-RETAIL'!$D56,Adjustments!$C$5:$C$557,'Mar16-Aug16 Billed-RETAIL'!$E56)</f>
        <v>-0.01</v>
      </c>
      <c r="AL56" s="48">
        <f>SUMIFS(Adjustments!M$5:M$557,Adjustments!$B$5:$B$557,'Mar16-Aug16 Billed-RETAIL'!$D56,Adjustments!$C$5:$C$557,'Mar16-Aug16 Billed-RETAIL'!$E56)</f>
        <v>0</v>
      </c>
      <c r="AM56" s="48">
        <f>SUMIFS(Adjustments!N$5:N$557,Adjustments!$B$5:$B$557,'Mar16-Aug16 Billed-RETAIL'!$D56,Adjustments!$C$5:$C$557,'Mar16-Aug16 Billed-RETAIL'!$E56)</f>
        <v>0</v>
      </c>
      <c r="AN56" s="48">
        <f>SUMIFS(Adjustments!O$5:O$557,Adjustments!$B$5:$B$557,'Mar16-Aug16 Billed-RETAIL'!$D56,Adjustments!$C$5:$C$557,'Mar16-Aug16 Billed-RETAIL'!$E56)</f>
        <v>0</v>
      </c>
      <c r="AO56" s="48">
        <f>SUMIFS(Adjustments!P$5:P$557,Adjustments!$B$5:$B$557,'Mar16-Aug16 Billed-RETAIL'!$D56,Adjustments!$C$5:$C$557,'Mar16-Aug16 Billed-RETAIL'!$E56)</f>
        <v>0</v>
      </c>
      <c r="AP56" s="36">
        <f t="shared" si="95"/>
        <v>40</v>
      </c>
      <c r="AQ56" s="36">
        <f t="shared" si="96"/>
        <v>0</v>
      </c>
      <c r="AR56" s="36">
        <f t="shared" si="97"/>
        <v>0.22303000000000001</v>
      </c>
      <c r="AS56" s="36">
        <f t="shared" si="98"/>
        <v>0</v>
      </c>
      <c r="AT56" s="43">
        <f>SUMIFS('SBR Mar16 - Aug16'!$O$16:$O$475,'SBR Mar16 - Aug16'!$A$16:$A$475,'Mar16-Aug16 Billed-RETAIL'!$D56,'SBR Mar16 - Aug16'!$C$16:$C$475,'Mar16-Aug16 Billed-RETAIL'!$E56)</f>
        <v>2.46</v>
      </c>
      <c r="AU56" s="43">
        <f>SUMIFS('SBR Mar16 - Aug16'!$N$16:$N$475,'SBR Mar16 - Aug16'!$A$16:$A$475,'Mar16-Aug16 Billed-RETAIL'!$D56,'SBR Mar16 - Aug16'!$C$16:$C$475,'Mar16-Aug16 Billed-RETAIL'!$E56)</f>
        <v>0</v>
      </c>
      <c r="AV56" s="43">
        <f>SUMIFS('SBR Mar16 - Aug16'!$Y$16:$Y$475,'SBR Mar16 - Aug16'!$A$16:$A$475,'Mar16-Aug16 Billed-RETAIL'!$D56,'SBR Mar16 - Aug16'!$C$16:$C$475,'Mar16-Aug16 Billed-RETAIL'!$E56)</f>
        <v>0</v>
      </c>
      <c r="AW56" s="43">
        <f>SUMIFS('SBR Mar16 - Aug16'!$X$16:$X$475,'SBR Mar16 - Aug16'!$A$16:$A$475,'Mar16-Aug16 Billed-RETAIL'!$D56,'SBR Mar16 - Aug16'!$C$16:$C$475,'Mar16-Aug16 Billed-RETAIL'!$E56)</f>
        <v>0</v>
      </c>
      <c r="AX56" s="36">
        <f t="shared" si="99"/>
        <v>544.00290000000007</v>
      </c>
      <c r="AY56" s="36"/>
      <c r="AZ56" s="43">
        <f t="shared" si="100"/>
        <v>586.69000000000005</v>
      </c>
      <c r="BA56" s="43">
        <f t="shared" si="101"/>
        <v>586.69000000000005</v>
      </c>
      <c r="BB56" s="44">
        <f t="shared" si="102"/>
        <v>1</v>
      </c>
      <c r="BC56" s="43">
        <f>SUMIFS('SBR Mar16 - Aug16'!$N$16:$N$475,'SBR Mar16 - Aug16'!$A$16:$A$475,'Mar16-Aug16 Billed-RETAIL'!$D56,'SBR Mar16 - Aug16'!$C$16:$C$475,'Mar16-Aug16 Billed-RETAIL'!$E56)</f>
        <v>0</v>
      </c>
      <c r="BD56" s="43">
        <f>SUMIFS('SBR Mar16 - Aug16'!$O$16:$O$475,'SBR Mar16 - Aug16'!$A$16:$A$475,'Mar16-Aug16 Billed-RETAIL'!$D56,'SBR Mar16 - Aug16'!$C$16:$C$475,'Mar16-Aug16 Billed-RETAIL'!$E56)</f>
        <v>2.46</v>
      </c>
      <c r="BE56" s="43">
        <f>SUMIFS('SBR Mar16 - Aug16'!$Y$16:$Y$475,'SBR Mar16 - Aug16'!$A$16:$A$475,'Mar16-Aug16 Billed-RETAIL'!$D56,'SBR Mar16 - Aug16'!$C$16:$C$475,'Mar16-Aug16 Billed-RETAIL'!$E56)</f>
        <v>0</v>
      </c>
      <c r="BF56" s="43">
        <f>SUMIFS('SBR Mar16 - Aug16'!$AB$16:$AB$475,'SBR Mar16 - Aug16'!$A$16:$A$475,'Mar16-Aug16 Billed-RETAIL'!$D56,'SBR Mar16 - Aug16'!$C$16:$C$475,'Mar16-Aug16 Billed-RETAIL'!$E56)</f>
        <v>0</v>
      </c>
      <c r="BG56" s="43">
        <f>SUMIFS('SBR Mar16 - Aug16'!$G$16:$G$475,'SBR Mar16 - Aug16'!$A$16:$A$475,'Mar16-Aug16 Billed-RETAIL'!$D56,'SBR Mar16 - Aug16'!$C$16:$C$475,'Mar16-Aug16 Billed-RETAIL'!$E56)</f>
        <v>40</v>
      </c>
      <c r="BH56" s="43">
        <f>SUMIFS('SBR Mar16 - Aug16'!$I$16:$I$475,'SBR Mar16 - Aug16'!$A$16:$A$475,'Mar16-Aug16 Billed-RETAIL'!$D56,'SBR Mar16 - Aug16'!$C$16:$C$475,'Mar16-Aug16 Billed-RETAIL'!$E56)</f>
        <v>0.23</v>
      </c>
      <c r="BI56" s="43">
        <f>SUMIFS('SBR Mar16 - Aug16'!$H$16:$H$475,'SBR Mar16 - Aug16'!$A$16:$A$475,'Mar16-Aug16 Billed-RETAIL'!$D56,'SBR Mar16 - Aug16'!$C$16:$C$475,'Mar16-Aug16 Billed-RETAIL'!$E56)</f>
        <v>544</v>
      </c>
      <c r="BJ56" s="43">
        <f>SUMIFS('SBR Mar16 - Aug16'!$X$16:$X$475,'SBR Mar16 - Aug16'!$A$16:$A$475,'Mar16-Aug16 Billed-RETAIL'!$D56,'SBR Mar16 - Aug16'!$C$16:$C$475,'Mar16-Aug16 Billed-RETAIL'!$E56)</f>
        <v>0</v>
      </c>
      <c r="BL56" s="51">
        <f t="shared" si="103"/>
        <v>0</v>
      </c>
      <c r="BN56" s="58">
        <f t="shared" si="104"/>
        <v>0</v>
      </c>
      <c r="BO56" s="58">
        <f t="shared" si="105"/>
        <v>-6.970000000000004E-3</v>
      </c>
      <c r="BP56" s="58">
        <f t="shared" si="106"/>
        <v>0</v>
      </c>
    </row>
    <row r="57" spans="3:68" ht="15" customHeight="1" x14ac:dyDescent="0.25">
      <c r="C57" s="14">
        <f t="shared" si="88"/>
        <v>47</v>
      </c>
      <c r="D57" s="604">
        <f t="shared" si="109"/>
        <v>42552</v>
      </c>
      <c r="E57" s="604" t="str">
        <f>+'Retail Rates'!$B$26</f>
        <v>LGING855</v>
      </c>
      <c r="F57" s="14" t="str">
        <f t="shared" si="107"/>
        <v>855</v>
      </c>
      <c r="G57" s="14" t="s">
        <v>118</v>
      </c>
      <c r="H57" s="33"/>
      <c r="I57" s="33">
        <f>SUMIFS(Adjustments!F$5:F$362,Adjustments!$B$5:$B$362,'Mar16-Aug16 Billed-RETAIL'!$D57,Adjustments!$C$5:$C$362,'Mar16-Aug16 Billed-RETAIL'!$E57)</f>
        <v>0</v>
      </c>
      <c r="J57" s="33">
        <f>SUMIFS(Adjustments!G$5:G$362,Adjustments!$B$5:$B$362,'Mar16-Aug16 Billed-RETAIL'!$D57,Adjustments!$C$5:$C$362,'Mar16-Aug16 Billed-RETAIL'!$E57)</f>
        <v>0</v>
      </c>
      <c r="K57" s="33">
        <f>SUMIFS('Data-Retail'!$I$4:$I$1000,'Data-Retail'!$A$4:$A$1000,'Mar16-Aug16 Billed-RETAIL'!$D57,'Data-Retail'!$D$4:$D$1000,'Mar16-Aug16 Billed-RETAIL'!$E57)</f>
        <v>0</v>
      </c>
      <c r="L57" s="33">
        <f>SUMIFS('Data-Retail'!$J$4:$J$1000,'Data-Retail'!$A$4:$A$1000,'Mar16-Aug16 Billed-RETAIL'!$D57,'Data-Retail'!$D$4:$D$1000,'Mar16-Aug16 Billed-RETAIL'!$E57)</f>
        <v>0</v>
      </c>
      <c r="M57" s="33"/>
      <c r="N57" s="34">
        <f>VLOOKUP($E57,'Retail Rates'!$B$7:$L$34,5,FALSE)</f>
        <v>40</v>
      </c>
      <c r="O57" s="34">
        <f>VLOOKUP($E57,'Retail Rates'!$B$7:$L$34,6,FALSE)</f>
        <v>180</v>
      </c>
      <c r="P57" s="35">
        <f>VLOOKUP($E57,'Retail Rates'!$B$7:$L$34,7,FALSE)</f>
        <v>0.22778999999999999</v>
      </c>
      <c r="Q57" s="35">
        <f>VLOOKUP($E57,'Retail Rates'!$B$7:$L$34,8,FALSE)</f>
        <v>0.17779</v>
      </c>
      <c r="R57" s="35">
        <f>VLOOKUP($D57,'GSC-DSM-GLT Factors'!$A$1:$B$60,2,FALSE)</f>
        <v>0.3513</v>
      </c>
      <c r="S57" s="34">
        <f>VLOOKUP($E57,'Retail Rates'!$B$7:$L$34,9,FALSE)</f>
        <v>0</v>
      </c>
      <c r="T57" s="35">
        <f>VLOOKUP($E57,'Retail Rates'!$B$7:$L$34,10,FALSE)</f>
        <v>0</v>
      </c>
      <c r="U57" s="34">
        <f>VLOOKUP($E57,'Retail Rates'!$B$7:$L$34,11,FALSE)</f>
        <v>0</v>
      </c>
      <c r="V57" s="556">
        <f>VLOOKUP($D57,'GSC-DSM-GLT Factors'!$A$1:$O$60,13,FALSE)</f>
        <v>259.54000000000002</v>
      </c>
      <c r="W57" s="36">
        <f t="shared" si="90"/>
        <v>0</v>
      </c>
      <c r="X57" s="36"/>
      <c r="Y57" s="36">
        <f>+J57*O57</f>
        <v>0</v>
      </c>
      <c r="Z57" s="36">
        <f t="shared" si="91"/>
        <v>0</v>
      </c>
      <c r="AA57" s="36">
        <f t="shared" si="92"/>
        <v>0</v>
      </c>
      <c r="AB57" s="36">
        <f t="shared" si="93"/>
        <v>0</v>
      </c>
      <c r="AC57" s="36"/>
      <c r="AD57" s="36"/>
      <c r="AE57" s="36">
        <f t="shared" si="108"/>
        <v>0</v>
      </c>
      <c r="AF57" s="36">
        <f>(+I57*V57)+(J57*V57)</f>
        <v>0</v>
      </c>
      <c r="AG57" s="57">
        <f>SUMIFS(Adjustments!H$5:H$557,Adjustments!$B$5:$B$557,'Mar16-Aug16 Billed-RETAIL'!$D57,Adjustments!$C$5:$C$557,'Mar16-Aug16 Billed-RETAIL'!$E57)</f>
        <v>0</v>
      </c>
      <c r="AH57" s="57">
        <f>SUMIFS(Adjustments!I$5:I$557,Adjustments!$B$5:$B$557,'Mar16-Aug16 Billed-RETAIL'!$D57,Adjustments!$C$5:$C$557,'Mar16-Aug16 Billed-RETAIL'!$E57)</f>
        <v>0</v>
      </c>
      <c r="AI57" s="48">
        <f>SUMIFS(Adjustments!J$5:J$557,Adjustments!$B$5:$B$557,'Mar16-Aug16 Billed-RETAIL'!$D57,Adjustments!$C$5:$C$557,'Mar16-Aug16 Billed-RETAIL'!$E57)</f>
        <v>0</v>
      </c>
      <c r="AJ57" s="48">
        <f>SUMIFS(Adjustments!K$5:K$557,Adjustments!$B$5:$B$557,'Mar16-Aug16 Billed-RETAIL'!$D57,Adjustments!$C$5:$C$557,'Mar16-Aug16 Billed-RETAIL'!$E57)</f>
        <v>0</v>
      </c>
      <c r="AK57" s="48">
        <f>SUMIFS(Adjustments!L$5:L$557,Adjustments!$B$5:$B$557,'Mar16-Aug16 Billed-RETAIL'!$D57,Adjustments!$C$5:$C$557,'Mar16-Aug16 Billed-RETAIL'!$E57)</f>
        <v>0</v>
      </c>
      <c r="AL57" s="48">
        <f>SUMIFS(Adjustments!M$5:M$557,Adjustments!$B$5:$B$557,'Mar16-Aug16 Billed-RETAIL'!$D57,Adjustments!$C$5:$C$557,'Mar16-Aug16 Billed-RETAIL'!$E57)</f>
        <v>0</v>
      </c>
      <c r="AM57" s="48">
        <f>SUMIFS(Adjustments!N$5:N$557,Adjustments!$B$5:$B$557,'Mar16-Aug16 Billed-RETAIL'!$D57,Adjustments!$C$5:$C$557,'Mar16-Aug16 Billed-RETAIL'!$E57)</f>
        <v>0</v>
      </c>
      <c r="AN57" s="48">
        <f>SUMIFS(Adjustments!O$5:O$557,Adjustments!$B$5:$B$557,'Mar16-Aug16 Billed-RETAIL'!$D57,Adjustments!$C$5:$C$557,'Mar16-Aug16 Billed-RETAIL'!$E57)</f>
        <v>0</v>
      </c>
      <c r="AO57" s="48">
        <f>SUMIFS(Adjustments!P$5:P$557,Adjustments!$B$5:$B$557,'Mar16-Aug16 Billed-RETAIL'!$D57,Adjustments!$C$5:$C$557,'Mar16-Aug16 Billed-RETAIL'!$E57)</f>
        <v>0</v>
      </c>
      <c r="AP57" s="36">
        <f t="shared" si="95"/>
        <v>0</v>
      </c>
      <c r="AQ57" s="36">
        <f t="shared" si="96"/>
        <v>0</v>
      </c>
      <c r="AR57" s="36">
        <f t="shared" si="97"/>
        <v>0</v>
      </c>
      <c r="AS57" s="36">
        <f t="shared" si="98"/>
        <v>0</v>
      </c>
      <c r="AT57" s="43">
        <f>SUMIFS('SBR Mar16 - Aug16'!$O$16:$O$475,'SBR Mar16 - Aug16'!$A$16:$A$475,'Mar16-Aug16 Billed-RETAIL'!$D57,'SBR Mar16 - Aug16'!$C$16:$C$475,'Mar16-Aug16 Billed-RETAIL'!$E57)</f>
        <v>0</v>
      </c>
      <c r="AU57" s="43">
        <f>SUMIFS('SBR Mar16 - Aug16'!$N$16:$N$475,'SBR Mar16 - Aug16'!$A$16:$A$475,'Mar16-Aug16 Billed-RETAIL'!$D57,'SBR Mar16 - Aug16'!$C$16:$C$475,'Mar16-Aug16 Billed-RETAIL'!$E57)</f>
        <v>0</v>
      </c>
      <c r="AV57" s="43">
        <f>SUMIFS('SBR Mar16 - Aug16'!$Y$16:$Y$475,'SBR Mar16 - Aug16'!$A$16:$A$475,'Mar16-Aug16 Billed-RETAIL'!$D57,'SBR Mar16 - Aug16'!$C$16:$C$475,'Mar16-Aug16 Billed-RETAIL'!$E57)</f>
        <v>0</v>
      </c>
      <c r="AW57" s="43">
        <f>SUMIFS('SBR Mar16 - Aug16'!$X$16:$X$475,'SBR Mar16 - Aug16'!$A$16:$A$475,'Mar16-Aug16 Billed-RETAIL'!$D57,'SBR Mar16 - Aug16'!$C$16:$C$475,'Mar16-Aug16 Billed-RETAIL'!$E57)</f>
        <v>0</v>
      </c>
      <c r="AX57" s="36">
        <f t="shared" si="99"/>
        <v>0</v>
      </c>
      <c r="AY57" s="36"/>
      <c r="AZ57" s="43">
        <f t="shared" si="100"/>
        <v>0</v>
      </c>
      <c r="BA57" s="43">
        <f t="shared" si="101"/>
        <v>0</v>
      </c>
      <c r="BB57" s="44">
        <f t="shared" si="102"/>
        <v>0</v>
      </c>
      <c r="BC57" s="43">
        <f>SUMIFS('SBR Mar16 - Aug16'!$N$16:$N$475,'SBR Mar16 - Aug16'!$A$16:$A$475,'Mar16-Aug16 Billed-RETAIL'!$D57,'SBR Mar16 - Aug16'!$C$16:$C$475,'Mar16-Aug16 Billed-RETAIL'!$E57)</f>
        <v>0</v>
      </c>
      <c r="BD57" s="43">
        <f>SUMIFS('SBR Mar16 - Aug16'!$O$16:$O$475,'SBR Mar16 - Aug16'!$A$16:$A$475,'Mar16-Aug16 Billed-RETAIL'!$D57,'SBR Mar16 - Aug16'!$C$16:$C$475,'Mar16-Aug16 Billed-RETAIL'!$E57)</f>
        <v>0</v>
      </c>
      <c r="BE57" s="43">
        <f>SUMIFS('SBR Mar16 - Aug16'!$Y$16:$Y$475,'SBR Mar16 - Aug16'!$A$16:$A$475,'Mar16-Aug16 Billed-RETAIL'!$D57,'SBR Mar16 - Aug16'!$C$16:$C$475,'Mar16-Aug16 Billed-RETAIL'!$E57)</f>
        <v>0</v>
      </c>
      <c r="BF57" s="43">
        <f>SUMIFS('SBR Mar16 - Aug16'!$AB$16:$AB$475,'SBR Mar16 - Aug16'!$A$16:$A$475,'Mar16-Aug16 Billed-RETAIL'!$D57,'SBR Mar16 - Aug16'!$C$16:$C$475,'Mar16-Aug16 Billed-RETAIL'!$E57)</f>
        <v>0</v>
      </c>
      <c r="BG57" s="43">
        <f>SUMIFS('SBR Mar16 - Aug16'!$G$16:$G$475,'SBR Mar16 - Aug16'!$A$16:$A$475,'Mar16-Aug16 Billed-RETAIL'!$D57,'SBR Mar16 - Aug16'!$C$16:$C$475,'Mar16-Aug16 Billed-RETAIL'!$E57)</f>
        <v>0</v>
      </c>
      <c r="BH57" s="43">
        <f>SUMIFS('SBR Mar16 - Aug16'!$I$16:$I$475,'SBR Mar16 - Aug16'!$A$16:$A$475,'Mar16-Aug16 Billed-RETAIL'!$D57,'SBR Mar16 - Aug16'!$C$16:$C$475,'Mar16-Aug16 Billed-RETAIL'!$E57)</f>
        <v>0</v>
      </c>
      <c r="BI57" s="43">
        <f>SUMIFS('SBR Mar16 - Aug16'!$H$16:$H$475,'SBR Mar16 - Aug16'!$A$16:$A$475,'Mar16-Aug16 Billed-RETAIL'!$D57,'SBR Mar16 - Aug16'!$C$16:$C$475,'Mar16-Aug16 Billed-RETAIL'!$E57)</f>
        <v>0</v>
      </c>
      <c r="BJ57" s="43">
        <f>SUMIFS('SBR Mar16 - Aug16'!$X$16:$X$475,'SBR Mar16 - Aug16'!$A$16:$A$475,'Mar16-Aug16 Billed-RETAIL'!$D57,'SBR Mar16 - Aug16'!$C$16:$C$475,'Mar16-Aug16 Billed-RETAIL'!$E57)</f>
        <v>0</v>
      </c>
      <c r="BL57" s="51">
        <f t="shared" si="103"/>
        <v>0</v>
      </c>
      <c r="BN57" s="58">
        <f t="shared" si="104"/>
        <v>0</v>
      </c>
      <c r="BO57" s="58">
        <f t="shared" si="105"/>
        <v>0</v>
      </c>
      <c r="BP57" s="58">
        <f t="shared" si="106"/>
        <v>0</v>
      </c>
    </row>
    <row r="58" spans="3:68" ht="15" customHeight="1" x14ac:dyDescent="0.25">
      <c r="C58" s="14">
        <f t="shared" si="88"/>
        <v>48</v>
      </c>
      <c r="D58" s="604">
        <f t="shared" si="109"/>
        <v>42552</v>
      </c>
      <c r="E58" s="604" t="str">
        <f>+'Retail Rates'!$B$27</f>
        <v>LGING855DS</v>
      </c>
      <c r="F58" s="14" t="str">
        <f t="shared" si="107"/>
        <v>855</v>
      </c>
      <c r="G58" s="14" t="str">
        <f>VLOOKUP(E58,'Retail Rates'!$B$7:$D$34,3,FALSE)</f>
        <v>IGS</v>
      </c>
      <c r="H58" s="33"/>
      <c r="I58" s="33">
        <f>SUMIFS(Adjustments!F$5:F$362,Adjustments!$B$5:$B$362,'Mar16-Aug16 Billed-RETAIL'!$D58,Adjustments!$C$5:$C$362,'Mar16-Aug16 Billed-RETAIL'!$E58)</f>
        <v>123</v>
      </c>
      <c r="J58" s="33">
        <f>SUMIFS(Adjustments!G$5:G$362,Adjustments!$B$5:$B$362,'Mar16-Aug16 Billed-RETAIL'!$D58,Adjustments!$C$5:$C$362,'Mar16-Aug16 Billed-RETAIL'!$E58)</f>
        <v>116</v>
      </c>
      <c r="K58" s="33">
        <f>SUMIFS('Data-Retail'!$I$4:$I$1000,'Data-Retail'!$A$4:$A$1000,'Mar16-Aug16 Billed-RETAIL'!$D58,'Data-Retail'!$D$4:$D$1000,'Mar16-Aug16 Billed-RETAIL'!$E58)</f>
        <v>85278</v>
      </c>
      <c r="L58" s="33">
        <f>SUMIFS('Data-Retail'!$J$4:$J$1000,'Data-Retail'!$A$4:$A$1000,'Mar16-Aug16 Billed-RETAIL'!$D58,'Data-Retail'!$D$4:$D$1000,'Mar16-Aug16 Billed-RETAIL'!$E58)</f>
        <v>581660</v>
      </c>
      <c r="M58" s="33"/>
      <c r="N58" s="34">
        <f>VLOOKUP($E58,'Retail Rates'!$B$7:$L$34,5,FALSE)</f>
        <v>40</v>
      </c>
      <c r="O58" s="34">
        <f>VLOOKUP($E58,'Retail Rates'!$B$7:$L$34,6,FALSE)</f>
        <v>180</v>
      </c>
      <c r="P58" s="35">
        <f>VLOOKUP($E58,'Retail Rates'!$B$7:$L$34,7,FALSE)</f>
        <v>0.22778999999999999</v>
      </c>
      <c r="Q58" s="35">
        <f>VLOOKUP($E58,'Retail Rates'!$B$7:$L$34,8,FALSE)</f>
        <v>0.17779</v>
      </c>
      <c r="R58" s="35">
        <f>VLOOKUP($D58,'GSC-DSM-GLT Factors'!$A$1:$B$60,2,FALSE)</f>
        <v>0.3513</v>
      </c>
      <c r="S58" s="34">
        <f>VLOOKUP($E58,'Retail Rates'!$B$7:$L$34,9,FALSE)</f>
        <v>0</v>
      </c>
      <c r="T58" s="35">
        <f>VLOOKUP($E58,'Retail Rates'!$B$7:$L$34,10,FALSE)</f>
        <v>0</v>
      </c>
      <c r="U58" s="34">
        <f>VLOOKUP($E58,'Retail Rates'!$B$7:$L$34,11,FALSE)</f>
        <v>0</v>
      </c>
      <c r="V58" s="556">
        <f>VLOOKUP($D58,'GSC-DSM-GLT Factors'!$A$1:$O$60,13,FALSE)</f>
        <v>259.54000000000002</v>
      </c>
      <c r="W58" s="36">
        <f t="shared" si="90"/>
        <v>4920</v>
      </c>
      <c r="X58" s="36"/>
      <c r="Y58" s="36">
        <f>+J58*O58</f>
        <v>20880</v>
      </c>
      <c r="Z58" s="36">
        <f t="shared" si="91"/>
        <v>19425.475620000001</v>
      </c>
      <c r="AA58" s="36">
        <f t="shared" si="92"/>
        <v>103413.3314</v>
      </c>
      <c r="AB58" s="36">
        <f t="shared" si="93"/>
        <v>234295.31940000001</v>
      </c>
      <c r="AC58" s="36"/>
      <c r="AD58" s="36"/>
      <c r="AE58" s="36">
        <f t="shared" si="108"/>
        <v>0</v>
      </c>
      <c r="AF58" s="36">
        <f>(+I58*V58)+(J58*V58)</f>
        <v>62030.060000000005</v>
      </c>
      <c r="AG58" s="57">
        <f>SUMIFS(Adjustments!H$5:H$557,Adjustments!$B$5:$B$557,'Mar16-Aug16 Billed-RETAIL'!$D58,Adjustments!$C$5:$C$557,'Mar16-Aug16 Billed-RETAIL'!$E58)</f>
        <v>0</v>
      </c>
      <c r="AH58" s="57">
        <f>SUMIFS(Adjustments!I$5:I$557,Adjustments!$B$5:$B$557,'Mar16-Aug16 Billed-RETAIL'!$D58,Adjustments!$C$5:$C$557,'Mar16-Aug16 Billed-RETAIL'!$E58)</f>
        <v>0</v>
      </c>
      <c r="AI58" s="48">
        <f>SUMIFS(Adjustments!J$5:J$557,Adjustments!$B$5:$B$557,'Mar16-Aug16 Billed-RETAIL'!$D58,Adjustments!$C$5:$C$557,'Mar16-Aug16 Billed-RETAIL'!$E58)</f>
        <v>0</v>
      </c>
      <c r="AJ58" s="48">
        <f>SUMIFS(Adjustments!K$5:K$557,Adjustments!$B$5:$B$557,'Mar16-Aug16 Billed-RETAIL'!$D58,Adjustments!$C$5:$C$557,'Mar16-Aug16 Billed-RETAIL'!$E58)</f>
        <v>0</v>
      </c>
      <c r="AK58" s="48">
        <f>SUMIFS(Adjustments!L$5:L$557,Adjustments!$B$5:$B$557,'Mar16-Aug16 Billed-RETAIL'!$D58,Adjustments!$C$5:$C$557,'Mar16-Aug16 Billed-RETAIL'!$E58)</f>
        <v>-0.01</v>
      </c>
      <c r="AL58" s="48">
        <f>SUMIFS(Adjustments!M$5:M$557,Adjustments!$B$5:$B$557,'Mar16-Aug16 Billed-RETAIL'!$D58,Adjustments!$C$5:$C$557,'Mar16-Aug16 Billed-RETAIL'!$E58)</f>
        <v>0</v>
      </c>
      <c r="AM58" s="48">
        <f>SUMIFS(Adjustments!N$5:N$557,Adjustments!$B$5:$B$557,'Mar16-Aug16 Billed-RETAIL'!$D58,Adjustments!$C$5:$C$557,'Mar16-Aug16 Billed-RETAIL'!$E58)</f>
        <v>0</v>
      </c>
      <c r="AN58" s="48">
        <f>SUMIFS(Adjustments!O$5:O$557,Adjustments!$B$5:$B$557,'Mar16-Aug16 Billed-RETAIL'!$D58,Adjustments!$C$5:$C$557,'Mar16-Aug16 Billed-RETAIL'!$E58)</f>
        <v>0</v>
      </c>
      <c r="AO58" s="48">
        <f>SUMIFS(Adjustments!P$5:P$557,Adjustments!$B$5:$B$557,'Mar16-Aug16 Billed-RETAIL'!$D58,Adjustments!$C$5:$C$557,'Mar16-Aug16 Billed-RETAIL'!$E58)</f>
        <v>0</v>
      </c>
      <c r="AP58" s="36">
        <f>+W58+AI58+(AG58*N58)</f>
        <v>4920</v>
      </c>
      <c r="AQ58" s="36">
        <f t="shared" si="96"/>
        <v>20880</v>
      </c>
      <c r="AR58" s="36">
        <f t="shared" si="97"/>
        <v>19425.465620000003</v>
      </c>
      <c r="AS58" s="36">
        <f t="shared" si="98"/>
        <v>103413.3314</v>
      </c>
      <c r="AT58" s="43">
        <f>SUMIFS('SBR Mar16 - Aug16'!$O$16:$O$475,'SBR Mar16 - Aug16'!$A$16:$A$475,'Mar16-Aug16 Billed-RETAIL'!$D58,'SBR Mar16 - Aug16'!$C$16:$C$475,'Mar16-Aug16 Billed-RETAIL'!$E58)</f>
        <v>234300.19</v>
      </c>
      <c r="AU58" s="43">
        <f>SUMIFS('SBR Mar16 - Aug16'!$N$16:$N$475,'SBR Mar16 - Aug16'!$A$16:$A$475,'Mar16-Aug16 Billed-RETAIL'!$D58,'SBR Mar16 - Aug16'!$C$16:$C$475,'Mar16-Aug16 Billed-RETAIL'!$E58)</f>
        <v>0</v>
      </c>
      <c r="AV58" s="43">
        <f>SUMIFS('SBR Mar16 - Aug16'!$Y$16:$Y$475,'SBR Mar16 - Aug16'!$A$16:$A$475,'Mar16-Aug16 Billed-RETAIL'!$D58,'SBR Mar16 - Aug16'!$C$16:$C$475,'Mar16-Aug16 Billed-RETAIL'!$E58)</f>
        <v>0</v>
      </c>
      <c r="AW58" s="43">
        <f>SUMIFS('SBR Mar16 - Aug16'!$X$16:$X$475,'SBR Mar16 - Aug16'!$A$16:$A$475,'Mar16-Aug16 Billed-RETAIL'!$D58,'SBR Mar16 - Aug16'!$C$16:$C$475,'Mar16-Aug16 Billed-RETAIL'!$E58)</f>
        <v>62030.06</v>
      </c>
      <c r="AX58" s="36">
        <f t="shared" si="99"/>
        <v>0</v>
      </c>
      <c r="AY58" s="36"/>
      <c r="AZ58" s="43">
        <f t="shared" si="100"/>
        <v>444969.05</v>
      </c>
      <c r="BA58" s="43">
        <f t="shared" si="101"/>
        <v>444969.05</v>
      </c>
      <c r="BB58" s="44">
        <f t="shared" si="102"/>
        <v>1</v>
      </c>
      <c r="BC58" s="43">
        <f>SUMIFS('SBR Mar16 - Aug16'!$N$16:$N$475,'SBR Mar16 - Aug16'!$A$16:$A$475,'Mar16-Aug16 Billed-RETAIL'!$D58,'SBR Mar16 - Aug16'!$C$16:$C$475,'Mar16-Aug16 Billed-RETAIL'!$E58)</f>
        <v>0</v>
      </c>
      <c r="BD58" s="43">
        <f>SUMIFS('SBR Mar16 - Aug16'!$O$16:$O$475,'SBR Mar16 - Aug16'!$A$16:$A$475,'Mar16-Aug16 Billed-RETAIL'!$D58,'SBR Mar16 - Aug16'!$C$16:$C$475,'Mar16-Aug16 Billed-RETAIL'!$E58)</f>
        <v>234300.19</v>
      </c>
      <c r="BE58" s="43">
        <f>SUMIFS('SBR Mar16 - Aug16'!$Y$16:$Y$475,'SBR Mar16 - Aug16'!$A$16:$A$475,'Mar16-Aug16 Billed-RETAIL'!$D58,'SBR Mar16 - Aug16'!$C$16:$C$475,'Mar16-Aug16 Billed-RETAIL'!$E58)</f>
        <v>0</v>
      </c>
      <c r="BF58" s="43">
        <f>SUMIFS('SBR Mar16 - Aug16'!$AB$16:$AB$475,'SBR Mar16 - Aug16'!$A$16:$A$475,'Mar16-Aug16 Billed-RETAIL'!$D58,'SBR Mar16 - Aug16'!$C$16:$C$475,'Mar16-Aug16 Billed-RETAIL'!$E58)</f>
        <v>0</v>
      </c>
      <c r="BG58" s="43">
        <f>SUMIFS('SBR Mar16 - Aug16'!$G$16:$G$475,'SBR Mar16 - Aug16'!$A$16:$A$475,'Mar16-Aug16 Billed-RETAIL'!$D58,'SBR Mar16 - Aug16'!$C$16:$C$475,'Mar16-Aug16 Billed-RETAIL'!$E58)</f>
        <v>25800</v>
      </c>
      <c r="BH58" s="43">
        <f>SUMIFS('SBR Mar16 - Aug16'!$I$16:$I$475,'SBR Mar16 - Aug16'!$A$16:$A$475,'Mar16-Aug16 Billed-RETAIL'!$D58,'SBR Mar16 - Aug16'!$C$16:$C$475,'Mar16-Aug16 Billed-RETAIL'!$E58)</f>
        <v>122838.8</v>
      </c>
      <c r="BI58" s="43">
        <f>SUMIFS('SBR Mar16 - Aug16'!$H$16:$H$475,'SBR Mar16 - Aug16'!$A$16:$A$475,'Mar16-Aug16 Billed-RETAIL'!$D58,'SBR Mar16 - Aug16'!$C$16:$C$475,'Mar16-Aug16 Billed-RETAIL'!$E58)</f>
        <v>0</v>
      </c>
      <c r="BJ58" s="43">
        <f>SUMIFS('SBR Mar16 - Aug16'!$X$16:$X$475,'SBR Mar16 - Aug16'!$A$16:$A$475,'Mar16-Aug16 Billed-RETAIL'!$D58,'SBR Mar16 - Aug16'!$C$16:$C$475,'Mar16-Aug16 Billed-RETAIL'!$E58)</f>
        <v>62030.06</v>
      </c>
      <c r="BL58" s="51">
        <f t="shared" si="103"/>
        <v>0</v>
      </c>
      <c r="BN58" s="58">
        <f t="shared" si="104"/>
        <v>0</v>
      </c>
      <c r="BO58" s="58">
        <f t="shared" si="105"/>
        <v>-2.9800000047544017E-3</v>
      </c>
      <c r="BP58" s="58">
        <f t="shared" si="106"/>
        <v>0</v>
      </c>
    </row>
    <row r="59" spans="3:68" ht="15" customHeight="1" x14ac:dyDescent="0.25">
      <c r="C59" s="14">
        <f t="shared" si="88"/>
        <v>49</v>
      </c>
      <c r="D59" s="604">
        <f t="shared" si="109"/>
        <v>42552</v>
      </c>
      <c r="E59" s="604" t="str">
        <f>+'Retail Rates'!$B$31</f>
        <v>LGRSG811</v>
      </c>
      <c r="F59" s="14" t="str">
        <f t="shared" si="107"/>
        <v>811</v>
      </c>
      <c r="G59" s="14" t="str">
        <f>VLOOKUP(E59,'Retail Rates'!$B$7:$D$34,3,FALSE)</f>
        <v>RGS</v>
      </c>
      <c r="H59" s="33">
        <f>SUMIFS('Data-Retail'!$H$4:$H$1000,'Data-Retail'!$A$4:$A$1000,'Mar16-Aug16 Billed-RETAIL'!$D59,'Data-Retail'!$D$4:$D$1000,'Mar16-Aug16 Billed-RETAIL'!$E59)</f>
        <v>295672</v>
      </c>
      <c r="I59" s="33"/>
      <c r="J59" s="33"/>
      <c r="K59" s="33">
        <f>SUMIFS('Data-Retail'!$I$4:$I$1000,'Data-Retail'!$A$4:$A$1000,'Mar16-Aug16 Billed-RETAIL'!$D59,'Data-Retail'!$D$4:$D$1000,'Mar16-Aug16 Billed-RETAIL'!$E59)</f>
        <v>3635807</v>
      </c>
      <c r="L59" s="33">
        <f>SUMIFS('Data-Retail'!$J$4:$J$1000,'Data-Retail'!$A$4:$A$1000,'Mar16-Aug16 Billed-RETAIL'!$D59,'Data-Retail'!$D$4:$D$1000,'Mar16-Aug16 Billed-RETAIL'!$E59)</f>
        <v>0</v>
      </c>
      <c r="M59" s="33"/>
      <c r="N59" s="34">
        <f>VLOOKUP($E59,'Retail Rates'!$B$7:$L$34,5,FALSE)</f>
        <v>13.5</v>
      </c>
      <c r="O59" s="34">
        <f>VLOOKUP($E59,'Retail Rates'!$B$7:$L$34,6,FALSE)</f>
        <v>0</v>
      </c>
      <c r="P59" s="35">
        <f>VLOOKUP($E59,'Retail Rates'!$B$7:$L$34,7,FALSE)</f>
        <v>0.28693000000000002</v>
      </c>
      <c r="Q59" s="35">
        <f>VLOOKUP($E59,'Retail Rates'!$B$7:$L$34,8,FALSE)</f>
        <v>0</v>
      </c>
      <c r="R59" s="35">
        <f>VLOOKUP($D59,'GSC-DSM-GLT Factors'!$A$1:$B$60,2,FALSE)</f>
        <v>0.3513</v>
      </c>
      <c r="S59" s="34">
        <f>VLOOKUP($E59,'Retail Rates'!$B$7:$L$34,9,FALSE)</f>
        <v>0</v>
      </c>
      <c r="T59" s="35">
        <f>VLOOKUP($E59,'Retail Rates'!$B$7:$L$34,10,FALSE)</f>
        <v>0</v>
      </c>
      <c r="U59" s="34">
        <f>VLOOKUP($E59,'Retail Rates'!$B$7:$L$34,11,FALSE)</f>
        <v>0</v>
      </c>
      <c r="V59" s="556">
        <f>VLOOKUP($D59,'GSC-DSM-GLT Factors'!$A$1:$O$60,10,FALSE)</f>
        <v>5.14</v>
      </c>
      <c r="W59" s="36">
        <f t="shared" si="90"/>
        <v>3991572</v>
      </c>
      <c r="X59" s="36"/>
      <c r="Y59" s="36"/>
      <c r="Z59" s="36">
        <f t="shared" si="91"/>
        <v>1043222.1025100001</v>
      </c>
      <c r="AA59" s="36">
        <f t="shared" si="92"/>
        <v>0</v>
      </c>
      <c r="AB59" s="36">
        <f t="shared" si="93"/>
        <v>1277258.9990999999</v>
      </c>
      <c r="AC59" s="36"/>
      <c r="AD59" s="36"/>
      <c r="AE59" s="36">
        <f t="shared" si="108"/>
        <v>0</v>
      </c>
      <c r="AF59" s="36">
        <f>(+H59*V59)+(I59*V59)</f>
        <v>1519754.0799999998</v>
      </c>
      <c r="AG59" s="57">
        <f>SUMIFS(Adjustments!H$5:H$557,Adjustments!$B$5:$B$557,'Mar16-Aug16 Billed-RETAIL'!$D59,Adjustments!$C$5:$C$557,'Mar16-Aug16 Billed-RETAIL'!$E59)</f>
        <v>-1830</v>
      </c>
      <c r="AH59" s="57">
        <f>SUMIFS(Adjustments!I$5:I$557,Adjustments!$B$5:$B$557,'Mar16-Aug16 Billed-RETAIL'!$D59,Adjustments!$C$5:$C$557,'Mar16-Aug16 Billed-RETAIL'!$E59)</f>
        <v>0</v>
      </c>
      <c r="AI59" s="48">
        <f>SUMIFS(Adjustments!J$5:J$557,Adjustments!$B$5:$B$557,'Mar16-Aug16 Billed-RETAIL'!$D59,Adjustments!$C$5:$C$557,'Mar16-Aug16 Billed-RETAIL'!$E59)</f>
        <v>17.14</v>
      </c>
      <c r="AJ59" s="48">
        <f>SUMIFS(Adjustments!K$5:K$557,Adjustments!$B$5:$B$557,'Mar16-Aug16 Billed-RETAIL'!$D59,Adjustments!$C$5:$C$557,'Mar16-Aug16 Billed-RETAIL'!$E59)</f>
        <v>0</v>
      </c>
      <c r="AK59" s="48">
        <f>SUMIFS(Adjustments!L$5:L$557,Adjustments!$B$5:$B$557,'Mar16-Aug16 Billed-RETAIL'!$D59,Adjustments!$C$5:$C$557,'Mar16-Aug16 Billed-RETAIL'!$E59)</f>
        <v>5</v>
      </c>
      <c r="AL59" s="48">
        <f>SUMIFS(Adjustments!M$5:M$557,Adjustments!$B$5:$B$557,'Mar16-Aug16 Billed-RETAIL'!$D59,Adjustments!$C$5:$C$557,'Mar16-Aug16 Billed-RETAIL'!$E59)</f>
        <v>0</v>
      </c>
      <c r="AM59" s="48">
        <f>SUMIFS(Adjustments!N$5:N$557,Adjustments!$B$5:$B$557,'Mar16-Aug16 Billed-RETAIL'!$D59,Adjustments!$C$5:$C$557,'Mar16-Aug16 Billed-RETAIL'!$E59)</f>
        <v>0</v>
      </c>
      <c r="AN59" s="48">
        <f>SUMIFS(Adjustments!O$5:O$557,Adjustments!$B$5:$B$557,'Mar16-Aug16 Billed-RETAIL'!$D59,Adjustments!$C$5:$C$557,'Mar16-Aug16 Billed-RETAIL'!$E59)</f>
        <v>0</v>
      </c>
      <c r="AO59" s="48">
        <f>SUMIFS(Adjustments!P$5:P$557,Adjustments!$B$5:$B$557,'Mar16-Aug16 Billed-RETAIL'!$D59,Adjustments!$C$5:$C$557,'Mar16-Aug16 Billed-RETAIL'!$E59)</f>
        <v>0</v>
      </c>
      <c r="AP59" s="36">
        <f>+W59+AI59+(AG59*N59)</f>
        <v>3966884.14</v>
      </c>
      <c r="AQ59" s="36">
        <f t="shared" si="96"/>
        <v>0</v>
      </c>
      <c r="AR59" s="36">
        <f t="shared" si="97"/>
        <v>1043227.1025100001</v>
      </c>
      <c r="AS59" s="36">
        <f t="shared" si="98"/>
        <v>0</v>
      </c>
      <c r="AT59" s="43">
        <f>SUMIFS('SBR Mar16 - Aug16'!$O$16:$O$475,'SBR Mar16 - Aug16'!$A$16:$A$475,'Mar16-Aug16 Billed-RETAIL'!$D59,'SBR Mar16 - Aug16'!$C$16:$C$475,'Mar16-Aug16 Billed-RETAIL'!$E59)</f>
        <v>1277744.1100000001</v>
      </c>
      <c r="AU59" s="43">
        <f>SUMIFS('SBR Mar16 - Aug16'!$N$16:$N$475,'SBR Mar16 - Aug16'!$A$16:$A$475,'Mar16-Aug16 Billed-RETAIL'!$D59,'SBR Mar16 - Aug16'!$C$16:$C$475,'Mar16-Aug16 Billed-RETAIL'!$E59)</f>
        <v>39536.06</v>
      </c>
      <c r="AV59" s="43">
        <f>SUMIFS('SBR Mar16 - Aug16'!$Y$16:$Y$475,'SBR Mar16 - Aug16'!$A$16:$A$475,'Mar16-Aug16 Billed-RETAIL'!$D59,'SBR Mar16 - Aug16'!$C$16:$C$475,'Mar16-Aug16 Billed-RETAIL'!$E59)</f>
        <v>-465.11</v>
      </c>
      <c r="AW59" s="43">
        <f>SUMIFS('SBR Mar16 - Aug16'!$X$16:$X$475,'SBR Mar16 - Aug16'!$A$16:$A$475,'Mar16-Aug16 Billed-RETAIL'!$D59,'SBR Mar16 - Aug16'!$C$16:$C$475,'Mar16-Aug16 Billed-RETAIL'!$E59)</f>
        <v>1510324.49</v>
      </c>
      <c r="AX59" s="36">
        <f t="shared" si="99"/>
        <v>0</v>
      </c>
      <c r="AY59" s="36"/>
      <c r="AZ59" s="43">
        <f t="shared" si="100"/>
        <v>7837250.79</v>
      </c>
      <c r="BA59" s="43">
        <f t="shared" si="101"/>
        <v>7837250.8000000007</v>
      </c>
      <c r="BB59" s="44">
        <f t="shared" si="102"/>
        <v>1</v>
      </c>
      <c r="BC59" s="43">
        <f>SUMIFS('SBR Mar16 - Aug16'!$N$16:$N$475,'SBR Mar16 - Aug16'!$A$16:$A$475,'Mar16-Aug16 Billed-RETAIL'!$D59,'SBR Mar16 - Aug16'!$C$16:$C$475,'Mar16-Aug16 Billed-RETAIL'!$E59)</f>
        <v>39536.06</v>
      </c>
      <c r="BD59" s="43">
        <f>SUMIFS('SBR Mar16 - Aug16'!$O$16:$O$475,'SBR Mar16 - Aug16'!$A$16:$A$475,'Mar16-Aug16 Billed-RETAIL'!$D59,'SBR Mar16 - Aug16'!$C$16:$C$475,'Mar16-Aug16 Billed-RETAIL'!$E59)</f>
        <v>1277744.1100000001</v>
      </c>
      <c r="BE59" s="43">
        <f>SUMIFS('SBR Mar16 - Aug16'!$Y$16:$Y$475,'SBR Mar16 - Aug16'!$A$16:$A$475,'Mar16-Aug16 Billed-RETAIL'!$D59,'SBR Mar16 - Aug16'!$C$16:$C$475,'Mar16-Aug16 Billed-RETAIL'!$E59)</f>
        <v>-465.11</v>
      </c>
      <c r="BF59" s="43">
        <f>SUMIFS('SBR Mar16 - Aug16'!$AB$16:$AB$475,'SBR Mar16 - Aug16'!$A$16:$A$475,'Mar16-Aug16 Billed-RETAIL'!$D59,'SBR Mar16 - Aug16'!$C$16:$C$475,'Mar16-Aug16 Billed-RETAIL'!$E59)</f>
        <v>74156.75</v>
      </c>
      <c r="BG59" s="43">
        <f>SUMIFS('SBR Mar16 - Aug16'!$G$16:$G$475,'SBR Mar16 - Aug16'!$A$16:$A$475,'Mar16-Aug16 Billed-RETAIL'!$D59,'SBR Mar16 - Aug16'!$C$16:$C$475,'Mar16-Aug16 Billed-RETAIL'!$E59)</f>
        <v>3966884.14</v>
      </c>
      <c r="BH59" s="43">
        <f>SUMIFS('SBR Mar16 - Aug16'!$I$16:$I$475,'SBR Mar16 - Aug16'!$A$16:$A$475,'Mar16-Aug16 Billed-RETAIL'!$D59,'SBR Mar16 - Aug16'!$C$16:$C$475,'Mar16-Aug16 Billed-RETAIL'!$E59)</f>
        <v>1043227.11</v>
      </c>
      <c r="BI59" s="43">
        <f>SUMIFS('SBR Mar16 - Aug16'!$H$16:$H$475,'SBR Mar16 - Aug16'!$A$16:$A$475,'Mar16-Aug16 Billed-RETAIL'!$D59,'SBR Mar16 - Aug16'!$C$16:$C$475,'Mar16-Aug16 Billed-RETAIL'!$E59)</f>
        <v>0</v>
      </c>
      <c r="BJ59" s="43">
        <f>SUMIFS('SBR Mar16 - Aug16'!$X$16:$X$475,'SBR Mar16 - Aug16'!$A$16:$A$475,'Mar16-Aug16 Billed-RETAIL'!$D59,'SBR Mar16 - Aug16'!$C$16:$C$475,'Mar16-Aug16 Billed-RETAIL'!$E59)</f>
        <v>1510324.49</v>
      </c>
      <c r="BL59" s="51">
        <f t="shared" si="103"/>
        <v>-1.0000000707805157E-2</v>
      </c>
      <c r="BN59" s="58">
        <f t="shared" si="104"/>
        <v>0</v>
      </c>
      <c r="BO59" s="58">
        <f t="shared" si="105"/>
        <v>-7.4899998726323247E-3</v>
      </c>
      <c r="BP59" s="58">
        <f t="shared" si="106"/>
        <v>0</v>
      </c>
    </row>
    <row r="60" spans="3:68" ht="15" customHeight="1" x14ac:dyDescent="0.25">
      <c r="C60" s="14">
        <f t="shared" si="88"/>
        <v>50</v>
      </c>
      <c r="D60" s="604">
        <f t="shared" si="109"/>
        <v>42552</v>
      </c>
      <c r="E60" s="604" t="str">
        <f>+'Retail Rates'!$B$19</f>
        <v>LGCMG851LT</v>
      </c>
      <c r="F60" s="14" t="str">
        <f t="shared" si="107"/>
        <v>851</v>
      </c>
      <c r="G60" s="14" t="str">
        <f>VLOOKUP(E60,'Retail Rates'!$B$7:$D$34,3,FALSE)</f>
        <v>CGS</v>
      </c>
      <c r="H60" s="33"/>
      <c r="I60" s="33">
        <f>SUMIFS('Data-Retail'!$H$4:$H$3368,'Data-Retail'!$A$4:$A$3368,'Mar16-Aug16 Billed-RETAIL'!$D60,'Data-Retail'!$D$4:$D$3368,'Mar16-Aug16 Billed-RETAIL'!$E60)</f>
        <v>1</v>
      </c>
      <c r="J60" s="33"/>
      <c r="K60" s="33">
        <f>SUMIFS('Data-Retail'!$I$4:$I$1000,'Data-Retail'!$A$4:$A$1000,'Mar16-Aug16 Billed-RETAIL'!$D60,'Data-Retail'!$D$4:$D$1000,'Mar16-Aug16 Billed-RETAIL'!$E60)</f>
        <v>280</v>
      </c>
      <c r="L60" s="33">
        <f>SUMIFS('Data-Retail'!$J$4:$J$1000,'Data-Retail'!$A$4:$A$1000,'Mar16-Aug16 Billed-RETAIL'!$D60,'Data-Retail'!$D$4:$D$1000,'Mar16-Aug16 Billed-RETAIL'!$E60)</f>
        <v>0</v>
      </c>
      <c r="M60" s="33"/>
      <c r="N60" s="34">
        <f>VLOOKUP($E60,'Retail Rates'!$B$7:$L$34,5,FALSE)</f>
        <v>40</v>
      </c>
      <c r="O60" s="34">
        <f>VLOOKUP($E60,'Retail Rates'!$B$7:$L$34,6,FALSE)</f>
        <v>180</v>
      </c>
      <c r="P60" s="35">
        <f>VLOOKUP($E60,'Retail Rates'!$B$7:$L$34,7,FALSE)</f>
        <v>0.21504000000000001</v>
      </c>
      <c r="Q60" s="35">
        <f>VLOOKUP($E60,'Retail Rates'!$B$7:$L$34,8,FALSE)</f>
        <v>0.16504000000000002</v>
      </c>
      <c r="R60" s="35">
        <f>VLOOKUP($D60,'GSC-DSM-GLT Factors'!$A$1:$B$60,2,FALSE)</f>
        <v>0.3513</v>
      </c>
      <c r="S60" s="34">
        <f>VLOOKUP($E60,'Retail Rates'!$B$7:$L$34,9,FALSE)</f>
        <v>0</v>
      </c>
      <c r="T60" s="35">
        <f>VLOOKUP($E60,'Retail Rates'!$B$7:$L$34,10,FALSE)</f>
        <v>0</v>
      </c>
      <c r="U60" s="34">
        <f>VLOOKUP($E60,'Retail Rates'!$B$7:$L$34,11,FALSE)</f>
        <v>0</v>
      </c>
      <c r="V60" s="556">
        <f>VLOOKUP($D60,'GSC-DSM-GLT Factors'!$A$1:$O$60,12,FALSE)</f>
        <v>27.41</v>
      </c>
      <c r="W60" s="36">
        <f t="shared" si="90"/>
        <v>40</v>
      </c>
      <c r="X60" s="36"/>
      <c r="Y60" s="36"/>
      <c r="Z60" s="36">
        <f t="shared" si="91"/>
        <v>60.211200000000005</v>
      </c>
      <c r="AA60" s="36">
        <f t="shared" si="92"/>
        <v>0</v>
      </c>
      <c r="AB60" s="36">
        <f t="shared" si="93"/>
        <v>98.364000000000004</v>
      </c>
      <c r="AC60" s="36"/>
      <c r="AD60" s="36"/>
      <c r="AE60" s="36">
        <f t="shared" si="108"/>
        <v>0</v>
      </c>
      <c r="AF60" s="36">
        <f>(+H60*V60)+(I60*V60)</f>
        <v>27.41</v>
      </c>
      <c r="AG60" s="57">
        <f>SUMIFS(Adjustments!H$5:H$557,Adjustments!$B$5:$B$557,'Mar16-Aug16 Billed-RETAIL'!$D60,Adjustments!$C$5:$C$557,'Mar16-Aug16 Billed-RETAIL'!$E60)</f>
        <v>0</v>
      </c>
      <c r="AH60" s="57">
        <f>SUMIFS(Adjustments!I$5:I$557,Adjustments!$B$5:$B$557,'Mar16-Aug16 Billed-RETAIL'!$D60,Adjustments!$C$5:$C$557,'Mar16-Aug16 Billed-RETAIL'!$E60)</f>
        <v>0</v>
      </c>
      <c r="AI60" s="48">
        <f>SUMIFS(Adjustments!J$5:J$557,Adjustments!$B$5:$B$557,'Mar16-Aug16 Billed-RETAIL'!$D60,Adjustments!$C$5:$C$557,'Mar16-Aug16 Billed-RETAIL'!$E60)</f>
        <v>0</v>
      </c>
      <c r="AJ60" s="48">
        <f>SUMIFS(Adjustments!K$5:K$557,Adjustments!$B$5:$B$557,'Mar16-Aug16 Billed-RETAIL'!$D60,Adjustments!$C$5:$C$557,'Mar16-Aug16 Billed-RETAIL'!$E60)</f>
        <v>0</v>
      </c>
      <c r="AK60" s="48">
        <f>SUMIFS(Adjustments!L$5:L$557,Adjustments!$B$5:$B$557,'Mar16-Aug16 Billed-RETAIL'!$D60,Adjustments!$C$5:$C$557,'Mar16-Aug16 Billed-RETAIL'!$E60)</f>
        <v>0</v>
      </c>
      <c r="AL60" s="48">
        <f>SUMIFS(Adjustments!M$5:M$557,Adjustments!$B$5:$B$557,'Mar16-Aug16 Billed-RETAIL'!$D60,Adjustments!$C$5:$C$557,'Mar16-Aug16 Billed-RETAIL'!$E60)</f>
        <v>0</v>
      </c>
      <c r="AM60" s="48">
        <f>SUMIFS(Adjustments!N$5:N$557,Adjustments!$B$5:$B$557,'Mar16-Aug16 Billed-RETAIL'!$D60,Adjustments!$C$5:$C$557,'Mar16-Aug16 Billed-RETAIL'!$E60)</f>
        <v>0</v>
      </c>
      <c r="AN60" s="48">
        <f>SUMIFS(Adjustments!O$5:O$557,Adjustments!$B$5:$B$557,'Mar16-Aug16 Billed-RETAIL'!$D60,Adjustments!$C$5:$C$557,'Mar16-Aug16 Billed-RETAIL'!$E60)</f>
        <v>0</v>
      </c>
      <c r="AO60" s="48">
        <f>SUMIFS(Adjustments!P$5:P$557,Adjustments!$B$5:$B$557,'Mar16-Aug16 Billed-RETAIL'!$D60,Adjustments!$C$5:$C$557,'Mar16-Aug16 Billed-RETAIL'!$E60)</f>
        <v>0</v>
      </c>
      <c r="AP60" s="36">
        <f>+W60+AI60+(AG60*N60)</f>
        <v>40</v>
      </c>
      <c r="AQ60" s="36">
        <f t="shared" si="96"/>
        <v>0</v>
      </c>
      <c r="AR60" s="36">
        <f t="shared" si="97"/>
        <v>60.211200000000005</v>
      </c>
      <c r="AS60" s="36">
        <f t="shared" si="98"/>
        <v>0</v>
      </c>
      <c r="AT60" s="43">
        <f>SUMIFS('SBR Mar16 - Aug16'!$O$16:$O$475,'SBR Mar16 - Aug16'!$A$16:$A$475,'Mar16-Aug16 Billed-RETAIL'!$D60,'SBR Mar16 - Aug16'!$C$16:$C$475,'Mar16-Aug16 Billed-RETAIL'!$E60)</f>
        <v>98.36</v>
      </c>
      <c r="AU60" s="43">
        <f>SUMIFS('SBR Mar16 - Aug16'!$N$16:$N$475,'SBR Mar16 - Aug16'!$A$16:$A$475,'Mar16-Aug16 Billed-RETAIL'!$D60,'SBR Mar16 - Aug16'!$C$16:$C$475,'Mar16-Aug16 Billed-RETAIL'!$E60)</f>
        <v>0.16</v>
      </c>
      <c r="AV60" s="43">
        <f>SUMIFS('SBR Mar16 - Aug16'!$Y$16:$Y$475,'SBR Mar16 - Aug16'!$A$16:$A$475,'Mar16-Aug16 Billed-RETAIL'!$D60,'SBR Mar16 - Aug16'!$C$16:$C$475,'Mar16-Aug16 Billed-RETAIL'!$E60)</f>
        <v>0</v>
      </c>
      <c r="AW60" s="43">
        <f>SUMIFS('SBR Mar16 - Aug16'!$X$16:$X$475,'SBR Mar16 - Aug16'!$A$16:$A$475,'Mar16-Aug16 Billed-RETAIL'!$D60,'SBR Mar16 - Aug16'!$C$16:$C$475,'Mar16-Aug16 Billed-RETAIL'!$E60)</f>
        <v>27.41</v>
      </c>
      <c r="AX60" s="36">
        <f t="shared" si="99"/>
        <v>0</v>
      </c>
      <c r="AY60" s="36"/>
      <c r="AZ60" s="43">
        <f t="shared" si="100"/>
        <v>226.14</v>
      </c>
      <c r="BA60" s="43">
        <f t="shared" si="101"/>
        <v>226.14</v>
      </c>
      <c r="BB60" s="44">
        <f t="shared" si="102"/>
        <v>1</v>
      </c>
      <c r="BC60" s="43">
        <f>SUMIFS('SBR Mar16 - Aug16'!$N$16:$N$475,'SBR Mar16 - Aug16'!$A$16:$A$475,'Mar16-Aug16 Billed-RETAIL'!$D60,'SBR Mar16 - Aug16'!$C$16:$C$475,'Mar16-Aug16 Billed-RETAIL'!$E60)</f>
        <v>0.16</v>
      </c>
      <c r="BD60" s="43">
        <f>SUMIFS('SBR Mar16 - Aug16'!$O$16:$O$475,'SBR Mar16 - Aug16'!$A$16:$A$475,'Mar16-Aug16 Billed-RETAIL'!$D60,'SBR Mar16 - Aug16'!$C$16:$C$475,'Mar16-Aug16 Billed-RETAIL'!$E60)</f>
        <v>98.36</v>
      </c>
      <c r="BE60" s="43">
        <f>SUMIFS('SBR Mar16 - Aug16'!$Y$16:$Y$475,'SBR Mar16 - Aug16'!$A$16:$A$475,'Mar16-Aug16 Billed-RETAIL'!$D60,'SBR Mar16 - Aug16'!$C$16:$C$475,'Mar16-Aug16 Billed-RETAIL'!$E60)</f>
        <v>0</v>
      </c>
      <c r="BF60" s="43">
        <f>SUMIFS('SBR Mar16 - Aug16'!$AB$16:$AB$475,'SBR Mar16 - Aug16'!$A$16:$A$475,'Mar16-Aug16 Billed-RETAIL'!$D60,'SBR Mar16 - Aug16'!$C$16:$C$475,'Mar16-Aug16 Billed-RETAIL'!$E60)</f>
        <v>0</v>
      </c>
      <c r="BG60" s="43">
        <f>SUMIFS('SBR Mar16 - Aug16'!$G$16:$G$475,'SBR Mar16 - Aug16'!$A$16:$A$475,'Mar16-Aug16 Billed-RETAIL'!$D60,'SBR Mar16 - Aug16'!$C$16:$C$475,'Mar16-Aug16 Billed-RETAIL'!$E60)</f>
        <v>40</v>
      </c>
      <c r="BH60" s="43">
        <f>SUMIFS('SBR Mar16 - Aug16'!$I$16:$I$475,'SBR Mar16 - Aug16'!$A$16:$A$475,'Mar16-Aug16 Billed-RETAIL'!$D60,'SBR Mar16 - Aug16'!$C$16:$C$475,'Mar16-Aug16 Billed-RETAIL'!$E60)</f>
        <v>60.21</v>
      </c>
      <c r="BI60" s="43">
        <f>SUMIFS('SBR Mar16 - Aug16'!$H$16:$H$475,'SBR Mar16 - Aug16'!$A$16:$A$475,'Mar16-Aug16 Billed-RETAIL'!$D60,'SBR Mar16 - Aug16'!$C$16:$C$475,'Mar16-Aug16 Billed-RETAIL'!$E60)</f>
        <v>0</v>
      </c>
      <c r="BJ60" s="43">
        <f>SUMIFS('SBR Mar16 - Aug16'!$X$16:$X$475,'SBR Mar16 - Aug16'!$A$16:$A$475,'Mar16-Aug16 Billed-RETAIL'!$D60,'SBR Mar16 - Aug16'!$C$16:$C$475,'Mar16-Aug16 Billed-RETAIL'!$E60)</f>
        <v>27.41</v>
      </c>
      <c r="BL60" s="51">
        <f t="shared" si="103"/>
        <v>0</v>
      </c>
      <c r="BN60" s="58">
        <f t="shared" si="104"/>
        <v>0</v>
      </c>
      <c r="BO60" s="58">
        <f t="shared" si="105"/>
        <v>1.2000000000043087E-3</v>
      </c>
      <c r="BP60" s="58">
        <f t="shared" si="106"/>
        <v>0</v>
      </c>
    </row>
    <row r="61" spans="3:68" ht="15" customHeight="1" x14ac:dyDescent="0.25">
      <c r="C61" s="14">
        <f t="shared" si="88"/>
        <v>51</v>
      </c>
      <c r="D61" s="604">
        <f t="shared" si="109"/>
        <v>42552</v>
      </c>
      <c r="E61" s="604" t="str">
        <f>+'Retail Rates'!$B$32</f>
        <v>LGRSG840</v>
      </c>
      <c r="F61" s="14" t="str">
        <f t="shared" si="107"/>
        <v>840</v>
      </c>
      <c r="G61" s="14" t="str">
        <f>VLOOKUP(E61,'Retail Rates'!$B$7:$D$34,3,FALSE)</f>
        <v>RGS</v>
      </c>
      <c r="H61" s="33">
        <f>SUMIFS('Data-Retail'!$H$4:$H$1000,'Data-Retail'!$A$4:$A$1000,'Mar16-Aug16 Billed-RETAIL'!$D61,'Data-Retail'!$D$4:$D$1000,'Mar16-Aug16 Billed-RETAIL'!$E61)</f>
        <v>3</v>
      </c>
      <c r="I61" s="33"/>
      <c r="J61" s="33"/>
      <c r="K61" s="33">
        <f>SUMIFS('Data-Retail'!$I$4:$I$1000,'Data-Retail'!$A$4:$A$1000,'Mar16-Aug16 Billed-RETAIL'!$D61,'Data-Retail'!$D$4:$D$1000,'Mar16-Aug16 Billed-RETAIL'!$E61)</f>
        <v>279</v>
      </c>
      <c r="L61" s="33">
        <f>SUMIFS('Data-Retail'!$J$4:$J$1000,'Data-Retail'!$A$4:$A$1000,'Mar16-Aug16 Billed-RETAIL'!$D61,'Data-Retail'!$D$4:$D$1000,'Mar16-Aug16 Billed-RETAIL'!$E61)</f>
        <v>0</v>
      </c>
      <c r="M61" s="33"/>
      <c r="N61" s="34">
        <f>VLOOKUP($E61,'Retail Rates'!$B$7:$L$34,5,FALSE)</f>
        <v>13.5</v>
      </c>
      <c r="O61" s="34">
        <f>VLOOKUP($E61,'Retail Rates'!$B$7:$L$34,6,FALSE)</f>
        <v>0</v>
      </c>
      <c r="P61" s="35">
        <f>VLOOKUP($E61,'Retail Rates'!$B$7:$L$34,7,FALSE)</f>
        <v>0.28693000000000002</v>
      </c>
      <c r="Q61" s="35">
        <f>VLOOKUP($E61,'Retail Rates'!$B$7:$L$34,8,FALSE)</f>
        <v>0</v>
      </c>
      <c r="R61" s="35">
        <f>VLOOKUP($D61,'GSC-DSM-GLT Factors'!$A$1:$B$60,2,FALSE)</f>
        <v>0.3513</v>
      </c>
      <c r="S61" s="34">
        <f>VLOOKUP($E61,'Retail Rates'!$B$7:$L$34,9,FALSE)</f>
        <v>0</v>
      </c>
      <c r="T61" s="35">
        <f>VLOOKUP($E61,'Retail Rates'!$B$7:$L$34,10,FALSE)</f>
        <v>0</v>
      </c>
      <c r="U61" s="34">
        <f>VLOOKUP($E61,'Retail Rates'!$B$7:$L$34,11,FALSE)</f>
        <v>0</v>
      </c>
      <c r="V61" s="556">
        <f>VLOOKUP($D61,'GSC-DSM-GLT Factors'!$A$1:$O$60,11,FALSE)</f>
        <v>5.14</v>
      </c>
      <c r="W61" s="36">
        <f t="shared" si="90"/>
        <v>40.5</v>
      </c>
      <c r="X61" s="36"/>
      <c r="Y61" s="36"/>
      <c r="Z61" s="36">
        <f t="shared" si="91"/>
        <v>80.053470000000004</v>
      </c>
      <c r="AA61" s="36">
        <f t="shared" si="92"/>
        <v>0</v>
      </c>
      <c r="AB61" s="36">
        <f t="shared" si="93"/>
        <v>98.012699999999995</v>
      </c>
      <c r="AC61" s="36"/>
      <c r="AD61" s="36"/>
      <c r="AE61" s="36">
        <f t="shared" si="108"/>
        <v>0</v>
      </c>
      <c r="AF61" s="36">
        <f>(+H61*V61)+(I61*V61)</f>
        <v>15.419999999999998</v>
      </c>
      <c r="AG61" s="57">
        <f>SUMIFS(Adjustments!H$5:H$557,Adjustments!$B$5:$B$557,'Mar16-Aug16 Billed-RETAIL'!$D61,Adjustments!$C$5:$C$557,'Mar16-Aug16 Billed-RETAIL'!$E61)</f>
        <v>0</v>
      </c>
      <c r="AH61" s="57">
        <f>SUMIFS(Adjustments!I$5:I$557,Adjustments!$B$5:$B$557,'Mar16-Aug16 Billed-RETAIL'!$D61,Adjustments!$C$5:$C$557,'Mar16-Aug16 Billed-RETAIL'!$E61)</f>
        <v>0</v>
      </c>
      <c r="AI61" s="48">
        <f>SUMIFS(Adjustments!J$5:J$557,Adjustments!$B$5:$B$557,'Mar16-Aug16 Billed-RETAIL'!$D61,Adjustments!$C$5:$C$557,'Mar16-Aug16 Billed-RETAIL'!$E61)</f>
        <v>0</v>
      </c>
      <c r="AJ61" s="48">
        <f>SUMIFS(Adjustments!K$5:K$557,Adjustments!$B$5:$B$557,'Mar16-Aug16 Billed-RETAIL'!$D61,Adjustments!$C$5:$C$557,'Mar16-Aug16 Billed-RETAIL'!$E61)</f>
        <v>0</v>
      </c>
      <c r="AK61" s="48">
        <f>SUMIFS(Adjustments!L$5:L$557,Adjustments!$B$5:$B$557,'Mar16-Aug16 Billed-RETAIL'!$D61,Adjustments!$C$5:$C$557,'Mar16-Aug16 Billed-RETAIL'!$E61)</f>
        <v>0</v>
      </c>
      <c r="AL61" s="48">
        <f>SUMIFS(Adjustments!M$5:M$557,Adjustments!$B$5:$B$557,'Mar16-Aug16 Billed-RETAIL'!$D61,Adjustments!$C$5:$C$557,'Mar16-Aug16 Billed-RETAIL'!$E61)</f>
        <v>0</v>
      </c>
      <c r="AM61" s="48">
        <f>SUMIFS(Adjustments!N$5:N$557,Adjustments!$B$5:$B$557,'Mar16-Aug16 Billed-RETAIL'!$D61,Adjustments!$C$5:$C$557,'Mar16-Aug16 Billed-RETAIL'!$E61)</f>
        <v>0</v>
      </c>
      <c r="AN61" s="48">
        <f>SUMIFS(Adjustments!O$5:O$557,Adjustments!$B$5:$B$557,'Mar16-Aug16 Billed-RETAIL'!$D61,Adjustments!$C$5:$C$557,'Mar16-Aug16 Billed-RETAIL'!$E61)</f>
        <v>0</v>
      </c>
      <c r="AO61" s="48">
        <f>SUMIFS(Adjustments!P$5:P$557,Adjustments!$B$5:$B$557,'Mar16-Aug16 Billed-RETAIL'!$D61,Adjustments!$C$5:$C$557,'Mar16-Aug16 Billed-RETAIL'!$E61)</f>
        <v>0</v>
      </c>
      <c r="AP61" s="36">
        <f>+W61+AI61+(AG61*N61)</f>
        <v>40.5</v>
      </c>
      <c r="AQ61" s="36">
        <f t="shared" si="96"/>
        <v>0</v>
      </c>
      <c r="AR61" s="36">
        <f t="shared" si="97"/>
        <v>80.053470000000004</v>
      </c>
      <c r="AS61" s="36">
        <f t="shared" si="98"/>
        <v>0</v>
      </c>
      <c r="AT61" s="43">
        <f>SUMIFS('SBR Mar16 - Aug16'!$O$16:$O$475,'SBR Mar16 - Aug16'!$A$16:$A$475,'Mar16-Aug16 Billed-RETAIL'!$D61,'SBR Mar16 - Aug16'!$C$16:$C$475,'Mar16-Aug16 Billed-RETAIL'!$E61)</f>
        <v>98.01</v>
      </c>
      <c r="AU61" s="43">
        <f>SUMIFS('SBR Mar16 - Aug16'!$N$16:$N$475,'SBR Mar16 - Aug16'!$A$16:$A$475,'Mar16-Aug16 Billed-RETAIL'!$D61,'SBR Mar16 - Aug16'!$C$16:$C$475,'Mar16-Aug16 Billed-RETAIL'!$E61)</f>
        <v>3.02</v>
      </c>
      <c r="AV61" s="43">
        <f>SUMIFS('SBR Mar16 - Aug16'!$Y$16:$Y$475,'SBR Mar16 - Aug16'!$A$16:$A$475,'Mar16-Aug16 Billed-RETAIL'!$D61,'SBR Mar16 - Aug16'!$C$16:$C$475,'Mar16-Aug16 Billed-RETAIL'!$E61)</f>
        <v>0</v>
      </c>
      <c r="AW61" s="43">
        <f>SUMIFS('SBR Mar16 - Aug16'!$X$16:$X$475,'SBR Mar16 - Aug16'!$A$16:$A$475,'Mar16-Aug16 Billed-RETAIL'!$D61,'SBR Mar16 - Aug16'!$C$16:$C$475,'Mar16-Aug16 Billed-RETAIL'!$E61)</f>
        <v>15.42</v>
      </c>
      <c r="AX61" s="36">
        <f t="shared" si="99"/>
        <v>0</v>
      </c>
      <c r="AY61" s="36"/>
      <c r="AZ61" s="43">
        <f t="shared" si="100"/>
        <v>237</v>
      </c>
      <c r="BA61" s="43">
        <f t="shared" si="101"/>
        <v>236.99999999999997</v>
      </c>
      <c r="BB61" s="44">
        <f t="shared" si="102"/>
        <v>1</v>
      </c>
      <c r="BC61" s="43">
        <f>SUMIFS('SBR Mar16 - Aug16'!$N$16:$N$475,'SBR Mar16 - Aug16'!$A$16:$A$475,'Mar16-Aug16 Billed-RETAIL'!$D61,'SBR Mar16 - Aug16'!$C$16:$C$475,'Mar16-Aug16 Billed-RETAIL'!$E61)</f>
        <v>3.02</v>
      </c>
      <c r="BD61" s="43">
        <f>SUMIFS('SBR Mar16 - Aug16'!$O$16:$O$475,'SBR Mar16 - Aug16'!$A$16:$A$475,'Mar16-Aug16 Billed-RETAIL'!$D61,'SBR Mar16 - Aug16'!$C$16:$C$475,'Mar16-Aug16 Billed-RETAIL'!$E61)</f>
        <v>98.01</v>
      </c>
      <c r="BE61" s="43">
        <f>SUMIFS('SBR Mar16 - Aug16'!$Y$16:$Y$475,'SBR Mar16 - Aug16'!$A$16:$A$475,'Mar16-Aug16 Billed-RETAIL'!$D61,'SBR Mar16 - Aug16'!$C$16:$C$475,'Mar16-Aug16 Billed-RETAIL'!$E61)</f>
        <v>0</v>
      </c>
      <c r="BF61" s="43">
        <f>SUMIFS('SBR Mar16 - Aug16'!$AB$16:$AB$475,'SBR Mar16 - Aug16'!$A$16:$A$475,'Mar16-Aug16 Billed-RETAIL'!$D61,'SBR Mar16 - Aug16'!$C$16:$C$475,'Mar16-Aug16 Billed-RETAIL'!$E61)</f>
        <v>0</v>
      </c>
      <c r="BG61" s="43">
        <f>SUMIFS('SBR Mar16 - Aug16'!$G$16:$G$475,'SBR Mar16 - Aug16'!$A$16:$A$475,'Mar16-Aug16 Billed-RETAIL'!$D61,'SBR Mar16 - Aug16'!$C$16:$C$475,'Mar16-Aug16 Billed-RETAIL'!$E61)</f>
        <v>40.5</v>
      </c>
      <c r="BH61" s="43">
        <f>SUMIFS('SBR Mar16 - Aug16'!$I$16:$I$475,'SBR Mar16 - Aug16'!$A$16:$A$475,'Mar16-Aug16 Billed-RETAIL'!$D61,'SBR Mar16 - Aug16'!$C$16:$C$475,'Mar16-Aug16 Billed-RETAIL'!$E61)</f>
        <v>80.05</v>
      </c>
      <c r="BI61" s="43">
        <f>SUMIFS('SBR Mar16 - Aug16'!$H$16:$H$475,'SBR Mar16 - Aug16'!$A$16:$A$475,'Mar16-Aug16 Billed-RETAIL'!$D61,'SBR Mar16 - Aug16'!$C$16:$C$475,'Mar16-Aug16 Billed-RETAIL'!$E61)</f>
        <v>0</v>
      </c>
      <c r="BJ61" s="43">
        <f>SUMIFS('SBR Mar16 - Aug16'!$X$16:$X$475,'SBR Mar16 - Aug16'!$A$16:$A$475,'Mar16-Aug16 Billed-RETAIL'!$D61,'SBR Mar16 - Aug16'!$C$16:$C$475,'Mar16-Aug16 Billed-RETAIL'!$E61)</f>
        <v>15.42</v>
      </c>
      <c r="BL61" s="51">
        <f t="shared" si="103"/>
        <v>0</v>
      </c>
      <c r="BN61" s="58">
        <f t="shared" si="104"/>
        <v>0</v>
      </c>
      <c r="BO61" s="58">
        <f t="shared" si="105"/>
        <v>3.4700000000071896E-3</v>
      </c>
      <c r="BP61" s="58">
        <f t="shared" si="106"/>
        <v>0</v>
      </c>
    </row>
    <row r="62" spans="3:68" s="563" customFormat="1" ht="15" customHeight="1" x14ac:dyDescent="0.25">
      <c r="C62" s="564"/>
      <c r="D62" s="605"/>
      <c r="E62" s="605"/>
      <c r="F62" s="564"/>
      <c r="G62" s="564"/>
      <c r="H62" s="565"/>
      <c r="I62" s="565"/>
      <c r="J62" s="565"/>
      <c r="K62" s="565"/>
      <c r="L62" s="565"/>
      <c r="M62" s="565"/>
      <c r="N62" s="566"/>
      <c r="O62" s="566"/>
      <c r="P62" s="567"/>
      <c r="Q62" s="567"/>
      <c r="R62" s="567"/>
      <c r="S62" s="566"/>
      <c r="T62" s="567"/>
      <c r="U62" s="566"/>
      <c r="V62" s="568"/>
      <c r="W62" s="569"/>
      <c r="X62" s="569"/>
      <c r="Y62" s="569"/>
      <c r="Z62" s="569"/>
      <c r="AA62" s="569"/>
      <c r="AB62" s="569"/>
      <c r="AC62" s="569"/>
      <c r="AD62" s="569"/>
      <c r="AE62" s="569"/>
      <c r="AF62" s="569"/>
      <c r="AG62" s="570"/>
      <c r="AH62" s="570"/>
      <c r="AI62" s="569"/>
      <c r="AJ62" s="569"/>
      <c r="AK62" s="569"/>
      <c r="AL62" s="569"/>
      <c r="AM62" s="569"/>
      <c r="AN62" s="569"/>
      <c r="AO62" s="569"/>
      <c r="AP62" s="569"/>
      <c r="AQ62" s="569"/>
      <c r="AR62" s="569"/>
      <c r="AS62" s="569"/>
      <c r="AT62" s="569"/>
      <c r="AU62" s="569"/>
      <c r="AV62" s="569"/>
      <c r="AW62" s="569"/>
      <c r="AX62" s="569"/>
      <c r="AY62" s="569"/>
      <c r="AZ62" s="569"/>
      <c r="BA62" s="569"/>
      <c r="BB62" s="571"/>
      <c r="BC62" s="569"/>
      <c r="BD62" s="569"/>
      <c r="BE62" s="569"/>
      <c r="BF62" s="569"/>
      <c r="BG62" s="569"/>
      <c r="BH62" s="569"/>
      <c r="BI62" s="569"/>
      <c r="BJ62" s="569"/>
      <c r="BL62" s="569"/>
      <c r="BN62" s="569"/>
      <c r="BO62" s="569"/>
      <c r="BP62" s="569"/>
    </row>
    <row r="63" spans="3:68" ht="15" x14ac:dyDescent="0.25">
      <c r="C63" s="14">
        <f>C61+1</f>
        <v>52</v>
      </c>
      <c r="D63" s="604">
        <f>EDATE(D51,1)</f>
        <v>42583</v>
      </c>
      <c r="E63" s="604" t="str">
        <f>+'Retail Rates'!$B$7</f>
        <v>LGCMG865</v>
      </c>
      <c r="F63" s="14" t="str">
        <f>MID(E63,6,3)</f>
        <v>865</v>
      </c>
      <c r="G63" s="14" t="str">
        <f>VLOOKUP(E63,'Retail Rates'!$B$7:$D$34,3,FALSE)</f>
        <v>AAGS-C</v>
      </c>
      <c r="H63" s="33">
        <f>SUMIFS('Data-Retail'!$H$4:$H$1000,'Data-Retail'!$A$4:$A$1000,'Mar16-Aug16 Billed-RETAIL'!$D63,'Data-Retail'!$D$4:$D$1000,'Mar16-Aug16 Billed-RETAIL'!$E63)</f>
        <v>2</v>
      </c>
      <c r="I63" s="33"/>
      <c r="J63" s="33"/>
      <c r="K63" s="33">
        <f>SUMIFS('Data-Retail'!$I$4:$I$1000,'Data-Retail'!$A$4:$A$1000,'Mar16-Aug16 Billed-RETAIL'!$D63,'Data-Retail'!$D$4:$D$1000,'Mar16-Aug16 Billed-RETAIL'!$E63)</f>
        <v>25230</v>
      </c>
      <c r="L63" s="33">
        <f>SUMIFS('Data-Retail'!$J$4:$J$1000,'Data-Retail'!$A$4:$A$1000,'Mar16-Aug16 Billed-RETAIL'!$D63,'Data-Retail'!$D$4:$D$1000,'Mar16-Aug16 Billed-RETAIL'!$E63)</f>
        <v>0</v>
      </c>
      <c r="M63" s="33"/>
      <c r="N63" s="34">
        <f>VLOOKUP($E63,'Retail Rates'!$B$7:$L$34,5,FALSE)</f>
        <v>400</v>
      </c>
      <c r="O63" s="34">
        <f>VLOOKUP($E63,'Retail Rates'!$B$7:$L$34,6,FALSE)</f>
        <v>0</v>
      </c>
      <c r="P63" s="35">
        <f>VLOOKUP($E63,'Retail Rates'!$B$7:$L$34,7,FALSE)</f>
        <v>7.009E-2</v>
      </c>
      <c r="Q63" s="35">
        <f>VLOOKUP($E63,'Retail Rates'!$B$7:$L$34,8,FALSE)</f>
        <v>0</v>
      </c>
      <c r="R63" s="35">
        <f>VLOOKUP($D63,'GSC-DSM-GLT Factors'!$A$1:$B$60,2,FALSE)</f>
        <v>0.38216</v>
      </c>
      <c r="S63" s="34">
        <f>VLOOKUP($E63,'Retail Rates'!$B$7:$L$34,9,FALSE)</f>
        <v>0</v>
      </c>
      <c r="T63" s="35">
        <f>VLOOKUP($E63,'Retail Rates'!$B$7:$L$34,10,FALSE)</f>
        <v>0</v>
      </c>
      <c r="U63" s="34">
        <f>VLOOKUP($E63,'Retail Rates'!$B$7:$L$34,11,FALSE)</f>
        <v>0</v>
      </c>
      <c r="V63" s="556">
        <f>VLOOKUP($D63,'GSC-DSM-GLT Factors'!$A$1:$O$60,14,FALSE)</f>
        <v>2838.87</v>
      </c>
      <c r="W63" s="36">
        <f t="shared" ref="W63:W73" si="110">(+H63*N63)+(I63*N63)</f>
        <v>800</v>
      </c>
      <c r="X63" s="36"/>
      <c r="Y63" s="36"/>
      <c r="Z63" s="36">
        <f t="shared" ref="Z63:Z73" si="111">+K63*P63</f>
        <v>1768.3706999999999</v>
      </c>
      <c r="AA63" s="36">
        <f t="shared" ref="AA63:AA73" si="112">+L63*Q63</f>
        <v>0</v>
      </c>
      <c r="AB63" s="36">
        <f t="shared" ref="AB63:AB73" si="113">SUM(K63:L63)*R63</f>
        <v>9641.8968000000004</v>
      </c>
      <c r="AC63" s="36"/>
      <c r="AD63" s="36"/>
      <c r="AE63" s="36">
        <f>M63*U63</f>
        <v>0</v>
      </c>
      <c r="AF63" s="36">
        <f t="shared" ref="AF63:AF68" si="114">(+H63*V63)+(I63*V63)</f>
        <v>5677.74</v>
      </c>
      <c r="AG63" s="57">
        <f>SUMIFS(Adjustments!H$5:H$557,Adjustments!$B$5:$B$557,'Mar16-Aug16 Billed-RETAIL'!$D63,Adjustments!$C$5:$C$557,'Mar16-Aug16 Billed-RETAIL'!$E63)</f>
        <v>0</v>
      </c>
      <c r="AH63" s="57">
        <f>SUMIFS(Adjustments!I$5:I$557,Adjustments!$B$5:$B$557,'Mar16-Aug16 Billed-RETAIL'!$D63,Adjustments!$C$5:$C$557,'Mar16-Aug16 Billed-RETAIL'!$E63)</f>
        <v>0</v>
      </c>
      <c r="AI63" s="48">
        <f>SUMIFS(Adjustments!J$5:J$557,Adjustments!$B$5:$B$557,'Mar16-Aug16 Billed-RETAIL'!$D63,Adjustments!$C$5:$C$557,'Mar16-Aug16 Billed-RETAIL'!$E63)</f>
        <v>0</v>
      </c>
      <c r="AJ63" s="48">
        <f>SUMIFS(Adjustments!K$5:K$557,Adjustments!$B$5:$B$557,'Mar16-Aug16 Billed-RETAIL'!$D63,Adjustments!$C$5:$C$557,'Mar16-Aug16 Billed-RETAIL'!$E63)</f>
        <v>0</v>
      </c>
      <c r="AK63" s="48">
        <f>SUMIFS(Adjustments!L$5:L$557,Adjustments!$B$5:$B$557,'Mar16-Aug16 Billed-RETAIL'!$D63,Adjustments!$C$5:$C$557,'Mar16-Aug16 Billed-RETAIL'!$E63)</f>
        <v>0</v>
      </c>
      <c r="AL63" s="48">
        <f>SUMIFS(Adjustments!M$5:M$557,Adjustments!$B$5:$B$557,'Mar16-Aug16 Billed-RETAIL'!$D63,Adjustments!$C$5:$C$557,'Mar16-Aug16 Billed-RETAIL'!$E63)</f>
        <v>0</v>
      </c>
      <c r="AM63" s="48">
        <f>SUMIFS(Adjustments!N$5:N$557,Adjustments!$B$5:$B$557,'Mar16-Aug16 Billed-RETAIL'!$D63,Adjustments!$C$5:$C$557,'Mar16-Aug16 Billed-RETAIL'!$E63)</f>
        <v>0</v>
      </c>
      <c r="AN63" s="48">
        <f>SUMIFS(Adjustments!O$5:O$557,Adjustments!$B$5:$B$557,'Mar16-Aug16 Billed-RETAIL'!$D63,Adjustments!$C$5:$C$557,'Mar16-Aug16 Billed-RETAIL'!$E63)</f>
        <v>0</v>
      </c>
      <c r="AO63" s="48">
        <f>SUMIFS(Adjustments!P$5:P$557,Adjustments!$B$5:$B$557,'Mar16-Aug16 Billed-RETAIL'!$D63,Adjustments!$C$5:$C$557,'Mar16-Aug16 Billed-RETAIL'!$E63)</f>
        <v>0</v>
      </c>
      <c r="AP63" s="36">
        <f t="shared" ref="AP63:AP69" si="115">+W63+AI63+(AG63*N63)</f>
        <v>800</v>
      </c>
      <c r="AQ63" s="36">
        <f t="shared" ref="AQ63:AQ73" si="116">+Y63+AJ63</f>
        <v>0</v>
      </c>
      <c r="AR63" s="36">
        <f t="shared" ref="AR63:AR73" si="117">+Z63+AK63</f>
        <v>1768.3706999999999</v>
      </c>
      <c r="AS63" s="36">
        <f t="shared" ref="AS63:AS73" si="118">+AA63+AL63</f>
        <v>0</v>
      </c>
      <c r="AT63" s="43">
        <f>SUMIFS('SBR Mar16 - Aug16'!$O$16:$O$475,'SBR Mar16 - Aug16'!$A$16:$A$475,'Mar16-Aug16 Billed-RETAIL'!$D63,'SBR Mar16 - Aug16'!$C$16:$C$475,'Mar16-Aug16 Billed-RETAIL'!$E63)</f>
        <v>9338.33</v>
      </c>
      <c r="AU63" s="43">
        <f>SUMIFS('SBR Mar16 - Aug16'!$N$16:$N$475,'SBR Mar16 - Aug16'!$A$16:$A$475,'Mar16-Aug16 Billed-RETAIL'!$D63,'SBR Mar16 - Aug16'!$C$16:$C$475,'Mar16-Aug16 Billed-RETAIL'!$E63)</f>
        <v>14.38</v>
      </c>
      <c r="AV63" s="43">
        <f>SUMIFS('SBR Mar16 - Aug16'!$Y$16:$Y$475,'SBR Mar16 - Aug16'!$A$16:$A$475,'Mar16-Aug16 Billed-RETAIL'!$D63,'SBR Mar16 - Aug16'!$C$16:$C$475,'Mar16-Aug16 Billed-RETAIL'!$E63)</f>
        <v>0</v>
      </c>
      <c r="AW63" s="43">
        <f>SUMIFS('SBR Mar16 - Aug16'!$X$16:$X$475,'SBR Mar16 - Aug16'!$A$16:$A$475,'Mar16-Aug16 Billed-RETAIL'!$D63,'SBR Mar16 - Aug16'!$C$16:$C$475,'Mar16-Aug16 Billed-RETAIL'!$E63)</f>
        <v>5677.74</v>
      </c>
      <c r="AX63" s="36">
        <f t="shared" ref="AX63:AX73" si="119">+AE63+AO63</f>
        <v>0</v>
      </c>
      <c r="AY63" s="36"/>
      <c r="AZ63" s="43">
        <f t="shared" ref="AZ63:AZ73" si="120">ROUND(SUM(AP63:AY63),2)</f>
        <v>17598.82</v>
      </c>
      <c r="BA63" s="43">
        <f t="shared" ref="BA63:BA73" si="121">SUM(BC63:BJ63)-BF63</f>
        <v>17598.82</v>
      </c>
      <c r="BB63" s="44">
        <f t="shared" ref="BB63:BB73" si="122">IF(BA63=0,0,ROUND(BA63/AZ63,6))</f>
        <v>1</v>
      </c>
      <c r="BC63" s="43">
        <f>SUMIFS('SBR Mar16 - Aug16'!$N$16:$N$475,'SBR Mar16 - Aug16'!$A$16:$A$475,'Mar16-Aug16 Billed-RETAIL'!$D63,'SBR Mar16 - Aug16'!$C$16:$C$475,'Mar16-Aug16 Billed-RETAIL'!$E63)</f>
        <v>14.38</v>
      </c>
      <c r="BD63" s="43">
        <f>SUMIFS('SBR Mar16 - Aug16'!$O$16:$O$475,'SBR Mar16 - Aug16'!$A$16:$A$475,'Mar16-Aug16 Billed-RETAIL'!$D63,'SBR Mar16 - Aug16'!$C$16:$C$475,'Mar16-Aug16 Billed-RETAIL'!$E63)</f>
        <v>9338.33</v>
      </c>
      <c r="BE63" s="43">
        <f>SUMIFS('SBR Mar16 - Aug16'!$Y$16:$Y$475,'SBR Mar16 - Aug16'!$A$16:$A$475,'Mar16-Aug16 Billed-RETAIL'!$D63,'SBR Mar16 - Aug16'!$C$16:$C$475,'Mar16-Aug16 Billed-RETAIL'!$E63)</f>
        <v>0</v>
      </c>
      <c r="BF63" s="43">
        <f>SUMIFS('SBR Mar16 - Aug16'!$AB$16:$AB$475,'SBR Mar16 - Aug16'!$A$16:$A$475,'Mar16-Aug16 Billed-RETAIL'!$D63,'SBR Mar16 - Aug16'!$C$16:$C$475,'Mar16-Aug16 Billed-RETAIL'!$E63)</f>
        <v>0</v>
      </c>
      <c r="BG63" s="43">
        <f>SUMIFS('SBR Mar16 - Aug16'!$G$16:$G$475,'SBR Mar16 - Aug16'!$A$16:$A$475,'Mar16-Aug16 Billed-RETAIL'!$D63,'SBR Mar16 - Aug16'!$C$16:$C$475,'Mar16-Aug16 Billed-RETAIL'!$E63)</f>
        <v>800</v>
      </c>
      <c r="BH63" s="43">
        <f>SUMIFS('SBR Mar16 - Aug16'!$I$16:$I$475,'SBR Mar16 - Aug16'!$A$16:$A$475,'Mar16-Aug16 Billed-RETAIL'!$D63,'SBR Mar16 - Aug16'!$C$16:$C$475,'Mar16-Aug16 Billed-RETAIL'!$E63)</f>
        <v>1768.37</v>
      </c>
      <c r="BI63" s="43">
        <f>SUMIFS('SBR Mar16 - Aug16'!$H$16:$H$475,'SBR Mar16 - Aug16'!$A$16:$A$475,'Mar16-Aug16 Billed-RETAIL'!$D63,'SBR Mar16 - Aug16'!$C$16:$C$475,'Mar16-Aug16 Billed-RETAIL'!$E63)</f>
        <v>0</v>
      </c>
      <c r="BJ63" s="43">
        <f>SUMIFS('SBR Mar16 - Aug16'!$X$16:$X$475,'SBR Mar16 - Aug16'!$A$16:$A$475,'Mar16-Aug16 Billed-RETAIL'!$D63,'SBR Mar16 - Aug16'!$C$16:$C$475,'Mar16-Aug16 Billed-RETAIL'!$E63)</f>
        <v>5677.74</v>
      </c>
      <c r="BL63" s="51">
        <f t="shared" ref="BL63:BL73" si="123">+AZ63-BA63</f>
        <v>0</v>
      </c>
      <c r="BN63" s="58">
        <f t="shared" ref="BN63:BN73" si="124">+AP63+AQ63-BG63</f>
        <v>0</v>
      </c>
      <c r="BO63" s="58">
        <f t="shared" ref="BO63:BO73" si="125">+AR63+AS63-BH63</f>
        <v>7.000000000516593E-4</v>
      </c>
      <c r="BP63" s="58">
        <f t="shared" ref="BP63:BP73" si="126">+AT63-BD63</f>
        <v>0</v>
      </c>
    </row>
    <row r="64" spans="3:68" ht="15" x14ac:dyDescent="0.25">
      <c r="C64" s="14">
        <f>C63+1</f>
        <v>53</v>
      </c>
      <c r="D64" s="604">
        <f>$D$63</f>
        <v>42583</v>
      </c>
      <c r="E64" s="604" t="str">
        <f>+'Retail Rates'!$B$10</f>
        <v>LGING866</v>
      </c>
      <c r="F64" s="14" t="str">
        <f t="shared" ref="F64:F73" si="127">MID(E64,6,3)</f>
        <v>866</v>
      </c>
      <c r="G64" s="14" t="str">
        <f>VLOOKUP(E64,'Retail Rates'!$B$7:$D$34,3,FALSE)</f>
        <v>AAGS-I</v>
      </c>
      <c r="H64" s="33">
        <f>SUMIFS('Data-Retail'!$H$4:$H$1000,'Data-Retail'!$A$4:$A$1000,'Mar16-Aug16 Billed-RETAIL'!$D64,'Data-Retail'!$D$4:$D$1000,'Mar16-Aug16 Billed-RETAIL'!$E64)</f>
        <v>0</v>
      </c>
      <c r="I64" s="33"/>
      <c r="J64" s="33"/>
      <c r="K64" s="33">
        <f>SUMIFS('Data-Retail'!$I$4:$I$1000,'Data-Retail'!$A$4:$A$1000,'Mar16-Aug16 Billed-RETAIL'!$D64,'Data-Retail'!$D$4:$D$1000,'Mar16-Aug16 Billed-RETAIL'!$E64)</f>
        <v>0</v>
      </c>
      <c r="L64" s="33">
        <f>SUMIFS('Data-Retail'!$J$4:$J$1000,'Data-Retail'!$A$4:$A$1000,'Mar16-Aug16 Billed-RETAIL'!$D64,'Data-Retail'!$D$4:$D$1000,'Mar16-Aug16 Billed-RETAIL'!$E64)</f>
        <v>0</v>
      </c>
      <c r="M64" s="33"/>
      <c r="N64" s="34">
        <f>VLOOKUP($E64,'Retail Rates'!$B$7:$L$34,5,FALSE)</f>
        <v>400</v>
      </c>
      <c r="O64" s="34">
        <f>VLOOKUP($E64,'Retail Rates'!$B$7:$L$34,6,FALSE)</f>
        <v>0</v>
      </c>
      <c r="P64" s="35">
        <f>VLOOKUP($E64,'Retail Rates'!$B$7:$L$34,7,FALSE)</f>
        <v>7.009E-2</v>
      </c>
      <c r="Q64" s="35">
        <f>VLOOKUP($E64,'Retail Rates'!$B$7:$L$34,8,FALSE)</f>
        <v>0</v>
      </c>
      <c r="R64" s="35">
        <f>VLOOKUP($D64,'GSC-DSM-GLT Factors'!$A$1:$B$60,2,FALSE)</f>
        <v>0.38216</v>
      </c>
      <c r="S64" s="34">
        <f>VLOOKUP($E64,'Retail Rates'!$B$7:$L$34,9,FALSE)</f>
        <v>0</v>
      </c>
      <c r="T64" s="35">
        <f>VLOOKUP($E64,'Retail Rates'!$B$7:$L$34,10,FALSE)</f>
        <v>0</v>
      </c>
      <c r="U64" s="34">
        <f>VLOOKUP($E64,'Retail Rates'!$B$7:$L$34,11,FALSE)</f>
        <v>0</v>
      </c>
      <c r="V64" s="556">
        <f>VLOOKUP($D64,'GSC-DSM-GLT Factors'!$A$1:$O$60,14,FALSE)</f>
        <v>2838.87</v>
      </c>
      <c r="W64" s="36">
        <f t="shared" si="110"/>
        <v>0</v>
      </c>
      <c r="X64" s="36"/>
      <c r="Y64" s="36"/>
      <c r="Z64" s="36">
        <f t="shared" si="111"/>
        <v>0</v>
      </c>
      <c r="AA64" s="36">
        <f t="shared" si="112"/>
        <v>0</v>
      </c>
      <c r="AB64" s="36">
        <f t="shared" si="113"/>
        <v>0</v>
      </c>
      <c r="AC64" s="36"/>
      <c r="AD64" s="36"/>
      <c r="AE64" s="36">
        <f t="shared" ref="AE64:AE73" si="128">M64*U64</f>
        <v>0</v>
      </c>
      <c r="AF64" s="36">
        <f t="shared" si="114"/>
        <v>0</v>
      </c>
      <c r="AG64" s="57">
        <f>SUMIFS(Adjustments!H$5:H$557,Adjustments!$B$5:$B$557,'Mar16-Aug16 Billed-RETAIL'!$D64,Adjustments!$C$5:$C$557,'Mar16-Aug16 Billed-RETAIL'!$E64)</f>
        <v>0</v>
      </c>
      <c r="AH64" s="57">
        <f>SUMIFS(Adjustments!I$5:I$557,Adjustments!$B$5:$B$557,'Mar16-Aug16 Billed-RETAIL'!$D64,Adjustments!$C$5:$C$557,'Mar16-Aug16 Billed-RETAIL'!$E64)</f>
        <v>0</v>
      </c>
      <c r="AI64" s="48">
        <f>SUMIFS(Adjustments!J$5:J$557,Adjustments!$B$5:$B$557,'Mar16-Aug16 Billed-RETAIL'!$D64,Adjustments!$C$5:$C$557,'Mar16-Aug16 Billed-RETAIL'!$E64)</f>
        <v>0</v>
      </c>
      <c r="AJ64" s="48">
        <f>SUMIFS(Adjustments!K$5:K$557,Adjustments!$B$5:$B$557,'Mar16-Aug16 Billed-RETAIL'!$D64,Adjustments!$C$5:$C$557,'Mar16-Aug16 Billed-RETAIL'!$E64)</f>
        <v>0</v>
      </c>
      <c r="AK64" s="48">
        <f>SUMIFS(Adjustments!L$5:L$557,Adjustments!$B$5:$B$557,'Mar16-Aug16 Billed-RETAIL'!$D64,Adjustments!$C$5:$C$557,'Mar16-Aug16 Billed-RETAIL'!$E64)</f>
        <v>0</v>
      </c>
      <c r="AL64" s="48">
        <f>SUMIFS(Adjustments!M$5:M$557,Adjustments!$B$5:$B$557,'Mar16-Aug16 Billed-RETAIL'!$D64,Adjustments!$C$5:$C$557,'Mar16-Aug16 Billed-RETAIL'!$E64)</f>
        <v>0</v>
      </c>
      <c r="AM64" s="48">
        <f>SUMIFS(Adjustments!N$5:N$557,Adjustments!$B$5:$B$557,'Mar16-Aug16 Billed-RETAIL'!$D64,Adjustments!$C$5:$C$557,'Mar16-Aug16 Billed-RETAIL'!$E64)</f>
        <v>0</v>
      </c>
      <c r="AN64" s="48">
        <f>SUMIFS(Adjustments!O$5:O$557,Adjustments!$B$5:$B$557,'Mar16-Aug16 Billed-RETAIL'!$D64,Adjustments!$C$5:$C$557,'Mar16-Aug16 Billed-RETAIL'!$E64)</f>
        <v>0</v>
      </c>
      <c r="AO64" s="48">
        <f>SUMIFS(Adjustments!P$5:P$557,Adjustments!$B$5:$B$557,'Mar16-Aug16 Billed-RETAIL'!$D64,Adjustments!$C$5:$C$557,'Mar16-Aug16 Billed-RETAIL'!$E64)</f>
        <v>0</v>
      </c>
      <c r="AP64" s="36">
        <f t="shared" si="115"/>
        <v>0</v>
      </c>
      <c r="AQ64" s="36">
        <f t="shared" si="116"/>
        <v>0</v>
      </c>
      <c r="AR64" s="36">
        <f t="shared" si="117"/>
        <v>0</v>
      </c>
      <c r="AS64" s="36">
        <f t="shared" si="118"/>
        <v>0</v>
      </c>
      <c r="AT64" s="43">
        <f>SUMIFS('SBR Mar16 - Aug16'!$O$16:$O$475,'SBR Mar16 - Aug16'!$A$16:$A$475,'Mar16-Aug16 Billed-RETAIL'!$D64,'SBR Mar16 - Aug16'!$C$16:$C$475,'Mar16-Aug16 Billed-RETAIL'!$E64)</f>
        <v>0</v>
      </c>
      <c r="AU64" s="43">
        <f>SUMIFS('SBR Mar16 - Aug16'!$N$16:$N$475,'SBR Mar16 - Aug16'!$A$16:$A$475,'Mar16-Aug16 Billed-RETAIL'!$D64,'SBR Mar16 - Aug16'!$C$16:$C$475,'Mar16-Aug16 Billed-RETAIL'!$E64)</f>
        <v>0</v>
      </c>
      <c r="AV64" s="43">
        <f>SUMIFS('SBR Mar16 - Aug16'!$Y$16:$Y$475,'SBR Mar16 - Aug16'!$A$16:$A$475,'Mar16-Aug16 Billed-RETAIL'!$D64,'SBR Mar16 - Aug16'!$C$16:$C$475,'Mar16-Aug16 Billed-RETAIL'!$E64)</f>
        <v>0</v>
      </c>
      <c r="AW64" s="43">
        <f>SUMIFS('SBR Mar16 - Aug16'!$X$16:$X$475,'SBR Mar16 - Aug16'!$A$16:$A$475,'Mar16-Aug16 Billed-RETAIL'!$D64,'SBR Mar16 - Aug16'!$C$16:$C$475,'Mar16-Aug16 Billed-RETAIL'!$E64)</f>
        <v>0</v>
      </c>
      <c r="AX64" s="36">
        <f t="shared" si="119"/>
        <v>0</v>
      </c>
      <c r="AY64" s="36"/>
      <c r="AZ64" s="43">
        <f t="shared" si="120"/>
        <v>0</v>
      </c>
      <c r="BA64" s="43">
        <f t="shared" si="121"/>
        <v>0</v>
      </c>
      <c r="BB64" s="44">
        <f t="shared" si="122"/>
        <v>0</v>
      </c>
      <c r="BC64" s="43">
        <f>SUMIFS('SBR Mar16 - Aug16'!$N$16:$N$475,'SBR Mar16 - Aug16'!$A$16:$A$475,'Mar16-Aug16 Billed-RETAIL'!$D64,'SBR Mar16 - Aug16'!$C$16:$C$475,'Mar16-Aug16 Billed-RETAIL'!$E64)</f>
        <v>0</v>
      </c>
      <c r="BD64" s="43">
        <f>SUMIFS('SBR Mar16 - Aug16'!$O$16:$O$475,'SBR Mar16 - Aug16'!$A$16:$A$475,'Mar16-Aug16 Billed-RETAIL'!$D64,'SBR Mar16 - Aug16'!$C$16:$C$475,'Mar16-Aug16 Billed-RETAIL'!$E64)</f>
        <v>0</v>
      </c>
      <c r="BE64" s="43">
        <f>SUMIFS('SBR Mar16 - Aug16'!$Y$16:$Y$475,'SBR Mar16 - Aug16'!$A$16:$A$475,'Mar16-Aug16 Billed-RETAIL'!$D64,'SBR Mar16 - Aug16'!$C$16:$C$475,'Mar16-Aug16 Billed-RETAIL'!$E64)</f>
        <v>0</v>
      </c>
      <c r="BF64" s="43">
        <f>SUMIFS('SBR Mar16 - Aug16'!$AB$16:$AB$475,'SBR Mar16 - Aug16'!$A$16:$A$475,'Mar16-Aug16 Billed-RETAIL'!$D64,'SBR Mar16 - Aug16'!$C$16:$C$475,'Mar16-Aug16 Billed-RETAIL'!$E64)</f>
        <v>0</v>
      </c>
      <c r="BG64" s="43">
        <f>SUMIFS('SBR Mar16 - Aug16'!$G$16:$G$475,'SBR Mar16 - Aug16'!$A$16:$A$475,'Mar16-Aug16 Billed-RETAIL'!$D64,'SBR Mar16 - Aug16'!$C$16:$C$475,'Mar16-Aug16 Billed-RETAIL'!$E64)</f>
        <v>0</v>
      </c>
      <c r="BH64" s="43">
        <f>SUMIFS('SBR Mar16 - Aug16'!$I$16:$I$475,'SBR Mar16 - Aug16'!$A$16:$A$475,'Mar16-Aug16 Billed-RETAIL'!$D64,'SBR Mar16 - Aug16'!$C$16:$C$475,'Mar16-Aug16 Billed-RETAIL'!$E64)</f>
        <v>0</v>
      </c>
      <c r="BI64" s="43">
        <f>SUMIFS('SBR Mar16 - Aug16'!$H$16:$H$475,'SBR Mar16 - Aug16'!$A$16:$A$475,'Mar16-Aug16 Billed-RETAIL'!$D64,'SBR Mar16 - Aug16'!$C$16:$C$475,'Mar16-Aug16 Billed-RETAIL'!$E64)</f>
        <v>0</v>
      </c>
      <c r="BJ64" s="43">
        <f>SUMIFS('SBR Mar16 - Aug16'!$X$16:$X$475,'SBR Mar16 - Aug16'!$A$16:$A$475,'Mar16-Aug16 Billed-RETAIL'!$D64,'SBR Mar16 - Aug16'!$C$16:$C$475,'Mar16-Aug16 Billed-RETAIL'!$E64)</f>
        <v>0</v>
      </c>
      <c r="BL64" s="51">
        <f t="shared" si="123"/>
        <v>0</v>
      </c>
      <c r="BN64" s="58">
        <f t="shared" si="124"/>
        <v>0</v>
      </c>
      <c r="BO64" s="58">
        <f t="shared" si="125"/>
        <v>0</v>
      </c>
      <c r="BP64" s="58">
        <f t="shared" si="126"/>
        <v>0</v>
      </c>
    </row>
    <row r="65" spans="1:68" ht="15" x14ac:dyDescent="0.25">
      <c r="C65" s="14">
        <f t="shared" ref="C65:C73" si="129">C64+1</f>
        <v>54</v>
      </c>
      <c r="D65" s="604">
        <f t="shared" ref="D65:D73" si="130">$D$63</f>
        <v>42583</v>
      </c>
      <c r="E65" s="604" t="str">
        <f>+'Retail Rates'!$B$11</f>
        <v>LGING866DS</v>
      </c>
      <c r="F65" s="14" t="str">
        <f t="shared" si="127"/>
        <v>866</v>
      </c>
      <c r="G65" s="14" t="str">
        <f>VLOOKUP(E65,'Retail Rates'!$B$7:$D$34,3,FALSE)</f>
        <v>AAGS-I</v>
      </c>
      <c r="H65" s="33">
        <f>SUMIFS('Data-Retail'!$H$4:$H$1000,'Data-Retail'!$A$4:$A$1000,'Mar16-Aug16 Billed-RETAIL'!$D65,'Data-Retail'!$D$4:$D$1000,'Mar16-Aug16 Billed-RETAIL'!$E65)</f>
        <v>2</v>
      </c>
      <c r="I65" s="33"/>
      <c r="J65" s="33"/>
      <c r="K65" s="33">
        <f>SUMIFS('Data-Retail'!$I$4:$I$1000,'Data-Retail'!$A$4:$A$1000,'Mar16-Aug16 Billed-RETAIL'!$D65,'Data-Retail'!$D$4:$D$1000,'Mar16-Aug16 Billed-RETAIL'!$E65)</f>
        <v>79023</v>
      </c>
      <c r="L65" s="33">
        <f>SUMIFS('Data-Retail'!$J$4:$J$1000,'Data-Retail'!$A$4:$A$1000,'Mar16-Aug16 Billed-RETAIL'!$D65,'Data-Retail'!$D$4:$D$1000,'Mar16-Aug16 Billed-RETAIL'!$E65)</f>
        <v>0</v>
      </c>
      <c r="M65" s="33"/>
      <c r="N65" s="34">
        <f>VLOOKUP($E65,'Retail Rates'!$B$7:$L$34,5,FALSE)</f>
        <v>400</v>
      </c>
      <c r="O65" s="34">
        <f>VLOOKUP($E65,'Retail Rates'!$B$7:$L$34,6,FALSE)</f>
        <v>0</v>
      </c>
      <c r="P65" s="35">
        <f>VLOOKUP($E65,'Retail Rates'!$B$7:$L$34,7,FALSE)</f>
        <v>7.009E-2</v>
      </c>
      <c r="Q65" s="35">
        <f>VLOOKUP($E65,'Retail Rates'!$B$7:$L$34,8,FALSE)</f>
        <v>0</v>
      </c>
      <c r="R65" s="35">
        <f>VLOOKUP($D65,'GSC-DSM-GLT Factors'!$A$1:$B$60,2,FALSE)</f>
        <v>0.38216</v>
      </c>
      <c r="S65" s="34">
        <f>VLOOKUP($E65,'Retail Rates'!$B$7:$L$34,9,FALSE)</f>
        <v>0</v>
      </c>
      <c r="T65" s="35">
        <f>VLOOKUP($E65,'Retail Rates'!$B$7:$L$34,10,FALSE)</f>
        <v>0</v>
      </c>
      <c r="U65" s="34">
        <f>VLOOKUP($E65,'Retail Rates'!$B$7:$L$34,11,FALSE)</f>
        <v>0</v>
      </c>
      <c r="V65" s="556">
        <f>VLOOKUP($D65,'GSC-DSM-GLT Factors'!$A$1:$O$60,14,FALSE)</f>
        <v>2838.87</v>
      </c>
      <c r="W65" s="36">
        <f t="shared" si="110"/>
        <v>800</v>
      </c>
      <c r="X65" s="36"/>
      <c r="Y65" s="36"/>
      <c r="Z65" s="36">
        <f t="shared" si="111"/>
        <v>5538.7220699999998</v>
      </c>
      <c r="AA65" s="36">
        <f t="shared" si="112"/>
        <v>0</v>
      </c>
      <c r="AB65" s="36">
        <f t="shared" si="113"/>
        <v>30199.429680000001</v>
      </c>
      <c r="AC65" s="36"/>
      <c r="AD65" s="36"/>
      <c r="AE65" s="36">
        <f t="shared" si="128"/>
        <v>0</v>
      </c>
      <c r="AF65" s="36">
        <f t="shared" si="114"/>
        <v>5677.74</v>
      </c>
      <c r="AG65" s="57">
        <f>SUMIFS(Adjustments!H$5:H$557,Adjustments!$B$5:$B$557,'Mar16-Aug16 Billed-RETAIL'!$D65,Adjustments!$C$5:$C$557,'Mar16-Aug16 Billed-RETAIL'!$E65)</f>
        <v>0</v>
      </c>
      <c r="AH65" s="57">
        <f>SUMIFS(Adjustments!I$5:I$557,Adjustments!$B$5:$B$557,'Mar16-Aug16 Billed-RETAIL'!$D65,Adjustments!$C$5:$C$557,'Mar16-Aug16 Billed-RETAIL'!$E65)</f>
        <v>0</v>
      </c>
      <c r="AI65" s="48">
        <f>SUMIFS(Adjustments!J$5:J$557,Adjustments!$B$5:$B$557,'Mar16-Aug16 Billed-RETAIL'!$D65,Adjustments!$C$5:$C$557,'Mar16-Aug16 Billed-RETAIL'!$E65)</f>
        <v>0</v>
      </c>
      <c r="AJ65" s="48">
        <f>SUMIFS(Adjustments!K$5:K$557,Adjustments!$B$5:$B$557,'Mar16-Aug16 Billed-RETAIL'!$D65,Adjustments!$C$5:$C$557,'Mar16-Aug16 Billed-RETAIL'!$E65)</f>
        <v>0</v>
      </c>
      <c r="AK65" s="48">
        <f>SUMIFS(Adjustments!L$5:L$557,Adjustments!$B$5:$B$557,'Mar16-Aug16 Billed-RETAIL'!$D65,Adjustments!$C$5:$C$557,'Mar16-Aug16 Billed-RETAIL'!$E65)</f>
        <v>0</v>
      </c>
      <c r="AL65" s="48">
        <f>SUMIFS(Adjustments!M$5:M$557,Adjustments!$B$5:$B$557,'Mar16-Aug16 Billed-RETAIL'!$D65,Adjustments!$C$5:$C$557,'Mar16-Aug16 Billed-RETAIL'!$E65)</f>
        <v>0</v>
      </c>
      <c r="AM65" s="48">
        <f>SUMIFS(Adjustments!N$5:N$557,Adjustments!$B$5:$B$557,'Mar16-Aug16 Billed-RETAIL'!$D65,Adjustments!$C$5:$C$557,'Mar16-Aug16 Billed-RETAIL'!$E65)</f>
        <v>0</v>
      </c>
      <c r="AN65" s="48">
        <f>SUMIFS(Adjustments!O$5:O$557,Adjustments!$B$5:$B$557,'Mar16-Aug16 Billed-RETAIL'!$D65,Adjustments!$C$5:$C$557,'Mar16-Aug16 Billed-RETAIL'!$E65)</f>
        <v>0</v>
      </c>
      <c r="AO65" s="48">
        <f>SUMIFS(Adjustments!P$5:P$557,Adjustments!$B$5:$B$557,'Mar16-Aug16 Billed-RETAIL'!$D65,Adjustments!$C$5:$C$557,'Mar16-Aug16 Billed-RETAIL'!$E65)</f>
        <v>0</v>
      </c>
      <c r="AP65" s="36">
        <f t="shared" si="115"/>
        <v>800</v>
      </c>
      <c r="AQ65" s="36">
        <f t="shared" si="116"/>
        <v>0</v>
      </c>
      <c r="AR65" s="36">
        <f t="shared" si="117"/>
        <v>5538.7220699999998</v>
      </c>
      <c r="AS65" s="36">
        <f t="shared" si="118"/>
        <v>0</v>
      </c>
      <c r="AT65" s="43">
        <f>SUMIFS('SBR Mar16 - Aug16'!$O$16:$O$475,'SBR Mar16 - Aug16'!$A$16:$A$475,'Mar16-Aug16 Billed-RETAIL'!$D65,'SBR Mar16 - Aug16'!$C$16:$C$475,'Mar16-Aug16 Billed-RETAIL'!$E65)</f>
        <v>29972.14</v>
      </c>
      <c r="AU65" s="43">
        <f>SUMIFS('SBR Mar16 - Aug16'!$N$16:$N$475,'SBR Mar16 - Aug16'!$A$16:$A$475,'Mar16-Aug16 Billed-RETAIL'!$D65,'SBR Mar16 - Aug16'!$C$16:$C$475,'Mar16-Aug16 Billed-RETAIL'!$E65)</f>
        <v>0</v>
      </c>
      <c r="AV65" s="43">
        <f>SUMIFS('SBR Mar16 - Aug16'!$Y$16:$Y$475,'SBR Mar16 - Aug16'!$A$16:$A$475,'Mar16-Aug16 Billed-RETAIL'!$D65,'SBR Mar16 - Aug16'!$C$16:$C$475,'Mar16-Aug16 Billed-RETAIL'!$E65)</f>
        <v>0</v>
      </c>
      <c r="AW65" s="43">
        <f>SUMIFS('SBR Mar16 - Aug16'!$X$16:$X$475,'SBR Mar16 - Aug16'!$A$16:$A$475,'Mar16-Aug16 Billed-RETAIL'!$D65,'SBR Mar16 - Aug16'!$C$16:$C$475,'Mar16-Aug16 Billed-RETAIL'!$E65)</f>
        <v>5677.74</v>
      </c>
      <c r="AX65" s="36">
        <f t="shared" si="119"/>
        <v>0</v>
      </c>
      <c r="AY65" s="36"/>
      <c r="AZ65" s="43">
        <f t="shared" si="120"/>
        <v>41988.6</v>
      </c>
      <c r="BA65" s="43">
        <f t="shared" si="121"/>
        <v>41988.6</v>
      </c>
      <c r="BB65" s="44">
        <f t="shared" si="122"/>
        <v>1</v>
      </c>
      <c r="BC65" s="43">
        <f>SUMIFS('SBR Mar16 - Aug16'!$N$16:$N$475,'SBR Mar16 - Aug16'!$A$16:$A$475,'Mar16-Aug16 Billed-RETAIL'!$D65,'SBR Mar16 - Aug16'!$C$16:$C$475,'Mar16-Aug16 Billed-RETAIL'!$E65)</f>
        <v>0</v>
      </c>
      <c r="BD65" s="43">
        <f>SUMIFS('SBR Mar16 - Aug16'!$O$16:$O$475,'SBR Mar16 - Aug16'!$A$16:$A$475,'Mar16-Aug16 Billed-RETAIL'!$D65,'SBR Mar16 - Aug16'!$C$16:$C$475,'Mar16-Aug16 Billed-RETAIL'!$E65)</f>
        <v>29972.14</v>
      </c>
      <c r="BE65" s="43">
        <f>SUMIFS('SBR Mar16 - Aug16'!$Y$16:$Y$475,'SBR Mar16 - Aug16'!$A$16:$A$475,'Mar16-Aug16 Billed-RETAIL'!$D65,'SBR Mar16 - Aug16'!$C$16:$C$475,'Mar16-Aug16 Billed-RETAIL'!$E65)</f>
        <v>0</v>
      </c>
      <c r="BF65" s="43">
        <f>SUMIFS('SBR Mar16 - Aug16'!$AB$16:$AB$475,'SBR Mar16 - Aug16'!$A$16:$A$475,'Mar16-Aug16 Billed-RETAIL'!$D65,'SBR Mar16 - Aug16'!$C$16:$C$475,'Mar16-Aug16 Billed-RETAIL'!$E65)</f>
        <v>0</v>
      </c>
      <c r="BG65" s="43">
        <f>SUMIFS('SBR Mar16 - Aug16'!$G$16:$G$475,'SBR Mar16 - Aug16'!$A$16:$A$475,'Mar16-Aug16 Billed-RETAIL'!$D65,'SBR Mar16 - Aug16'!$C$16:$C$475,'Mar16-Aug16 Billed-RETAIL'!$E65)</f>
        <v>800</v>
      </c>
      <c r="BH65" s="43">
        <f>SUMIFS('SBR Mar16 - Aug16'!$I$16:$I$475,'SBR Mar16 - Aug16'!$A$16:$A$475,'Mar16-Aug16 Billed-RETAIL'!$D65,'SBR Mar16 - Aug16'!$C$16:$C$475,'Mar16-Aug16 Billed-RETAIL'!$E65)</f>
        <v>5538.72</v>
      </c>
      <c r="BI65" s="43">
        <f>SUMIFS('SBR Mar16 - Aug16'!$H$16:$H$475,'SBR Mar16 - Aug16'!$A$16:$A$475,'Mar16-Aug16 Billed-RETAIL'!$D65,'SBR Mar16 - Aug16'!$C$16:$C$475,'Mar16-Aug16 Billed-RETAIL'!$E65)</f>
        <v>0</v>
      </c>
      <c r="BJ65" s="43">
        <f>SUMIFS('SBR Mar16 - Aug16'!$X$16:$X$475,'SBR Mar16 - Aug16'!$A$16:$A$475,'Mar16-Aug16 Billed-RETAIL'!$D65,'SBR Mar16 - Aug16'!$C$16:$C$475,'Mar16-Aug16 Billed-RETAIL'!$E65)</f>
        <v>5677.74</v>
      </c>
      <c r="BL65" s="51">
        <f t="shared" si="123"/>
        <v>0</v>
      </c>
      <c r="BN65" s="58">
        <f t="shared" si="124"/>
        <v>0</v>
      </c>
      <c r="BO65" s="58">
        <f t="shared" si="125"/>
        <v>2.0699999995485996E-3</v>
      </c>
      <c r="BP65" s="58">
        <f t="shared" si="126"/>
        <v>0</v>
      </c>
    </row>
    <row r="66" spans="1:68" ht="15" x14ac:dyDescent="0.25">
      <c r="C66" s="14">
        <f t="shared" si="129"/>
        <v>55</v>
      </c>
      <c r="D66" s="604">
        <f t="shared" si="130"/>
        <v>42583</v>
      </c>
      <c r="E66" s="604" t="str">
        <f>+'Retail Rates'!$B$15</f>
        <v>LGCMG851</v>
      </c>
      <c r="F66" s="14" t="str">
        <f t="shared" si="127"/>
        <v>851</v>
      </c>
      <c r="G66" s="14" t="str">
        <f>VLOOKUP(E66,'Retail Rates'!$B$7:$D$34,3,FALSE)</f>
        <v>CGS</v>
      </c>
      <c r="H66" s="33"/>
      <c r="I66" s="33">
        <f>SUMIFS(Adjustments!F$5:F$362,Adjustments!$B$5:$B$362,'Mar16-Aug16 Billed-RETAIL'!$D66,Adjustments!$C$5:$C$362,'Mar16-Aug16 Billed-RETAIL'!$E66)</f>
        <v>23735</v>
      </c>
      <c r="J66" s="33">
        <f>SUMIFS(Adjustments!G$5:G$362,Adjustments!$B$5:$B$362,'Mar16-Aug16 Billed-RETAIL'!$D66,Adjustments!$C$5:$C$362,'Mar16-Aug16 Billed-RETAIL'!$E66)</f>
        <v>1138</v>
      </c>
      <c r="K66" s="33">
        <f>SUMIFS('Data-Retail'!$I$4:$I$1000,'Data-Retail'!$A$4:$A$1000,'Mar16-Aug16 Billed-RETAIL'!$D66,'Data-Retail'!$D$4:$D$1000,'Mar16-Aug16 Billed-RETAIL'!$E66)</f>
        <v>1838027</v>
      </c>
      <c r="L66" s="33">
        <f>SUMIFS('Data-Retail'!$J$4:$J$1000,'Data-Retail'!$A$4:$A$1000,'Mar16-Aug16 Billed-RETAIL'!$D66,'Data-Retail'!$D$4:$D$1000,'Mar16-Aug16 Billed-RETAIL'!$E66)</f>
        <v>833017</v>
      </c>
      <c r="M66" s="33"/>
      <c r="N66" s="34">
        <f>VLOOKUP($E66,'Retail Rates'!$B$7:$L$34,5,FALSE)</f>
        <v>40</v>
      </c>
      <c r="O66" s="34">
        <f>VLOOKUP($E66,'Retail Rates'!$B$7:$L$34,6,FALSE)</f>
        <v>180</v>
      </c>
      <c r="P66" s="35">
        <f>VLOOKUP($E66,'Retail Rates'!$B$7:$L$34,7,FALSE)</f>
        <v>0.21504000000000001</v>
      </c>
      <c r="Q66" s="35">
        <f>VLOOKUP($E66,'Retail Rates'!$B$7:$L$34,8,FALSE)</f>
        <v>0.16504000000000002</v>
      </c>
      <c r="R66" s="35">
        <f>VLOOKUP($D66,'GSC-DSM-GLT Factors'!$A$1:$B$60,2,FALSE)</f>
        <v>0.38216</v>
      </c>
      <c r="S66" s="34">
        <f>VLOOKUP($E66,'Retail Rates'!$B$7:$L$34,9,FALSE)</f>
        <v>0</v>
      </c>
      <c r="T66" s="35">
        <f>VLOOKUP($E66,'Retail Rates'!$B$7:$L$34,10,FALSE)</f>
        <v>0</v>
      </c>
      <c r="U66" s="34">
        <f>VLOOKUP($E66,'Retail Rates'!$B$7:$L$34,11,FALSE)</f>
        <v>0</v>
      </c>
      <c r="V66" s="556">
        <f>VLOOKUP($D66,'GSC-DSM-GLT Factors'!$A$1:$O$60,12,FALSE)</f>
        <v>27.41</v>
      </c>
      <c r="W66" s="36">
        <f t="shared" si="110"/>
        <v>949400</v>
      </c>
      <c r="X66" s="36"/>
      <c r="Y66" s="36">
        <f>+J66*O66</f>
        <v>204840</v>
      </c>
      <c r="Z66" s="36">
        <f t="shared" si="111"/>
        <v>395249.32608000003</v>
      </c>
      <c r="AA66" s="36">
        <f t="shared" si="112"/>
        <v>137481.12568000003</v>
      </c>
      <c r="AB66" s="36">
        <f t="shared" si="113"/>
        <v>1020766.17504</v>
      </c>
      <c r="AC66" s="36"/>
      <c r="AD66" s="36"/>
      <c r="AE66" s="36">
        <f t="shared" si="128"/>
        <v>0</v>
      </c>
      <c r="AF66" s="36">
        <f t="shared" si="114"/>
        <v>650576.35</v>
      </c>
      <c r="AG66" s="57">
        <f>SUMIFS(Adjustments!H$5:H$557,Adjustments!$B$5:$B$557,'Mar16-Aug16 Billed-RETAIL'!$D66,Adjustments!$C$5:$C$557,'Mar16-Aug16 Billed-RETAIL'!$E66)</f>
        <v>0</v>
      </c>
      <c r="AH66" s="57">
        <f>SUMIFS(Adjustments!I$5:I$557,Adjustments!$B$5:$B$557,'Mar16-Aug16 Billed-RETAIL'!$D66,Adjustments!$C$5:$C$557,'Mar16-Aug16 Billed-RETAIL'!$E66)</f>
        <v>0</v>
      </c>
      <c r="AI66" s="48">
        <f>SUMIFS(Adjustments!J$5:J$557,Adjustments!$B$5:$B$557,'Mar16-Aug16 Billed-RETAIL'!$D66,Adjustments!$C$5:$C$557,'Mar16-Aug16 Billed-RETAIL'!$E66)</f>
        <v>-316.52</v>
      </c>
      <c r="AJ66" s="48">
        <f>SUMIFS(Adjustments!K$5:K$557,Adjustments!$B$5:$B$557,'Mar16-Aug16 Billed-RETAIL'!$D66,Adjustments!$C$5:$C$557,'Mar16-Aug16 Billed-RETAIL'!$E66)</f>
        <v>-78</v>
      </c>
      <c r="AK66" s="48">
        <f>SUMIFS(Adjustments!L$5:L$557,Adjustments!$B$5:$B$557,'Mar16-Aug16 Billed-RETAIL'!$D66,Adjustments!$C$5:$C$557,'Mar16-Aug16 Billed-RETAIL'!$E66)</f>
        <v>-90.66</v>
      </c>
      <c r="AL66" s="48">
        <f>SUMIFS(Adjustments!M$5:M$557,Adjustments!$B$5:$B$557,'Mar16-Aug16 Billed-RETAIL'!$D66,Adjustments!$C$5:$C$557,'Mar16-Aug16 Billed-RETAIL'!$E66)</f>
        <v>0</v>
      </c>
      <c r="AM66" s="48">
        <f>SUMIFS(Adjustments!N$5:N$557,Adjustments!$B$5:$B$557,'Mar16-Aug16 Billed-RETAIL'!$D66,Adjustments!$C$5:$C$557,'Mar16-Aug16 Billed-RETAIL'!$E66)</f>
        <v>0</v>
      </c>
      <c r="AN66" s="48">
        <f>SUMIFS(Adjustments!O$5:O$557,Adjustments!$B$5:$B$557,'Mar16-Aug16 Billed-RETAIL'!$D66,Adjustments!$C$5:$C$557,'Mar16-Aug16 Billed-RETAIL'!$E66)</f>
        <v>0</v>
      </c>
      <c r="AO66" s="48">
        <f>SUMIFS(Adjustments!P$5:P$557,Adjustments!$B$5:$B$557,'Mar16-Aug16 Billed-RETAIL'!$D66,Adjustments!$C$5:$C$557,'Mar16-Aug16 Billed-RETAIL'!$E66)</f>
        <v>0</v>
      </c>
      <c r="AP66" s="36">
        <f t="shared" si="115"/>
        <v>949083.48</v>
      </c>
      <c r="AQ66" s="36">
        <f t="shared" si="116"/>
        <v>204762</v>
      </c>
      <c r="AR66" s="36">
        <f t="shared" si="117"/>
        <v>395158.66608000005</v>
      </c>
      <c r="AS66" s="36">
        <f t="shared" si="118"/>
        <v>137481.12568000003</v>
      </c>
      <c r="AT66" s="43">
        <f>SUMIFS('SBR Mar16 - Aug16'!$O$16:$O$475,'SBR Mar16 - Aug16'!$A$16:$A$475,'Mar16-Aug16 Billed-RETAIL'!$D66,'SBR Mar16 - Aug16'!$C$16:$C$475,'Mar16-Aug16 Billed-RETAIL'!$E66)</f>
        <v>983916</v>
      </c>
      <c r="AU66" s="43">
        <f>SUMIFS('SBR Mar16 - Aug16'!$N$16:$N$475,'SBR Mar16 - Aug16'!$A$16:$A$475,'Mar16-Aug16 Billed-RETAIL'!$D66,'SBR Mar16 - Aug16'!$C$16:$C$475,'Mar16-Aug16 Billed-RETAIL'!$E66)</f>
        <v>1521.13</v>
      </c>
      <c r="AV66" s="43">
        <f>SUMIFS('SBR Mar16 - Aug16'!$Y$16:$Y$475,'SBR Mar16 - Aug16'!$A$16:$A$475,'Mar16-Aug16 Billed-RETAIL'!$D66,'SBR Mar16 - Aug16'!$C$16:$C$475,'Mar16-Aug16 Billed-RETAIL'!$E66)</f>
        <v>106</v>
      </c>
      <c r="AW66" s="43">
        <f>SUMIFS('SBR Mar16 - Aug16'!$X$16:$X$475,'SBR Mar16 - Aug16'!$A$16:$A$475,'Mar16-Aug16 Billed-RETAIL'!$D66,'SBR Mar16 - Aug16'!$C$16:$C$475,'Mar16-Aug16 Billed-RETAIL'!$E66)</f>
        <v>680847.8</v>
      </c>
      <c r="AX66" s="36">
        <f t="shared" si="119"/>
        <v>0</v>
      </c>
      <c r="AY66" s="36"/>
      <c r="AZ66" s="43">
        <f t="shared" si="120"/>
        <v>3352876.2</v>
      </c>
      <c r="BA66" s="43">
        <f t="shared" si="121"/>
        <v>3352876.2</v>
      </c>
      <c r="BB66" s="44">
        <f t="shared" si="122"/>
        <v>1</v>
      </c>
      <c r="BC66" s="43">
        <f>SUMIFS('SBR Mar16 - Aug16'!$N$16:$N$475,'SBR Mar16 - Aug16'!$A$16:$A$475,'Mar16-Aug16 Billed-RETAIL'!$D66,'SBR Mar16 - Aug16'!$C$16:$C$475,'Mar16-Aug16 Billed-RETAIL'!$E66)</f>
        <v>1521.13</v>
      </c>
      <c r="BD66" s="43">
        <f>SUMIFS('SBR Mar16 - Aug16'!$O$16:$O$475,'SBR Mar16 - Aug16'!$A$16:$A$475,'Mar16-Aug16 Billed-RETAIL'!$D66,'SBR Mar16 - Aug16'!$C$16:$C$475,'Mar16-Aug16 Billed-RETAIL'!$E66)</f>
        <v>983916</v>
      </c>
      <c r="BE66" s="43">
        <f>SUMIFS('SBR Mar16 - Aug16'!$Y$16:$Y$475,'SBR Mar16 - Aug16'!$A$16:$A$475,'Mar16-Aug16 Billed-RETAIL'!$D66,'SBR Mar16 - Aug16'!$C$16:$C$475,'Mar16-Aug16 Billed-RETAIL'!$E66)</f>
        <v>106</v>
      </c>
      <c r="BF66" s="43">
        <f>SUMIFS('SBR Mar16 - Aug16'!$AB$16:$AB$475,'SBR Mar16 - Aug16'!$A$16:$A$475,'Mar16-Aug16 Billed-RETAIL'!$D66,'SBR Mar16 - Aug16'!$C$16:$C$475,'Mar16-Aug16 Billed-RETAIL'!$E66)</f>
        <v>0</v>
      </c>
      <c r="BG66" s="43">
        <f>SUMIFS('SBR Mar16 - Aug16'!$G$16:$G$475,'SBR Mar16 - Aug16'!$A$16:$A$475,'Mar16-Aug16 Billed-RETAIL'!$D66,'SBR Mar16 - Aug16'!$C$16:$C$475,'Mar16-Aug16 Billed-RETAIL'!$E66)</f>
        <v>1153845.48</v>
      </c>
      <c r="BH66" s="43">
        <f>SUMIFS('SBR Mar16 - Aug16'!$I$16:$I$475,'SBR Mar16 - Aug16'!$A$16:$A$475,'Mar16-Aug16 Billed-RETAIL'!$D66,'SBR Mar16 - Aug16'!$C$16:$C$475,'Mar16-Aug16 Billed-RETAIL'!$E66)</f>
        <v>532639.79</v>
      </c>
      <c r="BI66" s="43">
        <f>SUMIFS('SBR Mar16 - Aug16'!$H$16:$H$475,'SBR Mar16 - Aug16'!$A$16:$A$475,'Mar16-Aug16 Billed-RETAIL'!$D66,'SBR Mar16 - Aug16'!$C$16:$C$475,'Mar16-Aug16 Billed-RETAIL'!$E66)</f>
        <v>0</v>
      </c>
      <c r="BJ66" s="43">
        <f>SUMIFS('SBR Mar16 - Aug16'!$X$16:$X$475,'SBR Mar16 - Aug16'!$A$16:$A$475,'Mar16-Aug16 Billed-RETAIL'!$D66,'SBR Mar16 - Aug16'!$C$16:$C$475,'Mar16-Aug16 Billed-RETAIL'!$E66)</f>
        <v>680847.8</v>
      </c>
      <c r="BL66" s="51">
        <f t="shared" si="123"/>
        <v>0</v>
      </c>
      <c r="BN66" s="58">
        <f t="shared" si="124"/>
        <v>0</v>
      </c>
      <c r="BO66" s="58">
        <f t="shared" si="125"/>
        <v>1.7600000137463212E-3</v>
      </c>
      <c r="BP66" s="58">
        <f t="shared" si="126"/>
        <v>0</v>
      </c>
    </row>
    <row r="67" spans="1:68" ht="15" x14ac:dyDescent="0.25">
      <c r="C67" s="14">
        <f t="shared" si="129"/>
        <v>56</v>
      </c>
      <c r="D67" s="604">
        <f t="shared" si="130"/>
        <v>42583</v>
      </c>
      <c r="E67" s="604" t="str">
        <f>+'Retail Rates'!$B$16</f>
        <v>LGUMG861</v>
      </c>
      <c r="F67" s="14" t="str">
        <f t="shared" si="127"/>
        <v>861</v>
      </c>
      <c r="G67" s="14" t="str">
        <f>VLOOKUP(E67,'Retail Rates'!$B$7:$D$34,3,FALSE)</f>
        <v>CGS</v>
      </c>
      <c r="H67" s="33"/>
      <c r="I67" s="33">
        <f>SUMIFS(Adjustments!F$5:F$362,Adjustments!$B$5:$B$362,'Mar16-Aug16 Billed-RETAIL'!$D67,Adjustments!$C$5:$C$362,'Mar16-Aug16 Billed-RETAIL'!$E67)</f>
        <v>620</v>
      </c>
      <c r="J67" s="33">
        <f>SUMIFS(Adjustments!G$5:G$362,Adjustments!$B$5:$B$362,'Mar16-Aug16 Billed-RETAIL'!$D67,Adjustments!$C$5:$C$362,'Mar16-Aug16 Billed-RETAIL'!$E67)</f>
        <v>0</v>
      </c>
      <c r="K67" s="33">
        <f>SUMIFS('Data-Retail'!$I$4:$I$1000,'Data-Retail'!$A$4:$A$1000,'Mar16-Aug16 Billed-RETAIL'!$D67,'Data-Retail'!$D$4:$D$1000,'Mar16-Aug16 Billed-RETAIL'!$E67)</f>
        <v>613</v>
      </c>
      <c r="L67" s="33">
        <f>SUMIFS('Data-Retail'!$J$4:$J$1000,'Data-Retail'!$A$4:$A$1000,'Mar16-Aug16 Billed-RETAIL'!$D67,'Data-Retail'!$D$4:$D$1000,'Mar16-Aug16 Billed-RETAIL'!$E67)</f>
        <v>0</v>
      </c>
      <c r="M67" s="33"/>
      <c r="N67" s="34">
        <f>VLOOKUP($E67,'Retail Rates'!$B$7:$L$34,5,FALSE)</f>
        <v>40</v>
      </c>
      <c r="O67" s="34">
        <f>VLOOKUP($E67,'Retail Rates'!$B$7:$L$34,6,FALSE)</f>
        <v>180</v>
      </c>
      <c r="P67" s="35">
        <f>VLOOKUP($E67,'Retail Rates'!$B$7:$L$34,7,FALSE)</f>
        <v>0.21504000000000001</v>
      </c>
      <c r="Q67" s="35">
        <f>VLOOKUP($E67,'Retail Rates'!$B$7:$L$34,8,FALSE)</f>
        <v>0.16504000000000002</v>
      </c>
      <c r="R67" s="35">
        <f>VLOOKUP($D67,'GSC-DSM-GLT Factors'!$A$1:$B$60,2,FALSE)</f>
        <v>0.38216</v>
      </c>
      <c r="S67" s="34">
        <f>VLOOKUP($E67,'Retail Rates'!$B$7:$L$34,9,FALSE)</f>
        <v>0</v>
      </c>
      <c r="T67" s="35">
        <f>VLOOKUP($E67,'Retail Rates'!$B$7:$L$34,10,FALSE)</f>
        <v>0</v>
      </c>
      <c r="U67" s="34">
        <f>VLOOKUP($E67,'Retail Rates'!$B$7:$L$34,11,FALSE)</f>
        <v>0</v>
      </c>
      <c r="V67" s="556">
        <f>VLOOKUP($D67,'GSC-DSM-GLT Factors'!$A$1:$O$60,12,FALSE)</f>
        <v>27.41</v>
      </c>
      <c r="W67" s="36">
        <f t="shared" si="110"/>
        <v>24800</v>
      </c>
      <c r="X67" s="36"/>
      <c r="Y67" s="36">
        <f>+J67*O67</f>
        <v>0</v>
      </c>
      <c r="Z67" s="36">
        <f t="shared" si="111"/>
        <v>131.81952000000001</v>
      </c>
      <c r="AA67" s="36">
        <f t="shared" si="112"/>
        <v>0</v>
      </c>
      <c r="AB67" s="36">
        <f t="shared" si="113"/>
        <v>234.26408000000001</v>
      </c>
      <c r="AC67" s="36"/>
      <c r="AD67" s="36"/>
      <c r="AE67" s="36">
        <f t="shared" si="128"/>
        <v>0</v>
      </c>
      <c r="AF67" s="36">
        <f t="shared" si="114"/>
        <v>16994.2</v>
      </c>
      <c r="AG67" s="57">
        <f>SUMIFS(Adjustments!H$5:H$557,Adjustments!$B$5:$B$557,'Mar16-Aug16 Billed-RETAIL'!$D67,Adjustments!$C$5:$C$557,'Mar16-Aug16 Billed-RETAIL'!$E67)</f>
        <v>0</v>
      </c>
      <c r="AH67" s="57">
        <f>SUMIFS(Adjustments!I$5:I$557,Adjustments!$B$5:$B$557,'Mar16-Aug16 Billed-RETAIL'!$D67,Adjustments!$C$5:$C$557,'Mar16-Aug16 Billed-RETAIL'!$E67)</f>
        <v>0</v>
      </c>
      <c r="AI67" s="48">
        <f>SUMIFS(Adjustments!J$5:J$557,Adjustments!$B$5:$B$557,'Mar16-Aug16 Billed-RETAIL'!$D67,Adjustments!$C$5:$C$557,'Mar16-Aug16 Billed-RETAIL'!$E67)</f>
        <v>0</v>
      </c>
      <c r="AJ67" s="48">
        <f>SUMIFS(Adjustments!K$5:K$557,Adjustments!$B$5:$B$557,'Mar16-Aug16 Billed-RETAIL'!$D67,Adjustments!$C$5:$C$557,'Mar16-Aug16 Billed-RETAIL'!$E67)</f>
        <v>0</v>
      </c>
      <c r="AK67" s="48">
        <f>SUMIFS(Adjustments!L$5:L$557,Adjustments!$B$5:$B$557,'Mar16-Aug16 Billed-RETAIL'!$D67,Adjustments!$C$5:$C$557,'Mar16-Aug16 Billed-RETAIL'!$E67)</f>
        <v>2.95</v>
      </c>
      <c r="AL67" s="48">
        <f>SUMIFS(Adjustments!M$5:M$557,Adjustments!$B$5:$B$557,'Mar16-Aug16 Billed-RETAIL'!$D67,Adjustments!$C$5:$C$557,'Mar16-Aug16 Billed-RETAIL'!$E67)</f>
        <v>0</v>
      </c>
      <c r="AM67" s="48">
        <f>SUMIFS(Adjustments!N$5:N$557,Adjustments!$B$5:$B$557,'Mar16-Aug16 Billed-RETAIL'!$D67,Adjustments!$C$5:$C$557,'Mar16-Aug16 Billed-RETAIL'!$E67)</f>
        <v>0</v>
      </c>
      <c r="AN67" s="48">
        <f>SUMIFS(Adjustments!O$5:O$557,Adjustments!$B$5:$B$557,'Mar16-Aug16 Billed-RETAIL'!$D67,Adjustments!$C$5:$C$557,'Mar16-Aug16 Billed-RETAIL'!$E67)</f>
        <v>0</v>
      </c>
      <c r="AO67" s="48">
        <f>SUMIFS(Adjustments!P$5:P$557,Adjustments!$B$5:$B$557,'Mar16-Aug16 Billed-RETAIL'!$D67,Adjustments!$C$5:$C$557,'Mar16-Aug16 Billed-RETAIL'!$E67)</f>
        <v>0</v>
      </c>
      <c r="AP67" s="36">
        <f t="shared" si="115"/>
        <v>24800</v>
      </c>
      <c r="AQ67" s="36">
        <f t="shared" si="116"/>
        <v>0</v>
      </c>
      <c r="AR67" s="36">
        <f t="shared" si="117"/>
        <v>134.76952</v>
      </c>
      <c r="AS67" s="36">
        <f t="shared" si="118"/>
        <v>0</v>
      </c>
      <c r="AT67" s="43">
        <f>SUMIFS('SBR Mar16 - Aug16'!$O$16:$O$475,'SBR Mar16 - Aug16'!$A$16:$A$475,'Mar16-Aug16 Billed-RETAIL'!$D67,'SBR Mar16 - Aug16'!$C$16:$C$475,'Mar16-Aug16 Billed-RETAIL'!$E67)</f>
        <v>222.77</v>
      </c>
      <c r="AU67" s="43">
        <f>SUMIFS('SBR Mar16 - Aug16'!$N$16:$N$475,'SBR Mar16 - Aug16'!$A$16:$A$475,'Mar16-Aug16 Billed-RETAIL'!$D67,'SBR Mar16 - Aug16'!$C$16:$C$475,'Mar16-Aug16 Billed-RETAIL'!$E67)</f>
        <v>0</v>
      </c>
      <c r="AV67" s="43">
        <f>SUMIFS('SBR Mar16 - Aug16'!$Y$16:$Y$475,'SBR Mar16 - Aug16'!$A$16:$A$475,'Mar16-Aug16 Billed-RETAIL'!$D67,'SBR Mar16 - Aug16'!$C$16:$C$475,'Mar16-Aug16 Billed-RETAIL'!$E67)</f>
        <v>0</v>
      </c>
      <c r="AW67" s="43">
        <f>SUMIFS('SBR Mar16 - Aug16'!$X$16:$X$475,'SBR Mar16 - Aug16'!$A$16:$A$475,'Mar16-Aug16 Billed-RETAIL'!$D67,'SBR Mar16 - Aug16'!$C$16:$C$475,'Mar16-Aug16 Billed-RETAIL'!$E67)</f>
        <v>0</v>
      </c>
      <c r="AX67" s="36">
        <f t="shared" si="119"/>
        <v>0</v>
      </c>
      <c r="AY67" s="36"/>
      <c r="AZ67" s="43">
        <f t="shared" si="120"/>
        <v>25157.54</v>
      </c>
      <c r="BA67" s="43">
        <f t="shared" si="121"/>
        <v>25157.54</v>
      </c>
      <c r="BB67" s="44">
        <f t="shared" si="122"/>
        <v>1</v>
      </c>
      <c r="BC67" s="43">
        <f>SUMIFS('SBR Mar16 - Aug16'!$N$16:$N$475,'SBR Mar16 - Aug16'!$A$16:$A$475,'Mar16-Aug16 Billed-RETAIL'!$D67,'SBR Mar16 - Aug16'!$C$16:$C$475,'Mar16-Aug16 Billed-RETAIL'!$E67)</f>
        <v>0</v>
      </c>
      <c r="BD67" s="43">
        <f>SUMIFS('SBR Mar16 - Aug16'!$O$16:$O$475,'SBR Mar16 - Aug16'!$A$16:$A$475,'Mar16-Aug16 Billed-RETAIL'!$D67,'SBR Mar16 - Aug16'!$C$16:$C$475,'Mar16-Aug16 Billed-RETAIL'!$E67)</f>
        <v>222.77</v>
      </c>
      <c r="BE67" s="43">
        <f>SUMIFS('SBR Mar16 - Aug16'!$Y$16:$Y$475,'SBR Mar16 - Aug16'!$A$16:$A$475,'Mar16-Aug16 Billed-RETAIL'!$D67,'SBR Mar16 - Aug16'!$C$16:$C$475,'Mar16-Aug16 Billed-RETAIL'!$E67)</f>
        <v>0</v>
      </c>
      <c r="BF67" s="43">
        <f>SUMIFS('SBR Mar16 - Aug16'!$AB$16:$AB$475,'SBR Mar16 - Aug16'!$A$16:$A$475,'Mar16-Aug16 Billed-RETAIL'!$D67,'SBR Mar16 - Aug16'!$C$16:$C$475,'Mar16-Aug16 Billed-RETAIL'!$E67)</f>
        <v>0</v>
      </c>
      <c r="BG67" s="43">
        <f>SUMIFS('SBR Mar16 - Aug16'!$G$16:$G$475,'SBR Mar16 - Aug16'!$A$16:$A$475,'Mar16-Aug16 Billed-RETAIL'!$D67,'SBR Mar16 - Aug16'!$C$16:$C$475,'Mar16-Aug16 Billed-RETAIL'!$E67)</f>
        <v>24800</v>
      </c>
      <c r="BH67" s="43">
        <f>SUMIFS('SBR Mar16 - Aug16'!$I$16:$I$475,'SBR Mar16 - Aug16'!$A$16:$A$475,'Mar16-Aug16 Billed-RETAIL'!$D67,'SBR Mar16 - Aug16'!$C$16:$C$475,'Mar16-Aug16 Billed-RETAIL'!$E67)</f>
        <v>134.77000000000001</v>
      </c>
      <c r="BI67" s="43">
        <f>SUMIFS('SBR Mar16 - Aug16'!$H$16:$H$475,'SBR Mar16 - Aug16'!$A$16:$A$475,'Mar16-Aug16 Billed-RETAIL'!$D67,'SBR Mar16 - Aug16'!$C$16:$C$475,'Mar16-Aug16 Billed-RETAIL'!$E67)</f>
        <v>0</v>
      </c>
      <c r="BJ67" s="43">
        <f>SUMIFS('SBR Mar16 - Aug16'!$X$16:$X$475,'SBR Mar16 - Aug16'!$A$16:$A$475,'Mar16-Aug16 Billed-RETAIL'!$D67,'SBR Mar16 - Aug16'!$C$16:$C$475,'Mar16-Aug16 Billed-RETAIL'!$E67)</f>
        <v>0</v>
      </c>
      <c r="BL67" s="51">
        <f t="shared" si="123"/>
        <v>0</v>
      </c>
      <c r="BN67" s="58">
        <f t="shared" si="124"/>
        <v>0</v>
      </c>
      <c r="BO67" s="58">
        <f t="shared" si="125"/>
        <v>-4.8000000001025001E-4</v>
      </c>
      <c r="BP67" s="58">
        <f t="shared" si="126"/>
        <v>0</v>
      </c>
    </row>
    <row r="68" spans="1:68" ht="15" x14ac:dyDescent="0.25">
      <c r="C68" s="14">
        <f t="shared" si="129"/>
        <v>57</v>
      </c>
      <c r="D68" s="604">
        <f t="shared" si="130"/>
        <v>42583</v>
      </c>
      <c r="E68" s="604" t="str">
        <f>+'Retail Rates'!$B$20</f>
        <v>LGCMG875</v>
      </c>
      <c r="F68" s="14" t="str">
        <f t="shared" si="127"/>
        <v>875</v>
      </c>
      <c r="G68" s="14" t="str">
        <f>VLOOKUP(E68,'Retail Rates'!$B$7:$D$34,3,FALSE)</f>
        <v>DGGS-C</v>
      </c>
      <c r="H68" s="33">
        <f>SUMIFS('Data-Retail'!$H$4:$H$1000,'Data-Retail'!$A$4:$A$1000,'Mar16-Aug16 Billed-RETAIL'!$D68,'Data-Retail'!$D$4:$D$1000,'Mar16-Aug16 Billed-RETAIL'!$E68)</f>
        <v>1</v>
      </c>
      <c r="I68" s="33"/>
      <c r="J68" s="33"/>
      <c r="K68" s="33">
        <f>SUMIFS('Data-Retail'!$I$4:$I$1000,'Data-Retail'!$A$4:$A$1000,'Mar16-Aug16 Billed-RETAIL'!$D68,'Data-Retail'!$D$4:$D$1000,'Mar16-Aug16 Billed-RETAIL'!$E68)</f>
        <v>7</v>
      </c>
      <c r="L68" s="33">
        <f>SUMIFS('Data-Retail'!$J$4:$J$1000,'Data-Retail'!$A$4:$A$1000,'Mar16-Aug16 Billed-RETAIL'!$D68,'Data-Retail'!$D$4:$D$1000,'Mar16-Aug16 Billed-RETAIL'!$E68)</f>
        <v>0</v>
      </c>
      <c r="M68" s="33">
        <v>483</v>
      </c>
      <c r="N68" s="34">
        <f>VLOOKUP($E68,'Retail Rates'!$B$7:$L$34,5,FALSE)</f>
        <v>40</v>
      </c>
      <c r="O68" s="34">
        <f>VLOOKUP($E68,'Retail Rates'!$B$7:$L$34,6,FALSE)</f>
        <v>180</v>
      </c>
      <c r="P68" s="35">
        <f>VLOOKUP($E68,'Retail Rates'!$B$7:$L$34,7,FALSE)</f>
        <v>3.329E-2</v>
      </c>
      <c r="Q68" s="35">
        <f>VLOOKUP($E68,'Retail Rates'!$B$7:$L$34,8,FALSE)</f>
        <v>0</v>
      </c>
      <c r="R68" s="35">
        <f>VLOOKUP($D68,'GSC-DSM-GLT Factors'!$A$1:$B$60,2,FALSE)</f>
        <v>0.38216</v>
      </c>
      <c r="S68" s="34">
        <f>VLOOKUP($E68,'Retail Rates'!$B$7:$L$34,9,FALSE)</f>
        <v>0</v>
      </c>
      <c r="T68" s="35">
        <f>VLOOKUP($E68,'Retail Rates'!$B$7:$L$34,10,FALSE)</f>
        <v>0</v>
      </c>
      <c r="U68" s="699">
        <f>VLOOKUP($E68,'Retail Rates'!$B$7:$L$34,11,FALSE)</f>
        <v>1.1263000000000001</v>
      </c>
      <c r="V68" s="556">
        <f>VLOOKUP($D68,'GSC-DSM-GLT Factors'!$A$1:$O$60,15,FALSE)</f>
        <v>0</v>
      </c>
      <c r="W68" s="36">
        <f t="shared" si="110"/>
        <v>40</v>
      </c>
      <c r="X68" s="36"/>
      <c r="Y68" s="36"/>
      <c r="Z68" s="36">
        <f t="shared" si="111"/>
        <v>0.23303000000000001</v>
      </c>
      <c r="AA68" s="36">
        <f t="shared" si="112"/>
        <v>0</v>
      </c>
      <c r="AB68" s="36">
        <f t="shared" si="113"/>
        <v>2.6751200000000002</v>
      </c>
      <c r="AC68" s="36"/>
      <c r="AD68" s="36"/>
      <c r="AE68" s="36">
        <f t="shared" si="128"/>
        <v>544.00290000000007</v>
      </c>
      <c r="AF68" s="36">
        <f t="shared" si="114"/>
        <v>0</v>
      </c>
      <c r="AG68" s="57">
        <f>SUMIFS(Adjustments!H$5:H$557,Adjustments!$B$5:$B$557,'Mar16-Aug16 Billed-RETAIL'!$D68,Adjustments!$C$5:$C$557,'Mar16-Aug16 Billed-RETAIL'!$E68)</f>
        <v>0</v>
      </c>
      <c r="AH68" s="57">
        <f>SUMIFS(Adjustments!I$5:I$557,Adjustments!$B$5:$B$557,'Mar16-Aug16 Billed-RETAIL'!$D68,Adjustments!$C$5:$C$557,'Mar16-Aug16 Billed-RETAIL'!$E68)</f>
        <v>0</v>
      </c>
      <c r="AI68" s="48">
        <f>SUMIFS(Adjustments!J$5:J$557,Adjustments!$B$5:$B$557,'Mar16-Aug16 Billed-RETAIL'!$D68,Adjustments!$C$5:$C$557,'Mar16-Aug16 Billed-RETAIL'!$E68)</f>
        <v>0</v>
      </c>
      <c r="AJ68" s="48">
        <f>SUMIFS(Adjustments!K$5:K$557,Adjustments!$B$5:$B$557,'Mar16-Aug16 Billed-RETAIL'!$D68,Adjustments!$C$5:$C$557,'Mar16-Aug16 Billed-RETAIL'!$E68)</f>
        <v>0</v>
      </c>
      <c r="AK68" s="48">
        <f>SUMIFS(Adjustments!L$5:L$557,Adjustments!$B$5:$B$557,'Mar16-Aug16 Billed-RETAIL'!$D68,Adjustments!$C$5:$C$557,'Mar16-Aug16 Billed-RETAIL'!$E68)</f>
        <v>-0.01</v>
      </c>
      <c r="AL68" s="48">
        <f>SUMIFS(Adjustments!M$5:M$557,Adjustments!$B$5:$B$557,'Mar16-Aug16 Billed-RETAIL'!$D68,Adjustments!$C$5:$C$557,'Mar16-Aug16 Billed-RETAIL'!$E68)</f>
        <v>0</v>
      </c>
      <c r="AM68" s="48">
        <f>SUMIFS(Adjustments!N$5:N$557,Adjustments!$B$5:$B$557,'Mar16-Aug16 Billed-RETAIL'!$D68,Adjustments!$C$5:$C$557,'Mar16-Aug16 Billed-RETAIL'!$E68)</f>
        <v>0</v>
      </c>
      <c r="AN68" s="48">
        <f>SUMIFS(Adjustments!O$5:O$557,Adjustments!$B$5:$B$557,'Mar16-Aug16 Billed-RETAIL'!$D68,Adjustments!$C$5:$C$557,'Mar16-Aug16 Billed-RETAIL'!$E68)</f>
        <v>0</v>
      </c>
      <c r="AO68" s="48">
        <f>SUMIFS(Adjustments!P$5:P$557,Adjustments!$B$5:$B$557,'Mar16-Aug16 Billed-RETAIL'!$D68,Adjustments!$C$5:$C$557,'Mar16-Aug16 Billed-RETAIL'!$E68)</f>
        <v>0</v>
      </c>
      <c r="AP68" s="36">
        <f t="shared" si="115"/>
        <v>40</v>
      </c>
      <c r="AQ68" s="36">
        <f t="shared" si="116"/>
        <v>0</v>
      </c>
      <c r="AR68" s="36">
        <f t="shared" si="117"/>
        <v>0.22303000000000001</v>
      </c>
      <c r="AS68" s="36">
        <f t="shared" si="118"/>
        <v>0</v>
      </c>
      <c r="AT68" s="43">
        <f>SUMIFS('SBR Mar16 - Aug16'!$O$16:$O$475,'SBR Mar16 - Aug16'!$A$16:$A$475,'Mar16-Aug16 Billed-RETAIL'!$D68,'SBR Mar16 - Aug16'!$C$16:$C$475,'Mar16-Aug16 Billed-RETAIL'!$E68)</f>
        <v>2.61</v>
      </c>
      <c r="AU68" s="43">
        <f>SUMIFS('SBR Mar16 - Aug16'!$N$16:$N$475,'SBR Mar16 - Aug16'!$A$16:$A$475,'Mar16-Aug16 Billed-RETAIL'!$D68,'SBR Mar16 - Aug16'!$C$16:$C$475,'Mar16-Aug16 Billed-RETAIL'!$E68)</f>
        <v>0</v>
      </c>
      <c r="AV68" s="43">
        <f>SUMIFS('SBR Mar16 - Aug16'!$Y$16:$Y$475,'SBR Mar16 - Aug16'!$A$16:$A$475,'Mar16-Aug16 Billed-RETAIL'!$D68,'SBR Mar16 - Aug16'!$C$16:$C$475,'Mar16-Aug16 Billed-RETAIL'!$E68)</f>
        <v>0</v>
      </c>
      <c r="AW68" s="43">
        <f>SUMIFS('SBR Mar16 - Aug16'!$X$16:$X$475,'SBR Mar16 - Aug16'!$A$16:$A$475,'Mar16-Aug16 Billed-RETAIL'!$D68,'SBR Mar16 - Aug16'!$C$16:$C$475,'Mar16-Aug16 Billed-RETAIL'!$E68)</f>
        <v>0</v>
      </c>
      <c r="AX68" s="36">
        <f t="shared" si="119"/>
        <v>544.00290000000007</v>
      </c>
      <c r="AY68" s="36"/>
      <c r="AZ68" s="43">
        <f t="shared" si="120"/>
        <v>586.84</v>
      </c>
      <c r="BA68" s="43">
        <f t="shared" si="121"/>
        <v>586.84</v>
      </c>
      <c r="BB68" s="44">
        <f>IF(BA68=0,0,ROUND(BA68/AZ68,6))</f>
        <v>1</v>
      </c>
      <c r="BC68" s="43">
        <f>SUMIFS('SBR Mar16 - Aug16'!$N$16:$N$475,'SBR Mar16 - Aug16'!$A$16:$A$475,'Mar16-Aug16 Billed-RETAIL'!$D68,'SBR Mar16 - Aug16'!$C$16:$C$475,'Mar16-Aug16 Billed-RETAIL'!$E68)</f>
        <v>0</v>
      </c>
      <c r="BD68" s="43">
        <f>SUMIFS('SBR Mar16 - Aug16'!$O$16:$O$475,'SBR Mar16 - Aug16'!$A$16:$A$475,'Mar16-Aug16 Billed-RETAIL'!$D68,'SBR Mar16 - Aug16'!$C$16:$C$475,'Mar16-Aug16 Billed-RETAIL'!$E68)</f>
        <v>2.61</v>
      </c>
      <c r="BE68" s="43">
        <f>SUMIFS('SBR Mar16 - Aug16'!$Y$16:$Y$475,'SBR Mar16 - Aug16'!$A$16:$A$475,'Mar16-Aug16 Billed-RETAIL'!$D68,'SBR Mar16 - Aug16'!$C$16:$C$475,'Mar16-Aug16 Billed-RETAIL'!$E68)</f>
        <v>0</v>
      </c>
      <c r="BF68" s="43">
        <f>SUMIFS('SBR Mar16 - Aug16'!$AB$16:$AB$475,'SBR Mar16 - Aug16'!$A$16:$A$475,'Mar16-Aug16 Billed-RETAIL'!$D68,'SBR Mar16 - Aug16'!$C$16:$C$475,'Mar16-Aug16 Billed-RETAIL'!$E68)</f>
        <v>0</v>
      </c>
      <c r="BG68" s="43">
        <f>SUMIFS('SBR Mar16 - Aug16'!$G$16:$G$475,'SBR Mar16 - Aug16'!$A$16:$A$475,'Mar16-Aug16 Billed-RETAIL'!$D68,'SBR Mar16 - Aug16'!$C$16:$C$475,'Mar16-Aug16 Billed-RETAIL'!$E68)</f>
        <v>40</v>
      </c>
      <c r="BH68" s="43">
        <f>SUMIFS('SBR Mar16 - Aug16'!$I$16:$I$475,'SBR Mar16 - Aug16'!$A$16:$A$475,'Mar16-Aug16 Billed-RETAIL'!$D68,'SBR Mar16 - Aug16'!$C$16:$C$475,'Mar16-Aug16 Billed-RETAIL'!$E68)</f>
        <v>0.23</v>
      </c>
      <c r="BI68" s="43">
        <f>SUMIFS('SBR Mar16 - Aug16'!$H$16:$H$475,'SBR Mar16 - Aug16'!$A$16:$A$475,'Mar16-Aug16 Billed-RETAIL'!$D68,'SBR Mar16 - Aug16'!$C$16:$C$475,'Mar16-Aug16 Billed-RETAIL'!$E68)</f>
        <v>544</v>
      </c>
      <c r="BJ68" s="43">
        <f>SUMIFS('SBR Mar16 - Aug16'!$X$16:$X$475,'SBR Mar16 - Aug16'!$A$16:$A$475,'Mar16-Aug16 Billed-RETAIL'!$D68,'SBR Mar16 - Aug16'!$C$16:$C$475,'Mar16-Aug16 Billed-RETAIL'!$E68)</f>
        <v>0</v>
      </c>
      <c r="BL68" s="51">
        <f t="shared" si="123"/>
        <v>0</v>
      </c>
      <c r="BN68" s="58">
        <f t="shared" si="124"/>
        <v>0</v>
      </c>
      <c r="BO68" s="58">
        <f t="shared" si="125"/>
        <v>-6.970000000000004E-3</v>
      </c>
      <c r="BP68" s="58">
        <f t="shared" si="126"/>
        <v>0</v>
      </c>
    </row>
    <row r="69" spans="1:68" ht="15" x14ac:dyDescent="0.25">
      <c r="C69" s="14">
        <f t="shared" si="129"/>
        <v>58</v>
      </c>
      <c r="D69" s="604">
        <f t="shared" si="130"/>
        <v>42583</v>
      </c>
      <c r="E69" s="604" t="str">
        <f>+'Retail Rates'!$B$26</f>
        <v>LGING855</v>
      </c>
      <c r="F69" s="14" t="str">
        <f t="shared" si="127"/>
        <v>855</v>
      </c>
      <c r="G69" s="14" t="s">
        <v>118</v>
      </c>
      <c r="H69" s="33"/>
      <c r="I69" s="33">
        <f>SUMIFS(Adjustments!F$5:F$362,Adjustments!$B$5:$B$362,'Mar16-Aug16 Billed-RETAIL'!$D69,Adjustments!$C$5:$C$362,'Mar16-Aug16 Billed-RETAIL'!$E69)</f>
        <v>-57</v>
      </c>
      <c r="J69" s="33">
        <f>SUMIFS(Adjustments!G$5:G$362,Adjustments!$B$5:$B$362,'Mar16-Aug16 Billed-RETAIL'!$D69,Adjustments!$C$5:$C$362,'Mar16-Aug16 Billed-RETAIL'!$E69)</f>
        <v>0</v>
      </c>
      <c r="K69" s="33">
        <f>SUMIFS('Data-Retail'!$I$4:$I$1000,'Data-Retail'!$A$4:$A$1000,'Mar16-Aug16 Billed-RETAIL'!$D69,'Data-Retail'!$D$4:$D$1000,'Mar16-Aug16 Billed-RETAIL'!$E69)</f>
        <v>-13027</v>
      </c>
      <c r="L69" s="33">
        <f>SUMIFS('Data-Retail'!$J$4:$J$1000,'Data-Retail'!$A$4:$A$1000,'Mar16-Aug16 Billed-RETAIL'!$D69,'Data-Retail'!$D$4:$D$1000,'Mar16-Aug16 Billed-RETAIL'!$E69)</f>
        <v>0</v>
      </c>
      <c r="M69" s="33"/>
      <c r="N69" s="34">
        <f>VLOOKUP($E69,'Retail Rates'!$B$7:$L$34,5,FALSE)</f>
        <v>40</v>
      </c>
      <c r="O69" s="34">
        <f>VLOOKUP($E69,'Retail Rates'!$B$7:$L$34,6,FALSE)</f>
        <v>180</v>
      </c>
      <c r="P69" s="35">
        <f>VLOOKUP($E69,'Retail Rates'!$B$7:$L$34,7,FALSE)</f>
        <v>0.22778999999999999</v>
      </c>
      <c r="Q69" s="35">
        <f>VLOOKUP($E69,'Retail Rates'!$B$7:$L$34,8,FALSE)</f>
        <v>0.17779</v>
      </c>
      <c r="R69" s="35">
        <f>VLOOKUP($D69,'GSC-DSM-GLT Factors'!$A$1:$B$60,2,FALSE)</f>
        <v>0.38216</v>
      </c>
      <c r="S69" s="34">
        <f>VLOOKUP($E69,'Retail Rates'!$B$7:$L$34,9,FALSE)</f>
        <v>0</v>
      </c>
      <c r="T69" s="35">
        <f>VLOOKUP($E69,'Retail Rates'!$B$7:$L$34,10,FALSE)</f>
        <v>0</v>
      </c>
      <c r="U69" s="34">
        <f>VLOOKUP($E69,'Retail Rates'!$B$7:$L$34,11,FALSE)</f>
        <v>0</v>
      </c>
      <c r="V69" s="556">
        <f>VLOOKUP($D69,'GSC-DSM-GLT Factors'!$A$1:$O$60,13,FALSE)</f>
        <v>259.54000000000002</v>
      </c>
      <c r="W69" s="36">
        <f t="shared" si="110"/>
        <v>-2280</v>
      </c>
      <c r="X69" s="36"/>
      <c r="Y69" s="36">
        <f>+J69*O69</f>
        <v>0</v>
      </c>
      <c r="Z69" s="36">
        <f t="shared" si="111"/>
        <v>-2967.4203299999999</v>
      </c>
      <c r="AA69" s="36">
        <f t="shared" si="112"/>
        <v>0</v>
      </c>
      <c r="AB69" s="36">
        <f t="shared" si="113"/>
        <v>-4978.3983200000002</v>
      </c>
      <c r="AC69" s="36"/>
      <c r="AD69" s="36"/>
      <c r="AE69" s="36">
        <f t="shared" si="128"/>
        <v>0</v>
      </c>
      <c r="AF69" s="36">
        <f>(+I69*V69)+(J69*V69)</f>
        <v>-14793.78</v>
      </c>
      <c r="AG69" s="57">
        <f>SUMIFS(Adjustments!H$5:H$557,Adjustments!$B$5:$B$557,'Mar16-Aug16 Billed-RETAIL'!$D69,Adjustments!$C$5:$C$557,'Mar16-Aug16 Billed-RETAIL'!$E69)</f>
        <v>0</v>
      </c>
      <c r="AH69" s="57">
        <f>SUMIFS(Adjustments!I$5:I$557,Adjustments!$B$5:$B$557,'Mar16-Aug16 Billed-RETAIL'!$D69,Adjustments!$C$5:$C$557,'Mar16-Aug16 Billed-RETAIL'!$E69)</f>
        <v>0</v>
      </c>
      <c r="AI69" s="48">
        <f>SUMIFS(Adjustments!J$5:J$557,Adjustments!$B$5:$B$557,'Mar16-Aug16 Billed-RETAIL'!$D69,Adjustments!$C$5:$C$557,'Mar16-Aug16 Billed-RETAIL'!$E69)</f>
        <v>313.25</v>
      </c>
      <c r="AJ69" s="48">
        <f>SUMIFS(Adjustments!K$5:K$557,Adjustments!$B$5:$B$557,'Mar16-Aug16 Billed-RETAIL'!$D69,Adjustments!$C$5:$C$557,'Mar16-Aug16 Billed-RETAIL'!$E69)</f>
        <v>0</v>
      </c>
      <c r="AK69" s="48">
        <f>SUMIFS(Adjustments!L$5:L$557,Adjustments!$B$5:$B$557,'Mar16-Aug16 Billed-RETAIL'!$D69,Adjustments!$C$5:$C$557,'Mar16-Aug16 Billed-RETAIL'!$E69)</f>
        <v>207.25</v>
      </c>
      <c r="AL69" s="48">
        <f>SUMIFS(Adjustments!M$5:M$557,Adjustments!$B$5:$B$557,'Mar16-Aug16 Billed-RETAIL'!$D69,Adjustments!$C$5:$C$557,'Mar16-Aug16 Billed-RETAIL'!$E69)</f>
        <v>0</v>
      </c>
      <c r="AM69" s="48">
        <f>SUMIFS(Adjustments!N$5:N$557,Adjustments!$B$5:$B$557,'Mar16-Aug16 Billed-RETAIL'!$D69,Adjustments!$C$5:$C$557,'Mar16-Aug16 Billed-RETAIL'!$E69)</f>
        <v>0</v>
      </c>
      <c r="AN69" s="48">
        <f>SUMIFS(Adjustments!O$5:O$557,Adjustments!$B$5:$B$557,'Mar16-Aug16 Billed-RETAIL'!$D69,Adjustments!$C$5:$C$557,'Mar16-Aug16 Billed-RETAIL'!$E69)</f>
        <v>0</v>
      </c>
      <c r="AO69" s="48">
        <f>SUMIFS(Adjustments!P$5:P$557,Adjustments!$B$5:$B$557,'Mar16-Aug16 Billed-RETAIL'!$D69,Adjustments!$C$5:$C$557,'Mar16-Aug16 Billed-RETAIL'!$E69)</f>
        <v>0</v>
      </c>
      <c r="AP69" s="36">
        <f t="shared" si="115"/>
        <v>-1966.75</v>
      </c>
      <c r="AQ69" s="36">
        <f t="shared" si="116"/>
        <v>0</v>
      </c>
      <c r="AR69" s="36">
        <f t="shared" si="117"/>
        <v>-2760.1703299999999</v>
      </c>
      <c r="AS69" s="36">
        <f t="shared" si="118"/>
        <v>0</v>
      </c>
      <c r="AT69" s="43">
        <f>SUMIFS('SBR Mar16 - Aug16'!$O$16:$O$475,'SBR Mar16 - Aug16'!$A$16:$A$475,'Mar16-Aug16 Billed-RETAIL'!$D69,'SBR Mar16 - Aug16'!$C$16:$C$475,'Mar16-Aug16 Billed-RETAIL'!$E69)</f>
        <v>-6188.56</v>
      </c>
      <c r="AU69" s="43">
        <f>SUMIFS('SBR Mar16 - Aug16'!$N$16:$N$475,'SBR Mar16 - Aug16'!$A$16:$A$475,'Mar16-Aug16 Billed-RETAIL'!$D69,'SBR Mar16 - Aug16'!$C$16:$C$475,'Mar16-Aug16 Billed-RETAIL'!$E69)</f>
        <v>0</v>
      </c>
      <c r="AV69" s="43">
        <f>SUMIFS('SBR Mar16 - Aug16'!$Y$16:$Y$475,'SBR Mar16 - Aug16'!$A$16:$A$475,'Mar16-Aug16 Billed-RETAIL'!$D69,'SBR Mar16 - Aug16'!$C$16:$C$475,'Mar16-Aug16 Billed-RETAIL'!$E69)</f>
        <v>0</v>
      </c>
      <c r="AW69" s="43">
        <f>SUMIFS('SBR Mar16 - Aug16'!$X$16:$X$475,'SBR Mar16 - Aug16'!$A$16:$A$475,'Mar16-Aug16 Billed-RETAIL'!$D69,'SBR Mar16 - Aug16'!$C$16:$C$475,'Mar16-Aug16 Billed-RETAIL'!$E69)</f>
        <v>-4504.74</v>
      </c>
      <c r="AX69" s="36">
        <f t="shared" si="119"/>
        <v>0</v>
      </c>
      <c r="AY69" s="36"/>
      <c r="AZ69" s="43">
        <f t="shared" si="120"/>
        <v>-15420.22</v>
      </c>
      <c r="BA69" s="43">
        <f t="shared" si="121"/>
        <v>-15420.22</v>
      </c>
      <c r="BB69" s="44">
        <f t="shared" si="122"/>
        <v>1</v>
      </c>
      <c r="BC69" s="43">
        <f>SUMIFS('SBR Mar16 - Aug16'!$N$16:$N$475,'SBR Mar16 - Aug16'!$A$16:$A$475,'Mar16-Aug16 Billed-RETAIL'!$D69,'SBR Mar16 - Aug16'!$C$16:$C$475,'Mar16-Aug16 Billed-RETAIL'!$E69)</f>
        <v>0</v>
      </c>
      <c r="BD69" s="43">
        <f>SUMIFS('SBR Mar16 - Aug16'!$O$16:$O$475,'SBR Mar16 - Aug16'!$A$16:$A$475,'Mar16-Aug16 Billed-RETAIL'!$D69,'SBR Mar16 - Aug16'!$C$16:$C$475,'Mar16-Aug16 Billed-RETAIL'!$E69)</f>
        <v>-6188.56</v>
      </c>
      <c r="BE69" s="43">
        <f>SUMIFS('SBR Mar16 - Aug16'!$Y$16:$Y$475,'SBR Mar16 - Aug16'!$A$16:$A$475,'Mar16-Aug16 Billed-RETAIL'!$D69,'SBR Mar16 - Aug16'!$C$16:$C$475,'Mar16-Aug16 Billed-RETAIL'!$E69)</f>
        <v>0</v>
      </c>
      <c r="BF69" s="43">
        <f>SUMIFS('SBR Mar16 - Aug16'!$AB$16:$AB$475,'SBR Mar16 - Aug16'!$A$16:$A$475,'Mar16-Aug16 Billed-RETAIL'!$D69,'SBR Mar16 - Aug16'!$C$16:$C$475,'Mar16-Aug16 Billed-RETAIL'!$E69)</f>
        <v>0</v>
      </c>
      <c r="BG69" s="43">
        <f>SUMIFS('SBR Mar16 - Aug16'!$G$16:$G$475,'SBR Mar16 - Aug16'!$A$16:$A$475,'Mar16-Aug16 Billed-RETAIL'!$D69,'SBR Mar16 - Aug16'!$C$16:$C$475,'Mar16-Aug16 Billed-RETAIL'!$E69)</f>
        <v>-1966.75</v>
      </c>
      <c r="BH69" s="43">
        <f>SUMIFS('SBR Mar16 - Aug16'!$I$16:$I$475,'SBR Mar16 - Aug16'!$A$16:$A$475,'Mar16-Aug16 Billed-RETAIL'!$D69,'SBR Mar16 - Aug16'!$C$16:$C$475,'Mar16-Aug16 Billed-RETAIL'!$E69)</f>
        <v>-2760.17</v>
      </c>
      <c r="BI69" s="43">
        <f>SUMIFS('SBR Mar16 - Aug16'!$H$16:$H$475,'SBR Mar16 - Aug16'!$A$16:$A$475,'Mar16-Aug16 Billed-RETAIL'!$D69,'SBR Mar16 - Aug16'!$C$16:$C$475,'Mar16-Aug16 Billed-RETAIL'!$E69)</f>
        <v>0</v>
      </c>
      <c r="BJ69" s="43">
        <f>SUMIFS('SBR Mar16 - Aug16'!$X$16:$X$475,'SBR Mar16 - Aug16'!$A$16:$A$475,'Mar16-Aug16 Billed-RETAIL'!$D69,'SBR Mar16 - Aug16'!$C$16:$C$475,'Mar16-Aug16 Billed-RETAIL'!$E69)</f>
        <v>-4504.74</v>
      </c>
      <c r="BL69" s="51">
        <f t="shared" si="123"/>
        <v>0</v>
      </c>
      <c r="BN69" s="58">
        <f t="shared" si="124"/>
        <v>0</v>
      </c>
      <c r="BO69" s="58">
        <f t="shared" si="125"/>
        <v>-3.2999999984895112E-4</v>
      </c>
      <c r="BP69" s="58">
        <f t="shared" si="126"/>
        <v>0</v>
      </c>
    </row>
    <row r="70" spans="1:68" ht="15" x14ac:dyDescent="0.25">
      <c r="C70" s="14">
        <f t="shared" si="129"/>
        <v>59</v>
      </c>
      <c r="D70" s="604">
        <f t="shared" si="130"/>
        <v>42583</v>
      </c>
      <c r="E70" s="604" t="str">
        <f>+'Retail Rates'!$B$27</f>
        <v>LGING855DS</v>
      </c>
      <c r="F70" s="14" t="str">
        <f t="shared" si="127"/>
        <v>855</v>
      </c>
      <c r="G70" s="14" t="str">
        <f>VLOOKUP(E70,'Retail Rates'!$B$7:$D$34,3,FALSE)</f>
        <v>IGS</v>
      </c>
      <c r="H70" s="33"/>
      <c r="I70" s="33">
        <f>SUMIFS(Adjustments!F$5:F$362,Adjustments!$B$5:$B$362,'Mar16-Aug16 Billed-RETAIL'!$D70,Adjustments!$C$5:$C$362,'Mar16-Aug16 Billed-RETAIL'!$E70)</f>
        <v>119</v>
      </c>
      <c r="J70" s="33">
        <f>SUMIFS(Adjustments!G$5:G$362,Adjustments!$B$5:$B$362,'Mar16-Aug16 Billed-RETAIL'!$D70,Adjustments!$C$5:$C$362,'Mar16-Aug16 Billed-RETAIL'!$E70)</f>
        <v>114</v>
      </c>
      <c r="K70" s="33">
        <f>SUMIFS('Data-Retail'!$I$4:$I$1000,'Data-Retail'!$A$4:$A$1000,'Mar16-Aug16 Billed-RETAIL'!$D70,'Data-Retail'!$D$4:$D$1000,'Mar16-Aug16 Billed-RETAIL'!$E70)</f>
        <v>78896</v>
      </c>
      <c r="L70" s="33">
        <f>SUMIFS('Data-Retail'!$J$4:$J$1000,'Data-Retail'!$A$4:$A$1000,'Mar16-Aug16 Billed-RETAIL'!$D70,'Data-Retail'!$D$4:$D$1000,'Mar16-Aug16 Billed-RETAIL'!$E70)</f>
        <v>535165</v>
      </c>
      <c r="M70" s="33"/>
      <c r="N70" s="34">
        <f>VLOOKUP($E70,'Retail Rates'!$B$7:$L$34,5,FALSE)</f>
        <v>40</v>
      </c>
      <c r="O70" s="34">
        <f>VLOOKUP($E70,'Retail Rates'!$B$7:$L$34,6,FALSE)</f>
        <v>180</v>
      </c>
      <c r="P70" s="35">
        <f>VLOOKUP($E70,'Retail Rates'!$B$7:$L$34,7,FALSE)</f>
        <v>0.22778999999999999</v>
      </c>
      <c r="Q70" s="35">
        <f>VLOOKUP($E70,'Retail Rates'!$B$7:$L$34,8,FALSE)</f>
        <v>0.17779</v>
      </c>
      <c r="R70" s="35">
        <f>VLOOKUP($D70,'GSC-DSM-GLT Factors'!$A$1:$B$60,2,FALSE)</f>
        <v>0.38216</v>
      </c>
      <c r="S70" s="34">
        <f>VLOOKUP($E70,'Retail Rates'!$B$7:$L$34,9,FALSE)</f>
        <v>0</v>
      </c>
      <c r="T70" s="35">
        <f>VLOOKUP($E70,'Retail Rates'!$B$7:$L$34,10,FALSE)</f>
        <v>0</v>
      </c>
      <c r="U70" s="34">
        <f>VLOOKUP($E70,'Retail Rates'!$B$7:$L$34,11,FALSE)</f>
        <v>0</v>
      </c>
      <c r="V70" s="556">
        <f>VLOOKUP($D70,'GSC-DSM-GLT Factors'!$A$1:$O$60,13,FALSE)</f>
        <v>259.54000000000002</v>
      </c>
      <c r="W70" s="36">
        <f t="shared" si="110"/>
        <v>4760</v>
      </c>
      <c r="X70" s="36"/>
      <c r="Y70" s="36">
        <f>+J70*O70</f>
        <v>20520</v>
      </c>
      <c r="Z70" s="36">
        <f t="shared" si="111"/>
        <v>17971.719839999998</v>
      </c>
      <c r="AA70" s="36">
        <f t="shared" si="112"/>
        <v>95146.985350000003</v>
      </c>
      <c r="AB70" s="36">
        <f t="shared" si="113"/>
        <v>234669.55176</v>
      </c>
      <c r="AC70" s="36"/>
      <c r="AD70" s="36"/>
      <c r="AE70" s="36">
        <f t="shared" si="128"/>
        <v>0</v>
      </c>
      <c r="AF70" s="36">
        <f>(+I70*V70)+(J70*V70)</f>
        <v>60472.820000000007</v>
      </c>
      <c r="AG70" s="57">
        <f>SUMIFS(Adjustments!H$5:H$557,Adjustments!$B$5:$B$557,'Mar16-Aug16 Billed-RETAIL'!$D70,Adjustments!$C$5:$C$557,'Mar16-Aug16 Billed-RETAIL'!$E70)</f>
        <v>0</v>
      </c>
      <c r="AH70" s="57">
        <f>SUMIFS(Adjustments!I$5:I$557,Adjustments!$B$5:$B$557,'Mar16-Aug16 Billed-RETAIL'!$D70,Adjustments!$C$5:$C$557,'Mar16-Aug16 Billed-RETAIL'!$E70)</f>
        <v>0</v>
      </c>
      <c r="AI70" s="48">
        <f>SUMIFS(Adjustments!J$5:J$557,Adjustments!$B$5:$B$557,'Mar16-Aug16 Billed-RETAIL'!$D70,Adjustments!$C$5:$C$557,'Mar16-Aug16 Billed-RETAIL'!$E70)</f>
        <v>0</v>
      </c>
      <c r="AJ70" s="48">
        <f>SUMIFS(Adjustments!K$5:K$557,Adjustments!$B$5:$B$557,'Mar16-Aug16 Billed-RETAIL'!$D70,Adjustments!$C$5:$C$557,'Mar16-Aug16 Billed-RETAIL'!$E70)</f>
        <v>0.04</v>
      </c>
      <c r="AK70" s="48">
        <f>SUMIFS(Adjustments!L$5:L$557,Adjustments!$B$5:$B$557,'Mar16-Aug16 Billed-RETAIL'!$D70,Adjustments!$C$5:$C$557,'Mar16-Aug16 Billed-RETAIL'!$E70)</f>
        <v>0.02</v>
      </c>
      <c r="AL70" s="48">
        <f>SUMIFS(Adjustments!M$5:M$557,Adjustments!$B$5:$B$557,'Mar16-Aug16 Billed-RETAIL'!$D70,Adjustments!$C$5:$C$557,'Mar16-Aug16 Billed-RETAIL'!$E70)</f>
        <v>0</v>
      </c>
      <c r="AM70" s="48">
        <f>SUMIFS(Adjustments!N$5:N$557,Adjustments!$B$5:$B$557,'Mar16-Aug16 Billed-RETAIL'!$D70,Adjustments!$C$5:$C$557,'Mar16-Aug16 Billed-RETAIL'!$E70)</f>
        <v>0</v>
      </c>
      <c r="AN70" s="48">
        <f>SUMIFS(Adjustments!O$5:O$557,Adjustments!$B$5:$B$557,'Mar16-Aug16 Billed-RETAIL'!$D70,Adjustments!$C$5:$C$557,'Mar16-Aug16 Billed-RETAIL'!$E70)</f>
        <v>0</v>
      </c>
      <c r="AO70" s="48">
        <f>SUMIFS(Adjustments!P$5:P$557,Adjustments!$B$5:$B$557,'Mar16-Aug16 Billed-RETAIL'!$D70,Adjustments!$C$5:$C$557,'Mar16-Aug16 Billed-RETAIL'!$E70)</f>
        <v>0</v>
      </c>
      <c r="AP70" s="36">
        <f>+W70+AI70+(AG70*N70)</f>
        <v>4760</v>
      </c>
      <c r="AQ70" s="36">
        <f t="shared" si="116"/>
        <v>20520.04</v>
      </c>
      <c r="AR70" s="36">
        <f t="shared" si="117"/>
        <v>17971.739839999998</v>
      </c>
      <c r="AS70" s="36">
        <f t="shared" si="118"/>
        <v>95146.985350000003</v>
      </c>
      <c r="AT70" s="43">
        <f>SUMIFS('SBR Mar16 - Aug16'!$O$16:$O$475,'SBR Mar16 - Aug16'!$A$16:$A$475,'Mar16-Aug16 Billed-RETAIL'!$D70,'SBR Mar16 - Aug16'!$C$16:$C$475,'Mar16-Aug16 Billed-RETAIL'!$E70)</f>
        <v>227054.31</v>
      </c>
      <c r="AU70" s="43">
        <f>SUMIFS('SBR Mar16 - Aug16'!$N$16:$N$475,'SBR Mar16 - Aug16'!$A$16:$A$475,'Mar16-Aug16 Billed-RETAIL'!$D70,'SBR Mar16 - Aug16'!$C$16:$C$475,'Mar16-Aug16 Billed-RETAIL'!$E70)</f>
        <v>0</v>
      </c>
      <c r="AV70" s="43">
        <f>SUMIFS('SBR Mar16 - Aug16'!$Y$16:$Y$475,'SBR Mar16 - Aug16'!$A$16:$A$475,'Mar16-Aug16 Billed-RETAIL'!$D70,'SBR Mar16 - Aug16'!$C$16:$C$475,'Mar16-Aug16 Billed-RETAIL'!$E70)</f>
        <v>0</v>
      </c>
      <c r="AW70" s="43">
        <f>SUMIFS('SBR Mar16 - Aug16'!$X$16:$X$475,'SBR Mar16 - Aug16'!$A$16:$A$475,'Mar16-Aug16 Billed-RETAIL'!$D70,'SBR Mar16 - Aug16'!$C$16:$C$475,'Mar16-Aug16 Billed-RETAIL'!$E70)</f>
        <v>60472.82</v>
      </c>
      <c r="AX70" s="36">
        <f t="shared" si="119"/>
        <v>0</v>
      </c>
      <c r="AY70" s="36"/>
      <c r="AZ70" s="43">
        <f t="shared" si="120"/>
        <v>425925.9</v>
      </c>
      <c r="BA70" s="43">
        <f t="shared" si="121"/>
        <v>425925.9</v>
      </c>
      <c r="BB70" s="44">
        <f t="shared" si="122"/>
        <v>1</v>
      </c>
      <c r="BC70" s="43">
        <f>SUMIFS('SBR Mar16 - Aug16'!$N$16:$N$475,'SBR Mar16 - Aug16'!$A$16:$A$475,'Mar16-Aug16 Billed-RETAIL'!$D70,'SBR Mar16 - Aug16'!$C$16:$C$475,'Mar16-Aug16 Billed-RETAIL'!$E70)</f>
        <v>0</v>
      </c>
      <c r="BD70" s="43">
        <f>SUMIFS('SBR Mar16 - Aug16'!$O$16:$O$475,'SBR Mar16 - Aug16'!$A$16:$A$475,'Mar16-Aug16 Billed-RETAIL'!$D70,'SBR Mar16 - Aug16'!$C$16:$C$475,'Mar16-Aug16 Billed-RETAIL'!$E70)</f>
        <v>227054.31</v>
      </c>
      <c r="BE70" s="43">
        <f>SUMIFS('SBR Mar16 - Aug16'!$Y$16:$Y$475,'SBR Mar16 - Aug16'!$A$16:$A$475,'Mar16-Aug16 Billed-RETAIL'!$D70,'SBR Mar16 - Aug16'!$C$16:$C$475,'Mar16-Aug16 Billed-RETAIL'!$E70)</f>
        <v>0</v>
      </c>
      <c r="BF70" s="43">
        <f>SUMIFS('SBR Mar16 - Aug16'!$AB$16:$AB$475,'SBR Mar16 - Aug16'!$A$16:$A$475,'Mar16-Aug16 Billed-RETAIL'!$D70,'SBR Mar16 - Aug16'!$C$16:$C$475,'Mar16-Aug16 Billed-RETAIL'!$E70)</f>
        <v>0</v>
      </c>
      <c r="BG70" s="43">
        <f>SUMIFS('SBR Mar16 - Aug16'!$G$16:$G$475,'SBR Mar16 - Aug16'!$A$16:$A$475,'Mar16-Aug16 Billed-RETAIL'!$D70,'SBR Mar16 - Aug16'!$C$16:$C$475,'Mar16-Aug16 Billed-RETAIL'!$E70)</f>
        <v>25280.04</v>
      </c>
      <c r="BH70" s="43">
        <f>SUMIFS('SBR Mar16 - Aug16'!$I$16:$I$475,'SBR Mar16 - Aug16'!$A$16:$A$475,'Mar16-Aug16 Billed-RETAIL'!$D70,'SBR Mar16 - Aug16'!$C$16:$C$475,'Mar16-Aug16 Billed-RETAIL'!$E70)</f>
        <v>113118.73</v>
      </c>
      <c r="BI70" s="43">
        <f>SUMIFS('SBR Mar16 - Aug16'!$H$16:$H$475,'SBR Mar16 - Aug16'!$A$16:$A$475,'Mar16-Aug16 Billed-RETAIL'!$D70,'SBR Mar16 - Aug16'!$C$16:$C$475,'Mar16-Aug16 Billed-RETAIL'!$E70)</f>
        <v>0</v>
      </c>
      <c r="BJ70" s="43">
        <f>SUMIFS('SBR Mar16 - Aug16'!$X$16:$X$475,'SBR Mar16 - Aug16'!$A$16:$A$475,'Mar16-Aug16 Billed-RETAIL'!$D70,'SBR Mar16 - Aug16'!$C$16:$C$475,'Mar16-Aug16 Billed-RETAIL'!$E70)</f>
        <v>60472.82</v>
      </c>
      <c r="BL70" s="51">
        <f t="shared" si="123"/>
        <v>0</v>
      </c>
      <c r="BN70" s="58">
        <f t="shared" si="124"/>
        <v>0</v>
      </c>
      <c r="BO70" s="58">
        <f t="shared" si="125"/>
        <v>-4.8099999985424802E-3</v>
      </c>
      <c r="BP70" s="58">
        <f t="shared" si="126"/>
        <v>0</v>
      </c>
    </row>
    <row r="71" spans="1:68" ht="15" x14ac:dyDescent="0.25">
      <c r="C71" s="14">
        <f t="shared" si="129"/>
        <v>60</v>
      </c>
      <c r="D71" s="604">
        <f t="shared" si="130"/>
        <v>42583</v>
      </c>
      <c r="E71" s="604" t="str">
        <f>+'Retail Rates'!$B$31</f>
        <v>LGRSG811</v>
      </c>
      <c r="F71" s="14" t="str">
        <f t="shared" si="127"/>
        <v>811</v>
      </c>
      <c r="G71" s="14" t="str">
        <f>VLOOKUP(E71,'Retail Rates'!$B$7:$D$34,3,FALSE)</f>
        <v>RGS</v>
      </c>
      <c r="H71" s="33">
        <f>SUMIFS('Data-Retail'!$H$4:$H$1000,'Data-Retail'!$A$4:$A$1000,'Mar16-Aug16 Billed-RETAIL'!$D71,'Data-Retail'!$D$4:$D$1000,'Mar16-Aug16 Billed-RETAIL'!$E71)</f>
        <v>297473</v>
      </c>
      <c r="I71" s="33"/>
      <c r="J71" s="33"/>
      <c r="K71" s="33">
        <f>SUMIFS('Data-Retail'!$I$4:$I$1000,'Data-Retail'!$A$4:$A$1000,'Mar16-Aug16 Billed-RETAIL'!$D71,'Data-Retail'!$D$4:$D$1000,'Mar16-Aug16 Billed-RETAIL'!$E71)</f>
        <v>3312795</v>
      </c>
      <c r="L71" s="33">
        <f>SUMIFS('Data-Retail'!$J$4:$J$1000,'Data-Retail'!$A$4:$A$1000,'Mar16-Aug16 Billed-RETAIL'!$D71,'Data-Retail'!$D$4:$D$1000,'Mar16-Aug16 Billed-RETAIL'!$E71)</f>
        <v>0</v>
      </c>
      <c r="M71" s="33"/>
      <c r="N71" s="34">
        <f>VLOOKUP($E71,'Retail Rates'!$B$7:$L$34,5,FALSE)</f>
        <v>13.5</v>
      </c>
      <c r="O71" s="34">
        <f>VLOOKUP($E71,'Retail Rates'!$B$7:$L$34,6,FALSE)</f>
        <v>0</v>
      </c>
      <c r="P71" s="35">
        <f>VLOOKUP($E71,'Retail Rates'!$B$7:$L$34,7,FALSE)</f>
        <v>0.28693000000000002</v>
      </c>
      <c r="Q71" s="35">
        <f>VLOOKUP($E71,'Retail Rates'!$B$7:$L$34,8,FALSE)</f>
        <v>0</v>
      </c>
      <c r="R71" s="35">
        <f>VLOOKUP($D71,'GSC-DSM-GLT Factors'!$A$1:$B$60,2,FALSE)</f>
        <v>0.38216</v>
      </c>
      <c r="S71" s="34">
        <f>VLOOKUP($E71,'Retail Rates'!$B$7:$L$34,9,FALSE)</f>
        <v>0</v>
      </c>
      <c r="T71" s="35">
        <f>VLOOKUP($E71,'Retail Rates'!$B$7:$L$34,10,FALSE)</f>
        <v>0</v>
      </c>
      <c r="U71" s="34">
        <f>VLOOKUP($E71,'Retail Rates'!$B$7:$L$34,11,FALSE)</f>
        <v>0</v>
      </c>
      <c r="V71" s="556">
        <f>VLOOKUP($D71,'GSC-DSM-GLT Factors'!$A$1:$O$60,10,FALSE)</f>
        <v>5.14</v>
      </c>
      <c r="W71" s="36">
        <f t="shared" si="110"/>
        <v>4015885.5</v>
      </c>
      <c r="X71" s="36"/>
      <c r="Y71" s="36"/>
      <c r="Z71" s="36">
        <f t="shared" si="111"/>
        <v>950540.26935000008</v>
      </c>
      <c r="AA71" s="36">
        <f t="shared" si="112"/>
        <v>0</v>
      </c>
      <c r="AB71" s="36">
        <f t="shared" si="113"/>
        <v>1266017.7372000001</v>
      </c>
      <c r="AC71" s="36"/>
      <c r="AD71" s="36"/>
      <c r="AE71" s="36">
        <f t="shared" si="128"/>
        <v>0</v>
      </c>
      <c r="AF71" s="36">
        <f>(+H71*V71)+(I71*V71)</f>
        <v>1529011.22</v>
      </c>
      <c r="AG71" s="57">
        <f>SUMIFS(Adjustments!H$5:H$557,Adjustments!$B$5:$B$557,'Mar16-Aug16 Billed-RETAIL'!$D71,Adjustments!$C$5:$C$557,'Mar16-Aug16 Billed-RETAIL'!$E71)</f>
        <v>-2181</v>
      </c>
      <c r="AH71" s="57">
        <f>SUMIFS(Adjustments!I$5:I$557,Adjustments!$B$5:$B$557,'Mar16-Aug16 Billed-RETAIL'!$D71,Adjustments!$C$5:$C$557,'Mar16-Aug16 Billed-RETAIL'!$E71)</f>
        <v>0</v>
      </c>
      <c r="AI71" s="48">
        <f>SUMIFS(Adjustments!J$5:J$557,Adjustments!$B$5:$B$557,'Mar16-Aug16 Billed-RETAIL'!$D71,Adjustments!$C$5:$C$557,'Mar16-Aug16 Billed-RETAIL'!$E71)</f>
        <v>28.1</v>
      </c>
      <c r="AJ71" s="48">
        <f>SUMIFS(Adjustments!K$5:K$557,Adjustments!$B$5:$B$557,'Mar16-Aug16 Billed-RETAIL'!$D71,Adjustments!$C$5:$C$557,'Mar16-Aug16 Billed-RETAIL'!$E71)</f>
        <v>0</v>
      </c>
      <c r="AK71" s="48">
        <f>SUMIFS(Adjustments!L$5:L$557,Adjustments!$B$5:$B$557,'Mar16-Aug16 Billed-RETAIL'!$D71,Adjustments!$C$5:$C$557,'Mar16-Aug16 Billed-RETAIL'!$E71)</f>
        <v>13.47</v>
      </c>
      <c r="AL71" s="48">
        <f>SUMIFS(Adjustments!M$5:M$557,Adjustments!$B$5:$B$557,'Mar16-Aug16 Billed-RETAIL'!$D71,Adjustments!$C$5:$C$557,'Mar16-Aug16 Billed-RETAIL'!$E71)</f>
        <v>0</v>
      </c>
      <c r="AM71" s="48">
        <f>SUMIFS(Adjustments!N$5:N$557,Adjustments!$B$5:$B$557,'Mar16-Aug16 Billed-RETAIL'!$D71,Adjustments!$C$5:$C$557,'Mar16-Aug16 Billed-RETAIL'!$E71)</f>
        <v>0</v>
      </c>
      <c r="AN71" s="48">
        <f>SUMIFS(Adjustments!O$5:O$557,Adjustments!$B$5:$B$557,'Mar16-Aug16 Billed-RETAIL'!$D71,Adjustments!$C$5:$C$557,'Mar16-Aug16 Billed-RETAIL'!$E71)</f>
        <v>0</v>
      </c>
      <c r="AO71" s="48">
        <f>SUMIFS(Adjustments!P$5:P$557,Adjustments!$B$5:$B$557,'Mar16-Aug16 Billed-RETAIL'!$D71,Adjustments!$C$5:$C$557,'Mar16-Aug16 Billed-RETAIL'!$E71)</f>
        <v>0</v>
      </c>
      <c r="AP71" s="36">
        <f>+W71+AI71+(AG71*N71)</f>
        <v>3986470.1</v>
      </c>
      <c r="AQ71" s="36">
        <f t="shared" si="116"/>
        <v>0</v>
      </c>
      <c r="AR71" s="36">
        <f t="shared" si="117"/>
        <v>950553.73935000005</v>
      </c>
      <c r="AS71" s="36">
        <f t="shared" si="118"/>
        <v>0</v>
      </c>
      <c r="AT71" s="43">
        <f>SUMIFS('SBR Mar16 - Aug16'!$O$16:$O$475,'SBR Mar16 - Aug16'!$A$16:$A$475,'Mar16-Aug16 Billed-RETAIL'!$D71,'SBR Mar16 - Aug16'!$C$16:$C$475,'Mar16-Aug16 Billed-RETAIL'!$E71)</f>
        <v>1222669.53</v>
      </c>
      <c r="AU71" s="43">
        <f>SUMIFS('SBR Mar16 - Aug16'!$N$16:$N$475,'SBR Mar16 - Aug16'!$A$16:$A$475,'Mar16-Aug16 Billed-RETAIL'!$D71,'SBR Mar16 - Aug16'!$C$16:$C$475,'Mar16-Aug16 Billed-RETAIL'!$E71)</f>
        <v>36048.839999999997</v>
      </c>
      <c r="AV71" s="43">
        <f>SUMIFS('SBR Mar16 - Aug16'!$Y$16:$Y$475,'SBR Mar16 - Aug16'!$A$16:$A$475,'Mar16-Aug16 Billed-RETAIL'!$D71,'SBR Mar16 - Aug16'!$C$16:$C$475,'Mar16-Aug16 Billed-RETAIL'!$E71)</f>
        <v>-85.35</v>
      </c>
      <c r="AW71" s="43">
        <f>SUMIFS('SBR Mar16 - Aug16'!$X$16:$X$475,'SBR Mar16 - Aug16'!$A$16:$A$475,'Mar16-Aug16 Billed-RETAIL'!$D71,'SBR Mar16 - Aug16'!$C$16:$C$475,'Mar16-Aug16 Billed-RETAIL'!$E71)</f>
        <v>1517815.3</v>
      </c>
      <c r="AX71" s="36">
        <f t="shared" si="119"/>
        <v>0</v>
      </c>
      <c r="AY71" s="36"/>
      <c r="AZ71" s="43">
        <f t="shared" si="120"/>
        <v>7713472.1600000001</v>
      </c>
      <c r="BA71" s="43">
        <f t="shared" si="121"/>
        <v>7713472.1699999999</v>
      </c>
      <c r="BB71" s="44">
        <f t="shared" si="122"/>
        <v>1</v>
      </c>
      <c r="BC71" s="43">
        <f>SUMIFS('SBR Mar16 - Aug16'!$N$16:$N$475,'SBR Mar16 - Aug16'!$A$16:$A$475,'Mar16-Aug16 Billed-RETAIL'!$D71,'SBR Mar16 - Aug16'!$C$16:$C$475,'Mar16-Aug16 Billed-RETAIL'!$E71)</f>
        <v>36048.839999999997</v>
      </c>
      <c r="BD71" s="43">
        <f>SUMIFS('SBR Mar16 - Aug16'!$O$16:$O$475,'SBR Mar16 - Aug16'!$A$16:$A$475,'Mar16-Aug16 Billed-RETAIL'!$D71,'SBR Mar16 - Aug16'!$C$16:$C$475,'Mar16-Aug16 Billed-RETAIL'!$E71)</f>
        <v>1222669.53</v>
      </c>
      <c r="BE71" s="43">
        <f>SUMIFS('SBR Mar16 - Aug16'!$Y$16:$Y$475,'SBR Mar16 - Aug16'!$A$16:$A$475,'Mar16-Aug16 Billed-RETAIL'!$D71,'SBR Mar16 - Aug16'!$C$16:$C$475,'Mar16-Aug16 Billed-RETAIL'!$E71)</f>
        <v>-85.35</v>
      </c>
      <c r="BF71" s="43">
        <f>SUMIFS('SBR Mar16 - Aug16'!$AB$16:$AB$475,'SBR Mar16 - Aug16'!$A$16:$A$475,'Mar16-Aug16 Billed-RETAIL'!$D71,'SBR Mar16 - Aug16'!$C$16:$C$475,'Mar16-Aug16 Billed-RETAIL'!$E71)</f>
        <v>74627.5</v>
      </c>
      <c r="BG71" s="43">
        <f>SUMIFS('SBR Mar16 - Aug16'!$G$16:$G$475,'SBR Mar16 - Aug16'!$A$16:$A$475,'Mar16-Aug16 Billed-RETAIL'!$D71,'SBR Mar16 - Aug16'!$C$16:$C$475,'Mar16-Aug16 Billed-RETAIL'!$E71)</f>
        <v>3986470.1</v>
      </c>
      <c r="BH71" s="43">
        <f>SUMIFS('SBR Mar16 - Aug16'!$I$16:$I$475,'SBR Mar16 - Aug16'!$A$16:$A$475,'Mar16-Aug16 Billed-RETAIL'!$D71,'SBR Mar16 - Aug16'!$C$16:$C$475,'Mar16-Aug16 Billed-RETAIL'!$E71)</f>
        <v>950553.75</v>
      </c>
      <c r="BI71" s="43">
        <f>SUMIFS('SBR Mar16 - Aug16'!$H$16:$H$475,'SBR Mar16 - Aug16'!$A$16:$A$475,'Mar16-Aug16 Billed-RETAIL'!$D71,'SBR Mar16 - Aug16'!$C$16:$C$475,'Mar16-Aug16 Billed-RETAIL'!$E71)</f>
        <v>0</v>
      </c>
      <c r="BJ71" s="43">
        <f>SUMIFS('SBR Mar16 - Aug16'!$X$16:$X$475,'SBR Mar16 - Aug16'!$A$16:$A$475,'Mar16-Aug16 Billed-RETAIL'!$D71,'SBR Mar16 - Aug16'!$C$16:$C$475,'Mar16-Aug16 Billed-RETAIL'!$E71)</f>
        <v>1517815.3</v>
      </c>
      <c r="BL71" s="51">
        <f t="shared" si="123"/>
        <v>-9.9999997764825821E-3</v>
      </c>
      <c r="BN71" s="58">
        <f t="shared" si="124"/>
        <v>0</v>
      </c>
      <c r="BO71" s="58">
        <f t="shared" si="125"/>
        <v>-1.0649999952875078E-2</v>
      </c>
      <c r="BP71" s="58">
        <f t="shared" si="126"/>
        <v>0</v>
      </c>
    </row>
    <row r="72" spans="1:68" ht="15" x14ac:dyDescent="0.25">
      <c r="C72" s="14">
        <f t="shared" si="129"/>
        <v>61</v>
      </c>
      <c r="D72" s="604">
        <f t="shared" si="130"/>
        <v>42583</v>
      </c>
      <c r="E72" s="604" t="str">
        <f>+'Retail Rates'!$B$19</f>
        <v>LGCMG851LT</v>
      </c>
      <c r="F72" s="14" t="str">
        <f t="shared" si="127"/>
        <v>851</v>
      </c>
      <c r="G72" s="14" t="str">
        <f>VLOOKUP(E72,'Retail Rates'!$B$7:$D$34,3,FALSE)</f>
        <v>CGS</v>
      </c>
      <c r="H72" s="33"/>
      <c r="I72" s="33">
        <f>SUMIFS('Data-Retail'!$H$4:$H$3368,'Data-Retail'!$A$4:$A$3368,'Mar16-Aug16 Billed-RETAIL'!$D72,'Data-Retail'!$D$4:$D$3368,'Mar16-Aug16 Billed-RETAIL'!$E72)</f>
        <v>1</v>
      </c>
      <c r="J72" s="33"/>
      <c r="K72" s="33">
        <f>SUMIFS('Data-Retail'!$I$4:$I$1000,'Data-Retail'!$A$4:$A$1000,'Mar16-Aug16 Billed-RETAIL'!$D72,'Data-Retail'!$D$4:$D$1000,'Mar16-Aug16 Billed-RETAIL'!$E72)</f>
        <v>276</v>
      </c>
      <c r="L72" s="33">
        <f>SUMIFS('Data-Retail'!$J$4:$J$1000,'Data-Retail'!$A$4:$A$1000,'Mar16-Aug16 Billed-RETAIL'!$D72,'Data-Retail'!$D$4:$D$1000,'Mar16-Aug16 Billed-RETAIL'!$E72)</f>
        <v>0</v>
      </c>
      <c r="M72" s="33"/>
      <c r="N72" s="34">
        <f>VLOOKUP($E72,'Retail Rates'!$B$7:$L$34,5,FALSE)</f>
        <v>40</v>
      </c>
      <c r="O72" s="34">
        <f>VLOOKUP($E72,'Retail Rates'!$B$7:$L$34,6,FALSE)</f>
        <v>180</v>
      </c>
      <c r="P72" s="35">
        <f>VLOOKUP($E72,'Retail Rates'!$B$7:$L$34,7,FALSE)</f>
        <v>0.21504000000000001</v>
      </c>
      <c r="Q72" s="35">
        <f>VLOOKUP($E72,'Retail Rates'!$B$7:$L$34,8,FALSE)</f>
        <v>0.16504000000000002</v>
      </c>
      <c r="R72" s="35">
        <f>VLOOKUP($D72,'GSC-DSM-GLT Factors'!$A$1:$B$60,2,FALSE)</f>
        <v>0.38216</v>
      </c>
      <c r="S72" s="34">
        <f>VLOOKUP($E72,'Retail Rates'!$B$7:$L$34,9,FALSE)</f>
        <v>0</v>
      </c>
      <c r="T72" s="35">
        <f>VLOOKUP($E72,'Retail Rates'!$B$7:$L$34,10,FALSE)</f>
        <v>0</v>
      </c>
      <c r="U72" s="34">
        <f>VLOOKUP($E72,'Retail Rates'!$B$7:$L$34,11,FALSE)</f>
        <v>0</v>
      </c>
      <c r="V72" s="556">
        <f>VLOOKUP($D72,'GSC-DSM-GLT Factors'!$A$1:$O$60,12,FALSE)</f>
        <v>27.41</v>
      </c>
      <c r="W72" s="36">
        <f t="shared" si="110"/>
        <v>40</v>
      </c>
      <c r="X72" s="36"/>
      <c r="Y72" s="36"/>
      <c r="Z72" s="36">
        <f t="shared" si="111"/>
        <v>59.351040000000005</v>
      </c>
      <c r="AA72" s="36">
        <f t="shared" si="112"/>
        <v>0</v>
      </c>
      <c r="AB72" s="36">
        <f t="shared" si="113"/>
        <v>105.47615999999999</v>
      </c>
      <c r="AC72" s="36"/>
      <c r="AD72" s="36"/>
      <c r="AE72" s="36">
        <f t="shared" si="128"/>
        <v>0</v>
      </c>
      <c r="AF72" s="36">
        <f>(+H72*V72)+(I72*V72)</f>
        <v>27.41</v>
      </c>
      <c r="AG72" s="57">
        <f>SUMIFS(Adjustments!H$5:H$557,Adjustments!$B$5:$B$557,'Mar16-Aug16 Billed-RETAIL'!$D72,Adjustments!$C$5:$C$557,'Mar16-Aug16 Billed-RETAIL'!$E72)</f>
        <v>0</v>
      </c>
      <c r="AH72" s="57">
        <f>SUMIFS(Adjustments!I$5:I$557,Adjustments!$B$5:$B$557,'Mar16-Aug16 Billed-RETAIL'!$D72,Adjustments!$C$5:$C$557,'Mar16-Aug16 Billed-RETAIL'!$E72)</f>
        <v>0</v>
      </c>
      <c r="AI72" s="48">
        <f>SUMIFS(Adjustments!J$5:J$557,Adjustments!$B$5:$B$557,'Mar16-Aug16 Billed-RETAIL'!$D72,Adjustments!$C$5:$C$557,'Mar16-Aug16 Billed-RETAIL'!$E72)</f>
        <v>0</v>
      </c>
      <c r="AJ72" s="48">
        <f>SUMIFS(Adjustments!K$5:K$557,Adjustments!$B$5:$B$557,'Mar16-Aug16 Billed-RETAIL'!$D72,Adjustments!$C$5:$C$557,'Mar16-Aug16 Billed-RETAIL'!$E72)</f>
        <v>0</v>
      </c>
      <c r="AK72" s="48">
        <f>SUMIFS(Adjustments!L$5:L$557,Adjustments!$B$5:$B$557,'Mar16-Aug16 Billed-RETAIL'!$D72,Adjustments!$C$5:$C$557,'Mar16-Aug16 Billed-RETAIL'!$E72)</f>
        <v>0</v>
      </c>
      <c r="AL72" s="48">
        <f>SUMIFS(Adjustments!M$5:M$557,Adjustments!$B$5:$B$557,'Mar16-Aug16 Billed-RETAIL'!$D72,Adjustments!$C$5:$C$557,'Mar16-Aug16 Billed-RETAIL'!$E72)</f>
        <v>0</v>
      </c>
      <c r="AM72" s="48">
        <f>SUMIFS(Adjustments!N$5:N$557,Adjustments!$B$5:$B$557,'Mar16-Aug16 Billed-RETAIL'!$D72,Adjustments!$C$5:$C$557,'Mar16-Aug16 Billed-RETAIL'!$E72)</f>
        <v>0</v>
      </c>
      <c r="AN72" s="48">
        <f>SUMIFS(Adjustments!O$5:O$557,Adjustments!$B$5:$B$557,'Mar16-Aug16 Billed-RETAIL'!$D72,Adjustments!$C$5:$C$557,'Mar16-Aug16 Billed-RETAIL'!$E72)</f>
        <v>0</v>
      </c>
      <c r="AO72" s="48">
        <f>SUMIFS(Adjustments!P$5:P$557,Adjustments!$B$5:$B$557,'Mar16-Aug16 Billed-RETAIL'!$D72,Adjustments!$C$5:$C$557,'Mar16-Aug16 Billed-RETAIL'!$E72)</f>
        <v>0</v>
      </c>
      <c r="AP72" s="36">
        <f>+W72+AI72+(AG72*N72)</f>
        <v>40</v>
      </c>
      <c r="AQ72" s="36">
        <f t="shared" si="116"/>
        <v>0</v>
      </c>
      <c r="AR72" s="36">
        <f t="shared" si="117"/>
        <v>59.351040000000005</v>
      </c>
      <c r="AS72" s="36">
        <f t="shared" si="118"/>
        <v>0</v>
      </c>
      <c r="AT72" s="43">
        <f>SUMIFS('SBR Mar16 - Aug16'!$O$16:$O$475,'SBR Mar16 - Aug16'!$A$16:$A$475,'Mar16-Aug16 Billed-RETAIL'!$D72,'SBR Mar16 - Aug16'!$C$16:$C$475,'Mar16-Aug16 Billed-RETAIL'!$E72)</f>
        <v>104.37</v>
      </c>
      <c r="AU72" s="43">
        <f>SUMIFS('SBR Mar16 - Aug16'!$N$16:$N$475,'SBR Mar16 - Aug16'!$A$16:$A$475,'Mar16-Aug16 Billed-RETAIL'!$D72,'SBR Mar16 - Aug16'!$C$16:$C$475,'Mar16-Aug16 Billed-RETAIL'!$E72)</f>
        <v>0.16</v>
      </c>
      <c r="AV72" s="43">
        <f>SUMIFS('SBR Mar16 - Aug16'!$Y$16:$Y$475,'SBR Mar16 - Aug16'!$A$16:$A$475,'Mar16-Aug16 Billed-RETAIL'!$D72,'SBR Mar16 - Aug16'!$C$16:$C$475,'Mar16-Aug16 Billed-RETAIL'!$E72)</f>
        <v>0</v>
      </c>
      <c r="AW72" s="43">
        <f>SUMIFS('SBR Mar16 - Aug16'!$X$16:$X$475,'SBR Mar16 - Aug16'!$A$16:$A$475,'Mar16-Aug16 Billed-RETAIL'!$D72,'SBR Mar16 - Aug16'!$C$16:$C$475,'Mar16-Aug16 Billed-RETAIL'!$E72)</f>
        <v>27.41</v>
      </c>
      <c r="AX72" s="36">
        <f t="shared" si="119"/>
        <v>0</v>
      </c>
      <c r="AY72" s="36"/>
      <c r="AZ72" s="43">
        <f t="shared" si="120"/>
        <v>231.29</v>
      </c>
      <c r="BA72" s="43">
        <f t="shared" si="121"/>
        <v>231.29</v>
      </c>
      <c r="BB72" s="44">
        <f t="shared" si="122"/>
        <v>1</v>
      </c>
      <c r="BC72" s="43">
        <f>SUMIFS('SBR Mar16 - Aug16'!$N$16:$N$475,'SBR Mar16 - Aug16'!$A$16:$A$475,'Mar16-Aug16 Billed-RETAIL'!$D72,'SBR Mar16 - Aug16'!$C$16:$C$475,'Mar16-Aug16 Billed-RETAIL'!$E72)</f>
        <v>0.16</v>
      </c>
      <c r="BD72" s="43">
        <f>SUMIFS('SBR Mar16 - Aug16'!$O$16:$O$475,'SBR Mar16 - Aug16'!$A$16:$A$475,'Mar16-Aug16 Billed-RETAIL'!$D72,'SBR Mar16 - Aug16'!$C$16:$C$475,'Mar16-Aug16 Billed-RETAIL'!$E72)</f>
        <v>104.37</v>
      </c>
      <c r="BE72" s="43">
        <f>SUMIFS('SBR Mar16 - Aug16'!$Y$16:$Y$475,'SBR Mar16 - Aug16'!$A$16:$A$475,'Mar16-Aug16 Billed-RETAIL'!$D72,'SBR Mar16 - Aug16'!$C$16:$C$475,'Mar16-Aug16 Billed-RETAIL'!$E72)</f>
        <v>0</v>
      </c>
      <c r="BF72" s="43">
        <f>SUMIFS('SBR Mar16 - Aug16'!$AB$16:$AB$475,'SBR Mar16 - Aug16'!$A$16:$A$475,'Mar16-Aug16 Billed-RETAIL'!$D72,'SBR Mar16 - Aug16'!$C$16:$C$475,'Mar16-Aug16 Billed-RETAIL'!$E72)</f>
        <v>0</v>
      </c>
      <c r="BG72" s="43">
        <f>SUMIFS('SBR Mar16 - Aug16'!$G$16:$G$475,'SBR Mar16 - Aug16'!$A$16:$A$475,'Mar16-Aug16 Billed-RETAIL'!$D72,'SBR Mar16 - Aug16'!$C$16:$C$475,'Mar16-Aug16 Billed-RETAIL'!$E72)</f>
        <v>40</v>
      </c>
      <c r="BH72" s="43">
        <f>SUMIFS('SBR Mar16 - Aug16'!$I$16:$I$475,'SBR Mar16 - Aug16'!$A$16:$A$475,'Mar16-Aug16 Billed-RETAIL'!$D72,'SBR Mar16 - Aug16'!$C$16:$C$475,'Mar16-Aug16 Billed-RETAIL'!$E72)</f>
        <v>59.35</v>
      </c>
      <c r="BI72" s="43">
        <f>SUMIFS('SBR Mar16 - Aug16'!$H$16:$H$475,'SBR Mar16 - Aug16'!$A$16:$A$475,'Mar16-Aug16 Billed-RETAIL'!$D72,'SBR Mar16 - Aug16'!$C$16:$C$475,'Mar16-Aug16 Billed-RETAIL'!$E72)</f>
        <v>0</v>
      </c>
      <c r="BJ72" s="43">
        <f>SUMIFS('SBR Mar16 - Aug16'!$X$16:$X$475,'SBR Mar16 - Aug16'!$A$16:$A$475,'Mar16-Aug16 Billed-RETAIL'!$D72,'SBR Mar16 - Aug16'!$C$16:$C$475,'Mar16-Aug16 Billed-RETAIL'!$E72)</f>
        <v>27.41</v>
      </c>
      <c r="BL72" s="51">
        <f t="shared" si="123"/>
        <v>0</v>
      </c>
      <c r="BN72" s="58">
        <f t="shared" si="124"/>
        <v>0</v>
      </c>
      <c r="BO72" s="58">
        <f t="shared" si="125"/>
        <v>1.0400000000032605E-3</v>
      </c>
      <c r="BP72" s="58">
        <f t="shared" si="126"/>
        <v>0</v>
      </c>
    </row>
    <row r="73" spans="1:68" ht="15" x14ac:dyDescent="0.25">
      <c r="C73" s="14">
        <f t="shared" si="129"/>
        <v>62</v>
      </c>
      <c r="D73" s="604">
        <f t="shared" si="130"/>
        <v>42583</v>
      </c>
      <c r="E73" s="604" t="str">
        <f>+'Retail Rates'!$B$32</f>
        <v>LGRSG840</v>
      </c>
      <c r="F73" s="14" t="str">
        <f t="shared" si="127"/>
        <v>840</v>
      </c>
      <c r="G73" s="14" t="str">
        <f>VLOOKUP(E73,'Retail Rates'!$B$7:$D$34,3,FALSE)</f>
        <v>RGS</v>
      </c>
      <c r="H73" s="33">
        <f>SUMIFS('Data-Retail'!$H$4:$H$1000,'Data-Retail'!$A$4:$A$1000,'Mar16-Aug16 Billed-RETAIL'!$D73,'Data-Retail'!$D$4:$D$1000,'Mar16-Aug16 Billed-RETAIL'!$E73)</f>
        <v>3</v>
      </c>
      <c r="I73" s="33"/>
      <c r="J73" s="33"/>
      <c r="K73" s="33">
        <f>SUMIFS('Data-Retail'!$I$4:$I$1000,'Data-Retail'!$A$4:$A$1000,'Mar16-Aug16 Billed-RETAIL'!$D73,'Data-Retail'!$D$4:$D$1000,'Mar16-Aug16 Billed-RETAIL'!$E73)</f>
        <v>264</v>
      </c>
      <c r="L73" s="33">
        <f>SUMIFS('Data-Retail'!$J$4:$J$1000,'Data-Retail'!$A$4:$A$1000,'Mar16-Aug16 Billed-RETAIL'!$D73,'Data-Retail'!$D$4:$D$1000,'Mar16-Aug16 Billed-RETAIL'!$E73)</f>
        <v>0</v>
      </c>
      <c r="M73" s="33"/>
      <c r="N73" s="34">
        <f>VLOOKUP($E73,'Retail Rates'!$B$7:$L$34,5,FALSE)</f>
        <v>13.5</v>
      </c>
      <c r="O73" s="34">
        <f>VLOOKUP($E73,'Retail Rates'!$B$7:$L$34,6,FALSE)</f>
        <v>0</v>
      </c>
      <c r="P73" s="35">
        <f>VLOOKUP($E73,'Retail Rates'!$B$7:$L$34,7,FALSE)</f>
        <v>0.28693000000000002</v>
      </c>
      <c r="Q73" s="35">
        <f>VLOOKUP($E73,'Retail Rates'!$B$7:$L$34,8,FALSE)</f>
        <v>0</v>
      </c>
      <c r="R73" s="35">
        <f>VLOOKUP($D73,'GSC-DSM-GLT Factors'!$A$1:$B$60,2,FALSE)</f>
        <v>0.38216</v>
      </c>
      <c r="S73" s="34">
        <f>VLOOKUP($E73,'Retail Rates'!$B$7:$L$34,9,FALSE)</f>
        <v>0</v>
      </c>
      <c r="T73" s="35">
        <f>VLOOKUP($E73,'Retail Rates'!$B$7:$L$34,10,FALSE)</f>
        <v>0</v>
      </c>
      <c r="U73" s="34">
        <f>VLOOKUP($E73,'Retail Rates'!$B$7:$L$34,11,FALSE)</f>
        <v>0</v>
      </c>
      <c r="V73" s="556">
        <f>VLOOKUP($D73,'GSC-DSM-GLT Factors'!$A$1:$O$60,11,FALSE)</f>
        <v>5.14</v>
      </c>
      <c r="W73" s="36">
        <f t="shared" si="110"/>
        <v>40.5</v>
      </c>
      <c r="X73" s="36"/>
      <c r="Y73" s="36"/>
      <c r="Z73" s="36">
        <f t="shared" si="111"/>
        <v>75.749520000000004</v>
      </c>
      <c r="AA73" s="36">
        <f t="shared" si="112"/>
        <v>0</v>
      </c>
      <c r="AB73" s="36">
        <f t="shared" si="113"/>
        <v>100.89024000000001</v>
      </c>
      <c r="AC73" s="36"/>
      <c r="AD73" s="36"/>
      <c r="AE73" s="36">
        <f t="shared" si="128"/>
        <v>0</v>
      </c>
      <c r="AF73" s="36">
        <f>(+H73*V73)+(I73*V73)</f>
        <v>15.419999999999998</v>
      </c>
      <c r="AG73" s="57">
        <f>SUMIFS(Adjustments!H$5:H$557,Adjustments!$B$5:$B$557,'Mar16-Aug16 Billed-RETAIL'!$D73,Adjustments!$C$5:$C$557,'Mar16-Aug16 Billed-RETAIL'!$E73)</f>
        <v>0</v>
      </c>
      <c r="AH73" s="57">
        <f>SUMIFS(Adjustments!I$5:I$557,Adjustments!$B$5:$B$557,'Mar16-Aug16 Billed-RETAIL'!$D73,Adjustments!$C$5:$C$557,'Mar16-Aug16 Billed-RETAIL'!$E73)</f>
        <v>0</v>
      </c>
      <c r="AI73" s="48">
        <f>SUMIFS(Adjustments!J$5:J$557,Adjustments!$B$5:$B$557,'Mar16-Aug16 Billed-RETAIL'!$D73,Adjustments!$C$5:$C$557,'Mar16-Aug16 Billed-RETAIL'!$E73)</f>
        <v>0</v>
      </c>
      <c r="AJ73" s="48">
        <f>SUMIFS(Adjustments!K$5:K$557,Adjustments!$B$5:$B$557,'Mar16-Aug16 Billed-RETAIL'!$D73,Adjustments!$C$5:$C$557,'Mar16-Aug16 Billed-RETAIL'!$E73)</f>
        <v>0</v>
      </c>
      <c r="AK73" s="48">
        <f>SUMIFS(Adjustments!L$5:L$557,Adjustments!$B$5:$B$557,'Mar16-Aug16 Billed-RETAIL'!$D73,Adjustments!$C$5:$C$557,'Mar16-Aug16 Billed-RETAIL'!$E73)</f>
        <v>0</v>
      </c>
      <c r="AL73" s="48">
        <f>SUMIFS(Adjustments!M$5:M$557,Adjustments!$B$5:$B$557,'Mar16-Aug16 Billed-RETAIL'!$D73,Adjustments!$C$5:$C$557,'Mar16-Aug16 Billed-RETAIL'!$E73)</f>
        <v>0</v>
      </c>
      <c r="AM73" s="48">
        <f>SUMIFS(Adjustments!N$5:N$557,Adjustments!$B$5:$B$557,'Mar16-Aug16 Billed-RETAIL'!$D73,Adjustments!$C$5:$C$557,'Mar16-Aug16 Billed-RETAIL'!$E73)</f>
        <v>0</v>
      </c>
      <c r="AN73" s="48">
        <f>SUMIFS(Adjustments!O$5:O$557,Adjustments!$B$5:$B$557,'Mar16-Aug16 Billed-RETAIL'!$D73,Adjustments!$C$5:$C$557,'Mar16-Aug16 Billed-RETAIL'!$E73)</f>
        <v>0</v>
      </c>
      <c r="AO73" s="48">
        <f>SUMIFS(Adjustments!P$5:P$557,Adjustments!$B$5:$B$557,'Mar16-Aug16 Billed-RETAIL'!$D73,Adjustments!$C$5:$C$557,'Mar16-Aug16 Billed-RETAIL'!$E73)</f>
        <v>0</v>
      </c>
      <c r="AP73" s="36">
        <f>+W73+AI73+(AG73*N73)</f>
        <v>40.5</v>
      </c>
      <c r="AQ73" s="36">
        <f t="shared" si="116"/>
        <v>0</v>
      </c>
      <c r="AR73" s="36">
        <f t="shared" si="117"/>
        <v>75.749520000000004</v>
      </c>
      <c r="AS73" s="36">
        <f t="shared" si="118"/>
        <v>0</v>
      </c>
      <c r="AT73" s="43">
        <f>SUMIFS('SBR Mar16 - Aug16'!$O$16:$O$475,'SBR Mar16 - Aug16'!$A$16:$A$475,'Mar16-Aug16 Billed-RETAIL'!$D73,'SBR Mar16 - Aug16'!$C$16:$C$475,'Mar16-Aug16 Billed-RETAIL'!$E73)</f>
        <v>97.62</v>
      </c>
      <c r="AU73" s="43">
        <f>SUMIFS('SBR Mar16 - Aug16'!$N$16:$N$475,'SBR Mar16 - Aug16'!$A$16:$A$475,'Mar16-Aug16 Billed-RETAIL'!$D73,'SBR Mar16 - Aug16'!$C$16:$C$475,'Mar16-Aug16 Billed-RETAIL'!$E73)</f>
        <v>2.86</v>
      </c>
      <c r="AV73" s="43">
        <f>SUMIFS('SBR Mar16 - Aug16'!$Y$16:$Y$475,'SBR Mar16 - Aug16'!$A$16:$A$475,'Mar16-Aug16 Billed-RETAIL'!$D73,'SBR Mar16 - Aug16'!$C$16:$C$475,'Mar16-Aug16 Billed-RETAIL'!$E73)</f>
        <v>0</v>
      </c>
      <c r="AW73" s="43">
        <f>SUMIFS('SBR Mar16 - Aug16'!$X$16:$X$475,'SBR Mar16 - Aug16'!$A$16:$A$475,'Mar16-Aug16 Billed-RETAIL'!$D73,'SBR Mar16 - Aug16'!$C$16:$C$475,'Mar16-Aug16 Billed-RETAIL'!$E73)</f>
        <v>15.42</v>
      </c>
      <c r="AX73" s="36">
        <f t="shared" si="119"/>
        <v>0</v>
      </c>
      <c r="AY73" s="36"/>
      <c r="AZ73" s="43">
        <f t="shared" si="120"/>
        <v>232.15</v>
      </c>
      <c r="BA73" s="43">
        <f t="shared" si="121"/>
        <v>232.15</v>
      </c>
      <c r="BB73" s="44">
        <f t="shared" si="122"/>
        <v>1</v>
      </c>
      <c r="BC73" s="43">
        <f>SUMIFS('SBR Mar16 - Aug16'!$N$16:$N$475,'SBR Mar16 - Aug16'!$A$16:$A$475,'Mar16-Aug16 Billed-RETAIL'!$D73,'SBR Mar16 - Aug16'!$C$16:$C$475,'Mar16-Aug16 Billed-RETAIL'!$E73)</f>
        <v>2.86</v>
      </c>
      <c r="BD73" s="43">
        <f>SUMIFS('SBR Mar16 - Aug16'!$O$16:$O$475,'SBR Mar16 - Aug16'!$A$16:$A$475,'Mar16-Aug16 Billed-RETAIL'!$D73,'SBR Mar16 - Aug16'!$C$16:$C$475,'Mar16-Aug16 Billed-RETAIL'!$E73)</f>
        <v>97.62</v>
      </c>
      <c r="BE73" s="43">
        <f>SUMIFS('SBR Mar16 - Aug16'!$Y$16:$Y$475,'SBR Mar16 - Aug16'!$A$16:$A$475,'Mar16-Aug16 Billed-RETAIL'!$D73,'SBR Mar16 - Aug16'!$C$16:$C$475,'Mar16-Aug16 Billed-RETAIL'!$E73)</f>
        <v>0</v>
      </c>
      <c r="BF73" s="43">
        <f>SUMIFS('SBR Mar16 - Aug16'!$AB$16:$AB$475,'SBR Mar16 - Aug16'!$A$16:$A$475,'Mar16-Aug16 Billed-RETAIL'!$D73,'SBR Mar16 - Aug16'!$C$16:$C$475,'Mar16-Aug16 Billed-RETAIL'!$E73)</f>
        <v>0</v>
      </c>
      <c r="BG73" s="43">
        <f>SUMIFS('SBR Mar16 - Aug16'!$G$16:$G$475,'SBR Mar16 - Aug16'!$A$16:$A$475,'Mar16-Aug16 Billed-RETAIL'!$D73,'SBR Mar16 - Aug16'!$C$16:$C$475,'Mar16-Aug16 Billed-RETAIL'!$E73)</f>
        <v>40.5</v>
      </c>
      <c r="BH73" s="43">
        <f>SUMIFS('SBR Mar16 - Aug16'!$I$16:$I$475,'SBR Mar16 - Aug16'!$A$16:$A$475,'Mar16-Aug16 Billed-RETAIL'!$D73,'SBR Mar16 - Aug16'!$C$16:$C$475,'Mar16-Aug16 Billed-RETAIL'!$E73)</f>
        <v>75.75</v>
      </c>
      <c r="BI73" s="43">
        <f>SUMIFS('SBR Mar16 - Aug16'!$H$16:$H$475,'SBR Mar16 - Aug16'!$A$16:$A$475,'Mar16-Aug16 Billed-RETAIL'!$D73,'SBR Mar16 - Aug16'!$C$16:$C$475,'Mar16-Aug16 Billed-RETAIL'!$E73)</f>
        <v>0</v>
      </c>
      <c r="BJ73" s="43">
        <f>SUMIFS('SBR Mar16 - Aug16'!$X$16:$X$475,'SBR Mar16 - Aug16'!$A$16:$A$475,'Mar16-Aug16 Billed-RETAIL'!$D73,'SBR Mar16 - Aug16'!$C$16:$C$475,'Mar16-Aug16 Billed-RETAIL'!$E73)</f>
        <v>15.42</v>
      </c>
      <c r="BL73" s="51">
        <f t="shared" si="123"/>
        <v>0</v>
      </c>
      <c r="BN73" s="58">
        <f t="shared" si="124"/>
        <v>0</v>
      </c>
      <c r="BO73" s="58">
        <f t="shared" si="125"/>
        <v>-4.7999999999603915E-4</v>
      </c>
      <c r="BP73" s="58">
        <f t="shared" si="126"/>
        <v>0</v>
      </c>
    </row>
    <row r="74" spans="1:68" s="563" customFormat="1" ht="15" x14ac:dyDescent="0.25">
      <c r="C74" s="564"/>
      <c r="D74" s="605"/>
      <c r="E74" s="605"/>
      <c r="F74" s="564"/>
      <c r="G74" s="564"/>
      <c r="H74" s="565"/>
      <c r="I74" s="565"/>
      <c r="J74" s="565"/>
      <c r="K74" s="565"/>
      <c r="L74" s="565"/>
      <c r="M74" s="565"/>
      <c r="N74" s="566"/>
      <c r="O74" s="566"/>
      <c r="P74" s="567"/>
      <c r="Q74" s="567"/>
      <c r="R74" s="567"/>
      <c r="S74" s="566"/>
      <c r="T74" s="567"/>
      <c r="U74" s="566"/>
      <c r="V74" s="568"/>
      <c r="W74" s="569"/>
      <c r="X74" s="569"/>
      <c r="Y74" s="569"/>
      <c r="Z74" s="569"/>
      <c r="AA74" s="569"/>
      <c r="AB74" s="569"/>
      <c r="AC74" s="569"/>
      <c r="AD74" s="569"/>
      <c r="AE74" s="569"/>
      <c r="AF74" s="569"/>
      <c r="AG74" s="570"/>
      <c r="AH74" s="570"/>
      <c r="AI74" s="569"/>
      <c r="AJ74" s="569"/>
      <c r="AK74" s="569"/>
      <c r="AL74" s="569"/>
      <c r="AM74" s="569"/>
      <c r="AN74" s="569"/>
      <c r="AO74" s="569"/>
      <c r="AP74" s="569"/>
      <c r="AQ74" s="569"/>
      <c r="AR74" s="569"/>
      <c r="AS74" s="569"/>
      <c r="AT74" s="569" t="s">
        <v>819</v>
      </c>
      <c r="AU74" s="569"/>
      <c r="AV74" s="569"/>
      <c r="AW74" s="569"/>
      <c r="AX74" s="569"/>
      <c r="AY74" s="569"/>
      <c r="AZ74" s="569"/>
      <c r="BA74" s="569"/>
      <c r="BB74" s="571"/>
      <c r="BC74" s="569"/>
      <c r="BD74" s="569"/>
      <c r="BE74" s="569"/>
      <c r="BF74" s="569"/>
      <c r="BG74" s="569"/>
      <c r="BH74" s="569"/>
      <c r="BI74" s="569"/>
      <c r="BJ74" s="569"/>
      <c r="BL74" s="569"/>
      <c r="BN74" s="569"/>
      <c r="BO74" s="569"/>
      <c r="BP74" s="569"/>
    </row>
    <row r="75" spans="1:68" ht="15" x14ac:dyDescent="0.25">
      <c r="C75" s="14">
        <f>C71+1</f>
        <v>61</v>
      </c>
      <c r="D75" s="604">
        <f>EDATE(D63,1)</f>
        <v>42614</v>
      </c>
      <c r="E75" s="604" t="str">
        <f>+'Retail Rates'!$B$7</f>
        <v>LGCMG865</v>
      </c>
      <c r="F75" s="14" t="str">
        <f>MID(E75,6,3)</f>
        <v>865</v>
      </c>
      <c r="G75" s="14" t="str">
        <f>VLOOKUP(E75,'Retail Rates'!$B$7:$D$34,3,FALSE)</f>
        <v>AAGS-C</v>
      </c>
      <c r="H75" s="546">
        <f>SUMIF('Forecasted Customer Cts'!$D$5:$D$36,'Mar16-Aug16 Billed-RETAIL'!$E75,'Forecasted Customer Cts'!$N$5:$N$36)</f>
        <v>2</v>
      </c>
      <c r="I75" s="546"/>
      <c r="J75" s="546"/>
      <c r="K75" s="546">
        <f>SUMIF('Forecasted Calendar Month Usage'!$D$5:$D$41,'Mar16-Aug16 Billed-RETAIL'!$E75,'Forecasted Calendar Month Usage'!$N$5:$N$41)*10</f>
        <v>30771.590097959088</v>
      </c>
      <c r="L75" s="545"/>
      <c r="N75" s="34">
        <f>VLOOKUP($E75,'Retail Rates'!$B$7:$L$34,5,FALSE)</f>
        <v>400</v>
      </c>
      <c r="O75" s="34">
        <f>VLOOKUP($E75,'Retail Rates'!$B$7:$L$34,6,FALSE)</f>
        <v>0</v>
      </c>
      <c r="P75" s="35">
        <f>VLOOKUP($E75,'Retail Rates'!$B$7:$L$34,7,FALSE)</f>
        <v>7.009E-2</v>
      </c>
      <c r="Q75" s="35">
        <f>VLOOKUP($E75,'Retail Rates'!$B$7:$L$34,8,FALSE)</f>
        <v>0</v>
      </c>
      <c r="R75" s="35">
        <f>VLOOKUP($D75,'GSC-DSM-GLT Factors'!$A$1:$B$60,2,FALSE)</f>
        <v>0.38216</v>
      </c>
      <c r="S75" s="34">
        <f>VLOOKUP($E75,'Retail Rates'!$B$7:$L$34,9,FALSE)</f>
        <v>0</v>
      </c>
      <c r="T75" s="35">
        <f>VLOOKUP($E75,'Retail Rates'!$B$7:$L$34,10,FALSE)</f>
        <v>0</v>
      </c>
      <c r="U75" s="34">
        <f>VLOOKUP($E75,'Retail Rates'!$B$7:$L$34,11,FALSE)</f>
        <v>0</v>
      </c>
      <c r="V75" s="556">
        <f>VLOOKUP($D75,'GSC-DSM-GLT Factors'!$A$1:$O$60,14,FALSE)</f>
        <v>2838.87</v>
      </c>
      <c r="W75" s="36">
        <f t="shared" ref="W75:W85" si="131">(+H75*N75)+(I75*N75)</f>
        <v>800</v>
      </c>
      <c r="X75" s="36"/>
      <c r="Y75" s="36"/>
      <c r="Z75" s="36">
        <f t="shared" ref="Z75:Z85" si="132">+K75*P75</f>
        <v>2156.7807499659525</v>
      </c>
      <c r="AA75" s="36">
        <f t="shared" ref="AA75:AA85" si="133">+L75*Q75</f>
        <v>0</v>
      </c>
      <c r="AB75" s="36">
        <f t="shared" ref="AB75:AB85" si="134">SUM(K75:L75)*R75</f>
        <v>11759.670871836044</v>
      </c>
      <c r="AC75" s="36"/>
      <c r="AD75" s="36"/>
      <c r="AE75" s="36">
        <f>M75*U75</f>
        <v>0</v>
      </c>
      <c r="AF75" s="36">
        <f t="shared" ref="AF75:AF80" si="135">(+H75*V75)+(I75*V75)</f>
        <v>5677.74</v>
      </c>
      <c r="AG75" s="57">
        <f>SUMIFS(Adjustments!H$5:H$557,Adjustments!$B$5:$B$557,'Mar16-Aug16 Billed-RETAIL'!$D75,Adjustments!$C$5:$C$557,'Mar16-Aug16 Billed-RETAIL'!$E75)</f>
        <v>0</v>
      </c>
      <c r="AH75" s="57">
        <f>SUMIFS(Adjustments!I$5:I$557,Adjustments!$B$5:$B$557,'Mar16-Aug16 Billed-RETAIL'!$D75,Adjustments!$C$5:$C$557,'Mar16-Aug16 Billed-RETAIL'!$E75)</f>
        <v>0</v>
      </c>
      <c r="AI75" s="48">
        <f>SUMIFS(Adjustments!J$5:J$557,Adjustments!$B$5:$B$557,'Mar16-Aug16 Billed-RETAIL'!$D75,Adjustments!$C$5:$C$557,'Mar16-Aug16 Billed-RETAIL'!$E75)</f>
        <v>0</v>
      </c>
      <c r="AJ75" s="48">
        <f>SUMIFS(Adjustments!K$5:K$557,Adjustments!$B$5:$B$557,'Mar16-Aug16 Billed-RETAIL'!$D75,Adjustments!$C$5:$C$557,'Mar16-Aug16 Billed-RETAIL'!$E75)</f>
        <v>0</v>
      </c>
      <c r="AK75" s="48">
        <f>SUMIFS(Adjustments!L$5:L$557,Adjustments!$B$5:$B$557,'Mar16-Aug16 Billed-RETAIL'!$D75,Adjustments!$C$5:$C$557,'Mar16-Aug16 Billed-RETAIL'!$E75)</f>
        <v>0</v>
      </c>
      <c r="AL75" s="48">
        <f>SUMIFS(Adjustments!M$5:M$557,Adjustments!$B$5:$B$557,'Mar16-Aug16 Billed-RETAIL'!$D75,Adjustments!$C$5:$C$557,'Mar16-Aug16 Billed-RETAIL'!$E75)</f>
        <v>0</v>
      </c>
      <c r="AM75" s="48">
        <f>SUMIFS(Adjustments!N$5:N$557,Adjustments!$B$5:$B$557,'Mar16-Aug16 Billed-RETAIL'!$D75,Adjustments!$C$5:$C$557,'Mar16-Aug16 Billed-RETAIL'!$E75)</f>
        <v>0</v>
      </c>
      <c r="AN75" s="48">
        <f>SUMIFS(Adjustments!O$5:O$557,Adjustments!$B$5:$B$557,'Mar16-Aug16 Billed-RETAIL'!$D75,Adjustments!$C$5:$C$557,'Mar16-Aug16 Billed-RETAIL'!$E75)</f>
        <v>0</v>
      </c>
      <c r="AO75" s="48">
        <f>SUMIFS(Adjustments!P$5:P$557,Adjustments!$B$5:$B$557,'Mar16-Aug16 Billed-RETAIL'!$D75,Adjustments!$C$5:$C$557,'Mar16-Aug16 Billed-RETAIL'!$E75)</f>
        <v>0</v>
      </c>
      <c r="AP75" s="36">
        <f t="shared" ref="AP75:AP81" si="136">+W75+AI75+(AG75*N75)</f>
        <v>800</v>
      </c>
      <c r="AQ75" s="36">
        <f t="shared" ref="AQ75:AQ85" si="137">+Y75+AJ75</f>
        <v>0</v>
      </c>
      <c r="AR75" s="36">
        <f t="shared" ref="AR75:AR85" si="138">+Z75+AK75</f>
        <v>2156.7807499659525</v>
      </c>
      <c r="AS75" s="36">
        <f t="shared" ref="AS75:AS85" si="139">+AA75+AL75</f>
        <v>0</v>
      </c>
      <c r="AT75" s="43">
        <f>BD75</f>
        <v>47158.513376041738</v>
      </c>
      <c r="AU75" s="43">
        <f>BC75</f>
        <v>1573.4027455693372</v>
      </c>
      <c r="AV75" s="43"/>
      <c r="AW75" s="43">
        <f>BJ75</f>
        <v>11836.684427254941</v>
      </c>
      <c r="AX75" s="36">
        <f t="shared" ref="AX75:AX85" si="140">+AE75+AO75</f>
        <v>0</v>
      </c>
      <c r="AY75" s="36"/>
      <c r="AZ75" s="43">
        <f>ROUND(SUM(AP75:AY75),2)+SUM(AP76:AY76)</f>
        <v>71502.229468247446</v>
      </c>
      <c r="BA75" s="43">
        <f>SUM(BC75:BJ75)-BF75</f>
        <v>71502.230766123597</v>
      </c>
      <c r="BB75" s="44">
        <f t="shared" ref="BB75:BB85" si="141">IF(BA75=0,0,ROUND(BA75/AZ75,6))</f>
        <v>1</v>
      </c>
      <c r="BC75" s="43">
        <f>(SUMIFS('Fin Forecast'!$E$4:$E$545,'Fin Forecast'!$B$4:$B$545,'Mar16-Aug16 Billed-RETAIL'!$E75,'Fin Forecast'!$C$4:$C$545,'Mar16-Aug16 Billed-RETAIL'!BC$5))*1000</f>
        <v>1573.4027455693372</v>
      </c>
      <c r="BD75" s="43">
        <f>(SUMIFS('Fin Forecast'!$E$4:$E$545,'Fin Forecast'!$B$4:$B$545,'Mar16-Aug16 Billed-RETAIL'!$E75,'Fin Forecast'!$C$4:$C$545,'Mar16-Aug16 Billed-RETAIL'!BD$5))*1000</f>
        <v>47158.513376041738</v>
      </c>
      <c r="BE75" s="43">
        <v>0</v>
      </c>
      <c r="BF75" s="43">
        <v>0</v>
      </c>
      <c r="BG75" s="43">
        <f>(SUMIFS('Fin Forecast'!$E$4:$E$545,'Fin Forecast'!$B$4:$B$545,'Mar16-Aug16 Billed-RETAIL'!$E75,'Fin Forecast'!$C$4:$C$545,'Mar16-Aug16 Billed-RETAIL'!BG$5))*1000</f>
        <v>1600</v>
      </c>
      <c r="BH75" s="43">
        <f>(SUMIFS('Fin Forecast'!$E$4:$E$545,'Fin Forecast'!$B$4:$B$545,'Mar16-Aug16 Billed-RETAIL'!$E75,'Fin Forecast'!$C$4:$C$545,'Mar16-Aug16 Billed-RETAIL'!BH$5))*1000</f>
        <v>9333.6302172575888</v>
      </c>
      <c r="BI75" s="43">
        <f>(SUMIFS('Fin Forecast'!$E$4:$E$545,'Fin Forecast'!$B$4:$B$545,'Mar16-Aug16 Billed-RETAIL'!$E75,'Fin Forecast'!$C$4:$C$545,'Mar16-Aug16 Billed-RETAIL'!BI$5))*1000</f>
        <v>0</v>
      </c>
      <c r="BJ75" s="43">
        <f>(SUMIFS('Fin Forecast'!$E$4:$E$545,'Fin Forecast'!$B$4:$B$545,'Mar16-Aug16 Billed-RETAIL'!$E75,'Fin Forecast'!$C$4:$C$545,'Mar16-Aug16 Billed-RETAIL'!BJ$5))*1000</f>
        <v>11836.684427254941</v>
      </c>
      <c r="BL75" s="51">
        <f t="shared" ref="BL75:BL85" si="142">+AZ75-BA75</f>
        <v>-1.2978761515114456E-3</v>
      </c>
      <c r="BN75" s="58">
        <f t="shared" ref="BN75:BN85" si="143">+AP75+AQ75-BG75</f>
        <v>-800</v>
      </c>
      <c r="BO75" s="58">
        <f t="shared" ref="BO75:BO85" si="144">+AR75+AS75-BH75</f>
        <v>-7176.8494672916368</v>
      </c>
      <c r="BP75" s="58">
        <f t="shared" ref="BP75:BP85" si="145">+AT75-BD75</f>
        <v>0</v>
      </c>
    </row>
    <row r="76" spans="1:68" ht="15" x14ac:dyDescent="0.25">
      <c r="A76" s="21">
        <v>1000</v>
      </c>
      <c r="C76" s="14">
        <f>C75+1</f>
        <v>62</v>
      </c>
      <c r="D76" s="604">
        <f>$D$75</f>
        <v>42614</v>
      </c>
      <c r="E76" s="604" t="str">
        <f>+'Retail Rates'!$B$10</f>
        <v>LGING866</v>
      </c>
      <c r="F76" s="14" t="str">
        <f t="shared" ref="F76:F85" si="146">MID(E76,6,3)</f>
        <v>866</v>
      </c>
      <c r="G76" s="14" t="str">
        <f>VLOOKUP(E76,'Retail Rates'!$B$7:$D$34,3,FALSE)</f>
        <v>AAGS-I</v>
      </c>
      <c r="H76" s="546">
        <f>SUMIF('Forecasted Customer Cts'!$D$5:$D$36,'Mar16-Aug16 Billed-RETAIL'!$E76,'Forecasted Customer Cts'!$N$5:$N$36)</f>
        <v>2</v>
      </c>
      <c r="I76" s="546"/>
      <c r="J76" s="546"/>
      <c r="K76" s="546">
        <f>SUMIF('Forecasted Calendar Month Usage'!$D$5:$D$41,'Mar16-Aug16 Billed-RETAIL'!$E76,'Forecasted Calendar Month Usage'!$N$5:$N$41)*10</f>
        <v>102394.77055567768</v>
      </c>
      <c r="L76" s="545"/>
      <c r="N76" s="34">
        <f>VLOOKUP($E76,'Retail Rates'!$B$7:$L$34,5,FALSE)</f>
        <v>400</v>
      </c>
      <c r="O76" s="34">
        <f>VLOOKUP($E76,'Retail Rates'!$B$7:$L$34,6,FALSE)</f>
        <v>0</v>
      </c>
      <c r="P76" s="35">
        <f>VLOOKUP($E76,'Retail Rates'!$B$7:$L$34,7,FALSE)</f>
        <v>7.009E-2</v>
      </c>
      <c r="Q76" s="35">
        <f>VLOOKUP($E76,'Retail Rates'!$B$7:$L$34,8,FALSE)</f>
        <v>0</v>
      </c>
      <c r="R76" s="35">
        <f>VLOOKUP($D76,'GSC-DSM-GLT Factors'!$A$1:$B$60,2,FALSE)</f>
        <v>0.38216</v>
      </c>
      <c r="S76" s="34">
        <f>VLOOKUP($E76,'Retail Rates'!$B$7:$L$34,9,FALSE)</f>
        <v>0</v>
      </c>
      <c r="T76" s="35">
        <f>VLOOKUP($E76,'Retail Rates'!$B$7:$L$34,10,FALSE)</f>
        <v>0</v>
      </c>
      <c r="U76" s="34">
        <f>VLOOKUP($E76,'Retail Rates'!$B$7:$L$34,11,FALSE)</f>
        <v>0</v>
      </c>
      <c r="V76" s="556">
        <f>VLOOKUP($D76,'GSC-DSM-GLT Factors'!$A$1:$O$60,14,FALSE)</f>
        <v>2838.87</v>
      </c>
      <c r="W76" s="36">
        <f t="shared" si="131"/>
        <v>800</v>
      </c>
      <c r="X76" s="36"/>
      <c r="Y76" s="36"/>
      <c r="Z76" s="36">
        <f t="shared" si="132"/>
        <v>7176.8494682474484</v>
      </c>
      <c r="AA76" s="36">
        <f t="shared" si="133"/>
        <v>0</v>
      </c>
      <c r="AB76" s="36">
        <f t="shared" si="134"/>
        <v>39131.18551555778</v>
      </c>
      <c r="AC76" s="36"/>
      <c r="AD76" s="36"/>
      <c r="AE76" s="36">
        <f t="shared" ref="AE76:AE85" si="147">M76*U76</f>
        <v>0</v>
      </c>
      <c r="AF76" s="36">
        <f t="shared" si="135"/>
        <v>5677.74</v>
      </c>
      <c r="AG76" s="57">
        <f>SUMIFS(Adjustments!H$5:H$557,Adjustments!$B$5:$B$557,'Mar16-Aug16 Billed-RETAIL'!$D76,Adjustments!$C$5:$C$557,'Mar16-Aug16 Billed-RETAIL'!$E76)</f>
        <v>0</v>
      </c>
      <c r="AH76" s="57">
        <f>SUMIFS(Adjustments!I$5:I$557,Adjustments!$B$5:$B$557,'Mar16-Aug16 Billed-RETAIL'!$D76,Adjustments!$C$5:$C$557,'Mar16-Aug16 Billed-RETAIL'!$E76)</f>
        <v>0</v>
      </c>
      <c r="AI76" s="48">
        <f>SUMIFS(Adjustments!J$5:J$557,Adjustments!$B$5:$B$557,'Mar16-Aug16 Billed-RETAIL'!$D76,Adjustments!$C$5:$C$557,'Mar16-Aug16 Billed-RETAIL'!$E76)</f>
        <v>0</v>
      </c>
      <c r="AJ76" s="48">
        <f>SUMIFS(Adjustments!K$5:K$557,Adjustments!$B$5:$B$557,'Mar16-Aug16 Billed-RETAIL'!$D76,Adjustments!$C$5:$C$557,'Mar16-Aug16 Billed-RETAIL'!$E76)</f>
        <v>0</v>
      </c>
      <c r="AK76" s="48">
        <f>SUMIFS(Adjustments!L$5:L$557,Adjustments!$B$5:$B$557,'Mar16-Aug16 Billed-RETAIL'!$D76,Adjustments!$C$5:$C$557,'Mar16-Aug16 Billed-RETAIL'!$E76)</f>
        <v>0</v>
      </c>
      <c r="AL76" s="48">
        <f>SUMIFS(Adjustments!M$5:M$557,Adjustments!$B$5:$B$557,'Mar16-Aug16 Billed-RETAIL'!$D76,Adjustments!$C$5:$C$557,'Mar16-Aug16 Billed-RETAIL'!$E76)</f>
        <v>0</v>
      </c>
      <c r="AM76" s="48">
        <f>SUMIFS(Adjustments!N$5:N$557,Adjustments!$B$5:$B$557,'Mar16-Aug16 Billed-RETAIL'!$D76,Adjustments!$C$5:$C$557,'Mar16-Aug16 Billed-RETAIL'!$E76)</f>
        <v>0</v>
      </c>
      <c r="AN76" s="48">
        <f>SUMIFS(Adjustments!O$5:O$557,Adjustments!$B$5:$B$557,'Mar16-Aug16 Billed-RETAIL'!$D76,Adjustments!$C$5:$C$557,'Mar16-Aug16 Billed-RETAIL'!$E76)</f>
        <v>0</v>
      </c>
      <c r="AO76" s="48">
        <f>SUMIFS(Adjustments!P$5:P$557,Adjustments!$B$5:$B$557,'Mar16-Aug16 Billed-RETAIL'!$D76,Adjustments!$C$5:$C$557,'Mar16-Aug16 Billed-RETAIL'!$E76)</f>
        <v>0</v>
      </c>
      <c r="AP76" s="36">
        <f t="shared" si="136"/>
        <v>800</v>
      </c>
      <c r="AQ76" s="36">
        <f t="shared" si="137"/>
        <v>0</v>
      </c>
      <c r="AR76" s="36">
        <f t="shared" si="138"/>
        <v>7176.8494682474484</v>
      </c>
      <c r="AS76" s="36">
        <f t="shared" si="139"/>
        <v>0</v>
      </c>
      <c r="AT76" s="43">
        <f t="shared" ref="AT76:AT85" si="148">BD76</f>
        <v>0</v>
      </c>
      <c r="AU76" s="43">
        <f t="shared" ref="AU76:AU85" si="149">BC76</f>
        <v>0</v>
      </c>
      <c r="AV76" s="43"/>
      <c r="AW76" s="43">
        <f t="shared" ref="AW76:AW85" si="150">BJ76</f>
        <v>0</v>
      </c>
      <c r="AX76" s="36">
        <f t="shared" si="140"/>
        <v>0</v>
      </c>
      <c r="AY76" s="36"/>
      <c r="AZ76" s="43"/>
      <c r="BA76" s="43">
        <f>SUM(BC76:BJ76)-BF76</f>
        <v>0</v>
      </c>
      <c r="BB76" s="44">
        <f t="shared" si="141"/>
        <v>0</v>
      </c>
      <c r="BC76" s="43">
        <f>(SUMIFS('Fin Forecast'!$E$4:$E$545,'Fin Forecast'!$B$4:$B$545,'Mar16-Aug16 Billed-RETAIL'!$E76,'Fin Forecast'!$C$4:$C$545,'Mar16-Aug16 Billed-RETAIL'!BC$5))*1000</f>
        <v>0</v>
      </c>
      <c r="BD76" s="43">
        <f>(SUMIFS('Fin Forecast'!$E$4:$E$545,'Fin Forecast'!$B$4:$B$545,'Mar16-Aug16 Billed-RETAIL'!$E76,'Fin Forecast'!$C$4:$C$545,'Mar16-Aug16 Billed-RETAIL'!BD$5))*1000</f>
        <v>0</v>
      </c>
      <c r="BE76" s="43">
        <v>0</v>
      </c>
      <c r="BF76" s="43">
        <v>0</v>
      </c>
      <c r="BG76" s="43">
        <f>(SUMIFS('Fin Forecast'!$E$4:$E$545,'Fin Forecast'!$B$4:$B$545,'Mar16-Aug16 Billed-RETAIL'!$E76,'Fin Forecast'!$C$4:$C$545,'Mar16-Aug16 Billed-RETAIL'!BG$5))*1000</f>
        <v>0</v>
      </c>
      <c r="BH76" s="43">
        <f>(SUMIFS('Fin Forecast'!$E$4:$E$545,'Fin Forecast'!$B$4:$B$545,'Mar16-Aug16 Billed-RETAIL'!$E76,'Fin Forecast'!$C$4:$C$545,'Mar16-Aug16 Billed-RETAIL'!BH$5))*1000</f>
        <v>0</v>
      </c>
      <c r="BI76" s="43">
        <f>(SUMIFS('Fin Forecast'!$E$4:$E$545,'Fin Forecast'!$B$4:$B$545,'Mar16-Aug16 Billed-RETAIL'!$E76,'Fin Forecast'!$C$4:$C$545,'Mar16-Aug16 Billed-RETAIL'!BI$5))*1000</f>
        <v>0</v>
      </c>
      <c r="BJ76" s="43">
        <f>(SUMIFS('Fin Forecast'!$E$4:$E$545,'Fin Forecast'!$B$4:$B$545,'Mar16-Aug16 Billed-RETAIL'!$E76,'Fin Forecast'!$C$4:$C$545,'Mar16-Aug16 Billed-RETAIL'!BJ$5))*1000</f>
        <v>0</v>
      </c>
      <c r="BL76" s="51">
        <f t="shared" si="142"/>
        <v>0</v>
      </c>
      <c r="BN76" s="58">
        <f t="shared" si="143"/>
        <v>800</v>
      </c>
      <c r="BO76" s="58">
        <f t="shared" si="144"/>
        <v>7176.8494682474484</v>
      </c>
      <c r="BP76" s="58">
        <f t="shared" si="145"/>
        <v>0</v>
      </c>
    </row>
    <row r="77" spans="1:68" ht="15" x14ac:dyDescent="0.25">
      <c r="C77" s="14">
        <f t="shared" ref="C77:C85" si="151">C76+1</f>
        <v>63</v>
      </c>
      <c r="D77" s="604">
        <f t="shared" ref="D77:D85" si="152">$D$75</f>
        <v>42614</v>
      </c>
      <c r="E77" s="604" t="str">
        <f>+'Retail Rates'!$B$11</f>
        <v>LGING866DS</v>
      </c>
      <c r="F77" s="14" t="str">
        <f t="shared" si="146"/>
        <v>866</v>
      </c>
      <c r="G77" s="14" t="str">
        <f>VLOOKUP(E77,'Retail Rates'!$B$7:$D$34,3,FALSE)</f>
        <v>AAGS-I</v>
      </c>
      <c r="H77" s="546"/>
      <c r="I77" s="546"/>
      <c r="J77" s="546"/>
      <c r="K77" s="546"/>
      <c r="L77" s="546"/>
      <c r="M77" s="63"/>
      <c r="N77" s="34">
        <f>VLOOKUP($E77,'Retail Rates'!$B$7:$L$34,5,FALSE)</f>
        <v>400</v>
      </c>
      <c r="O77" s="34">
        <f>VLOOKUP($E77,'Retail Rates'!$B$7:$L$34,6,FALSE)</f>
        <v>0</v>
      </c>
      <c r="P77" s="35">
        <f>VLOOKUP($E77,'Retail Rates'!$B$7:$L$34,7,FALSE)</f>
        <v>7.009E-2</v>
      </c>
      <c r="Q77" s="35">
        <f>VLOOKUP($E77,'Retail Rates'!$B$7:$L$34,8,FALSE)</f>
        <v>0</v>
      </c>
      <c r="R77" s="35">
        <f>VLOOKUP($D77,'GSC-DSM-GLT Factors'!$A$1:$B$60,2,FALSE)</f>
        <v>0.38216</v>
      </c>
      <c r="S77" s="34">
        <f>VLOOKUP($E77,'Retail Rates'!$B$7:$L$34,9,FALSE)</f>
        <v>0</v>
      </c>
      <c r="T77" s="35">
        <f>VLOOKUP($E77,'Retail Rates'!$B$7:$L$34,10,FALSE)</f>
        <v>0</v>
      </c>
      <c r="U77" s="34">
        <f>VLOOKUP($E77,'Retail Rates'!$B$7:$L$34,11,FALSE)</f>
        <v>0</v>
      </c>
      <c r="V77" s="556">
        <f>VLOOKUP($D77,'GSC-DSM-GLT Factors'!$A$1:$O$60,14,FALSE)</f>
        <v>2838.87</v>
      </c>
      <c r="W77" s="36">
        <f t="shared" si="131"/>
        <v>0</v>
      </c>
      <c r="X77" s="36"/>
      <c r="Y77" s="36"/>
      <c r="Z77" s="36">
        <f t="shared" si="132"/>
        <v>0</v>
      </c>
      <c r="AA77" s="36">
        <f t="shared" si="133"/>
        <v>0</v>
      </c>
      <c r="AB77" s="36">
        <f t="shared" si="134"/>
        <v>0</v>
      </c>
      <c r="AC77" s="36"/>
      <c r="AD77" s="36"/>
      <c r="AE77" s="36">
        <f t="shared" si="147"/>
        <v>0</v>
      </c>
      <c r="AF77" s="36">
        <f t="shared" si="135"/>
        <v>0</v>
      </c>
      <c r="AG77" s="57">
        <f>SUMIFS(Adjustments!H$5:H$557,Adjustments!$B$5:$B$557,'Mar16-Aug16 Billed-RETAIL'!$D77,Adjustments!$C$5:$C$557,'Mar16-Aug16 Billed-RETAIL'!$E77)</f>
        <v>0</v>
      </c>
      <c r="AH77" s="57">
        <f>SUMIFS(Adjustments!I$5:I$557,Adjustments!$B$5:$B$557,'Mar16-Aug16 Billed-RETAIL'!$D77,Adjustments!$C$5:$C$557,'Mar16-Aug16 Billed-RETAIL'!$E77)</f>
        <v>0</v>
      </c>
      <c r="AI77" s="48">
        <f>SUMIFS(Adjustments!J$5:J$557,Adjustments!$B$5:$B$557,'Mar16-Aug16 Billed-RETAIL'!$D77,Adjustments!$C$5:$C$557,'Mar16-Aug16 Billed-RETAIL'!$E77)</f>
        <v>0</v>
      </c>
      <c r="AJ77" s="48">
        <f>SUMIFS(Adjustments!K$5:K$557,Adjustments!$B$5:$B$557,'Mar16-Aug16 Billed-RETAIL'!$D77,Adjustments!$C$5:$C$557,'Mar16-Aug16 Billed-RETAIL'!$E77)</f>
        <v>0</v>
      </c>
      <c r="AK77" s="48">
        <f>SUMIFS(Adjustments!L$5:L$557,Adjustments!$B$5:$B$557,'Mar16-Aug16 Billed-RETAIL'!$D77,Adjustments!$C$5:$C$557,'Mar16-Aug16 Billed-RETAIL'!$E77)</f>
        <v>0</v>
      </c>
      <c r="AL77" s="48">
        <f>SUMIFS(Adjustments!M$5:M$557,Adjustments!$B$5:$B$557,'Mar16-Aug16 Billed-RETAIL'!$D77,Adjustments!$C$5:$C$557,'Mar16-Aug16 Billed-RETAIL'!$E77)</f>
        <v>0</v>
      </c>
      <c r="AM77" s="48">
        <f>SUMIFS(Adjustments!N$5:N$557,Adjustments!$B$5:$B$557,'Mar16-Aug16 Billed-RETAIL'!$D77,Adjustments!$C$5:$C$557,'Mar16-Aug16 Billed-RETAIL'!$E77)</f>
        <v>0</v>
      </c>
      <c r="AN77" s="48">
        <f>SUMIFS(Adjustments!O$5:O$557,Adjustments!$B$5:$B$557,'Mar16-Aug16 Billed-RETAIL'!$D77,Adjustments!$C$5:$C$557,'Mar16-Aug16 Billed-RETAIL'!$E77)</f>
        <v>0</v>
      </c>
      <c r="AO77" s="48">
        <f>SUMIFS(Adjustments!P$5:P$557,Adjustments!$B$5:$B$557,'Mar16-Aug16 Billed-RETAIL'!$D77,Adjustments!$C$5:$C$557,'Mar16-Aug16 Billed-RETAIL'!$E77)</f>
        <v>0</v>
      </c>
      <c r="AP77" s="36">
        <f t="shared" si="136"/>
        <v>0</v>
      </c>
      <c r="AQ77" s="36">
        <f t="shared" si="137"/>
        <v>0</v>
      </c>
      <c r="AR77" s="36">
        <f t="shared" si="138"/>
        <v>0</v>
      </c>
      <c r="AS77" s="36">
        <f t="shared" si="139"/>
        <v>0</v>
      </c>
      <c r="AT77" s="43">
        <f t="shared" si="148"/>
        <v>0</v>
      </c>
      <c r="AU77" s="43">
        <f t="shared" si="149"/>
        <v>0</v>
      </c>
      <c r="AV77" s="43"/>
      <c r="AW77" s="43">
        <f t="shared" si="150"/>
        <v>0</v>
      </c>
      <c r="AX77" s="36">
        <f t="shared" si="140"/>
        <v>0</v>
      </c>
      <c r="AY77" s="36"/>
      <c r="AZ77" s="43">
        <f t="shared" ref="AZ77:AZ85" si="153">ROUND(SUM(AP77:AY77),2)</f>
        <v>0</v>
      </c>
      <c r="BA77" s="43">
        <f>SUM(BC77:BJ77)-BF77</f>
        <v>0</v>
      </c>
      <c r="BB77" s="44">
        <f t="shared" si="141"/>
        <v>0</v>
      </c>
      <c r="BC77" s="43">
        <f>(SUMIFS('Fin Forecast'!$E$4:$E$545,'Fin Forecast'!$B$4:$B$545,'Mar16-Aug16 Billed-RETAIL'!$E77,'Fin Forecast'!$C$4:$C$545,'Mar16-Aug16 Billed-RETAIL'!BC$5))*1000</f>
        <v>0</v>
      </c>
      <c r="BD77" s="43">
        <f>(SUMIFS('Fin Forecast'!$E$4:$E$545,'Fin Forecast'!$B$4:$B$545,'Mar16-Aug16 Billed-RETAIL'!$E77,'Fin Forecast'!$C$4:$C$545,'Mar16-Aug16 Billed-RETAIL'!BD$5))*1000</f>
        <v>0</v>
      </c>
      <c r="BE77" s="43">
        <v>0</v>
      </c>
      <c r="BF77" s="43">
        <v>0</v>
      </c>
      <c r="BG77" s="43">
        <f>(SUMIFS('Fin Forecast'!$E$4:$E$545,'Fin Forecast'!$B$4:$B$545,'Mar16-Aug16 Billed-RETAIL'!$E77,'Fin Forecast'!$C$4:$C$545,'Mar16-Aug16 Billed-RETAIL'!BG$5))*1000</f>
        <v>0</v>
      </c>
      <c r="BH77" s="43">
        <f>(SUMIFS('Fin Forecast'!$E$4:$E$545,'Fin Forecast'!$B$4:$B$545,'Mar16-Aug16 Billed-RETAIL'!$E77,'Fin Forecast'!$C$4:$C$545,'Mar16-Aug16 Billed-RETAIL'!BH$5))*1000</f>
        <v>0</v>
      </c>
      <c r="BI77" s="43">
        <f>(SUMIFS('Fin Forecast'!$E$4:$E$545,'Fin Forecast'!$B$4:$B$545,'Mar16-Aug16 Billed-RETAIL'!$E77,'Fin Forecast'!$C$4:$C$545,'Mar16-Aug16 Billed-RETAIL'!BI$5))*1000</f>
        <v>0</v>
      </c>
      <c r="BJ77" s="43">
        <f>(SUMIFS('Fin Forecast'!$E$4:$E$545,'Fin Forecast'!$B$4:$B$545,'Mar16-Aug16 Billed-RETAIL'!$E77,'Fin Forecast'!$C$4:$C$545,'Mar16-Aug16 Billed-RETAIL'!BJ$5))*1000</f>
        <v>0</v>
      </c>
      <c r="BL77" s="51">
        <f t="shared" si="142"/>
        <v>0</v>
      </c>
      <c r="BN77" s="58">
        <f t="shared" si="143"/>
        <v>0</v>
      </c>
      <c r="BO77" s="58">
        <f t="shared" si="144"/>
        <v>0</v>
      </c>
      <c r="BP77" s="58">
        <f t="shared" si="145"/>
        <v>0</v>
      </c>
    </row>
    <row r="78" spans="1:68" ht="15" x14ac:dyDescent="0.25">
      <c r="A78" s="548" t="s">
        <v>799</v>
      </c>
      <c r="B78" s="548" t="s">
        <v>800</v>
      </c>
      <c r="C78" s="14">
        <f t="shared" si="151"/>
        <v>64</v>
      </c>
      <c r="D78" s="604">
        <f t="shared" si="152"/>
        <v>42614</v>
      </c>
      <c r="E78" s="604" t="str">
        <f>+'Retail Rates'!$B$15</f>
        <v>LGCMG851</v>
      </c>
      <c r="F78" s="14" t="str">
        <f t="shared" si="146"/>
        <v>851</v>
      </c>
      <c r="G78" s="14" t="str">
        <f>VLOOKUP(E78,'Retail Rates'!$B$7:$D$34,3,FALSE)</f>
        <v>CGS</v>
      </c>
      <c r="H78" s="546"/>
      <c r="I78" s="546">
        <f>SUMIFS('Forecasted Customer Cts'!$N$5:$N$36,'Forecasted Customer Cts'!$D$5:$D$36,'Mar16-Aug16 Billed-RETAIL'!$E78,'Forecasted Customer Cts'!$C$5:$C$36,'Mar16-Aug16 Billed-RETAIL'!$A$78)</f>
        <v>23778</v>
      </c>
      <c r="J78" s="546">
        <f>SUMIFS('Forecasted Customer Cts'!$N$5:$N$36,'Forecasted Customer Cts'!$D$5:$D$36,'Mar16-Aug16 Billed-RETAIL'!$E78,'Forecasted Customer Cts'!$C$5:$C$36,'Mar16-Aug16 Billed-RETAIL'!$B$78)</f>
        <v>990</v>
      </c>
      <c r="K78" s="546">
        <f>SUMIFS('Forecasted Calendar Month Usage'!$N$5:$N$41,'Forecasted Calendar Month Usage'!$D$5:$D$41,'Mar16-Aug16 Billed-RETAIL'!$E78,'Forecasted Calendar Month Usage'!$C$5:$C$41,'Mar16-Aug16 Billed-RETAIL'!$A$81)*10</f>
        <v>3010924.3441595691</v>
      </c>
      <c r="L78" s="546">
        <f>SUMIFS('Forecasted Calendar Month Usage'!$N$5:$N$41,'Forecasted Calendar Month Usage'!$D$5:$D$41,'Mar16-Aug16 Billed-RETAIL'!$E78,'Forecasted Calendar Month Usage'!$C$5:$C$41,'Mar16-Aug16 Billed-RETAIL'!$B$81)*10</f>
        <v>93098.169677804166</v>
      </c>
      <c r="N78" s="34">
        <f>VLOOKUP($E78,'Retail Rates'!$B$7:$L$34,5,FALSE)</f>
        <v>40</v>
      </c>
      <c r="O78" s="34">
        <f>VLOOKUP($E78,'Retail Rates'!$B$7:$L$34,6,FALSE)</f>
        <v>180</v>
      </c>
      <c r="P78" s="35">
        <f>VLOOKUP($E78,'Retail Rates'!$B$7:$L$34,7,FALSE)</f>
        <v>0.21504000000000001</v>
      </c>
      <c r="Q78" s="35">
        <f>VLOOKUP($E78,'Retail Rates'!$B$7:$L$34,8,FALSE)</f>
        <v>0.16504000000000002</v>
      </c>
      <c r="R78" s="35">
        <f>VLOOKUP($D78,'GSC-DSM-GLT Factors'!$A$1:$B$60,2,FALSE)</f>
        <v>0.38216</v>
      </c>
      <c r="S78" s="34">
        <f>VLOOKUP($E78,'Retail Rates'!$B$7:$L$34,9,FALSE)</f>
        <v>0</v>
      </c>
      <c r="T78" s="35">
        <f>VLOOKUP($E78,'Retail Rates'!$B$7:$L$34,10,FALSE)</f>
        <v>0</v>
      </c>
      <c r="U78" s="34">
        <f>VLOOKUP($E78,'Retail Rates'!$B$7:$L$34,11,FALSE)</f>
        <v>0</v>
      </c>
      <c r="V78" s="556">
        <f>VLOOKUP($D78,'GSC-DSM-GLT Factors'!$A$1:$O$60,12,FALSE)</f>
        <v>27.41</v>
      </c>
      <c r="W78" s="36">
        <f t="shared" si="131"/>
        <v>951120</v>
      </c>
      <c r="X78" s="36"/>
      <c r="Y78" s="36">
        <f>+J78*O78</f>
        <v>178200</v>
      </c>
      <c r="Z78" s="36">
        <f t="shared" si="132"/>
        <v>647469.17096807377</v>
      </c>
      <c r="AA78" s="36">
        <f t="shared" si="133"/>
        <v>15364.921923624801</v>
      </c>
      <c r="AB78" s="36">
        <f t="shared" si="134"/>
        <v>1186233.2438880906</v>
      </c>
      <c r="AC78" s="36"/>
      <c r="AD78" s="36"/>
      <c r="AE78" s="36">
        <f t="shared" si="147"/>
        <v>0</v>
      </c>
      <c r="AF78" s="36">
        <f t="shared" si="135"/>
        <v>651754.98</v>
      </c>
      <c r="AG78" s="57">
        <f>SUMIFS(Adjustments!H$5:H$557,Adjustments!$B$5:$B$557,'Mar16-Aug16 Billed-RETAIL'!$D78,Adjustments!$C$5:$C$557,'Mar16-Aug16 Billed-RETAIL'!$E78)</f>
        <v>0</v>
      </c>
      <c r="AH78" s="57">
        <f>SUMIFS(Adjustments!I$5:I$557,Adjustments!$B$5:$B$557,'Mar16-Aug16 Billed-RETAIL'!$D78,Adjustments!$C$5:$C$557,'Mar16-Aug16 Billed-RETAIL'!$E78)</f>
        <v>0</v>
      </c>
      <c r="AI78" s="48">
        <f>SUMIFS(Adjustments!J$5:J$557,Adjustments!$B$5:$B$557,'Mar16-Aug16 Billed-RETAIL'!$D78,Adjustments!$C$5:$C$557,'Mar16-Aug16 Billed-RETAIL'!$E78)</f>
        <v>0</v>
      </c>
      <c r="AJ78" s="48">
        <f>SUMIFS(Adjustments!K$5:K$557,Adjustments!$B$5:$B$557,'Mar16-Aug16 Billed-RETAIL'!$D78,Adjustments!$C$5:$C$557,'Mar16-Aug16 Billed-RETAIL'!$E78)</f>
        <v>0</v>
      </c>
      <c r="AK78" s="48">
        <f>SUMIFS(Adjustments!L$5:L$557,Adjustments!$B$5:$B$557,'Mar16-Aug16 Billed-RETAIL'!$D78,Adjustments!$C$5:$C$557,'Mar16-Aug16 Billed-RETAIL'!$E78)</f>
        <v>0</v>
      </c>
      <c r="AL78" s="48">
        <f>SUMIFS(Adjustments!M$5:M$557,Adjustments!$B$5:$B$557,'Mar16-Aug16 Billed-RETAIL'!$D78,Adjustments!$C$5:$C$557,'Mar16-Aug16 Billed-RETAIL'!$E78)</f>
        <v>0</v>
      </c>
      <c r="AM78" s="48">
        <f>SUMIFS(Adjustments!N$5:N$557,Adjustments!$B$5:$B$557,'Mar16-Aug16 Billed-RETAIL'!$D78,Adjustments!$C$5:$C$557,'Mar16-Aug16 Billed-RETAIL'!$E78)</f>
        <v>0</v>
      </c>
      <c r="AN78" s="48">
        <f>SUMIFS(Adjustments!O$5:O$557,Adjustments!$B$5:$B$557,'Mar16-Aug16 Billed-RETAIL'!$D78,Adjustments!$C$5:$C$557,'Mar16-Aug16 Billed-RETAIL'!$E78)</f>
        <v>0</v>
      </c>
      <c r="AO78" s="48">
        <f>SUMIFS(Adjustments!P$5:P$557,Adjustments!$B$5:$B$557,'Mar16-Aug16 Billed-RETAIL'!$D78,Adjustments!$C$5:$C$557,'Mar16-Aug16 Billed-RETAIL'!$E78)</f>
        <v>0</v>
      </c>
      <c r="AP78" s="36">
        <f t="shared" si="136"/>
        <v>951120</v>
      </c>
      <c r="AQ78" s="36">
        <f t="shared" si="137"/>
        <v>178200</v>
      </c>
      <c r="AR78" s="36">
        <f t="shared" si="138"/>
        <v>647469.17096807377</v>
      </c>
      <c r="AS78" s="36">
        <f t="shared" si="139"/>
        <v>15364.921923624801</v>
      </c>
      <c r="AT78" s="43">
        <f t="shared" si="148"/>
        <v>1099234.7207533231</v>
      </c>
      <c r="AU78" s="43">
        <f t="shared" si="149"/>
        <v>108351.6280059831</v>
      </c>
      <c r="AV78" s="43"/>
      <c r="AW78" s="43">
        <f t="shared" si="150"/>
        <v>626097.55344064627</v>
      </c>
      <c r="AX78" s="36">
        <f t="shared" si="140"/>
        <v>0</v>
      </c>
      <c r="AY78" s="36"/>
      <c r="AZ78" s="43">
        <f t="shared" si="153"/>
        <v>3625838</v>
      </c>
      <c r="BA78" s="43">
        <f>SUM(BC78:BJ78)-BF78</f>
        <v>3625837.9951531552</v>
      </c>
      <c r="BB78" s="44">
        <f t="shared" si="141"/>
        <v>1</v>
      </c>
      <c r="BC78" s="43">
        <f>(SUMIFS('Fin Forecast'!$E$4:$E$545,'Fin Forecast'!$B$4:$B$545,'Mar16-Aug16 Billed-RETAIL'!$E78,'Fin Forecast'!$C$4:$C$545,'Mar16-Aug16 Billed-RETAIL'!BC$5))*1000</f>
        <v>108351.6280059831</v>
      </c>
      <c r="BD78" s="43">
        <f>(SUMIFS('Fin Forecast'!$E$4:$E$545,'Fin Forecast'!$B$4:$B$545,'Mar16-Aug16 Billed-RETAIL'!$E78,'Fin Forecast'!$C$4:$C$545,'Mar16-Aug16 Billed-RETAIL'!BD$5))*1000</f>
        <v>1099234.7207533231</v>
      </c>
      <c r="BE78" s="43">
        <v>0</v>
      </c>
      <c r="BF78" s="43">
        <v>0</v>
      </c>
      <c r="BG78" s="43">
        <f>(SUMIFS('Fin Forecast'!$E$4:$E$545,'Fin Forecast'!$B$4:$B$545,'Mar16-Aug16 Billed-RETAIL'!$E78,'Fin Forecast'!$C$4:$C$545,'Mar16-Aug16 Billed-RETAIL'!BG$5))*1000</f>
        <v>1129320</v>
      </c>
      <c r="BH78" s="43">
        <f>(SUMIFS('Fin Forecast'!$E$4:$E$545,'Fin Forecast'!$B$4:$B$545,'Mar16-Aug16 Billed-RETAIL'!$E78,'Fin Forecast'!$C$4:$C$545,'Mar16-Aug16 Billed-RETAIL'!BH$5))*1000</f>
        <v>662834.09295320278</v>
      </c>
      <c r="BI78" s="43">
        <f>(SUMIFS('Fin Forecast'!$E$4:$E$545,'Fin Forecast'!$B$4:$B$545,'Mar16-Aug16 Billed-RETAIL'!$E78,'Fin Forecast'!$C$4:$C$545,'Mar16-Aug16 Billed-RETAIL'!BI$5))*1000</f>
        <v>0</v>
      </c>
      <c r="BJ78" s="43">
        <f>(SUMIFS('Fin Forecast'!$E$4:$E$545,'Fin Forecast'!$B$4:$B$545,'Mar16-Aug16 Billed-RETAIL'!$E78,'Fin Forecast'!$C$4:$C$545,'Mar16-Aug16 Billed-RETAIL'!BJ$5))*1000</f>
        <v>626097.55344064627</v>
      </c>
      <c r="BL78" s="51">
        <f t="shared" si="142"/>
        <v>4.8468448221683502E-3</v>
      </c>
      <c r="BN78" s="58">
        <f t="shared" si="143"/>
        <v>0</v>
      </c>
      <c r="BO78" s="58">
        <f t="shared" si="144"/>
        <v>-6.150419358164072E-5</v>
      </c>
      <c r="BP78" s="58">
        <f t="shared" si="145"/>
        <v>0</v>
      </c>
    </row>
    <row r="79" spans="1:68" ht="15" x14ac:dyDescent="0.25">
      <c r="C79" s="14">
        <f t="shared" si="151"/>
        <v>65</v>
      </c>
      <c r="D79" s="604">
        <f t="shared" si="152"/>
        <v>42614</v>
      </c>
      <c r="E79" s="604" t="str">
        <f>+'Retail Rates'!$B$16</f>
        <v>LGUMG861</v>
      </c>
      <c r="F79" s="14" t="str">
        <f t="shared" si="146"/>
        <v>861</v>
      </c>
      <c r="G79" s="14" t="str">
        <f>VLOOKUP(E79,'Retail Rates'!$B$7:$D$34,3,FALSE)</f>
        <v>CGS</v>
      </c>
      <c r="H79" s="546"/>
      <c r="I79" s="546"/>
      <c r="J79" s="546"/>
      <c r="K79" s="545"/>
      <c r="L79" s="545"/>
      <c r="N79" s="34">
        <f>VLOOKUP($E79,'Retail Rates'!$B$7:$L$34,5,FALSE)</f>
        <v>40</v>
      </c>
      <c r="O79" s="34">
        <f>VLOOKUP($E79,'Retail Rates'!$B$7:$L$34,6,FALSE)</f>
        <v>180</v>
      </c>
      <c r="P79" s="35">
        <f>VLOOKUP($E79,'Retail Rates'!$B$7:$L$34,7,FALSE)</f>
        <v>0.21504000000000001</v>
      </c>
      <c r="Q79" s="35">
        <f>VLOOKUP($E79,'Retail Rates'!$B$7:$L$34,8,FALSE)</f>
        <v>0.16504000000000002</v>
      </c>
      <c r="R79" s="35">
        <f>VLOOKUP($D79,'GSC-DSM-GLT Factors'!$A$1:$B$60,2,FALSE)</f>
        <v>0.38216</v>
      </c>
      <c r="S79" s="34">
        <f>VLOOKUP($E79,'Retail Rates'!$B$7:$L$34,9,FALSE)</f>
        <v>0</v>
      </c>
      <c r="T79" s="35">
        <f>VLOOKUP($E79,'Retail Rates'!$B$7:$L$34,10,FALSE)</f>
        <v>0</v>
      </c>
      <c r="U79" s="34">
        <f>VLOOKUP($E79,'Retail Rates'!$B$7:$L$34,11,FALSE)</f>
        <v>0</v>
      </c>
      <c r="V79" s="556">
        <f>VLOOKUP($D79,'GSC-DSM-GLT Factors'!$A$1:$O$60,12,FALSE)</f>
        <v>27.41</v>
      </c>
      <c r="W79" s="36">
        <f t="shared" si="131"/>
        <v>0</v>
      </c>
      <c r="X79" s="36"/>
      <c r="Y79" s="36">
        <f>+J79*O79</f>
        <v>0</v>
      </c>
      <c r="Z79" s="36">
        <f t="shared" si="132"/>
        <v>0</v>
      </c>
      <c r="AA79" s="36">
        <f t="shared" si="133"/>
        <v>0</v>
      </c>
      <c r="AB79" s="36">
        <f t="shared" si="134"/>
        <v>0</v>
      </c>
      <c r="AC79" s="36"/>
      <c r="AD79" s="36"/>
      <c r="AE79" s="36">
        <f t="shared" si="147"/>
        <v>0</v>
      </c>
      <c r="AF79" s="36">
        <f t="shared" si="135"/>
        <v>0</v>
      </c>
      <c r="AG79" s="57">
        <f>SUMIFS(Adjustments!H$5:H$557,Adjustments!$B$5:$B$557,'Mar16-Aug16 Billed-RETAIL'!$D79,Adjustments!$C$5:$C$557,'Mar16-Aug16 Billed-RETAIL'!$E79)</f>
        <v>0</v>
      </c>
      <c r="AH79" s="57">
        <f>SUMIFS(Adjustments!I$5:I$557,Adjustments!$B$5:$B$557,'Mar16-Aug16 Billed-RETAIL'!$D79,Adjustments!$C$5:$C$557,'Mar16-Aug16 Billed-RETAIL'!$E79)</f>
        <v>0</v>
      </c>
      <c r="AI79" s="48">
        <f>SUMIFS(Adjustments!J$5:J$557,Adjustments!$B$5:$B$557,'Mar16-Aug16 Billed-RETAIL'!$D79,Adjustments!$C$5:$C$557,'Mar16-Aug16 Billed-RETAIL'!$E79)</f>
        <v>0</v>
      </c>
      <c r="AJ79" s="48">
        <f>SUMIFS(Adjustments!K$5:K$557,Adjustments!$B$5:$B$557,'Mar16-Aug16 Billed-RETAIL'!$D79,Adjustments!$C$5:$C$557,'Mar16-Aug16 Billed-RETAIL'!$E79)</f>
        <v>0</v>
      </c>
      <c r="AK79" s="48">
        <f>SUMIFS(Adjustments!L$5:L$557,Adjustments!$B$5:$B$557,'Mar16-Aug16 Billed-RETAIL'!$D79,Adjustments!$C$5:$C$557,'Mar16-Aug16 Billed-RETAIL'!$E79)</f>
        <v>0</v>
      </c>
      <c r="AL79" s="48">
        <f>SUMIFS(Adjustments!M$5:M$557,Adjustments!$B$5:$B$557,'Mar16-Aug16 Billed-RETAIL'!$D79,Adjustments!$C$5:$C$557,'Mar16-Aug16 Billed-RETAIL'!$E79)</f>
        <v>0</v>
      </c>
      <c r="AM79" s="48">
        <f>SUMIFS(Adjustments!N$5:N$557,Adjustments!$B$5:$B$557,'Mar16-Aug16 Billed-RETAIL'!$D79,Adjustments!$C$5:$C$557,'Mar16-Aug16 Billed-RETAIL'!$E79)</f>
        <v>0</v>
      </c>
      <c r="AN79" s="48">
        <f>SUMIFS(Adjustments!O$5:O$557,Adjustments!$B$5:$B$557,'Mar16-Aug16 Billed-RETAIL'!$D79,Adjustments!$C$5:$C$557,'Mar16-Aug16 Billed-RETAIL'!$E79)</f>
        <v>0</v>
      </c>
      <c r="AO79" s="48">
        <f>SUMIFS(Adjustments!P$5:P$557,Adjustments!$B$5:$B$557,'Mar16-Aug16 Billed-RETAIL'!$D79,Adjustments!$C$5:$C$557,'Mar16-Aug16 Billed-RETAIL'!$E79)</f>
        <v>0</v>
      </c>
      <c r="AP79" s="36">
        <f t="shared" si="136"/>
        <v>0</v>
      </c>
      <c r="AQ79" s="36">
        <f t="shared" si="137"/>
        <v>0</v>
      </c>
      <c r="AR79" s="36">
        <f t="shared" si="138"/>
        <v>0</v>
      </c>
      <c r="AS79" s="36">
        <f t="shared" si="139"/>
        <v>0</v>
      </c>
      <c r="AT79" s="43">
        <f t="shared" si="148"/>
        <v>0</v>
      </c>
      <c r="AU79" s="43">
        <f t="shared" si="149"/>
        <v>0</v>
      </c>
      <c r="AV79" s="43"/>
      <c r="AW79" s="43">
        <f t="shared" si="150"/>
        <v>0</v>
      </c>
      <c r="AX79" s="36">
        <f t="shared" si="140"/>
        <v>0</v>
      </c>
      <c r="AY79" s="36"/>
      <c r="AZ79" s="43">
        <f t="shared" si="153"/>
        <v>0</v>
      </c>
      <c r="BA79" s="43">
        <f>SUM(BC79:BJ79)-BF79</f>
        <v>0</v>
      </c>
      <c r="BB79" s="44">
        <f t="shared" si="141"/>
        <v>0</v>
      </c>
      <c r="BC79" s="43">
        <f>(SUMIFS('Fin Forecast'!$E$4:$E$545,'Fin Forecast'!$B$4:$B$545,'Mar16-Aug16 Billed-RETAIL'!$E79,'Fin Forecast'!$C$4:$C$545,'Mar16-Aug16 Billed-RETAIL'!BC$5))*1000</f>
        <v>0</v>
      </c>
      <c r="BD79" s="43">
        <f>(SUMIFS('Fin Forecast'!$E$4:$E$545,'Fin Forecast'!$B$4:$B$545,'Mar16-Aug16 Billed-RETAIL'!$E79,'Fin Forecast'!$C$4:$C$545,'Mar16-Aug16 Billed-RETAIL'!BD$5))*1000</f>
        <v>0</v>
      </c>
      <c r="BE79" s="43">
        <v>0</v>
      </c>
      <c r="BF79" s="43">
        <v>0</v>
      </c>
      <c r="BG79" s="43">
        <f>(SUMIFS('Fin Forecast'!$E$4:$E$545,'Fin Forecast'!$B$4:$B$545,'Mar16-Aug16 Billed-RETAIL'!$E79,'Fin Forecast'!$C$4:$C$545,'Mar16-Aug16 Billed-RETAIL'!BG$5))*1000</f>
        <v>0</v>
      </c>
      <c r="BH79" s="43">
        <f>(SUMIFS('Fin Forecast'!$E$4:$E$545,'Fin Forecast'!$B$4:$B$545,'Mar16-Aug16 Billed-RETAIL'!$E79,'Fin Forecast'!$C$4:$C$545,'Mar16-Aug16 Billed-RETAIL'!BH$5))*1000</f>
        <v>0</v>
      </c>
      <c r="BI79" s="43">
        <f>(SUMIFS('Fin Forecast'!$E$4:$E$545,'Fin Forecast'!$B$4:$B$545,'Mar16-Aug16 Billed-RETAIL'!$E79,'Fin Forecast'!$C$4:$C$545,'Mar16-Aug16 Billed-RETAIL'!BI$5))*1000</f>
        <v>0</v>
      </c>
      <c r="BJ79" s="43">
        <f>(SUMIFS('Fin Forecast'!$E$4:$E$545,'Fin Forecast'!$B$4:$B$545,'Mar16-Aug16 Billed-RETAIL'!$E79,'Fin Forecast'!$C$4:$C$545,'Mar16-Aug16 Billed-RETAIL'!BJ$5))*1000</f>
        <v>0</v>
      </c>
      <c r="BL79" s="51">
        <f t="shared" si="142"/>
        <v>0</v>
      </c>
      <c r="BN79" s="58">
        <f t="shared" si="143"/>
        <v>0</v>
      </c>
      <c r="BO79" s="58">
        <f t="shared" si="144"/>
        <v>0</v>
      </c>
      <c r="BP79" s="58">
        <f t="shared" si="145"/>
        <v>0</v>
      </c>
    </row>
    <row r="80" spans="1:68" ht="15" x14ac:dyDescent="0.25">
      <c r="A80" s="548" t="s">
        <v>799</v>
      </c>
      <c r="B80" s="548" t="s">
        <v>800</v>
      </c>
      <c r="C80" s="14">
        <f t="shared" si="151"/>
        <v>66</v>
      </c>
      <c r="D80" s="604">
        <f t="shared" si="152"/>
        <v>42614</v>
      </c>
      <c r="E80" s="604" t="str">
        <f>+'Retail Rates'!$B$20</f>
        <v>LGCMG875</v>
      </c>
      <c r="F80" s="14" t="str">
        <f t="shared" si="146"/>
        <v>875</v>
      </c>
      <c r="G80" s="14" t="str">
        <f>VLOOKUP(E80,'Retail Rates'!$B$7:$D$34,3,FALSE)</f>
        <v>DGGS-C</v>
      </c>
      <c r="H80" s="546">
        <v>1</v>
      </c>
      <c r="I80" s="546"/>
      <c r="J80" s="546"/>
      <c r="K80" s="546">
        <v>6</v>
      </c>
      <c r="L80" s="546"/>
      <c r="M80" s="21">
        <v>483</v>
      </c>
      <c r="N80" s="34">
        <f>VLOOKUP($E80,'Retail Rates'!$B$7:$L$34,5,FALSE)</f>
        <v>40</v>
      </c>
      <c r="O80" s="34">
        <f>VLOOKUP($E80,'Retail Rates'!$B$7:$L$34,6,FALSE)</f>
        <v>180</v>
      </c>
      <c r="P80" s="35">
        <f>VLOOKUP($E80,'Retail Rates'!$B$7:$L$34,7,FALSE)</f>
        <v>3.329E-2</v>
      </c>
      <c r="Q80" s="35">
        <f>VLOOKUP($E80,'Retail Rates'!$B$7:$L$34,8,FALSE)</f>
        <v>0</v>
      </c>
      <c r="R80" s="35">
        <f>VLOOKUP($D80,'GSC-DSM-GLT Factors'!$A$1:$B$60,2,FALSE)</f>
        <v>0.38216</v>
      </c>
      <c r="S80" s="34">
        <f>VLOOKUP($E80,'Retail Rates'!$B$7:$L$34,9,FALSE)</f>
        <v>0</v>
      </c>
      <c r="T80" s="35">
        <f>VLOOKUP($E80,'Retail Rates'!$B$7:$L$34,10,FALSE)</f>
        <v>0</v>
      </c>
      <c r="U80" s="699">
        <f>VLOOKUP($E80,'Retail Rates'!$B$7:$L$34,11,FALSE)</f>
        <v>1.1263000000000001</v>
      </c>
      <c r="V80" s="556">
        <f>VLOOKUP($D80,'GSC-DSM-GLT Factors'!$A$1:$O$60,15,FALSE)</f>
        <v>0</v>
      </c>
      <c r="W80" s="36">
        <f t="shared" si="131"/>
        <v>40</v>
      </c>
      <c r="X80" s="36"/>
      <c r="Y80" s="36"/>
      <c r="Z80" s="36">
        <f t="shared" si="132"/>
        <v>0.19974</v>
      </c>
      <c r="AA80" s="36">
        <f t="shared" si="133"/>
        <v>0</v>
      </c>
      <c r="AB80" s="36">
        <f t="shared" si="134"/>
        <v>2.2929599999999999</v>
      </c>
      <c r="AC80" s="36"/>
      <c r="AD80" s="36"/>
      <c r="AE80" s="36">
        <f t="shared" si="147"/>
        <v>544.00290000000007</v>
      </c>
      <c r="AF80" s="36">
        <f t="shared" si="135"/>
        <v>0</v>
      </c>
      <c r="AG80" s="57">
        <f>SUMIFS(Adjustments!H$5:H$557,Adjustments!$B$5:$B$557,'Mar16-Aug16 Billed-RETAIL'!$D80,Adjustments!$C$5:$C$557,'Mar16-Aug16 Billed-RETAIL'!$E80)</f>
        <v>0</v>
      </c>
      <c r="AH80" s="57">
        <f>SUMIFS(Adjustments!I$5:I$557,Adjustments!$B$5:$B$557,'Mar16-Aug16 Billed-RETAIL'!$D80,Adjustments!$C$5:$C$557,'Mar16-Aug16 Billed-RETAIL'!$E80)</f>
        <v>0</v>
      </c>
      <c r="AI80" s="48">
        <f>SUMIFS(Adjustments!J$5:J$557,Adjustments!$B$5:$B$557,'Mar16-Aug16 Billed-RETAIL'!$D80,Adjustments!$C$5:$C$557,'Mar16-Aug16 Billed-RETAIL'!$E80)</f>
        <v>0</v>
      </c>
      <c r="AJ80" s="48">
        <f>SUMIFS(Adjustments!K$5:K$557,Adjustments!$B$5:$B$557,'Mar16-Aug16 Billed-RETAIL'!$D80,Adjustments!$C$5:$C$557,'Mar16-Aug16 Billed-RETAIL'!$E80)</f>
        <v>0</v>
      </c>
      <c r="AK80" s="48">
        <f>SUMIFS(Adjustments!L$5:L$557,Adjustments!$B$5:$B$557,'Mar16-Aug16 Billed-RETAIL'!$D80,Adjustments!$C$5:$C$557,'Mar16-Aug16 Billed-RETAIL'!$E80)</f>
        <v>0</v>
      </c>
      <c r="AL80" s="48">
        <f>SUMIFS(Adjustments!M$5:M$557,Adjustments!$B$5:$B$557,'Mar16-Aug16 Billed-RETAIL'!$D80,Adjustments!$C$5:$C$557,'Mar16-Aug16 Billed-RETAIL'!$E80)</f>
        <v>0</v>
      </c>
      <c r="AM80" s="48">
        <f>SUMIFS(Adjustments!N$5:N$557,Adjustments!$B$5:$B$557,'Mar16-Aug16 Billed-RETAIL'!$D80,Adjustments!$C$5:$C$557,'Mar16-Aug16 Billed-RETAIL'!$E80)</f>
        <v>0</v>
      </c>
      <c r="AN80" s="48">
        <f>SUMIFS(Adjustments!O$5:O$557,Adjustments!$B$5:$B$557,'Mar16-Aug16 Billed-RETAIL'!$D80,Adjustments!$C$5:$C$557,'Mar16-Aug16 Billed-RETAIL'!$E80)</f>
        <v>0</v>
      </c>
      <c r="AO80" s="48">
        <f>SUMIFS(Adjustments!P$5:P$557,Adjustments!$B$5:$B$557,'Mar16-Aug16 Billed-RETAIL'!$D80,Adjustments!$C$5:$C$557,'Mar16-Aug16 Billed-RETAIL'!$E80)</f>
        <v>0</v>
      </c>
      <c r="AP80" s="36">
        <f t="shared" si="136"/>
        <v>40</v>
      </c>
      <c r="AQ80" s="36">
        <f t="shared" si="137"/>
        <v>0</v>
      </c>
      <c r="AR80" s="36">
        <f t="shared" si="138"/>
        <v>0.19974</v>
      </c>
      <c r="AS80" s="36">
        <f t="shared" si="139"/>
        <v>0</v>
      </c>
      <c r="AT80" s="43">
        <f t="shared" si="148"/>
        <v>2.1247939712130202</v>
      </c>
      <c r="AU80" s="43">
        <f t="shared" si="149"/>
        <v>0.20944106077767602</v>
      </c>
      <c r="AV80" s="43"/>
      <c r="AW80" s="43">
        <f t="shared" si="150"/>
        <v>0</v>
      </c>
      <c r="AX80" s="36">
        <f t="shared" si="140"/>
        <v>544.00290000000007</v>
      </c>
      <c r="AY80" s="36"/>
      <c r="AZ80" s="43">
        <f t="shared" si="153"/>
        <v>586.54</v>
      </c>
      <c r="BA80" s="43">
        <f>ROUND(SUM(BC80:BJ80)-BF80,2)</f>
        <v>586.54</v>
      </c>
      <c r="BB80" s="44">
        <f t="shared" si="141"/>
        <v>1</v>
      </c>
      <c r="BC80" s="43">
        <f>(SUMIFS('Fin Forecast'!$E$4:$E$545,'Fin Forecast'!$B$4:$B$545,'Mar16-Aug16 Billed-RETAIL'!$E80,'Fin Forecast'!$C$4:$C$545,'Mar16-Aug16 Billed-RETAIL'!BC$5))*1000</f>
        <v>0.20944106077767602</v>
      </c>
      <c r="BD80" s="43">
        <f>(SUMIFS('Fin Forecast'!$E$4:$E$545,'Fin Forecast'!$B$4:$B$545,'Mar16-Aug16 Billed-RETAIL'!$E80,'Fin Forecast'!$C$4:$C$545,'Mar16-Aug16 Billed-RETAIL'!BD$5))*1000</f>
        <v>2.1247939712130202</v>
      </c>
      <c r="BE80" s="43">
        <v>0</v>
      </c>
      <c r="BF80" s="43">
        <v>0</v>
      </c>
      <c r="BG80" s="43">
        <f>(SUMIFS('Fin Forecast'!$E$4:$E$545,'Fin Forecast'!$B$4:$B$545,'Mar16-Aug16 Billed-RETAIL'!$E80,'Fin Forecast'!$C$4:$C$545,'Mar16-Aug16 Billed-RETAIL'!BG$5))*1000</f>
        <v>40</v>
      </c>
      <c r="BH80" s="43">
        <f>(SUMIFS('Fin Forecast'!$E$4:$E$545,'Fin Forecast'!$B$4:$B$545,'Mar16-Aug16 Billed-RETAIL'!$E80,'Fin Forecast'!$C$4:$C$545,'Mar16-Aug16 Billed-RETAIL'!BH$5))*1000</f>
        <v>0.199739999999999</v>
      </c>
      <c r="BI80" s="43">
        <f>(SUMIFS('Fin Forecast'!$E$4:$E$545,'Fin Forecast'!$B$4:$B$545,'Mar16-Aug16 Billed-RETAIL'!$E80,'Fin Forecast'!$C$4:$C$545,'Mar16-Aug16 Billed-RETAIL'!BI$5))*1000</f>
        <v>544.00289999999995</v>
      </c>
      <c r="BJ80" s="43">
        <f>(SUMIFS('Fin Forecast'!$E$4:$E$545,'Fin Forecast'!$B$4:$B$545,'Mar16-Aug16 Billed-RETAIL'!$E80,'Fin Forecast'!$C$4:$C$545,'Mar16-Aug16 Billed-RETAIL'!BJ$5))*1000</f>
        <v>0</v>
      </c>
      <c r="BL80" s="51">
        <f t="shared" si="142"/>
        <v>0</v>
      </c>
      <c r="BN80" s="58">
        <f t="shared" si="143"/>
        <v>0</v>
      </c>
      <c r="BO80" s="58">
        <f t="shared" si="144"/>
        <v>9.9920072216264089E-16</v>
      </c>
      <c r="BP80" s="58">
        <f t="shared" si="145"/>
        <v>0</v>
      </c>
    </row>
    <row r="81" spans="1:68" ht="15" x14ac:dyDescent="0.25">
      <c r="A81" s="21" t="s">
        <v>801</v>
      </c>
      <c r="B81" s="21" t="s">
        <v>802</v>
      </c>
      <c r="C81" s="14">
        <f t="shared" si="151"/>
        <v>67</v>
      </c>
      <c r="D81" s="604">
        <f t="shared" si="152"/>
        <v>42614</v>
      </c>
      <c r="E81" s="604" t="str">
        <f>+'Retail Rates'!$B$26</f>
        <v>LGING855</v>
      </c>
      <c r="F81" s="14" t="str">
        <f t="shared" si="146"/>
        <v>855</v>
      </c>
      <c r="G81" s="14" t="s">
        <v>118</v>
      </c>
      <c r="H81" s="546"/>
      <c r="I81" s="546">
        <f>SUMIFS('Forecasted Customer Cts'!$N$5:$N$36,'Forecasted Customer Cts'!$D$5:$D$36,'Mar16-Aug16 Billed-RETAIL'!$E81,'Forecasted Customer Cts'!$C$5:$C$36,'Mar16-Aug16 Billed-RETAIL'!$A$78)</f>
        <v>143</v>
      </c>
      <c r="J81" s="546">
        <f>SUMIFS('Forecasted Customer Cts'!$N$5:$N$36,'Forecasted Customer Cts'!$D$5:$D$36,'Mar16-Aug16 Billed-RETAIL'!$E81,'Forecasted Customer Cts'!$C$5:$C$36,'Mar16-Aug16 Billed-RETAIL'!$B$78)</f>
        <v>111</v>
      </c>
      <c r="K81" s="546">
        <f>SUMIFS('Forecasted Calendar Month Usage'!$N$5:$N$41,'Forecasted Calendar Month Usage'!$D$5:$D$41,'Mar16-Aug16 Billed-RETAIL'!$E81,'Forecasted Calendar Month Usage'!$C$5:$C$41,'Mar16-Aug16 Billed-RETAIL'!$A$81)*10</f>
        <v>646890.52206316078</v>
      </c>
      <c r="L81" s="546">
        <f>SUMIFS('Forecasted Calendar Month Usage'!$N$5:$N$41,'Forecasted Calendar Month Usage'!$D$5:$D$41,'Mar16-Aug16 Billed-RETAIL'!$E81,'Forecasted Calendar Month Usage'!$C$5:$C$41,'Mar16-Aug16 Billed-RETAIL'!$B$81)*10</f>
        <v>200113.44278835753</v>
      </c>
      <c r="N81" s="34">
        <f>VLOOKUP($E81,'Retail Rates'!$B$7:$L$34,5,FALSE)</f>
        <v>40</v>
      </c>
      <c r="O81" s="34">
        <f>VLOOKUP($E81,'Retail Rates'!$B$7:$L$34,6,FALSE)</f>
        <v>180</v>
      </c>
      <c r="P81" s="35">
        <f>VLOOKUP($E81,'Retail Rates'!$B$7:$L$34,7,FALSE)</f>
        <v>0.22778999999999999</v>
      </c>
      <c r="Q81" s="35">
        <f>VLOOKUP($E81,'Retail Rates'!$B$7:$L$34,8,FALSE)</f>
        <v>0.17779</v>
      </c>
      <c r="R81" s="35">
        <f>VLOOKUP($D81,'GSC-DSM-GLT Factors'!$A$1:$B$60,2,FALSE)</f>
        <v>0.38216</v>
      </c>
      <c r="S81" s="34">
        <f>VLOOKUP($E81,'Retail Rates'!$B$7:$L$34,9,FALSE)</f>
        <v>0</v>
      </c>
      <c r="T81" s="35">
        <f>VLOOKUP($E81,'Retail Rates'!$B$7:$L$34,10,FALSE)</f>
        <v>0</v>
      </c>
      <c r="U81" s="34">
        <f>VLOOKUP($E81,'Retail Rates'!$B$7:$L$34,11,FALSE)</f>
        <v>0</v>
      </c>
      <c r="V81" s="556">
        <f>VLOOKUP($D81,'GSC-DSM-GLT Factors'!$A$1:$O$60,13,FALSE)</f>
        <v>259.54000000000002</v>
      </c>
      <c r="W81" s="36">
        <f t="shared" si="131"/>
        <v>5720</v>
      </c>
      <c r="X81" s="36"/>
      <c r="Y81" s="36">
        <f>+J81*O81</f>
        <v>19980</v>
      </c>
      <c r="Z81" s="36">
        <f t="shared" si="132"/>
        <v>147355.1920207674</v>
      </c>
      <c r="AA81" s="36">
        <f t="shared" si="133"/>
        <v>35578.168993342086</v>
      </c>
      <c r="AB81" s="36">
        <f t="shared" si="134"/>
        <v>323691.03520765621</v>
      </c>
      <c r="AC81" s="36"/>
      <c r="AD81" s="36"/>
      <c r="AE81" s="36">
        <f t="shared" si="147"/>
        <v>0</v>
      </c>
      <c r="AF81" s="36">
        <f>(+I81*V81)+(J81*V81)</f>
        <v>65923.16</v>
      </c>
      <c r="AG81" s="57">
        <f>SUMIFS(Adjustments!H$5:H$557,Adjustments!$B$5:$B$557,'Mar16-Aug16 Billed-RETAIL'!$D81,Adjustments!$C$5:$C$557,'Mar16-Aug16 Billed-RETAIL'!$E81)</f>
        <v>0</v>
      </c>
      <c r="AH81" s="57">
        <f>SUMIFS(Adjustments!I$5:I$557,Adjustments!$B$5:$B$557,'Mar16-Aug16 Billed-RETAIL'!$D81,Adjustments!$C$5:$C$557,'Mar16-Aug16 Billed-RETAIL'!$E81)</f>
        <v>0</v>
      </c>
      <c r="AI81" s="48">
        <f>SUMIFS(Adjustments!J$5:J$557,Adjustments!$B$5:$B$557,'Mar16-Aug16 Billed-RETAIL'!$D81,Adjustments!$C$5:$C$557,'Mar16-Aug16 Billed-RETAIL'!$E81)</f>
        <v>0</v>
      </c>
      <c r="AJ81" s="48">
        <f>SUMIFS(Adjustments!K$5:K$557,Adjustments!$B$5:$B$557,'Mar16-Aug16 Billed-RETAIL'!$D81,Adjustments!$C$5:$C$557,'Mar16-Aug16 Billed-RETAIL'!$E81)</f>
        <v>0</v>
      </c>
      <c r="AK81" s="48">
        <f>SUMIFS(Adjustments!L$5:L$557,Adjustments!$B$5:$B$557,'Mar16-Aug16 Billed-RETAIL'!$D81,Adjustments!$C$5:$C$557,'Mar16-Aug16 Billed-RETAIL'!$E81)</f>
        <v>0</v>
      </c>
      <c r="AL81" s="48">
        <f>SUMIFS(Adjustments!M$5:M$557,Adjustments!$B$5:$B$557,'Mar16-Aug16 Billed-RETAIL'!$D81,Adjustments!$C$5:$C$557,'Mar16-Aug16 Billed-RETAIL'!$E81)</f>
        <v>0</v>
      </c>
      <c r="AM81" s="48">
        <f>SUMIFS(Adjustments!N$5:N$557,Adjustments!$B$5:$B$557,'Mar16-Aug16 Billed-RETAIL'!$D81,Adjustments!$C$5:$C$557,'Mar16-Aug16 Billed-RETAIL'!$E81)</f>
        <v>0</v>
      </c>
      <c r="AN81" s="48">
        <f>SUMIFS(Adjustments!O$5:O$557,Adjustments!$B$5:$B$557,'Mar16-Aug16 Billed-RETAIL'!$D81,Adjustments!$C$5:$C$557,'Mar16-Aug16 Billed-RETAIL'!$E81)</f>
        <v>0</v>
      </c>
      <c r="AO81" s="48">
        <f>SUMIFS(Adjustments!P$5:P$557,Adjustments!$B$5:$B$557,'Mar16-Aug16 Billed-RETAIL'!$D81,Adjustments!$C$5:$C$557,'Mar16-Aug16 Billed-RETAIL'!$E81)</f>
        <v>0</v>
      </c>
      <c r="AP81" s="36">
        <f t="shared" si="136"/>
        <v>5720</v>
      </c>
      <c r="AQ81" s="36">
        <f t="shared" si="137"/>
        <v>19980</v>
      </c>
      <c r="AR81" s="36">
        <f t="shared" si="138"/>
        <v>147355.1920207674</v>
      </c>
      <c r="AS81" s="36">
        <f t="shared" si="139"/>
        <v>35578.168993342086</v>
      </c>
      <c r="AT81" s="43">
        <f t="shared" si="148"/>
        <v>299951.48634865478</v>
      </c>
      <c r="AU81" s="43">
        <f t="shared" si="149"/>
        <v>0</v>
      </c>
      <c r="AV81" s="43"/>
      <c r="AW81" s="43">
        <f t="shared" si="150"/>
        <v>54337.083860589075</v>
      </c>
      <c r="AX81" s="36">
        <f t="shared" si="140"/>
        <v>0</v>
      </c>
      <c r="AY81" s="36"/>
      <c r="AZ81" s="43">
        <f t="shared" si="153"/>
        <v>562921.93000000005</v>
      </c>
      <c r="BA81" s="43">
        <f>SUM(BC81:BJ81)-BF81</f>
        <v>562921.93122068013</v>
      </c>
      <c r="BB81" s="44">
        <f t="shared" si="141"/>
        <v>1</v>
      </c>
      <c r="BC81" s="43">
        <f>(SUMIFS('Fin Forecast'!$E$4:$E$545,'Fin Forecast'!$B$4:$B$545,'Mar16-Aug16 Billed-RETAIL'!$E81,'Fin Forecast'!$C$4:$C$545,'Mar16-Aug16 Billed-RETAIL'!BC$5))*1000</f>
        <v>0</v>
      </c>
      <c r="BD81" s="43">
        <f>(SUMIFS('Fin Forecast'!$E$4:$E$545,'Fin Forecast'!$B$4:$B$545,'Mar16-Aug16 Billed-RETAIL'!$E81,'Fin Forecast'!$C$4:$C$545,'Mar16-Aug16 Billed-RETAIL'!BD$5))*1000</f>
        <v>299951.48634865478</v>
      </c>
      <c r="BE81" s="43">
        <v>0</v>
      </c>
      <c r="BF81" s="43">
        <v>0</v>
      </c>
      <c r="BG81" s="43">
        <f>(SUMIFS('Fin Forecast'!$E$4:$E$545,'Fin Forecast'!$B$4:$B$545,'Mar16-Aug16 Billed-RETAIL'!$E81,'Fin Forecast'!$C$4:$C$545,'Mar16-Aug16 Billed-RETAIL'!BG$5))*1000</f>
        <v>25700</v>
      </c>
      <c r="BH81" s="43">
        <f>(SUMIFS('Fin Forecast'!$E$4:$E$545,'Fin Forecast'!$B$4:$B$545,'Mar16-Aug16 Billed-RETAIL'!$E81,'Fin Forecast'!$C$4:$C$545,'Mar16-Aug16 Billed-RETAIL'!BH$5))*1000</f>
        <v>182933.36101143627</v>
      </c>
      <c r="BI81" s="43">
        <f>(SUMIFS('Fin Forecast'!$E$4:$E$545,'Fin Forecast'!$B$4:$B$545,'Mar16-Aug16 Billed-RETAIL'!$E81,'Fin Forecast'!$C$4:$C$545,'Mar16-Aug16 Billed-RETAIL'!BI$5))*1000</f>
        <v>0</v>
      </c>
      <c r="BJ81" s="43">
        <f>(SUMIFS('Fin Forecast'!$E$4:$E$545,'Fin Forecast'!$B$4:$B$545,'Mar16-Aug16 Billed-RETAIL'!$E81,'Fin Forecast'!$C$4:$C$545,'Mar16-Aug16 Billed-RETAIL'!BJ$5))*1000</f>
        <v>54337.083860589075</v>
      </c>
      <c r="BL81" s="51">
        <f t="shared" si="142"/>
        <v>-1.2206800747662783E-3</v>
      </c>
      <c r="BN81" s="58">
        <f t="shared" si="143"/>
        <v>0</v>
      </c>
      <c r="BO81" s="58">
        <f t="shared" si="144"/>
        <v>2.6732159312814474E-6</v>
      </c>
      <c r="BP81" s="58">
        <f t="shared" si="145"/>
        <v>0</v>
      </c>
    </row>
    <row r="82" spans="1:68" ht="15" x14ac:dyDescent="0.25">
      <c r="C82" s="14">
        <f t="shared" si="151"/>
        <v>68</v>
      </c>
      <c r="D82" s="604">
        <f t="shared" si="152"/>
        <v>42614</v>
      </c>
      <c r="E82" s="604" t="str">
        <f>+'Retail Rates'!$B$27</f>
        <v>LGING855DS</v>
      </c>
      <c r="F82" s="14" t="str">
        <f t="shared" si="146"/>
        <v>855</v>
      </c>
      <c r="G82" s="14" t="str">
        <f>VLOOKUP(E82,'Retail Rates'!$B$7:$D$34,3,FALSE)</f>
        <v>IGS</v>
      </c>
      <c r="H82" s="546"/>
      <c r="I82" s="546"/>
      <c r="J82" s="546"/>
      <c r="K82" s="545"/>
      <c r="L82" s="545"/>
      <c r="N82" s="34">
        <f>VLOOKUP($E82,'Retail Rates'!$B$7:$L$34,5,FALSE)</f>
        <v>40</v>
      </c>
      <c r="O82" s="34">
        <f>VLOOKUP($E82,'Retail Rates'!$B$7:$L$34,6,FALSE)</f>
        <v>180</v>
      </c>
      <c r="P82" s="35">
        <f>VLOOKUP($E82,'Retail Rates'!$B$7:$L$34,7,FALSE)</f>
        <v>0.22778999999999999</v>
      </c>
      <c r="Q82" s="35">
        <f>VLOOKUP($E82,'Retail Rates'!$B$7:$L$34,8,FALSE)</f>
        <v>0.17779</v>
      </c>
      <c r="R82" s="35">
        <f>VLOOKUP($D82,'GSC-DSM-GLT Factors'!$A$1:$B$60,2,FALSE)</f>
        <v>0.38216</v>
      </c>
      <c r="S82" s="34">
        <f>VLOOKUP($E82,'Retail Rates'!$B$7:$L$34,9,FALSE)</f>
        <v>0</v>
      </c>
      <c r="T82" s="35">
        <f>VLOOKUP($E82,'Retail Rates'!$B$7:$L$34,10,FALSE)</f>
        <v>0</v>
      </c>
      <c r="U82" s="34">
        <f>VLOOKUP($E82,'Retail Rates'!$B$7:$L$34,11,FALSE)</f>
        <v>0</v>
      </c>
      <c r="V82" s="556">
        <f>VLOOKUP($D82,'GSC-DSM-GLT Factors'!$A$1:$O$60,13,FALSE)</f>
        <v>259.54000000000002</v>
      </c>
      <c r="W82" s="36">
        <f t="shared" si="131"/>
        <v>0</v>
      </c>
      <c r="X82" s="36"/>
      <c r="Y82" s="36">
        <f>+J82*O82</f>
        <v>0</v>
      </c>
      <c r="Z82" s="36">
        <f t="shared" si="132"/>
        <v>0</v>
      </c>
      <c r="AA82" s="36">
        <f t="shared" si="133"/>
        <v>0</v>
      </c>
      <c r="AB82" s="36">
        <f t="shared" si="134"/>
        <v>0</v>
      </c>
      <c r="AC82" s="36"/>
      <c r="AD82" s="36"/>
      <c r="AE82" s="36">
        <f t="shared" si="147"/>
        <v>0</v>
      </c>
      <c r="AF82" s="36">
        <f>(+I82*V82)+(J82*V82)</f>
        <v>0</v>
      </c>
      <c r="AG82" s="57">
        <f>SUMIFS(Adjustments!H$5:H$557,Adjustments!$B$5:$B$557,'Mar16-Aug16 Billed-RETAIL'!$D82,Adjustments!$C$5:$C$557,'Mar16-Aug16 Billed-RETAIL'!$E82)</f>
        <v>0</v>
      </c>
      <c r="AH82" s="57">
        <f>SUMIFS(Adjustments!I$5:I$557,Adjustments!$B$5:$B$557,'Mar16-Aug16 Billed-RETAIL'!$D82,Adjustments!$C$5:$C$557,'Mar16-Aug16 Billed-RETAIL'!$E82)</f>
        <v>0</v>
      </c>
      <c r="AI82" s="48">
        <f>SUMIFS(Adjustments!J$5:J$557,Adjustments!$B$5:$B$557,'Mar16-Aug16 Billed-RETAIL'!$D82,Adjustments!$C$5:$C$557,'Mar16-Aug16 Billed-RETAIL'!$E82)</f>
        <v>0</v>
      </c>
      <c r="AJ82" s="48">
        <f>SUMIFS(Adjustments!K$5:K$557,Adjustments!$B$5:$B$557,'Mar16-Aug16 Billed-RETAIL'!$D82,Adjustments!$C$5:$C$557,'Mar16-Aug16 Billed-RETAIL'!$E82)</f>
        <v>0</v>
      </c>
      <c r="AK82" s="48">
        <f>SUMIFS(Adjustments!L$5:L$557,Adjustments!$B$5:$B$557,'Mar16-Aug16 Billed-RETAIL'!$D82,Adjustments!$C$5:$C$557,'Mar16-Aug16 Billed-RETAIL'!$E82)</f>
        <v>0</v>
      </c>
      <c r="AL82" s="48">
        <f>SUMIFS(Adjustments!M$5:M$557,Adjustments!$B$5:$B$557,'Mar16-Aug16 Billed-RETAIL'!$D82,Adjustments!$C$5:$C$557,'Mar16-Aug16 Billed-RETAIL'!$E82)</f>
        <v>0</v>
      </c>
      <c r="AM82" s="48">
        <f>SUMIFS(Adjustments!N$5:N$557,Adjustments!$B$5:$B$557,'Mar16-Aug16 Billed-RETAIL'!$D82,Adjustments!$C$5:$C$557,'Mar16-Aug16 Billed-RETAIL'!$E82)</f>
        <v>0</v>
      </c>
      <c r="AN82" s="48">
        <f>SUMIFS(Adjustments!O$5:O$557,Adjustments!$B$5:$B$557,'Mar16-Aug16 Billed-RETAIL'!$D82,Adjustments!$C$5:$C$557,'Mar16-Aug16 Billed-RETAIL'!$E82)</f>
        <v>0</v>
      </c>
      <c r="AO82" s="48">
        <f>SUMIFS(Adjustments!P$5:P$557,Adjustments!$B$5:$B$557,'Mar16-Aug16 Billed-RETAIL'!$D82,Adjustments!$C$5:$C$557,'Mar16-Aug16 Billed-RETAIL'!$E82)</f>
        <v>0</v>
      </c>
      <c r="AP82" s="36">
        <f>+W82+AI82+(AG82*N82)</f>
        <v>0</v>
      </c>
      <c r="AQ82" s="36">
        <f t="shared" si="137"/>
        <v>0</v>
      </c>
      <c r="AR82" s="36">
        <f t="shared" si="138"/>
        <v>0</v>
      </c>
      <c r="AS82" s="36">
        <f t="shared" si="139"/>
        <v>0</v>
      </c>
      <c r="AT82" s="43">
        <f t="shared" si="148"/>
        <v>0</v>
      </c>
      <c r="AU82" s="43">
        <f t="shared" si="149"/>
        <v>0</v>
      </c>
      <c r="AV82" s="43"/>
      <c r="AW82" s="43">
        <f t="shared" si="150"/>
        <v>0</v>
      </c>
      <c r="AX82" s="36">
        <f t="shared" si="140"/>
        <v>0</v>
      </c>
      <c r="AY82" s="36"/>
      <c r="AZ82" s="43">
        <f t="shared" si="153"/>
        <v>0</v>
      </c>
      <c r="BA82" s="43">
        <f>SUM(BC82:BJ82)-BF82</f>
        <v>0</v>
      </c>
      <c r="BB82" s="44">
        <f t="shared" si="141"/>
        <v>0</v>
      </c>
      <c r="BC82" s="43">
        <f>(SUMIFS('Fin Forecast'!$E$4:$E$545,'Fin Forecast'!$B$4:$B$545,'Mar16-Aug16 Billed-RETAIL'!$E82,'Fin Forecast'!$C$4:$C$545,'Mar16-Aug16 Billed-RETAIL'!BC$5))*1000</f>
        <v>0</v>
      </c>
      <c r="BD82" s="43">
        <f>(SUMIFS('Fin Forecast'!$E$4:$E$545,'Fin Forecast'!$B$4:$B$545,'Mar16-Aug16 Billed-RETAIL'!$E82,'Fin Forecast'!$C$4:$C$545,'Mar16-Aug16 Billed-RETAIL'!BD$5))*1000</f>
        <v>0</v>
      </c>
      <c r="BE82" s="43">
        <v>0</v>
      </c>
      <c r="BF82" s="43">
        <v>0</v>
      </c>
      <c r="BG82" s="43">
        <f>(SUMIFS('Fin Forecast'!$E$4:$E$545,'Fin Forecast'!$B$4:$B$545,'Mar16-Aug16 Billed-RETAIL'!$E82,'Fin Forecast'!$C$4:$C$545,'Mar16-Aug16 Billed-RETAIL'!BG$5))*1000</f>
        <v>0</v>
      </c>
      <c r="BH82" s="43">
        <f>(SUMIFS('Fin Forecast'!$E$4:$E$545,'Fin Forecast'!$B$4:$B$545,'Mar16-Aug16 Billed-RETAIL'!$E82,'Fin Forecast'!$C$4:$C$545,'Mar16-Aug16 Billed-RETAIL'!BH$5))*1000</f>
        <v>0</v>
      </c>
      <c r="BI82" s="43">
        <f>(SUMIFS('Fin Forecast'!$E$4:$E$545,'Fin Forecast'!$B$4:$B$545,'Mar16-Aug16 Billed-RETAIL'!$E82,'Fin Forecast'!$C$4:$C$545,'Mar16-Aug16 Billed-RETAIL'!BI$5))*1000</f>
        <v>0</v>
      </c>
      <c r="BJ82" s="43">
        <f>(SUMIFS('Fin Forecast'!$E$4:$E$545,'Fin Forecast'!$B$4:$B$545,'Mar16-Aug16 Billed-RETAIL'!$E82,'Fin Forecast'!$C$4:$C$545,'Mar16-Aug16 Billed-RETAIL'!BJ$5))*1000</f>
        <v>0</v>
      </c>
      <c r="BL82" s="51">
        <f t="shared" si="142"/>
        <v>0</v>
      </c>
      <c r="BN82" s="58">
        <f t="shared" si="143"/>
        <v>0</v>
      </c>
      <c r="BO82" s="58">
        <f t="shared" si="144"/>
        <v>0</v>
      </c>
      <c r="BP82" s="58">
        <f t="shared" si="145"/>
        <v>0</v>
      </c>
    </row>
    <row r="83" spans="1:68" ht="15" x14ac:dyDescent="0.25">
      <c r="C83" s="14">
        <f t="shared" si="151"/>
        <v>69</v>
      </c>
      <c r="D83" s="604">
        <f t="shared" si="152"/>
        <v>42614</v>
      </c>
      <c r="E83" s="604" t="str">
        <f>+'Retail Rates'!$B$31</f>
        <v>LGRSG811</v>
      </c>
      <c r="F83" s="14" t="str">
        <f t="shared" si="146"/>
        <v>811</v>
      </c>
      <c r="G83" s="14" t="str">
        <f>VLOOKUP(E83,'Retail Rates'!$B$7:$D$34,3,FALSE)</f>
        <v>RGS</v>
      </c>
      <c r="H83" s="546">
        <f>SUMIF('Forecasted Customer Cts'!$D$5:$D$36,'Mar16-Aug16 Billed-RETAIL'!$E83,'Forecasted Customer Cts'!$N$5:$N$36)</f>
        <v>294106</v>
      </c>
      <c r="I83" s="546"/>
      <c r="J83" s="546"/>
      <c r="K83" s="546">
        <f>SUMIF('Forecasted Calendar Month Usage'!$D$5:$D$41,'Mar16-Aug16 Billed-RETAIL'!$E83,'Forecasted Calendar Month Usage'!$N$5:$N$41)*10</f>
        <v>3638554.5416885559</v>
      </c>
      <c r="L83" s="545"/>
      <c r="N83" s="34">
        <f>VLOOKUP($E83,'Retail Rates'!$B$7:$L$34,5,FALSE)</f>
        <v>13.5</v>
      </c>
      <c r="O83" s="34">
        <f>VLOOKUP($E83,'Retail Rates'!$B$7:$L$34,6,FALSE)</f>
        <v>0</v>
      </c>
      <c r="P83" s="35">
        <f>VLOOKUP($E83,'Retail Rates'!$B$7:$L$34,7,FALSE)</f>
        <v>0.28693000000000002</v>
      </c>
      <c r="Q83" s="35">
        <f>VLOOKUP($E83,'Retail Rates'!$B$7:$L$34,8,FALSE)</f>
        <v>0</v>
      </c>
      <c r="R83" s="35">
        <f>VLOOKUP($D83,'GSC-DSM-GLT Factors'!$A$1:$B$60,2,FALSE)</f>
        <v>0.38216</v>
      </c>
      <c r="S83" s="34">
        <f>VLOOKUP($E83,'Retail Rates'!$B$7:$L$34,9,FALSE)</f>
        <v>0</v>
      </c>
      <c r="T83" s="35">
        <f>VLOOKUP($E83,'Retail Rates'!$B$7:$L$34,10,FALSE)</f>
        <v>0</v>
      </c>
      <c r="U83" s="34">
        <f>VLOOKUP($E83,'Retail Rates'!$B$7:$L$34,11,FALSE)</f>
        <v>0</v>
      </c>
      <c r="V83" s="556">
        <f>VLOOKUP($D83,'GSC-DSM-GLT Factors'!$A$1:$O$60,10,FALSE)</f>
        <v>5.14</v>
      </c>
      <c r="W83" s="36">
        <f t="shared" si="131"/>
        <v>3970431</v>
      </c>
      <c r="X83" s="36"/>
      <c r="Y83" s="36"/>
      <c r="Z83" s="36">
        <f t="shared" si="132"/>
        <v>1044010.4546466974</v>
      </c>
      <c r="AA83" s="36">
        <f t="shared" si="133"/>
        <v>0</v>
      </c>
      <c r="AB83" s="36">
        <f t="shared" si="134"/>
        <v>1390510.0036516986</v>
      </c>
      <c r="AC83" s="36"/>
      <c r="AD83" s="36"/>
      <c r="AE83" s="36">
        <f t="shared" si="147"/>
        <v>0</v>
      </c>
      <c r="AF83" s="36">
        <f>(+H83*V83)+(I83*V83)</f>
        <v>1511704.8399999999</v>
      </c>
      <c r="AG83" s="57">
        <f>SUMIFS(Adjustments!H$5:H$557,Adjustments!$B$5:$B$557,'Mar16-Aug16 Billed-RETAIL'!$D83,Adjustments!$C$5:$C$557,'Mar16-Aug16 Billed-RETAIL'!$E83)</f>
        <v>0</v>
      </c>
      <c r="AH83" s="57">
        <f>SUMIFS(Adjustments!I$5:I$557,Adjustments!$B$5:$B$557,'Mar16-Aug16 Billed-RETAIL'!$D83,Adjustments!$C$5:$C$557,'Mar16-Aug16 Billed-RETAIL'!$E83)</f>
        <v>0</v>
      </c>
      <c r="AI83" s="48">
        <f>SUMIFS(Adjustments!J$5:J$557,Adjustments!$B$5:$B$557,'Mar16-Aug16 Billed-RETAIL'!$D83,Adjustments!$C$5:$C$557,'Mar16-Aug16 Billed-RETAIL'!$E83)</f>
        <v>0</v>
      </c>
      <c r="AJ83" s="48">
        <f>SUMIFS(Adjustments!K$5:K$557,Adjustments!$B$5:$B$557,'Mar16-Aug16 Billed-RETAIL'!$D83,Adjustments!$C$5:$C$557,'Mar16-Aug16 Billed-RETAIL'!$E83)</f>
        <v>0</v>
      </c>
      <c r="AK83" s="48">
        <f>SUMIFS(Adjustments!L$5:L$557,Adjustments!$B$5:$B$557,'Mar16-Aug16 Billed-RETAIL'!$D83,Adjustments!$C$5:$C$557,'Mar16-Aug16 Billed-RETAIL'!$E83)</f>
        <v>0</v>
      </c>
      <c r="AL83" s="48">
        <f>SUMIFS(Adjustments!M$5:M$557,Adjustments!$B$5:$B$557,'Mar16-Aug16 Billed-RETAIL'!$D83,Adjustments!$C$5:$C$557,'Mar16-Aug16 Billed-RETAIL'!$E83)</f>
        <v>0</v>
      </c>
      <c r="AM83" s="48">
        <f>SUMIFS(Adjustments!N$5:N$557,Adjustments!$B$5:$B$557,'Mar16-Aug16 Billed-RETAIL'!$D83,Adjustments!$C$5:$C$557,'Mar16-Aug16 Billed-RETAIL'!$E83)</f>
        <v>0</v>
      </c>
      <c r="AN83" s="48">
        <f>SUMIFS(Adjustments!O$5:O$557,Adjustments!$B$5:$B$557,'Mar16-Aug16 Billed-RETAIL'!$D83,Adjustments!$C$5:$C$557,'Mar16-Aug16 Billed-RETAIL'!$E83)</f>
        <v>0</v>
      </c>
      <c r="AO83" s="48">
        <f>SUMIFS(Adjustments!P$5:P$557,Adjustments!$B$5:$B$557,'Mar16-Aug16 Billed-RETAIL'!$D83,Adjustments!$C$5:$C$557,'Mar16-Aug16 Billed-RETAIL'!$E83)</f>
        <v>0</v>
      </c>
      <c r="AP83" s="36">
        <f>+W83+AI83+(AG83*N83)</f>
        <v>3970431</v>
      </c>
      <c r="AQ83" s="36">
        <f t="shared" si="137"/>
        <v>0</v>
      </c>
      <c r="AR83" s="36">
        <f t="shared" si="138"/>
        <v>1044010.4546466974</v>
      </c>
      <c r="AS83" s="36">
        <f t="shared" si="139"/>
        <v>0</v>
      </c>
      <c r="AT83" s="43">
        <f t="shared" si="148"/>
        <v>1288529.79219562</v>
      </c>
      <c r="AU83" s="43">
        <f t="shared" si="149"/>
        <v>127010.453802738</v>
      </c>
      <c r="AV83" s="43"/>
      <c r="AW83" s="43">
        <f t="shared" si="150"/>
        <v>1459612.5222340999</v>
      </c>
      <c r="AX83" s="36">
        <f t="shared" si="140"/>
        <v>0</v>
      </c>
      <c r="AY83" s="36"/>
      <c r="AZ83" s="43">
        <f t="shared" si="153"/>
        <v>7889594.2199999997</v>
      </c>
      <c r="BA83" s="43">
        <f>SUM(BC83:BJ83)-BF83</f>
        <v>7889594.2227527685</v>
      </c>
      <c r="BB83" s="44">
        <f t="shared" si="141"/>
        <v>1</v>
      </c>
      <c r="BC83" s="43">
        <f>(SUMIFS('Fin Forecast'!$E$4:$E$545,'Fin Forecast'!$B$4:$B$545,'Mar16-Aug16 Billed-RETAIL'!$E83,'Fin Forecast'!$C$4:$C$545,'Mar16-Aug16 Billed-RETAIL'!BC$5))*1000</f>
        <v>127010.453802738</v>
      </c>
      <c r="BD83" s="43">
        <f>(SUMIFS('Fin Forecast'!$E$4:$E$545,'Fin Forecast'!$B$4:$B$545,'Mar16-Aug16 Billed-RETAIL'!$E83,'Fin Forecast'!$C$4:$C$545,'Mar16-Aug16 Billed-RETAIL'!BD$5))*1000</f>
        <v>1288529.79219562</v>
      </c>
      <c r="BE83" s="43">
        <v>0</v>
      </c>
      <c r="BF83" s="43">
        <v>0</v>
      </c>
      <c r="BG83" s="43">
        <f>(SUMIFS('Fin Forecast'!$E$4:$E$545,'Fin Forecast'!$B$4:$B$545,'Mar16-Aug16 Billed-RETAIL'!$E83,'Fin Forecast'!$C$4:$C$545,'Mar16-Aug16 Billed-RETAIL'!BG$5))*1000</f>
        <v>3970431</v>
      </c>
      <c r="BH83" s="43">
        <f>(SUMIFS('Fin Forecast'!$E$4:$E$545,'Fin Forecast'!$B$4:$B$545,'Mar16-Aug16 Billed-RETAIL'!$E83,'Fin Forecast'!$C$4:$C$545,'Mar16-Aug16 Billed-RETAIL'!BH$5))*1000</f>
        <v>1044010.45452031</v>
      </c>
      <c r="BI83" s="43">
        <f>(SUMIFS('Fin Forecast'!$E$4:$E$545,'Fin Forecast'!$B$4:$B$545,'Mar16-Aug16 Billed-RETAIL'!$E83,'Fin Forecast'!$C$4:$C$545,'Mar16-Aug16 Billed-RETAIL'!BI$5))*1000</f>
        <v>0</v>
      </c>
      <c r="BJ83" s="43">
        <f>(SUMIFS('Fin Forecast'!$E$4:$E$545,'Fin Forecast'!$B$4:$B$545,'Mar16-Aug16 Billed-RETAIL'!$E83,'Fin Forecast'!$C$4:$C$545,'Mar16-Aug16 Billed-RETAIL'!BJ$5))*1000</f>
        <v>1459612.5222340999</v>
      </c>
      <c r="BL83" s="51">
        <f t="shared" si="142"/>
        <v>-2.7527688071131706E-3</v>
      </c>
      <c r="BN83" s="58">
        <f t="shared" si="143"/>
        <v>0</v>
      </c>
      <c r="BO83" s="58">
        <f t="shared" si="144"/>
        <v>1.2638734187930822E-4</v>
      </c>
      <c r="BP83" s="58">
        <f t="shared" si="145"/>
        <v>0</v>
      </c>
    </row>
    <row r="84" spans="1:68" ht="15" x14ac:dyDescent="0.25">
      <c r="C84" s="14">
        <f t="shared" si="151"/>
        <v>70</v>
      </c>
      <c r="D84" s="604">
        <f t="shared" si="152"/>
        <v>42614</v>
      </c>
      <c r="E84" s="604" t="str">
        <f>+'Retail Rates'!$B$19</f>
        <v>LGCMG851LT</v>
      </c>
      <c r="F84" s="14" t="str">
        <f t="shared" si="146"/>
        <v>851</v>
      </c>
      <c r="G84" s="14" t="str">
        <f>VLOOKUP(E84,'Retail Rates'!$B$7:$D$34,3,FALSE)</f>
        <v>CGS</v>
      </c>
      <c r="H84" s="546"/>
      <c r="I84" s="546"/>
      <c r="J84" s="546"/>
      <c r="K84" s="545"/>
      <c r="L84" s="545"/>
      <c r="N84" s="34">
        <f>VLOOKUP($E84,'Retail Rates'!$B$7:$L$34,5,FALSE)</f>
        <v>40</v>
      </c>
      <c r="O84" s="34">
        <f>VLOOKUP($E84,'Retail Rates'!$B$7:$L$34,6,FALSE)</f>
        <v>180</v>
      </c>
      <c r="P84" s="35">
        <f>VLOOKUP($E84,'Retail Rates'!$B$7:$L$34,7,FALSE)</f>
        <v>0.21504000000000001</v>
      </c>
      <c r="Q84" s="35">
        <f>VLOOKUP($E84,'Retail Rates'!$B$7:$L$34,8,FALSE)</f>
        <v>0.16504000000000002</v>
      </c>
      <c r="R84" s="35">
        <f>VLOOKUP($D84,'GSC-DSM-GLT Factors'!$A$1:$B$60,2,FALSE)</f>
        <v>0.38216</v>
      </c>
      <c r="S84" s="34">
        <f>VLOOKUP($E84,'Retail Rates'!$B$7:$L$34,9,FALSE)</f>
        <v>0</v>
      </c>
      <c r="T84" s="35">
        <f>VLOOKUP($E84,'Retail Rates'!$B$7:$L$34,10,FALSE)</f>
        <v>0</v>
      </c>
      <c r="U84" s="34">
        <f>VLOOKUP($E84,'Retail Rates'!$B$7:$L$34,11,FALSE)</f>
        <v>0</v>
      </c>
      <c r="V84" s="556">
        <f>VLOOKUP($D84,'GSC-DSM-GLT Factors'!$A$1:$O$60,12,FALSE)</f>
        <v>27.41</v>
      </c>
      <c r="W84" s="36">
        <f t="shared" si="131"/>
        <v>0</v>
      </c>
      <c r="X84" s="36"/>
      <c r="Y84" s="36"/>
      <c r="Z84" s="36">
        <f t="shared" si="132"/>
        <v>0</v>
      </c>
      <c r="AA84" s="36">
        <f t="shared" si="133"/>
        <v>0</v>
      </c>
      <c r="AB84" s="36">
        <f t="shared" si="134"/>
        <v>0</v>
      </c>
      <c r="AC84" s="36"/>
      <c r="AD84" s="36"/>
      <c r="AE84" s="36">
        <f t="shared" si="147"/>
        <v>0</v>
      </c>
      <c r="AF84" s="36">
        <f>(+H84*V84)+(I84*V84)</f>
        <v>0</v>
      </c>
      <c r="AG84" s="57">
        <f>SUMIFS(Adjustments!H$5:H$557,Adjustments!$B$5:$B$557,'Mar16-Aug16 Billed-RETAIL'!$D84,Adjustments!$C$5:$C$557,'Mar16-Aug16 Billed-RETAIL'!$E84)</f>
        <v>0</v>
      </c>
      <c r="AH84" s="57">
        <f>SUMIFS(Adjustments!I$5:I$557,Adjustments!$B$5:$B$557,'Mar16-Aug16 Billed-RETAIL'!$D84,Adjustments!$C$5:$C$557,'Mar16-Aug16 Billed-RETAIL'!$E84)</f>
        <v>0</v>
      </c>
      <c r="AI84" s="48">
        <f>SUMIFS(Adjustments!J$5:J$557,Adjustments!$B$5:$B$557,'Mar16-Aug16 Billed-RETAIL'!$D84,Adjustments!$C$5:$C$557,'Mar16-Aug16 Billed-RETAIL'!$E84)</f>
        <v>0</v>
      </c>
      <c r="AJ84" s="48">
        <f>SUMIFS(Adjustments!K$5:K$557,Adjustments!$B$5:$B$557,'Mar16-Aug16 Billed-RETAIL'!$D84,Adjustments!$C$5:$C$557,'Mar16-Aug16 Billed-RETAIL'!$E84)</f>
        <v>0</v>
      </c>
      <c r="AK84" s="48">
        <f>SUMIFS(Adjustments!L$5:L$557,Adjustments!$B$5:$B$557,'Mar16-Aug16 Billed-RETAIL'!$D84,Adjustments!$C$5:$C$557,'Mar16-Aug16 Billed-RETAIL'!$E84)</f>
        <v>0</v>
      </c>
      <c r="AL84" s="48">
        <f>SUMIFS(Adjustments!M$5:M$557,Adjustments!$B$5:$B$557,'Mar16-Aug16 Billed-RETAIL'!$D84,Adjustments!$C$5:$C$557,'Mar16-Aug16 Billed-RETAIL'!$E84)</f>
        <v>0</v>
      </c>
      <c r="AM84" s="48">
        <f>SUMIFS(Adjustments!N$5:N$557,Adjustments!$B$5:$B$557,'Mar16-Aug16 Billed-RETAIL'!$D84,Adjustments!$C$5:$C$557,'Mar16-Aug16 Billed-RETAIL'!$E84)</f>
        <v>0</v>
      </c>
      <c r="AN84" s="48">
        <f>SUMIFS(Adjustments!O$5:O$557,Adjustments!$B$5:$B$557,'Mar16-Aug16 Billed-RETAIL'!$D84,Adjustments!$C$5:$C$557,'Mar16-Aug16 Billed-RETAIL'!$E84)</f>
        <v>0</v>
      </c>
      <c r="AO84" s="48">
        <f>SUMIFS(Adjustments!P$5:P$557,Adjustments!$B$5:$B$557,'Mar16-Aug16 Billed-RETAIL'!$D84,Adjustments!$C$5:$C$557,'Mar16-Aug16 Billed-RETAIL'!$E84)</f>
        <v>0</v>
      </c>
      <c r="AP84" s="36">
        <f>+W84+AI84+(AG84*N84)</f>
        <v>0</v>
      </c>
      <c r="AQ84" s="36">
        <f t="shared" si="137"/>
        <v>0</v>
      </c>
      <c r="AR84" s="36">
        <f t="shared" si="138"/>
        <v>0</v>
      </c>
      <c r="AS84" s="36">
        <f t="shared" si="139"/>
        <v>0</v>
      </c>
      <c r="AT84" s="43">
        <f t="shared" si="148"/>
        <v>0</v>
      </c>
      <c r="AU84" s="43">
        <f t="shared" si="149"/>
        <v>0</v>
      </c>
      <c r="AV84" s="43"/>
      <c r="AW84" s="43">
        <f t="shared" si="150"/>
        <v>0</v>
      </c>
      <c r="AX84" s="36">
        <f t="shared" si="140"/>
        <v>0</v>
      </c>
      <c r="AY84" s="36"/>
      <c r="AZ84" s="43">
        <f t="shared" si="153"/>
        <v>0</v>
      </c>
      <c r="BA84" s="43">
        <f>SUM(BC84:BJ84)-BF84</f>
        <v>0</v>
      </c>
      <c r="BB84" s="44">
        <f t="shared" si="141"/>
        <v>0</v>
      </c>
      <c r="BC84" s="43">
        <f>(SUMIFS('Fin Forecast'!$E$4:$E$545,'Fin Forecast'!$B$4:$B$545,'Mar16-Aug16 Billed-RETAIL'!$E84,'Fin Forecast'!$C$4:$C$545,'Mar16-Aug16 Billed-RETAIL'!BC$5))*1000</f>
        <v>0</v>
      </c>
      <c r="BD84" s="43">
        <f>(SUMIFS('Fin Forecast'!$E$4:$E$545,'Fin Forecast'!$B$4:$B$545,'Mar16-Aug16 Billed-RETAIL'!$E84,'Fin Forecast'!$C$4:$C$545,'Mar16-Aug16 Billed-RETAIL'!BD$5))*1000</f>
        <v>0</v>
      </c>
      <c r="BE84" s="43">
        <v>0</v>
      </c>
      <c r="BF84" s="43">
        <v>0</v>
      </c>
      <c r="BG84" s="43">
        <f>(SUMIFS('Fin Forecast'!$E$4:$E$545,'Fin Forecast'!$B$4:$B$545,'Mar16-Aug16 Billed-RETAIL'!$E84,'Fin Forecast'!$C$4:$C$545,'Mar16-Aug16 Billed-RETAIL'!BG$5))*1000</f>
        <v>0</v>
      </c>
      <c r="BH84" s="43">
        <f>(SUMIFS('Fin Forecast'!$E$4:$E$545,'Fin Forecast'!$B$4:$B$545,'Mar16-Aug16 Billed-RETAIL'!$E84,'Fin Forecast'!$C$4:$C$545,'Mar16-Aug16 Billed-RETAIL'!BH$5))*1000</f>
        <v>0</v>
      </c>
      <c r="BI84" s="43">
        <f>(SUMIFS('Fin Forecast'!$E$4:$E$545,'Fin Forecast'!$B$4:$B$545,'Mar16-Aug16 Billed-RETAIL'!$E84,'Fin Forecast'!$C$4:$C$545,'Mar16-Aug16 Billed-RETAIL'!BI$5))*1000</f>
        <v>0</v>
      </c>
      <c r="BJ84" s="43">
        <f>(SUMIFS('Fin Forecast'!$E$4:$E$545,'Fin Forecast'!$B$4:$B$545,'Mar16-Aug16 Billed-RETAIL'!$E84,'Fin Forecast'!$C$4:$C$545,'Mar16-Aug16 Billed-RETAIL'!BJ$5))*1000</f>
        <v>0</v>
      </c>
      <c r="BL84" s="51">
        <f t="shared" si="142"/>
        <v>0</v>
      </c>
      <c r="BN84" s="58">
        <f t="shared" si="143"/>
        <v>0</v>
      </c>
      <c r="BO84" s="58">
        <f t="shared" si="144"/>
        <v>0</v>
      </c>
      <c r="BP84" s="58">
        <f t="shared" si="145"/>
        <v>0</v>
      </c>
    </row>
    <row r="85" spans="1:68" ht="15" x14ac:dyDescent="0.25">
      <c r="C85" s="14">
        <f t="shared" si="151"/>
        <v>71</v>
      </c>
      <c r="D85" s="604">
        <f t="shared" si="152"/>
        <v>42614</v>
      </c>
      <c r="E85" s="604" t="str">
        <f>+'Retail Rates'!$B$32</f>
        <v>LGRSG840</v>
      </c>
      <c r="F85" s="14" t="str">
        <f t="shared" si="146"/>
        <v>840</v>
      </c>
      <c r="G85" s="14" t="str">
        <f>VLOOKUP(E85,'Retail Rates'!$B$7:$D$34,3,FALSE)</f>
        <v>RGS</v>
      </c>
      <c r="H85" s="546"/>
      <c r="I85" s="546"/>
      <c r="J85" s="546"/>
      <c r="K85" s="545"/>
      <c r="L85" s="545"/>
      <c r="N85" s="34">
        <f>VLOOKUP($E85,'Retail Rates'!$B$7:$L$34,5,FALSE)</f>
        <v>13.5</v>
      </c>
      <c r="O85" s="34">
        <f>VLOOKUP($E85,'Retail Rates'!$B$7:$L$34,6,FALSE)</f>
        <v>0</v>
      </c>
      <c r="P85" s="35">
        <f>VLOOKUP($E85,'Retail Rates'!$B$7:$L$34,7,FALSE)</f>
        <v>0.28693000000000002</v>
      </c>
      <c r="Q85" s="35">
        <f>VLOOKUP($E85,'Retail Rates'!$B$7:$L$34,8,FALSE)</f>
        <v>0</v>
      </c>
      <c r="R85" s="35">
        <f>VLOOKUP($D85,'GSC-DSM-GLT Factors'!$A$1:$B$60,2,FALSE)</f>
        <v>0.38216</v>
      </c>
      <c r="S85" s="34">
        <f>VLOOKUP($E85,'Retail Rates'!$B$7:$L$34,9,FALSE)</f>
        <v>0</v>
      </c>
      <c r="T85" s="35">
        <f>VLOOKUP($E85,'Retail Rates'!$B$7:$L$34,10,FALSE)</f>
        <v>0</v>
      </c>
      <c r="U85" s="34">
        <f>VLOOKUP($E85,'Retail Rates'!$B$7:$L$34,11,FALSE)</f>
        <v>0</v>
      </c>
      <c r="V85" s="556">
        <f>VLOOKUP($D85,'GSC-DSM-GLT Factors'!$A$1:$O$60,11,FALSE)</f>
        <v>5.14</v>
      </c>
      <c r="W85" s="36">
        <f t="shared" si="131"/>
        <v>0</v>
      </c>
      <c r="X85" s="36"/>
      <c r="Y85" s="36"/>
      <c r="Z85" s="36">
        <f t="shared" si="132"/>
        <v>0</v>
      </c>
      <c r="AA85" s="36">
        <f t="shared" si="133"/>
        <v>0</v>
      </c>
      <c r="AB85" s="36">
        <f t="shared" si="134"/>
        <v>0</v>
      </c>
      <c r="AC85" s="36"/>
      <c r="AD85" s="36"/>
      <c r="AE85" s="36">
        <f t="shared" si="147"/>
        <v>0</v>
      </c>
      <c r="AF85" s="36">
        <f>(+H85*V85)+(I85*V85)</f>
        <v>0</v>
      </c>
      <c r="AG85" s="57">
        <f>SUMIFS(Adjustments!H$5:H$557,Adjustments!$B$5:$B$557,'Mar16-Aug16 Billed-RETAIL'!$D85,Adjustments!$C$5:$C$557,'Mar16-Aug16 Billed-RETAIL'!$E85)</f>
        <v>0</v>
      </c>
      <c r="AH85" s="57">
        <f>SUMIFS(Adjustments!I$5:I$557,Adjustments!$B$5:$B$557,'Mar16-Aug16 Billed-RETAIL'!$D85,Adjustments!$C$5:$C$557,'Mar16-Aug16 Billed-RETAIL'!$E85)</f>
        <v>0</v>
      </c>
      <c r="AI85" s="48">
        <f>SUMIFS(Adjustments!J$5:J$557,Adjustments!$B$5:$B$557,'Mar16-Aug16 Billed-RETAIL'!$D85,Adjustments!$C$5:$C$557,'Mar16-Aug16 Billed-RETAIL'!$E85)</f>
        <v>0</v>
      </c>
      <c r="AJ85" s="48">
        <f>SUMIFS(Adjustments!K$5:K$557,Adjustments!$B$5:$B$557,'Mar16-Aug16 Billed-RETAIL'!$D85,Adjustments!$C$5:$C$557,'Mar16-Aug16 Billed-RETAIL'!$E85)</f>
        <v>0</v>
      </c>
      <c r="AK85" s="48">
        <f>SUMIFS(Adjustments!L$5:L$557,Adjustments!$B$5:$B$557,'Mar16-Aug16 Billed-RETAIL'!$D85,Adjustments!$C$5:$C$557,'Mar16-Aug16 Billed-RETAIL'!$E85)</f>
        <v>0</v>
      </c>
      <c r="AL85" s="48">
        <f>SUMIFS(Adjustments!M$5:M$557,Adjustments!$B$5:$B$557,'Mar16-Aug16 Billed-RETAIL'!$D85,Adjustments!$C$5:$C$557,'Mar16-Aug16 Billed-RETAIL'!$E85)</f>
        <v>0</v>
      </c>
      <c r="AM85" s="48">
        <f>SUMIFS(Adjustments!N$5:N$557,Adjustments!$B$5:$B$557,'Mar16-Aug16 Billed-RETAIL'!$D85,Adjustments!$C$5:$C$557,'Mar16-Aug16 Billed-RETAIL'!$E85)</f>
        <v>0</v>
      </c>
      <c r="AN85" s="48">
        <f>SUMIFS(Adjustments!O$5:O$557,Adjustments!$B$5:$B$557,'Mar16-Aug16 Billed-RETAIL'!$D85,Adjustments!$C$5:$C$557,'Mar16-Aug16 Billed-RETAIL'!$E85)</f>
        <v>0</v>
      </c>
      <c r="AO85" s="48">
        <f>SUMIFS(Adjustments!P$5:P$557,Adjustments!$B$5:$B$557,'Mar16-Aug16 Billed-RETAIL'!$D85,Adjustments!$C$5:$C$557,'Mar16-Aug16 Billed-RETAIL'!$E85)</f>
        <v>0</v>
      </c>
      <c r="AP85" s="36">
        <f>+W85+AI85+(AG85*N85)</f>
        <v>0</v>
      </c>
      <c r="AQ85" s="36">
        <f t="shared" si="137"/>
        <v>0</v>
      </c>
      <c r="AR85" s="36">
        <f t="shared" si="138"/>
        <v>0</v>
      </c>
      <c r="AS85" s="36">
        <f t="shared" si="139"/>
        <v>0</v>
      </c>
      <c r="AT85" s="43">
        <f t="shared" si="148"/>
        <v>0</v>
      </c>
      <c r="AU85" s="43">
        <f t="shared" si="149"/>
        <v>0</v>
      </c>
      <c r="AV85" s="43"/>
      <c r="AW85" s="43">
        <f t="shared" si="150"/>
        <v>0</v>
      </c>
      <c r="AX85" s="36">
        <f t="shared" si="140"/>
        <v>0</v>
      </c>
      <c r="AY85" s="36"/>
      <c r="AZ85" s="43">
        <f t="shared" si="153"/>
        <v>0</v>
      </c>
      <c r="BA85" s="43">
        <f>SUM(BC85:BJ85)-BF85</f>
        <v>0</v>
      </c>
      <c r="BB85" s="44">
        <f t="shared" si="141"/>
        <v>0</v>
      </c>
      <c r="BC85" s="43">
        <f>(SUMIFS('Fin Forecast'!$E$4:$E$545,'Fin Forecast'!$B$4:$B$545,'Mar16-Aug16 Billed-RETAIL'!$E85,'Fin Forecast'!$C$4:$C$545,'Mar16-Aug16 Billed-RETAIL'!BC$5))*1000</f>
        <v>0</v>
      </c>
      <c r="BD85" s="43">
        <f>(SUMIFS('Fin Forecast'!$E$4:$E$545,'Fin Forecast'!$B$4:$B$545,'Mar16-Aug16 Billed-RETAIL'!$E85,'Fin Forecast'!$C$4:$C$545,'Mar16-Aug16 Billed-RETAIL'!BD$5))*1000</f>
        <v>0</v>
      </c>
      <c r="BE85" s="43">
        <v>0</v>
      </c>
      <c r="BF85" s="43">
        <v>0</v>
      </c>
      <c r="BG85" s="43">
        <f>(SUMIFS('Fin Forecast'!$E$4:$E$545,'Fin Forecast'!$B$4:$B$545,'Mar16-Aug16 Billed-RETAIL'!$E85,'Fin Forecast'!$C$4:$C$545,'Mar16-Aug16 Billed-RETAIL'!BG$5))*1000</f>
        <v>0</v>
      </c>
      <c r="BH85" s="43">
        <f>(SUMIFS('Fin Forecast'!$E$4:$E$545,'Fin Forecast'!$B$4:$B$545,'Mar16-Aug16 Billed-RETAIL'!$E85,'Fin Forecast'!$C$4:$C$545,'Mar16-Aug16 Billed-RETAIL'!BH$5))*1000</f>
        <v>0</v>
      </c>
      <c r="BI85" s="43">
        <f>(SUMIFS('Fin Forecast'!$E$4:$E$545,'Fin Forecast'!$B$4:$B$545,'Mar16-Aug16 Billed-RETAIL'!$E85,'Fin Forecast'!$C$4:$C$545,'Mar16-Aug16 Billed-RETAIL'!BI$5))*1000</f>
        <v>0</v>
      </c>
      <c r="BJ85" s="43">
        <f>(SUMIFS('Fin Forecast'!$E$4:$E$545,'Fin Forecast'!$B$4:$B$545,'Mar16-Aug16 Billed-RETAIL'!$E85,'Fin Forecast'!$C$4:$C$545,'Mar16-Aug16 Billed-RETAIL'!BJ$5))*1000</f>
        <v>0</v>
      </c>
      <c r="BL85" s="51">
        <f t="shared" si="142"/>
        <v>0</v>
      </c>
      <c r="BN85" s="58">
        <f t="shared" si="143"/>
        <v>0</v>
      </c>
      <c r="BO85" s="58">
        <f t="shared" si="144"/>
        <v>0</v>
      </c>
      <c r="BP85" s="58">
        <f t="shared" si="145"/>
        <v>0</v>
      </c>
    </row>
    <row r="86" spans="1:68" s="563" customFormat="1" ht="15" x14ac:dyDescent="0.25">
      <c r="C86" s="564"/>
      <c r="D86" s="605"/>
      <c r="E86" s="605"/>
      <c r="F86" s="564"/>
      <c r="G86" s="564"/>
      <c r="H86" s="565"/>
      <c r="I86" s="565"/>
      <c r="J86" s="565"/>
      <c r="K86" s="572"/>
      <c r="L86" s="572"/>
      <c r="N86" s="566"/>
      <c r="O86" s="566"/>
      <c r="P86" s="567"/>
      <c r="Q86" s="567"/>
      <c r="R86" s="567"/>
      <c r="S86" s="566"/>
      <c r="T86" s="567"/>
      <c r="U86" s="567"/>
      <c r="V86" s="568"/>
      <c r="W86" s="569"/>
      <c r="X86" s="569"/>
      <c r="Y86" s="569"/>
      <c r="Z86" s="569"/>
      <c r="AA86" s="569"/>
      <c r="AB86" s="569"/>
      <c r="AC86" s="569"/>
      <c r="AD86" s="569"/>
      <c r="AE86" s="569"/>
      <c r="AF86" s="569"/>
      <c r="AG86" s="570"/>
      <c r="AH86" s="570"/>
      <c r="AI86" s="569"/>
      <c r="AJ86" s="569"/>
      <c r="AK86" s="569"/>
      <c r="AL86" s="569"/>
      <c r="AM86" s="569"/>
      <c r="AN86" s="569"/>
      <c r="AO86" s="569"/>
      <c r="AP86" s="586"/>
      <c r="AQ86" s="586"/>
      <c r="AR86" s="586"/>
      <c r="AS86" s="586"/>
      <c r="AT86" s="569"/>
      <c r="AU86" s="569"/>
      <c r="AV86" s="569"/>
      <c r="AW86" s="569"/>
      <c r="AX86" s="569"/>
      <c r="AY86" s="569"/>
      <c r="AZ86" s="569"/>
      <c r="BA86" s="569"/>
      <c r="BB86" s="571"/>
      <c r="BC86" s="586"/>
      <c r="BD86" s="586"/>
      <c r="BE86" s="586"/>
      <c r="BF86" s="586"/>
      <c r="BG86" s="586"/>
      <c r="BH86" s="586"/>
      <c r="BI86" s="586"/>
      <c r="BJ86" s="586"/>
      <c r="BL86" s="569"/>
      <c r="BN86" s="569"/>
      <c r="BO86" s="569"/>
      <c r="BP86" s="569"/>
    </row>
    <row r="87" spans="1:68" ht="15" x14ac:dyDescent="0.25">
      <c r="C87" s="14">
        <f>C83+1</f>
        <v>70</v>
      </c>
      <c r="D87" s="604">
        <f>EDATE(D75,1)</f>
        <v>42644</v>
      </c>
      <c r="E87" s="604" t="str">
        <f>+'Retail Rates'!$B$7</f>
        <v>LGCMG865</v>
      </c>
      <c r="F87" s="14" t="str">
        <f>MID(E87,6,3)</f>
        <v>865</v>
      </c>
      <c r="G87" s="14" t="str">
        <f>VLOOKUP(E87,'Retail Rates'!$B$7:$D$34,3,FALSE)</f>
        <v>AAGS-C</v>
      </c>
      <c r="H87" s="546">
        <f>SUMIF('Forecasted Customer Cts'!$D$5:$D$36,'Mar16-Aug16 Billed-RETAIL'!$E87,'Forecasted Customer Cts'!$O$5:$O$36)</f>
        <v>2</v>
      </c>
      <c r="I87" s="546"/>
      <c r="J87" s="546"/>
      <c r="K87" s="546">
        <f>SUMIF('Forecasted Calendar Month Usage'!$D$5:$D$41,'Mar16-Aug16 Billed-RETAIL'!$E87,'Forecasted Calendar Month Usage'!$O$5:$O$41)*10</f>
        <v>42674.778287408073</v>
      </c>
      <c r="L87" s="545"/>
      <c r="N87" s="34">
        <f>VLOOKUP($E87,'Retail Rates'!$B$7:$L$34,5,FALSE)</f>
        <v>400</v>
      </c>
      <c r="O87" s="34">
        <f>VLOOKUP($E87,'Retail Rates'!$B$7:$L$34,6,FALSE)</f>
        <v>0</v>
      </c>
      <c r="P87" s="35">
        <f>VLOOKUP($E87,'Retail Rates'!$B$7:$L$34,7,FALSE)</f>
        <v>7.009E-2</v>
      </c>
      <c r="Q87" s="35">
        <f>VLOOKUP($E87,'Retail Rates'!$B$7:$L$34,8,FALSE)</f>
        <v>0</v>
      </c>
      <c r="R87" s="35">
        <f>VLOOKUP($D87,'GSC-DSM-GLT Factors'!$A$1:$B$60,2,FALSE)</f>
        <v>0.38216</v>
      </c>
      <c r="S87" s="34">
        <f>VLOOKUP($E87,'Retail Rates'!$B$7:$L$34,9,FALSE)</f>
        <v>0</v>
      </c>
      <c r="T87" s="35">
        <f>VLOOKUP($E87,'Retail Rates'!$B$7:$L$34,10,FALSE)</f>
        <v>0</v>
      </c>
      <c r="U87" s="34">
        <f>VLOOKUP($E87,'Retail Rates'!$B$7:$L$34,11,FALSE)</f>
        <v>0</v>
      </c>
      <c r="V87" s="556">
        <f>VLOOKUP($D87,'GSC-DSM-GLT Factors'!$A$1:$O$60,14,FALSE)</f>
        <v>2838.87</v>
      </c>
      <c r="W87" s="36">
        <f t="shared" ref="W87:W97" si="154">(+H87*N87)+(I87*N87)</f>
        <v>800</v>
      </c>
      <c r="X87" s="36"/>
      <c r="Y87" s="36"/>
      <c r="Z87" s="36">
        <f t="shared" ref="Z87:Z97" si="155">+K87*P87</f>
        <v>2991.0752101644316</v>
      </c>
      <c r="AA87" s="36">
        <f t="shared" ref="AA87:AA97" si="156">+L87*Q87</f>
        <v>0</v>
      </c>
      <c r="AB87" s="36">
        <f t="shared" ref="AB87:AB97" si="157">SUM(K87:L87)*R87</f>
        <v>16308.593270315869</v>
      </c>
      <c r="AC87" s="36"/>
      <c r="AD87" s="36"/>
      <c r="AE87" s="36">
        <f>M87*U87</f>
        <v>0</v>
      </c>
      <c r="AF87" s="36">
        <f t="shared" ref="AF87:AF92" si="158">(+H87*V87)+(I87*V87)</f>
        <v>5677.74</v>
      </c>
      <c r="AG87" s="57">
        <f>SUMIFS(Adjustments!H$5:H$557,Adjustments!$B$5:$B$557,'Mar16-Aug16 Billed-RETAIL'!$D87,Adjustments!$C$5:$C$557,'Mar16-Aug16 Billed-RETAIL'!$E87)</f>
        <v>0</v>
      </c>
      <c r="AH87" s="57">
        <f>SUMIFS(Adjustments!I$5:I$557,Adjustments!$B$5:$B$557,'Mar16-Aug16 Billed-RETAIL'!$D87,Adjustments!$C$5:$C$557,'Mar16-Aug16 Billed-RETAIL'!$E87)</f>
        <v>0</v>
      </c>
      <c r="AI87" s="48">
        <f>SUMIFS(Adjustments!J$5:J$557,Adjustments!$B$5:$B$557,'Mar16-Aug16 Billed-RETAIL'!$D87,Adjustments!$C$5:$C$557,'Mar16-Aug16 Billed-RETAIL'!$E87)</f>
        <v>0</v>
      </c>
      <c r="AJ87" s="48">
        <f>SUMIFS(Adjustments!K$5:K$557,Adjustments!$B$5:$B$557,'Mar16-Aug16 Billed-RETAIL'!$D87,Adjustments!$C$5:$C$557,'Mar16-Aug16 Billed-RETAIL'!$E87)</f>
        <v>0</v>
      </c>
      <c r="AK87" s="48">
        <f>SUMIFS(Adjustments!L$5:L$557,Adjustments!$B$5:$B$557,'Mar16-Aug16 Billed-RETAIL'!$D87,Adjustments!$C$5:$C$557,'Mar16-Aug16 Billed-RETAIL'!$E87)</f>
        <v>0</v>
      </c>
      <c r="AL87" s="48">
        <f>SUMIFS(Adjustments!M$5:M$557,Adjustments!$B$5:$B$557,'Mar16-Aug16 Billed-RETAIL'!$D87,Adjustments!$C$5:$C$557,'Mar16-Aug16 Billed-RETAIL'!$E87)</f>
        <v>0</v>
      </c>
      <c r="AM87" s="48">
        <f>SUMIFS(Adjustments!N$5:N$557,Adjustments!$B$5:$B$557,'Mar16-Aug16 Billed-RETAIL'!$D87,Adjustments!$C$5:$C$557,'Mar16-Aug16 Billed-RETAIL'!$E87)</f>
        <v>0</v>
      </c>
      <c r="AN87" s="48">
        <f>SUMIFS(Adjustments!O$5:O$557,Adjustments!$B$5:$B$557,'Mar16-Aug16 Billed-RETAIL'!$D87,Adjustments!$C$5:$C$557,'Mar16-Aug16 Billed-RETAIL'!$E87)</f>
        <v>0</v>
      </c>
      <c r="AO87" s="48">
        <f>SUMIFS(Adjustments!P$5:P$557,Adjustments!$B$5:$B$557,'Mar16-Aug16 Billed-RETAIL'!$D87,Adjustments!$C$5:$C$557,'Mar16-Aug16 Billed-RETAIL'!$E87)</f>
        <v>0</v>
      </c>
      <c r="AP87" s="36">
        <f t="shared" ref="AP87:AP93" si="159">+W87+AI87+(AG87*N87)</f>
        <v>800</v>
      </c>
      <c r="AQ87" s="36">
        <f t="shared" ref="AQ87:AQ97" si="160">+Y87+AJ87</f>
        <v>0</v>
      </c>
      <c r="AR87" s="36">
        <f t="shared" ref="AR87:AR97" si="161">+Z87+AK87</f>
        <v>2991.0752101644316</v>
      </c>
      <c r="AS87" s="36">
        <f t="shared" ref="AS87:AS97" si="162">+AA87+AL87</f>
        <v>0</v>
      </c>
      <c r="AT87" s="43">
        <f>BD87</f>
        <v>65531.094858477503</v>
      </c>
      <c r="AU87" s="43">
        <f>BC87</f>
        <v>1001.68778662198</v>
      </c>
      <c r="AV87" s="43"/>
      <c r="AW87" s="43">
        <f>BJ87</f>
        <v>11613.557254048299</v>
      </c>
      <c r="AX87" s="36">
        <f t="shared" ref="AX87:AX97" si="163">+AE87+AO87</f>
        <v>0</v>
      </c>
      <c r="AY87" s="36"/>
      <c r="AZ87" s="43">
        <f>ROUND(SUM(AP87:AY87),2)+SUM(AP88:AY88)</f>
        <v>90996.838548870903</v>
      </c>
      <c r="BA87" s="43">
        <f>SUM(BC87:BJ87)-BF87</f>
        <v>90996.833656518662</v>
      </c>
      <c r="BB87" s="44">
        <f t="shared" ref="BB87:BB97" si="164">IF(BA87=0,0,ROUND(BA87/AZ87,6))</f>
        <v>1</v>
      </c>
      <c r="BC87" s="43">
        <f>(SUMIFS('Fin Forecast'!$F$4:$F$545,'Fin Forecast'!$B$4:$B$545,'Mar16-Aug16 Billed-RETAIL'!$E87,'Fin Forecast'!$C$4:$C$545,'Mar16-Aug16 Billed-RETAIL'!BC$5))*1000</f>
        <v>1001.68778662198</v>
      </c>
      <c r="BD87" s="43">
        <f>(SUMIFS('Fin Forecast'!$F$4:$F$545,'Fin Forecast'!$B$4:$B$545,'Mar16-Aug16 Billed-RETAIL'!$E87,'Fin Forecast'!$C$4:$C$545,'Mar16-Aug16 Billed-RETAIL'!BD$5))*1000</f>
        <v>65531.094858477503</v>
      </c>
      <c r="BE87" s="43">
        <v>0</v>
      </c>
      <c r="BF87" s="43">
        <v>0</v>
      </c>
      <c r="BG87" s="43">
        <f>(SUMIFS('Fin Forecast'!$F$4:$F$545,'Fin Forecast'!$B$4:$B$545,'Mar16-Aug16 Billed-RETAIL'!$E87,'Fin Forecast'!$C$4:$C$545,'Mar16-Aug16 Billed-RETAIL'!BG$5))*1000</f>
        <v>1600</v>
      </c>
      <c r="BH87" s="43">
        <f>(SUMIFS('Fin Forecast'!$F$4:$F$545,'Fin Forecast'!$B$4:$B$545,'Mar16-Aug16 Billed-RETAIL'!$E87,'Fin Forecast'!$C$4:$C$545,'Mar16-Aug16 Billed-RETAIL'!BH$5))*1000</f>
        <v>11250.49375737089</v>
      </c>
      <c r="BI87" s="43">
        <f>(SUMIFS('Fin Forecast'!$F$4:$F$545,'Fin Forecast'!$B$4:$B$545,'Mar16-Aug16 Billed-RETAIL'!$E87,'Fin Forecast'!$C$4:$C$545,'Mar16-Aug16 Billed-RETAIL'!BI$5))*1000</f>
        <v>0</v>
      </c>
      <c r="BJ87" s="43">
        <f>(SUMIFS('Fin Forecast'!$F$4:$F$545,'Fin Forecast'!$B$4:$B$545,'Mar16-Aug16 Billed-RETAIL'!$E87,'Fin Forecast'!$C$4:$C$545,'Mar16-Aug16 Billed-RETAIL'!BJ$5))*1000</f>
        <v>11613.557254048299</v>
      </c>
      <c r="BL87" s="51">
        <f t="shared" ref="BL87:BL97" si="165">+AZ87-BA87</f>
        <v>4.8923522408585995E-3</v>
      </c>
      <c r="BN87" s="58">
        <f t="shared" ref="BN87:BN97" si="166">+AP87+AQ87-BG87</f>
        <v>-800</v>
      </c>
      <c r="BO87" s="58">
        <f t="shared" ref="BO87:BO97" si="167">+AR87+AS87-BH87</f>
        <v>-8259.4185472064582</v>
      </c>
      <c r="BP87" s="58">
        <f t="shared" ref="BP87:BP97" si="168">+AT87-BD87</f>
        <v>0</v>
      </c>
    </row>
    <row r="88" spans="1:68" ht="15" x14ac:dyDescent="0.25">
      <c r="C88" s="14">
        <f>C87+1</f>
        <v>71</v>
      </c>
      <c r="D88" s="604">
        <f>$D$87</f>
        <v>42644</v>
      </c>
      <c r="E88" s="604" t="str">
        <f>+'Retail Rates'!$B$10</f>
        <v>LGING866</v>
      </c>
      <c r="F88" s="14" t="str">
        <f t="shared" ref="F88:F97" si="169">MID(E88,6,3)</f>
        <v>866</v>
      </c>
      <c r="G88" s="14" t="str">
        <f>VLOOKUP(E88,'Retail Rates'!$B$7:$D$34,3,FALSE)</f>
        <v>AAGS-I</v>
      </c>
      <c r="H88" s="546">
        <f>SUMIF('Forecasted Customer Cts'!$D$5:$D$36,'Mar16-Aug16 Billed-RETAIL'!$E88,'Forecasted Customer Cts'!$O$5:$O$36)</f>
        <v>2</v>
      </c>
      <c r="I88" s="546"/>
      <c r="J88" s="546"/>
      <c r="K88" s="546">
        <f>SUMIF('Forecasted Calendar Month Usage'!$D$5:$D$41,'Mar16-Aug16 Billed-RETAIL'!$E88,'Forecasted Calendar Month Usage'!$O$5:$O$41)*10</f>
        <v>117840.18474633894</v>
      </c>
      <c r="L88" s="545"/>
      <c r="N88" s="34">
        <f>VLOOKUP($E88,'Retail Rates'!$B$7:$L$34,5,FALSE)</f>
        <v>400</v>
      </c>
      <c r="O88" s="34">
        <f>VLOOKUP($E88,'Retail Rates'!$B$7:$L$34,6,FALSE)</f>
        <v>0</v>
      </c>
      <c r="P88" s="35">
        <f>VLOOKUP($E88,'Retail Rates'!$B$7:$L$34,7,FALSE)</f>
        <v>7.009E-2</v>
      </c>
      <c r="Q88" s="35">
        <f>VLOOKUP($E88,'Retail Rates'!$B$7:$L$34,8,FALSE)</f>
        <v>0</v>
      </c>
      <c r="R88" s="35">
        <f>VLOOKUP($D88,'GSC-DSM-GLT Factors'!$A$1:$B$60,2,FALSE)</f>
        <v>0.38216</v>
      </c>
      <c r="S88" s="34">
        <f>VLOOKUP($E88,'Retail Rates'!$B$7:$L$34,9,FALSE)</f>
        <v>0</v>
      </c>
      <c r="T88" s="35">
        <f>VLOOKUP($E88,'Retail Rates'!$B$7:$L$34,10,FALSE)</f>
        <v>0</v>
      </c>
      <c r="U88" s="34">
        <f>VLOOKUP($E88,'Retail Rates'!$B$7:$L$34,11,FALSE)</f>
        <v>0</v>
      </c>
      <c r="V88" s="556">
        <f>VLOOKUP($D88,'GSC-DSM-GLT Factors'!$A$1:$O$60,14,FALSE)</f>
        <v>2838.87</v>
      </c>
      <c r="W88" s="36">
        <f t="shared" si="154"/>
        <v>800</v>
      </c>
      <c r="X88" s="36"/>
      <c r="Y88" s="36"/>
      <c r="Z88" s="36">
        <f t="shared" si="155"/>
        <v>8259.4185488708972</v>
      </c>
      <c r="AA88" s="36">
        <f t="shared" si="156"/>
        <v>0</v>
      </c>
      <c r="AB88" s="36">
        <f t="shared" si="157"/>
        <v>45033.805002660891</v>
      </c>
      <c r="AC88" s="36"/>
      <c r="AD88" s="36"/>
      <c r="AE88" s="36">
        <f t="shared" ref="AE88:AE97" si="170">M88*U88</f>
        <v>0</v>
      </c>
      <c r="AF88" s="36">
        <f t="shared" si="158"/>
        <v>5677.74</v>
      </c>
      <c r="AG88" s="57">
        <f>SUMIFS(Adjustments!H$5:H$557,Adjustments!$B$5:$B$557,'Mar16-Aug16 Billed-RETAIL'!$D88,Adjustments!$C$5:$C$557,'Mar16-Aug16 Billed-RETAIL'!$E88)</f>
        <v>0</v>
      </c>
      <c r="AH88" s="57">
        <f>SUMIFS(Adjustments!I$5:I$557,Adjustments!$B$5:$B$557,'Mar16-Aug16 Billed-RETAIL'!$D88,Adjustments!$C$5:$C$557,'Mar16-Aug16 Billed-RETAIL'!$E88)</f>
        <v>0</v>
      </c>
      <c r="AI88" s="48">
        <f>SUMIFS(Adjustments!J$5:J$557,Adjustments!$B$5:$B$557,'Mar16-Aug16 Billed-RETAIL'!$D88,Adjustments!$C$5:$C$557,'Mar16-Aug16 Billed-RETAIL'!$E88)</f>
        <v>0</v>
      </c>
      <c r="AJ88" s="48">
        <f>SUMIFS(Adjustments!K$5:K$557,Adjustments!$B$5:$B$557,'Mar16-Aug16 Billed-RETAIL'!$D88,Adjustments!$C$5:$C$557,'Mar16-Aug16 Billed-RETAIL'!$E88)</f>
        <v>0</v>
      </c>
      <c r="AK88" s="48">
        <f>SUMIFS(Adjustments!L$5:L$557,Adjustments!$B$5:$B$557,'Mar16-Aug16 Billed-RETAIL'!$D88,Adjustments!$C$5:$C$557,'Mar16-Aug16 Billed-RETAIL'!$E88)</f>
        <v>0</v>
      </c>
      <c r="AL88" s="48">
        <f>SUMIFS(Adjustments!M$5:M$557,Adjustments!$B$5:$B$557,'Mar16-Aug16 Billed-RETAIL'!$D88,Adjustments!$C$5:$C$557,'Mar16-Aug16 Billed-RETAIL'!$E88)</f>
        <v>0</v>
      </c>
      <c r="AM88" s="48">
        <f>SUMIFS(Adjustments!N$5:N$557,Adjustments!$B$5:$B$557,'Mar16-Aug16 Billed-RETAIL'!$D88,Adjustments!$C$5:$C$557,'Mar16-Aug16 Billed-RETAIL'!$E88)</f>
        <v>0</v>
      </c>
      <c r="AN88" s="48">
        <f>SUMIFS(Adjustments!O$5:O$557,Adjustments!$B$5:$B$557,'Mar16-Aug16 Billed-RETAIL'!$D88,Adjustments!$C$5:$C$557,'Mar16-Aug16 Billed-RETAIL'!$E88)</f>
        <v>0</v>
      </c>
      <c r="AO88" s="48">
        <f>SUMIFS(Adjustments!P$5:P$557,Adjustments!$B$5:$B$557,'Mar16-Aug16 Billed-RETAIL'!$D88,Adjustments!$C$5:$C$557,'Mar16-Aug16 Billed-RETAIL'!$E88)</f>
        <v>0</v>
      </c>
      <c r="AP88" s="36">
        <f t="shared" si="159"/>
        <v>800</v>
      </c>
      <c r="AQ88" s="36">
        <f t="shared" si="160"/>
        <v>0</v>
      </c>
      <c r="AR88" s="36">
        <f t="shared" si="161"/>
        <v>8259.4185488708972</v>
      </c>
      <c r="AS88" s="36">
        <f t="shared" si="162"/>
        <v>0</v>
      </c>
      <c r="AT88" s="43">
        <f t="shared" ref="AT88:AT97" si="171">BD88</f>
        <v>0</v>
      </c>
      <c r="AU88" s="43">
        <f t="shared" ref="AU88:AU97" si="172">BC88</f>
        <v>0</v>
      </c>
      <c r="AV88" s="43"/>
      <c r="AW88" s="43">
        <f t="shared" ref="AW88:AW97" si="173">BJ88</f>
        <v>0</v>
      </c>
      <c r="AX88" s="36">
        <f t="shared" si="163"/>
        <v>0</v>
      </c>
      <c r="AY88" s="36"/>
      <c r="AZ88" s="43"/>
      <c r="BA88" s="43">
        <f>SUM(BC88:BJ88)-BF88</f>
        <v>0</v>
      </c>
      <c r="BB88" s="44">
        <f t="shared" si="164"/>
        <v>0</v>
      </c>
      <c r="BC88" s="43">
        <f>(SUMIFS('Fin Forecast'!$F$4:$F$545,'Fin Forecast'!$B$4:$B$545,'Mar16-Aug16 Billed-RETAIL'!$E88,'Fin Forecast'!$C$4:$C$545,'Mar16-Aug16 Billed-RETAIL'!BC$5))*1000</f>
        <v>0</v>
      </c>
      <c r="BD88" s="43">
        <f>(SUMIFS('Fin Forecast'!$F$4:$F$545,'Fin Forecast'!$B$4:$B$545,'Mar16-Aug16 Billed-RETAIL'!$E88,'Fin Forecast'!$C$4:$C$545,'Mar16-Aug16 Billed-RETAIL'!BD$5))*1000</f>
        <v>0</v>
      </c>
      <c r="BE88" s="43">
        <v>0</v>
      </c>
      <c r="BF88" s="43">
        <v>0</v>
      </c>
      <c r="BG88" s="43">
        <f>(SUMIFS('Fin Forecast'!$F$4:$F$545,'Fin Forecast'!$B$4:$B$545,'Mar16-Aug16 Billed-RETAIL'!$E88,'Fin Forecast'!$C$4:$C$545,'Mar16-Aug16 Billed-RETAIL'!BG$5))*1000</f>
        <v>0</v>
      </c>
      <c r="BH88" s="43">
        <f>(SUMIFS('Fin Forecast'!$F$4:$F$545,'Fin Forecast'!$B$4:$B$545,'Mar16-Aug16 Billed-RETAIL'!$E88,'Fin Forecast'!$C$4:$C$545,'Mar16-Aug16 Billed-RETAIL'!BH$5))*1000</f>
        <v>0</v>
      </c>
      <c r="BI88" s="43">
        <f>(SUMIFS('Fin Forecast'!$F$4:$F$545,'Fin Forecast'!$B$4:$B$545,'Mar16-Aug16 Billed-RETAIL'!$E88,'Fin Forecast'!$C$4:$C$545,'Mar16-Aug16 Billed-RETAIL'!BI$5))*1000</f>
        <v>0</v>
      </c>
      <c r="BJ88" s="43">
        <f>(SUMIFS('Fin Forecast'!$F$4:$F$545,'Fin Forecast'!$B$4:$B$545,'Mar16-Aug16 Billed-RETAIL'!$E88,'Fin Forecast'!$C$4:$C$545,'Mar16-Aug16 Billed-RETAIL'!BJ$5))*1000</f>
        <v>0</v>
      </c>
      <c r="BL88" s="51">
        <f t="shared" si="165"/>
        <v>0</v>
      </c>
      <c r="BN88" s="58">
        <f t="shared" si="166"/>
        <v>800</v>
      </c>
      <c r="BO88" s="58">
        <f t="shared" si="167"/>
        <v>8259.4185488708972</v>
      </c>
      <c r="BP88" s="58">
        <f t="shared" si="168"/>
        <v>0</v>
      </c>
    </row>
    <row r="89" spans="1:68" ht="15" x14ac:dyDescent="0.25">
      <c r="A89" s="548" t="s">
        <v>799</v>
      </c>
      <c r="B89" s="548" t="s">
        <v>800</v>
      </c>
      <c r="C89" s="14">
        <f t="shared" ref="C89:C97" si="174">C88+1</f>
        <v>72</v>
      </c>
      <c r="D89" s="604">
        <f t="shared" ref="D89:D97" si="175">$D$87</f>
        <v>42644</v>
      </c>
      <c r="E89" s="604" t="str">
        <f>+'Retail Rates'!$B$11</f>
        <v>LGING866DS</v>
      </c>
      <c r="F89" s="14" t="str">
        <f t="shared" si="169"/>
        <v>866</v>
      </c>
      <c r="G89" s="14" t="str">
        <f>VLOOKUP(E89,'Retail Rates'!$B$7:$D$34,3,FALSE)</f>
        <v>AAGS-I</v>
      </c>
      <c r="H89" s="546"/>
      <c r="I89" s="546"/>
      <c r="J89" s="546"/>
      <c r="K89" s="546"/>
      <c r="L89" s="546"/>
      <c r="M89" s="63"/>
      <c r="N89" s="34">
        <f>VLOOKUP($E89,'Retail Rates'!$B$7:$L$34,5,FALSE)</f>
        <v>400</v>
      </c>
      <c r="O89" s="34">
        <f>VLOOKUP($E89,'Retail Rates'!$B$7:$L$34,6,FALSE)</f>
        <v>0</v>
      </c>
      <c r="P89" s="35">
        <f>VLOOKUP($E89,'Retail Rates'!$B$7:$L$34,7,FALSE)</f>
        <v>7.009E-2</v>
      </c>
      <c r="Q89" s="35">
        <f>VLOOKUP($E89,'Retail Rates'!$B$7:$L$34,8,FALSE)</f>
        <v>0</v>
      </c>
      <c r="R89" s="35">
        <f>VLOOKUP($D89,'GSC-DSM-GLT Factors'!$A$1:$B$60,2,FALSE)</f>
        <v>0.38216</v>
      </c>
      <c r="S89" s="34">
        <f>VLOOKUP($E89,'Retail Rates'!$B$7:$L$34,9,FALSE)</f>
        <v>0</v>
      </c>
      <c r="T89" s="35">
        <f>VLOOKUP($E89,'Retail Rates'!$B$7:$L$34,10,FALSE)</f>
        <v>0</v>
      </c>
      <c r="U89" s="34">
        <f>VLOOKUP($E89,'Retail Rates'!$B$7:$L$34,11,FALSE)</f>
        <v>0</v>
      </c>
      <c r="V89" s="556">
        <f>VLOOKUP($D89,'GSC-DSM-GLT Factors'!$A$1:$O$60,14,FALSE)</f>
        <v>2838.87</v>
      </c>
      <c r="W89" s="36">
        <f t="shared" si="154"/>
        <v>0</v>
      </c>
      <c r="X89" s="36"/>
      <c r="Y89" s="36"/>
      <c r="Z89" s="36">
        <f t="shared" si="155"/>
        <v>0</v>
      </c>
      <c r="AA89" s="36">
        <f t="shared" si="156"/>
        <v>0</v>
      </c>
      <c r="AB89" s="36">
        <f t="shared" si="157"/>
        <v>0</v>
      </c>
      <c r="AC89" s="36"/>
      <c r="AD89" s="36"/>
      <c r="AE89" s="36">
        <f t="shared" si="170"/>
        <v>0</v>
      </c>
      <c r="AF89" s="36">
        <f t="shared" si="158"/>
        <v>0</v>
      </c>
      <c r="AG89" s="57">
        <f>SUMIFS(Adjustments!H$5:H$557,Adjustments!$B$5:$B$557,'Mar16-Aug16 Billed-RETAIL'!$D89,Adjustments!$C$5:$C$557,'Mar16-Aug16 Billed-RETAIL'!$E89)</f>
        <v>0</v>
      </c>
      <c r="AH89" s="57">
        <f>SUMIFS(Adjustments!I$5:I$557,Adjustments!$B$5:$B$557,'Mar16-Aug16 Billed-RETAIL'!$D89,Adjustments!$C$5:$C$557,'Mar16-Aug16 Billed-RETAIL'!$E89)</f>
        <v>0</v>
      </c>
      <c r="AI89" s="48">
        <f>SUMIFS(Adjustments!J$5:J$557,Adjustments!$B$5:$B$557,'Mar16-Aug16 Billed-RETAIL'!$D89,Adjustments!$C$5:$C$557,'Mar16-Aug16 Billed-RETAIL'!$E89)</f>
        <v>0</v>
      </c>
      <c r="AJ89" s="48">
        <f>SUMIFS(Adjustments!K$5:K$557,Adjustments!$B$5:$B$557,'Mar16-Aug16 Billed-RETAIL'!$D89,Adjustments!$C$5:$C$557,'Mar16-Aug16 Billed-RETAIL'!$E89)</f>
        <v>0</v>
      </c>
      <c r="AK89" s="48">
        <f>SUMIFS(Adjustments!L$5:L$557,Adjustments!$B$5:$B$557,'Mar16-Aug16 Billed-RETAIL'!$D89,Adjustments!$C$5:$C$557,'Mar16-Aug16 Billed-RETAIL'!$E89)</f>
        <v>0</v>
      </c>
      <c r="AL89" s="48">
        <f>SUMIFS(Adjustments!M$5:M$557,Adjustments!$B$5:$B$557,'Mar16-Aug16 Billed-RETAIL'!$D89,Adjustments!$C$5:$C$557,'Mar16-Aug16 Billed-RETAIL'!$E89)</f>
        <v>0</v>
      </c>
      <c r="AM89" s="48">
        <f>SUMIFS(Adjustments!N$5:N$557,Adjustments!$B$5:$B$557,'Mar16-Aug16 Billed-RETAIL'!$D89,Adjustments!$C$5:$C$557,'Mar16-Aug16 Billed-RETAIL'!$E89)</f>
        <v>0</v>
      </c>
      <c r="AN89" s="48">
        <f>SUMIFS(Adjustments!O$5:O$557,Adjustments!$B$5:$B$557,'Mar16-Aug16 Billed-RETAIL'!$D89,Adjustments!$C$5:$C$557,'Mar16-Aug16 Billed-RETAIL'!$E89)</f>
        <v>0</v>
      </c>
      <c r="AO89" s="48">
        <f>SUMIFS(Adjustments!P$5:P$557,Adjustments!$B$5:$B$557,'Mar16-Aug16 Billed-RETAIL'!$D89,Adjustments!$C$5:$C$557,'Mar16-Aug16 Billed-RETAIL'!$E89)</f>
        <v>0</v>
      </c>
      <c r="AP89" s="36">
        <f t="shared" si="159"/>
        <v>0</v>
      </c>
      <c r="AQ89" s="36">
        <f t="shared" si="160"/>
        <v>0</v>
      </c>
      <c r="AR89" s="36">
        <f t="shared" si="161"/>
        <v>0</v>
      </c>
      <c r="AS89" s="36">
        <f t="shared" si="162"/>
        <v>0</v>
      </c>
      <c r="AT89" s="43">
        <f t="shared" si="171"/>
        <v>0</v>
      </c>
      <c r="AU89" s="43">
        <f t="shared" si="172"/>
        <v>0</v>
      </c>
      <c r="AV89" s="43"/>
      <c r="AW89" s="43">
        <f t="shared" si="173"/>
        <v>0</v>
      </c>
      <c r="AX89" s="36">
        <f t="shared" si="163"/>
        <v>0</v>
      </c>
      <c r="AY89" s="36"/>
      <c r="AZ89" s="43">
        <f t="shared" ref="AZ89:AZ97" si="176">ROUND(SUM(AP89:AY89),2)</f>
        <v>0</v>
      </c>
      <c r="BA89" s="43">
        <f>SUM(BC89:BJ89)-BF89</f>
        <v>0</v>
      </c>
      <c r="BB89" s="44">
        <f t="shared" si="164"/>
        <v>0</v>
      </c>
      <c r="BC89" s="43">
        <f>(SUMIFS('Fin Forecast'!$F$4:$F$545,'Fin Forecast'!$B$4:$B$545,'Mar16-Aug16 Billed-RETAIL'!$E89,'Fin Forecast'!$C$4:$C$545,'Mar16-Aug16 Billed-RETAIL'!BC$5))*1000</f>
        <v>0</v>
      </c>
      <c r="BD89" s="43">
        <f>(SUMIFS('Fin Forecast'!$F$4:$F$545,'Fin Forecast'!$B$4:$B$545,'Mar16-Aug16 Billed-RETAIL'!$E89,'Fin Forecast'!$C$4:$C$545,'Mar16-Aug16 Billed-RETAIL'!BD$5))*1000</f>
        <v>0</v>
      </c>
      <c r="BE89" s="43">
        <v>0</v>
      </c>
      <c r="BF89" s="43">
        <v>0</v>
      </c>
      <c r="BG89" s="43">
        <f>(SUMIFS('Fin Forecast'!$F$4:$F$545,'Fin Forecast'!$B$4:$B$545,'Mar16-Aug16 Billed-RETAIL'!$E89,'Fin Forecast'!$C$4:$C$545,'Mar16-Aug16 Billed-RETAIL'!BG$5))*1000</f>
        <v>0</v>
      </c>
      <c r="BH89" s="43">
        <f>(SUMIFS('Fin Forecast'!$F$4:$F$545,'Fin Forecast'!$B$4:$B$545,'Mar16-Aug16 Billed-RETAIL'!$E89,'Fin Forecast'!$C$4:$C$545,'Mar16-Aug16 Billed-RETAIL'!BH$5))*1000</f>
        <v>0</v>
      </c>
      <c r="BI89" s="43">
        <f>(SUMIFS('Fin Forecast'!$F$4:$F$545,'Fin Forecast'!$B$4:$B$545,'Mar16-Aug16 Billed-RETAIL'!$E89,'Fin Forecast'!$C$4:$C$545,'Mar16-Aug16 Billed-RETAIL'!BI$5))*1000</f>
        <v>0</v>
      </c>
      <c r="BJ89" s="43">
        <f>(SUMIFS('Fin Forecast'!$F$4:$F$545,'Fin Forecast'!$B$4:$B$545,'Mar16-Aug16 Billed-RETAIL'!$E89,'Fin Forecast'!$C$4:$C$545,'Mar16-Aug16 Billed-RETAIL'!BJ$5))*1000</f>
        <v>0</v>
      </c>
      <c r="BL89" s="51">
        <f t="shared" si="165"/>
        <v>0</v>
      </c>
      <c r="BN89" s="58">
        <f t="shared" si="166"/>
        <v>0</v>
      </c>
      <c r="BO89" s="58">
        <f t="shared" si="167"/>
        <v>0</v>
      </c>
      <c r="BP89" s="58">
        <f t="shared" si="168"/>
        <v>0</v>
      </c>
    </row>
    <row r="90" spans="1:68" ht="15" x14ac:dyDescent="0.25">
      <c r="C90" s="14">
        <f t="shared" si="174"/>
        <v>73</v>
      </c>
      <c r="D90" s="604">
        <f t="shared" si="175"/>
        <v>42644</v>
      </c>
      <c r="E90" s="604" t="str">
        <f>+'Retail Rates'!$B$15</f>
        <v>LGCMG851</v>
      </c>
      <c r="F90" s="14" t="str">
        <f t="shared" si="169"/>
        <v>851</v>
      </c>
      <c r="G90" s="14" t="str">
        <f>VLOOKUP(E90,'Retail Rates'!$B$7:$D$34,3,FALSE)</f>
        <v>CGS</v>
      </c>
      <c r="H90" s="546"/>
      <c r="I90" s="546">
        <f>SUMIFS('Forecasted Customer Cts'!$O$5:$O$36,'Forecasted Customer Cts'!$D$5:$D$36,'Mar16-Aug16 Billed-RETAIL'!$E90,'Forecasted Customer Cts'!$C$5:$C$36,'Mar16-Aug16 Billed-RETAIL'!$A$78)</f>
        <v>23848</v>
      </c>
      <c r="J90" s="546">
        <f>SUMIFS('Forecasted Customer Cts'!$O$5:$O$36,'Forecasted Customer Cts'!$D$5:$D$36,'Mar16-Aug16 Billed-RETAIL'!$E90,'Forecasted Customer Cts'!$C$5:$C$36,'Mar16-Aug16 Billed-RETAIL'!$B$78)</f>
        <v>994</v>
      </c>
      <c r="K90" s="546">
        <f>SUMIFS('Forecasted Calendar Month Usage'!$O$5:$O$41,'Forecasted Calendar Month Usage'!$D$5:$D$41,'Mar16-Aug16 Billed-RETAIL'!$E90,'Forecasted Calendar Month Usage'!$C$5:$C$41,'Mar16-Aug16 Billed-RETAIL'!$A$81)*10</f>
        <v>4655653.4483906329</v>
      </c>
      <c r="L90" s="546">
        <f>SUMIFS('Forecasted Calendar Month Usage'!$O$5:$O$41,'Forecasted Calendar Month Usage'!$D$5:$D$41,'Mar16-Aug16 Billed-RETAIL'!$E90,'Forecasted Calendar Month Usage'!$C$5:$C$41,'Mar16-Aug16 Billed-RETAIL'!$B$81)*10</f>
        <v>193936.72425510368</v>
      </c>
      <c r="N90" s="34">
        <f>VLOOKUP($E90,'Retail Rates'!$B$7:$L$34,5,FALSE)</f>
        <v>40</v>
      </c>
      <c r="O90" s="34">
        <f>VLOOKUP($E90,'Retail Rates'!$B$7:$L$34,6,FALSE)</f>
        <v>180</v>
      </c>
      <c r="P90" s="35">
        <f>VLOOKUP($E90,'Retail Rates'!$B$7:$L$34,7,FALSE)</f>
        <v>0.21504000000000001</v>
      </c>
      <c r="Q90" s="35">
        <f>VLOOKUP($E90,'Retail Rates'!$B$7:$L$34,8,FALSE)</f>
        <v>0.16504000000000002</v>
      </c>
      <c r="R90" s="35">
        <f>VLOOKUP($D90,'GSC-DSM-GLT Factors'!$A$1:$B$60,2,FALSE)</f>
        <v>0.38216</v>
      </c>
      <c r="S90" s="34">
        <f>VLOOKUP($E90,'Retail Rates'!$B$7:$L$34,9,FALSE)</f>
        <v>0</v>
      </c>
      <c r="T90" s="35">
        <f>VLOOKUP($E90,'Retail Rates'!$B$7:$L$34,10,FALSE)</f>
        <v>0</v>
      </c>
      <c r="U90" s="34">
        <f>VLOOKUP($E90,'Retail Rates'!$B$7:$L$34,11,FALSE)</f>
        <v>0</v>
      </c>
      <c r="V90" s="556">
        <f>VLOOKUP($D90,'GSC-DSM-GLT Factors'!$A$1:$O$60,12,FALSE)</f>
        <v>27.41</v>
      </c>
      <c r="W90" s="36">
        <f t="shared" si="154"/>
        <v>953920</v>
      </c>
      <c r="X90" s="36"/>
      <c r="Y90" s="36">
        <f>+J90*O90</f>
        <v>178920</v>
      </c>
      <c r="Z90" s="36">
        <f t="shared" si="155"/>
        <v>1001151.7175419218</v>
      </c>
      <c r="AA90" s="36">
        <f t="shared" si="156"/>
        <v>32007.316971062315</v>
      </c>
      <c r="AB90" s="36">
        <f t="shared" si="157"/>
        <v>1853319.3803782947</v>
      </c>
      <c r="AC90" s="36"/>
      <c r="AD90" s="36"/>
      <c r="AE90" s="36">
        <f t="shared" si="170"/>
        <v>0</v>
      </c>
      <c r="AF90" s="36">
        <f t="shared" si="158"/>
        <v>653673.68000000005</v>
      </c>
      <c r="AG90" s="57">
        <f>SUMIFS(Adjustments!H$5:H$557,Adjustments!$B$5:$B$557,'Mar16-Aug16 Billed-RETAIL'!$D90,Adjustments!$C$5:$C$557,'Mar16-Aug16 Billed-RETAIL'!$E90)</f>
        <v>0</v>
      </c>
      <c r="AH90" s="57">
        <f>SUMIFS(Adjustments!I$5:I$557,Adjustments!$B$5:$B$557,'Mar16-Aug16 Billed-RETAIL'!$D90,Adjustments!$C$5:$C$557,'Mar16-Aug16 Billed-RETAIL'!$E90)</f>
        <v>0</v>
      </c>
      <c r="AI90" s="48">
        <f>SUMIFS(Adjustments!J$5:J$557,Adjustments!$B$5:$B$557,'Mar16-Aug16 Billed-RETAIL'!$D90,Adjustments!$C$5:$C$557,'Mar16-Aug16 Billed-RETAIL'!$E90)</f>
        <v>0</v>
      </c>
      <c r="AJ90" s="48">
        <f>SUMIFS(Adjustments!K$5:K$557,Adjustments!$B$5:$B$557,'Mar16-Aug16 Billed-RETAIL'!$D90,Adjustments!$C$5:$C$557,'Mar16-Aug16 Billed-RETAIL'!$E90)</f>
        <v>0</v>
      </c>
      <c r="AK90" s="48">
        <f>SUMIFS(Adjustments!L$5:L$557,Adjustments!$B$5:$B$557,'Mar16-Aug16 Billed-RETAIL'!$D90,Adjustments!$C$5:$C$557,'Mar16-Aug16 Billed-RETAIL'!$E90)</f>
        <v>0</v>
      </c>
      <c r="AL90" s="48">
        <f>SUMIFS(Adjustments!M$5:M$557,Adjustments!$B$5:$B$557,'Mar16-Aug16 Billed-RETAIL'!$D90,Adjustments!$C$5:$C$557,'Mar16-Aug16 Billed-RETAIL'!$E90)</f>
        <v>0</v>
      </c>
      <c r="AM90" s="48">
        <f>SUMIFS(Adjustments!N$5:N$557,Adjustments!$B$5:$B$557,'Mar16-Aug16 Billed-RETAIL'!$D90,Adjustments!$C$5:$C$557,'Mar16-Aug16 Billed-RETAIL'!$E90)</f>
        <v>0</v>
      </c>
      <c r="AN90" s="48">
        <f>SUMIFS(Adjustments!O$5:O$557,Adjustments!$B$5:$B$557,'Mar16-Aug16 Billed-RETAIL'!$D90,Adjustments!$C$5:$C$557,'Mar16-Aug16 Billed-RETAIL'!$E90)</f>
        <v>0</v>
      </c>
      <c r="AO90" s="48">
        <f>SUMIFS(Adjustments!P$5:P$557,Adjustments!$B$5:$B$557,'Mar16-Aug16 Billed-RETAIL'!$D90,Adjustments!$C$5:$C$557,'Mar16-Aug16 Billed-RETAIL'!$E90)</f>
        <v>0</v>
      </c>
      <c r="AP90" s="36">
        <f t="shared" si="159"/>
        <v>953920</v>
      </c>
      <c r="AQ90" s="36">
        <f t="shared" si="160"/>
        <v>178920</v>
      </c>
      <c r="AR90" s="36">
        <f t="shared" si="161"/>
        <v>1001151.7175419218</v>
      </c>
      <c r="AS90" s="36">
        <f t="shared" si="162"/>
        <v>32007.316971062315</v>
      </c>
      <c r="AT90" s="43">
        <f t="shared" si="171"/>
        <v>1979871.2075161708</v>
      </c>
      <c r="AU90" s="43">
        <f t="shared" si="172"/>
        <v>82147.244425186203</v>
      </c>
      <c r="AV90" s="43"/>
      <c r="AW90" s="43">
        <f t="shared" si="173"/>
        <v>640966.51604404009</v>
      </c>
      <c r="AX90" s="36">
        <f t="shared" si="163"/>
        <v>0</v>
      </c>
      <c r="AY90" s="36"/>
      <c r="AZ90" s="43">
        <f t="shared" si="176"/>
        <v>4868984</v>
      </c>
      <c r="BA90" s="43">
        <f>SUM(BC90:BJ90)-BF90</f>
        <v>4868984.0025340281</v>
      </c>
      <c r="BB90" s="44">
        <f t="shared" si="164"/>
        <v>1</v>
      </c>
      <c r="BC90" s="43">
        <f>(SUMIFS('Fin Forecast'!$F$4:$F$545,'Fin Forecast'!$B$4:$B$545,'Mar16-Aug16 Billed-RETAIL'!$E90,'Fin Forecast'!$C$4:$C$545,'Mar16-Aug16 Billed-RETAIL'!BC$5))*1000</f>
        <v>82147.244425186203</v>
      </c>
      <c r="BD90" s="43">
        <f>(SUMIFS('Fin Forecast'!$F$4:$F$545,'Fin Forecast'!$B$4:$B$545,'Mar16-Aug16 Billed-RETAIL'!$E90,'Fin Forecast'!$C$4:$C$545,'Mar16-Aug16 Billed-RETAIL'!BD$5))*1000</f>
        <v>1979871.2075161708</v>
      </c>
      <c r="BE90" s="43">
        <v>0</v>
      </c>
      <c r="BF90" s="43">
        <v>0</v>
      </c>
      <c r="BG90" s="43">
        <f>(SUMIFS('Fin Forecast'!$F$4:$F$545,'Fin Forecast'!$B$4:$B$545,'Mar16-Aug16 Billed-RETAIL'!$E90,'Fin Forecast'!$C$4:$C$545,'Mar16-Aug16 Billed-RETAIL'!BG$5))*1000</f>
        <v>1132840.0000000002</v>
      </c>
      <c r="BH90" s="43">
        <f>(SUMIFS('Fin Forecast'!$F$4:$F$545,'Fin Forecast'!$B$4:$B$545,'Mar16-Aug16 Billed-RETAIL'!$E90,'Fin Forecast'!$C$4:$C$545,'Mar16-Aug16 Billed-RETAIL'!BH$5))*1000</f>
        <v>1033159.0345486311</v>
      </c>
      <c r="BI90" s="43">
        <f>(SUMIFS('Fin Forecast'!$F$4:$F$545,'Fin Forecast'!$B$4:$B$545,'Mar16-Aug16 Billed-RETAIL'!$E90,'Fin Forecast'!$C$4:$C$545,'Mar16-Aug16 Billed-RETAIL'!BI$5))*1000</f>
        <v>0</v>
      </c>
      <c r="BJ90" s="43">
        <f>(SUMIFS('Fin Forecast'!$F$4:$F$545,'Fin Forecast'!$B$4:$B$545,'Mar16-Aug16 Billed-RETAIL'!$E90,'Fin Forecast'!$C$4:$C$545,'Mar16-Aug16 Billed-RETAIL'!BJ$5))*1000</f>
        <v>640966.51604404009</v>
      </c>
      <c r="BL90" s="51">
        <f t="shared" si="165"/>
        <v>-2.5340281426906586E-3</v>
      </c>
      <c r="BN90" s="58">
        <f t="shared" si="166"/>
        <v>0</v>
      </c>
      <c r="BO90" s="58">
        <f t="shared" si="167"/>
        <v>-3.5646953620016575E-5</v>
      </c>
      <c r="BP90" s="58">
        <f t="shared" si="168"/>
        <v>0</v>
      </c>
    </row>
    <row r="91" spans="1:68" ht="15" x14ac:dyDescent="0.25">
      <c r="C91" s="14">
        <f t="shared" si="174"/>
        <v>74</v>
      </c>
      <c r="D91" s="604">
        <f t="shared" si="175"/>
        <v>42644</v>
      </c>
      <c r="E91" s="604" t="str">
        <f>+'Retail Rates'!$B$16</f>
        <v>LGUMG861</v>
      </c>
      <c r="F91" s="14" t="str">
        <f t="shared" si="169"/>
        <v>861</v>
      </c>
      <c r="G91" s="14" t="str">
        <f>VLOOKUP(E91,'Retail Rates'!$B$7:$D$34,3,FALSE)</f>
        <v>CGS</v>
      </c>
      <c r="H91" s="546"/>
      <c r="I91" s="546"/>
      <c r="J91" s="546"/>
      <c r="K91" s="545"/>
      <c r="L91" s="545"/>
      <c r="N91" s="34">
        <f>VLOOKUP($E91,'Retail Rates'!$B$7:$L$34,5,FALSE)</f>
        <v>40</v>
      </c>
      <c r="O91" s="34">
        <f>VLOOKUP($E91,'Retail Rates'!$B$7:$L$34,6,FALSE)</f>
        <v>180</v>
      </c>
      <c r="P91" s="35">
        <f>VLOOKUP($E91,'Retail Rates'!$B$7:$L$34,7,FALSE)</f>
        <v>0.21504000000000001</v>
      </c>
      <c r="Q91" s="35">
        <f>VLOOKUP($E91,'Retail Rates'!$B$7:$L$34,8,FALSE)</f>
        <v>0.16504000000000002</v>
      </c>
      <c r="R91" s="35">
        <f>VLOOKUP($D91,'GSC-DSM-GLT Factors'!$A$1:$B$60,2,FALSE)</f>
        <v>0.38216</v>
      </c>
      <c r="S91" s="34">
        <f>VLOOKUP($E91,'Retail Rates'!$B$7:$L$34,9,FALSE)</f>
        <v>0</v>
      </c>
      <c r="T91" s="35">
        <f>VLOOKUP($E91,'Retail Rates'!$B$7:$L$34,10,FALSE)</f>
        <v>0</v>
      </c>
      <c r="U91" s="34">
        <f>VLOOKUP($E91,'Retail Rates'!$B$7:$L$34,11,FALSE)</f>
        <v>0</v>
      </c>
      <c r="V91" s="556">
        <f>VLOOKUP($D91,'GSC-DSM-GLT Factors'!$A$1:$O$60,12,FALSE)</f>
        <v>27.41</v>
      </c>
      <c r="W91" s="36">
        <f t="shared" si="154"/>
        <v>0</v>
      </c>
      <c r="X91" s="36"/>
      <c r="Y91" s="36">
        <f>+J91*O91</f>
        <v>0</v>
      </c>
      <c r="Z91" s="36">
        <f t="shared" si="155"/>
        <v>0</v>
      </c>
      <c r="AA91" s="36">
        <f t="shared" si="156"/>
        <v>0</v>
      </c>
      <c r="AB91" s="36">
        <f t="shared" si="157"/>
        <v>0</v>
      </c>
      <c r="AC91" s="36"/>
      <c r="AD91" s="36"/>
      <c r="AE91" s="36">
        <f t="shared" si="170"/>
        <v>0</v>
      </c>
      <c r="AF91" s="36">
        <f t="shared" si="158"/>
        <v>0</v>
      </c>
      <c r="AG91" s="57">
        <f>SUMIFS(Adjustments!H$5:H$557,Adjustments!$B$5:$B$557,'Mar16-Aug16 Billed-RETAIL'!$D91,Adjustments!$C$5:$C$557,'Mar16-Aug16 Billed-RETAIL'!$E91)</f>
        <v>0</v>
      </c>
      <c r="AH91" s="57">
        <f>SUMIFS(Adjustments!I$5:I$557,Adjustments!$B$5:$B$557,'Mar16-Aug16 Billed-RETAIL'!$D91,Adjustments!$C$5:$C$557,'Mar16-Aug16 Billed-RETAIL'!$E91)</f>
        <v>0</v>
      </c>
      <c r="AI91" s="48">
        <f>SUMIFS(Adjustments!J$5:J$557,Adjustments!$B$5:$B$557,'Mar16-Aug16 Billed-RETAIL'!$D91,Adjustments!$C$5:$C$557,'Mar16-Aug16 Billed-RETAIL'!$E91)</f>
        <v>0</v>
      </c>
      <c r="AJ91" s="48">
        <f>SUMIFS(Adjustments!K$5:K$557,Adjustments!$B$5:$B$557,'Mar16-Aug16 Billed-RETAIL'!$D91,Adjustments!$C$5:$C$557,'Mar16-Aug16 Billed-RETAIL'!$E91)</f>
        <v>0</v>
      </c>
      <c r="AK91" s="48">
        <f>SUMIFS(Adjustments!L$5:L$557,Adjustments!$B$5:$B$557,'Mar16-Aug16 Billed-RETAIL'!$D91,Adjustments!$C$5:$C$557,'Mar16-Aug16 Billed-RETAIL'!$E91)</f>
        <v>0</v>
      </c>
      <c r="AL91" s="48">
        <f>SUMIFS(Adjustments!M$5:M$557,Adjustments!$B$5:$B$557,'Mar16-Aug16 Billed-RETAIL'!$D91,Adjustments!$C$5:$C$557,'Mar16-Aug16 Billed-RETAIL'!$E91)</f>
        <v>0</v>
      </c>
      <c r="AM91" s="48">
        <f>SUMIFS(Adjustments!N$5:N$557,Adjustments!$B$5:$B$557,'Mar16-Aug16 Billed-RETAIL'!$D91,Adjustments!$C$5:$C$557,'Mar16-Aug16 Billed-RETAIL'!$E91)</f>
        <v>0</v>
      </c>
      <c r="AN91" s="48">
        <f>SUMIFS(Adjustments!O$5:O$557,Adjustments!$B$5:$B$557,'Mar16-Aug16 Billed-RETAIL'!$D91,Adjustments!$C$5:$C$557,'Mar16-Aug16 Billed-RETAIL'!$E91)</f>
        <v>0</v>
      </c>
      <c r="AO91" s="48">
        <f>SUMIFS(Adjustments!P$5:P$557,Adjustments!$B$5:$B$557,'Mar16-Aug16 Billed-RETAIL'!$D91,Adjustments!$C$5:$C$557,'Mar16-Aug16 Billed-RETAIL'!$E91)</f>
        <v>0</v>
      </c>
      <c r="AP91" s="36">
        <f t="shared" si="159"/>
        <v>0</v>
      </c>
      <c r="AQ91" s="36">
        <f t="shared" si="160"/>
        <v>0</v>
      </c>
      <c r="AR91" s="36">
        <f t="shared" si="161"/>
        <v>0</v>
      </c>
      <c r="AS91" s="36">
        <f t="shared" si="162"/>
        <v>0</v>
      </c>
      <c r="AT91" s="43">
        <f t="shared" si="171"/>
        <v>0</v>
      </c>
      <c r="AU91" s="43">
        <f t="shared" si="172"/>
        <v>0</v>
      </c>
      <c r="AV91" s="43"/>
      <c r="AW91" s="43">
        <f t="shared" si="173"/>
        <v>0</v>
      </c>
      <c r="AX91" s="36">
        <f t="shared" si="163"/>
        <v>0</v>
      </c>
      <c r="AY91" s="36"/>
      <c r="AZ91" s="43">
        <f t="shared" si="176"/>
        <v>0</v>
      </c>
      <c r="BA91" s="43">
        <f>SUM(BC91:BJ91)-BF91</f>
        <v>0</v>
      </c>
      <c r="BB91" s="44">
        <f t="shared" si="164"/>
        <v>0</v>
      </c>
      <c r="BC91" s="43">
        <f>(SUMIFS('Fin Forecast'!$F$4:$F$545,'Fin Forecast'!$B$4:$B$545,'Mar16-Aug16 Billed-RETAIL'!$E91,'Fin Forecast'!$C$4:$C$545,'Mar16-Aug16 Billed-RETAIL'!BC$5))*1000</f>
        <v>0</v>
      </c>
      <c r="BD91" s="43">
        <f>(SUMIFS('Fin Forecast'!$F$4:$F$545,'Fin Forecast'!$B$4:$B$545,'Mar16-Aug16 Billed-RETAIL'!$E91,'Fin Forecast'!$C$4:$C$545,'Mar16-Aug16 Billed-RETAIL'!BD$5))*1000</f>
        <v>0</v>
      </c>
      <c r="BE91" s="43">
        <v>0</v>
      </c>
      <c r="BF91" s="43">
        <v>0</v>
      </c>
      <c r="BG91" s="43">
        <f>(SUMIFS('Fin Forecast'!$F$4:$F$545,'Fin Forecast'!$B$4:$B$545,'Mar16-Aug16 Billed-RETAIL'!$E91,'Fin Forecast'!$C$4:$C$545,'Mar16-Aug16 Billed-RETAIL'!BG$5))*1000</f>
        <v>0</v>
      </c>
      <c r="BH91" s="43">
        <f>(SUMIFS('Fin Forecast'!$F$4:$F$545,'Fin Forecast'!$B$4:$B$545,'Mar16-Aug16 Billed-RETAIL'!$E91,'Fin Forecast'!$C$4:$C$545,'Mar16-Aug16 Billed-RETAIL'!BH$5))*1000</f>
        <v>0</v>
      </c>
      <c r="BI91" s="43">
        <f>(SUMIFS('Fin Forecast'!$F$4:$F$545,'Fin Forecast'!$B$4:$B$545,'Mar16-Aug16 Billed-RETAIL'!$E91,'Fin Forecast'!$C$4:$C$545,'Mar16-Aug16 Billed-RETAIL'!BI$5))*1000</f>
        <v>0</v>
      </c>
      <c r="BJ91" s="43">
        <f>(SUMIFS('Fin Forecast'!$F$4:$F$545,'Fin Forecast'!$B$4:$B$545,'Mar16-Aug16 Billed-RETAIL'!$E91,'Fin Forecast'!$C$4:$C$545,'Mar16-Aug16 Billed-RETAIL'!BJ$5))*1000</f>
        <v>0</v>
      </c>
      <c r="BL91" s="51">
        <f t="shared" si="165"/>
        <v>0</v>
      </c>
      <c r="BN91" s="58">
        <f t="shared" si="166"/>
        <v>0</v>
      </c>
      <c r="BO91" s="58">
        <f t="shared" si="167"/>
        <v>0</v>
      </c>
      <c r="BP91" s="58">
        <f t="shared" si="168"/>
        <v>0</v>
      </c>
    </row>
    <row r="92" spans="1:68" ht="15" x14ac:dyDescent="0.25">
      <c r="A92" s="548" t="s">
        <v>799</v>
      </c>
      <c r="B92" s="548" t="s">
        <v>800</v>
      </c>
      <c r="C92" s="14">
        <f t="shared" si="174"/>
        <v>75</v>
      </c>
      <c r="D92" s="604">
        <f t="shared" si="175"/>
        <v>42644</v>
      </c>
      <c r="E92" s="604" t="str">
        <f>+'Retail Rates'!$B$20</f>
        <v>LGCMG875</v>
      </c>
      <c r="F92" s="14" t="str">
        <f t="shared" si="169"/>
        <v>875</v>
      </c>
      <c r="G92" s="14" t="str">
        <f>VLOOKUP(E92,'Retail Rates'!$B$7:$D$34,3,FALSE)</f>
        <v>DGGS-C</v>
      </c>
      <c r="H92" s="546">
        <v>1</v>
      </c>
      <c r="I92" s="546"/>
      <c r="J92" s="546"/>
      <c r="K92" s="546">
        <v>6</v>
      </c>
      <c r="L92" s="546"/>
      <c r="M92" s="21">
        <v>483</v>
      </c>
      <c r="N92" s="34">
        <f>VLOOKUP($E92,'Retail Rates'!$B$7:$L$34,5,FALSE)</f>
        <v>40</v>
      </c>
      <c r="O92" s="34">
        <f>VLOOKUP($E92,'Retail Rates'!$B$7:$L$34,6,FALSE)</f>
        <v>180</v>
      </c>
      <c r="P92" s="35">
        <f>VLOOKUP($E92,'Retail Rates'!$B$7:$L$34,7,FALSE)</f>
        <v>3.329E-2</v>
      </c>
      <c r="Q92" s="35">
        <f>VLOOKUP($E92,'Retail Rates'!$B$7:$L$34,8,FALSE)</f>
        <v>0</v>
      </c>
      <c r="R92" s="35">
        <f>VLOOKUP($D92,'GSC-DSM-GLT Factors'!$A$1:$B$60,2,FALSE)</f>
        <v>0.38216</v>
      </c>
      <c r="S92" s="34">
        <f>VLOOKUP($E92,'Retail Rates'!$B$7:$L$34,9,FALSE)</f>
        <v>0</v>
      </c>
      <c r="T92" s="35">
        <f>VLOOKUP($E92,'Retail Rates'!$B$7:$L$34,10,FALSE)</f>
        <v>0</v>
      </c>
      <c r="U92" s="699">
        <f>VLOOKUP($E92,'Retail Rates'!$B$7:$L$34,11,FALSE)</f>
        <v>1.1263000000000001</v>
      </c>
      <c r="V92" s="556">
        <f>VLOOKUP($D92,'GSC-DSM-GLT Factors'!$A$1:$O$60,15,FALSE)</f>
        <v>0</v>
      </c>
      <c r="W92" s="36">
        <f t="shared" si="154"/>
        <v>40</v>
      </c>
      <c r="X92" s="36"/>
      <c r="Y92" s="36"/>
      <c r="Z92" s="36">
        <f t="shared" si="155"/>
        <v>0.19974</v>
      </c>
      <c r="AA92" s="36">
        <f t="shared" si="156"/>
        <v>0</v>
      </c>
      <c r="AB92" s="36">
        <f t="shared" si="157"/>
        <v>2.2929599999999999</v>
      </c>
      <c r="AC92" s="36"/>
      <c r="AD92" s="36"/>
      <c r="AE92" s="36">
        <f t="shared" si="170"/>
        <v>544.00290000000007</v>
      </c>
      <c r="AF92" s="36">
        <f t="shared" si="158"/>
        <v>0</v>
      </c>
      <c r="AG92" s="57">
        <f>SUMIFS(Adjustments!H$5:H$557,Adjustments!$B$5:$B$557,'Mar16-Aug16 Billed-RETAIL'!$D92,Adjustments!$C$5:$C$557,'Mar16-Aug16 Billed-RETAIL'!$E92)</f>
        <v>0</v>
      </c>
      <c r="AH92" s="57">
        <f>SUMIFS(Adjustments!I$5:I$557,Adjustments!$B$5:$B$557,'Mar16-Aug16 Billed-RETAIL'!$D92,Adjustments!$C$5:$C$557,'Mar16-Aug16 Billed-RETAIL'!$E92)</f>
        <v>0</v>
      </c>
      <c r="AI92" s="48">
        <f>SUMIFS(Adjustments!J$5:J$557,Adjustments!$B$5:$B$557,'Mar16-Aug16 Billed-RETAIL'!$D92,Adjustments!$C$5:$C$557,'Mar16-Aug16 Billed-RETAIL'!$E92)</f>
        <v>0</v>
      </c>
      <c r="AJ92" s="48">
        <f>SUMIFS(Adjustments!K$5:K$557,Adjustments!$B$5:$B$557,'Mar16-Aug16 Billed-RETAIL'!$D92,Adjustments!$C$5:$C$557,'Mar16-Aug16 Billed-RETAIL'!$E92)</f>
        <v>0</v>
      </c>
      <c r="AK92" s="48">
        <f>SUMIFS(Adjustments!L$5:L$557,Adjustments!$B$5:$B$557,'Mar16-Aug16 Billed-RETAIL'!$D92,Adjustments!$C$5:$C$557,'Mar16-Aug16 Billed-RETAIL'!$E92)</f>
        <v>0</v>
      </c>
      <c r="AL92" s="48">
        <f>SUMIFS(Adjustments!M$5:M$557,Adjustments!$B$5:$B$557,'Mar16-Aug16 Billed-RETAIL'!$D92,Adjustments!$C$5:$C$557,'Mar16-Aug16 Billed-RETAIL'!$E92)</f>
        <v>0</v>
      </c>
      <c r="AM92" s="48">
        <f>SUMIFS(Adjustments!N$5:N$557,Adjustments!$B$5:$B$557,'Mar16-Aug16 Billed-RETAIL'!$D92,Adjustments!$C$5:$C$557,'Mar16-Aug16 Billed-RETAIL'!$E92)</f>
        <v>0</v>
      </c>
      <c r="AN92" s="48">
        <f>SUMIFS(Adjustments!O$5:O$557,Adjustments!$B$5:$B$557,'Mar16-Aug16 Billed-RETAIL'!$D92,Adjustments!$C$5:$C$557,'Mar16-Aug16 Billed-RETAIL'!$E92)</f>
        <v>0</v>
      </c>
      <c r="AO92" s="48">
        <f>SUMIFS(Adjustments!P$5:P$557,Adjustments!$B$5:$B$557,'Mar16-Aug16 Billed-RETAIL'!$D92,Adjustments!$C$5:$C$557,'Mar16-Aug16 Billed-RETAIL'!$E92)</f>
        <v>0</v>
      </c>
      <c r="AP92" s="36">
        <f t="shared" si="159"/>
        <v>40</v>
      </c>
      <c r="AQ92" s="36">
        <f t="shared" si="160"/>
        <v>0</v>
      </c>
      <c r="AR92" s="36">
        <f t="shared" si="161"/>
        <v>0.19974</v>
      </c>
      <c r="AS92" s="36">
        <f t="shared" si="162"/>
        <v>0</v>
      </c>
      <c r="AT92" s="43">
        <f t="shared" si="171"/>
        <v>2.4495321917519299</v>
      </c>
      <c r="AU92" s="43">
        <f t="shared" si="172"/>
        <v>0.101634045143598</v>
      </c>
      <c r="AV92" s="43"/>
      <c r="AW92" s="43">
        <f t="shared" si="173"/>
        <v>0</v>
      </c>
      <c r="AX92" s="36">
        <f t="shared" si="163"/>
        <v>544.00290000000007</v>
      </c>
      <c r="AY92" s="36"/>
      <c r="AZ92" s="43">
        <f t="shared" si="176"/>
        <v>586.75</v>
      </c>
      <c r="BA92" s="43">
        <f>ROUND(SUM(BC92:BJ92)-BF92,2)</f>
        <v>586.75</v>
      </c>
      <c r="BB92" s="44">
        <f t="shared" si="164"/>
        <v>1</v>
      </c>
      <c r="BC92" s="43">
        <f>(SUMIFS('Fin Forecast'!$F$4:$F$545,'Fin Forecast'!$B$4:$B$545,'Mar16-Aug16 Billed-RETAIL'!$E92,'Fin Forecast'!$C$4:$C$545,'Mar16-Aug16 Billed-RETAIL'!BC$5))*1000</f>
        <v>0.101634045143598</v>
      </c>
      <c r="BD92" s="43">
        <f>(SUMIFS('Fin Forecast'!$F$4:$F$545,'Fin Forecast'!$B$4:$B$545,'Mar16-Aug16 Billed-RETAIL'!$E92,'Fin Forecast'!$C$4:$C$545,'Mar16-Aug16 Billed-RETAIL'!BD$5))*1000</f>
        <v>2.4495321917519299</v>
      </c>
      <c r="BE92" s="43">
        <v>0</v>
      </c>
      <c r="BF92" s="43">
        <v>0</v>
      </c>
      <c r="BG92" s="43">
        <f>(SUMIFS('Fin Forecast'!$F$4:$F$545,'Fin Forecast'!$B$4:$B$545,'Mar16-Aug16 Billed-RETAIL'!$E92,'Fin Forecast'!$C$4:$C$545,'Mar16-Aug16 Billed-RETAIL'!BG$5))*1000</f>
        <v>40</v>
      </c>
      <c r="BH92" s="43">
        <f>(SUMIFS('Fin Forecast'!$F$4:$F$545,'Fin Forecast'!$B$4:$B$545,'Mar16-Aug16 Billed-RETAIL'!$E92,'Fin Forecast'!$C$4:$C$545,'Mar16-Aug16 Billed-RETAIL'!BH$5))*1000</f>
        <v>0.199739999999999</v>
      </c>
      <c r="BI92" s="43">
        <f>(SUMIFS('Fin Forecast'!$F$4:$F$545,'Fin Forecast'!$B$4:$B$545,'Mar16-Aug16 Billed-RETAIL'!$E92,'Fin Forecast'!$C$4:$C$545,'Mar16-Aug16 Billed-RETAIL'!BI$5))*1000</f>
        <v>544.00289999999995</v>
      </c>
      <c r="BJ92" s="43">
        <f>(SUMIFS('Fin Forecast'!$F$4:$F$545,'Fin Forecast'!$B$4:$B$545,'Mar16-Aug16 Billed-RETAIL'!$E92,'Fin Forecast'!$C$4:$C$545,'Mar16-Aug16 Billed-RETAIL'!BJ$5))*1000</f>
        <v>0</v>
      </c>
      <c r="BL92" s="51">
        <f t="shared" si="165"/>
        <v>0</v>
      </c>
      <c r="BN92" s="58">
        <f t="shared" si="166"/>
        <v>0</v>
      </c>
      <c r="BO92" s="58">
        <f t="shared" si="167"/>
        <v>9.9920072216264089E-16</v>
      </c>
      <c r="BP92" s="58">
        <f t="shared" si="168"/>
        <v>0</v>
      </c>
    </row>
    <row r="93" spans="1:68" ht="15" x14ac:dyDescent="0.25">
      <c r="A93" s="21" t="s">
        <v>801</v>
      </c>
      <c r="B93" s="21" t="s">
        <v>802</v>
      </c>
      <c r="C93" s="14">
        <f t="shared" si="174"/>
        <v>76</v>
      </c>
      <c r="D93" s="604">
        <f t="shared" si="175"/>
        <v>42644</v>
      </c>
      <c r="E93" s="604" t="str">
        <f>+'Retail Rates'!$B$26</f>
        <v>LGING855</v>
      </c>
      <c r="F93" s="14" t="str">
        <f t="shared" si="169"/>
        <v>855</v>
      </c>
      <c r="G93" s="14" t="s">
        <v>118</v>
      </c>
      <c r="H93" s="546"/>
      <c r="I93" s="546">
        <f>SUMIFS('Forecasted Customer Cts'!$O$5:$O$36,'Forecasted Customer Cts'!$D$5:$D$36,'Mar16-Aug16 Billed-RETAIL'!$E93,'Forecasted Customer Cts'!$C$5:$C$36,'Mar16-Aug16 Billed-RETAIL'!$A$78)</f>
        <v>143</v>
      </c>
      <c r="J93" s="546">
        <f>SUMIFS('Forecasted Customer Cts'!$O$5:$O$36,'Forecasted Customer Cts'!$D$5:$D$36,'Mar16-Aug16 Billed-RETAIL'!$E93,'Forecasted Customer Cts'!$C$5:$C$36,'Mar16-Aug16 Billed-RETAIL'!$B$78)</f>
        <v>112</v>
      </c>
      <c r="K93" s="546">
        <f>SUMIFS('Forecasted Calendar Month Usage'!$O$5:$O$41,'Forecasted Calendar Month Usage'!$D$5:$D$41,'Mar16-Aug16 Billed-RETAIL'!$E93,'Forecasted Calendar Month Usage'!$C$5:$C$41,'Mar16-Aug16 Billed-RETAIL'!$A$81)*10</f>
        <v>949294.34678535117</v>
      </c>
      <c r="L93" s="546">
        <f>SUMIFS('Forecasted Calendar Month Usage'!$O$5:$O$41,'Forecasted Calendar Month Usage'!$D$5:$D$41,'Mar16-Aug16 Billed-RETAIL'!$E93,'Forecasted Calendar Month Usage'!$C$5:$C$41,'Mar16-Aug16 Billed-RETAIL'!$B$81)*10</f>
        <v>343657.35695917282</v>
      </c>
      <c r="N93" s="34">
        <f>VLOOKUP($E93,'Retail Rates'!$B$7:$L$34,5,FALSE)</f>
        <v>40</v>
      </c>
      <c r="O93" s="34">
        <f>VLOOKUP($E93,'Retail Rates'!$B$7:$L$34,6,FALSE)</f>
        <v>180</v>
      </c>
      <c r="P93" s="35">
        <f>VLOOKUP($E93,'Retail Rates'!$B$7:$L$34,7,FALSE)</f>
        <v>0.22778999999999999</v>
      </c>
      <c r="Q93" s="35">
        <f>VLOOKUP($E93,'Retail Rates'!$B$7:$L$34,8,FALSE)</f>
        <v>0.17779</v>
      </c>
      <c r="R93" s="35">
        <f>VLOOKUP($D93,'GSC-DSM-GLT Factors'!$A$1:$B$60,2,FALSE)</f>
        <v>0.38216</v>
      </c>
      <c r="S93" s="34">
        <f>VLOOKUP($E93,'Retail Rates'!$B$7:$L$34,9,FALSE)</f>
        <v>0</v>
      </c>
      <c r="T93" s="35">
        <f>VLOOKUP($E93,'Retail Rates'!$B$7:$L$34,10,FALSE)</f>
        <v>0</v>
      </c>
      <c r="U93" s="34">
        <f>VLOOKUP($E93,'Retail Rates'!$B$7:$L$34,11,FALSE)</f>
        <v>0</v>
      </c>
      <c r="V93" s="556">
        <f>VLOOKUP($D93,'GSC-DSM-GLT Factors'!$A$1:$O$60,13,FALSE)</f>
        <v>259.54000000000002</v>
      </c>
      <c r="W93" s="36">
        <f t="shared" si="154"/>
        <v>5720</v>
      </c>
      <c r="X93" s="36"/>
      <c r="Y93" s="36">
        <f>+J93*O93</f>
        <v>20160</v>
      </c>
      <c r="Z93" s="36">
        <f t="shared" si="155"/>
        <v>216239.75925423513</v>
      </c>
      <c r="AA93" s="36">
        <f t="shared" si="156"/>
        <v>61098.841493771339</v>
      </c>
      <c r="AB93" s="36">
        <f t="shared" si="157"/>
        <v>494114.42310300726</v>
      </c>
      <c r="AC93" s="36"/>
      <c r="AD93" s="36"/>
      <c r="AE93" s="36">
        <f t="shared" si="170"/>
        <v>0</v>
      </c>
      <c r="AF93" s="36">
        <f>(+I93*V93)+(J93*V93)</f>
        <v>66182.700000000012</v>
      </c>
      <c r="AG93" s="57">
        <f>SUMIFS(Adjustments!H$5:H$557,Adjustments!$B$5:$B$557,'Mar16-Aug16 Billed-RETAIL'!$D93,Adjustments!$C$5:$C$557,'Mar16-Aug16 Billed-RETAIL'!$E93)</f>
        <v>0</v>
      </c>
      <c r="AH93" s="57">
        <f>SUMIFS(Adjustments!I$5:I$557,Adjustments!$B$5:$B$557,'Mar16-Aug16 Billed-RETAIL'!$D93,Adjustments!$C$5:$C$557,'Mar16-Aug16 Billed-RETAIL'!$E93)</f>
        <v>0</v>
      </c>
      <c r="AI93" s="48">
        <f>SUMIFS(Adjustments!J$5:J$557,Adjustments!$B$5:$B$557,'Mar16-Aug16 Billed-RETAIL'!$D93,Adjustments!$C$5:$C$557,'Mar16-Aug16 Billed-RETAIL'!$E93)</f>
        <v>0</v>
      </c>
      <c r="AJ93" s="48">
        <f>SUMIFS(Adjustments!K$5:K$557,Adjustments!$B$5:$B$557,'Mar16-Aug16 Billed-RETAIL'!$D93,Adjustments!$C$5:$C$557,'Mar16-Aug16 Billed-RETAIL'!$E93)</f>
        <v>0</v>
      </c>
      <c r="AK93" s="48">
        <f>SUMIFS(Adjustments!L$5:L$557,Adjustments!$B$5:$B$557,'Mar16-Aug16 Billed-RETAIL'!$D93,Adjustments!$C$5:$C$557,'Mar16-Aug16 Billed-RETAIL'!$E93)</f>
        <v>0</v>
      </c>
      <c r="AL93" s="48">
        <f>SUMIFS(Adjustments!M$5:M$557,Adjustments!$B$5:$B$557,'Mar16-Aug16 Billed-RETAIL'!$D93,Adjustments!$C$5:$C$557,'Mar16-Aug16 Billed-RETAIL'!$E93)</f>
        <v>0</v>
      </c>
      <c r="AM93" s="48">
        <f>SUMIFS(Adjustments!N$5:N$557,Adjustments!$B$5:$B$557,'Mar16-Aug16 Billed-RETAIL'!$D93,Adjustments!$C$5:$C$557,'Mar16-Aug16 Billed-RETAIL'!$E93)</f>
        <v>0</v>
      </c>
      <c r="AN93" s="48">
        <f>SUMIFS(Adjustments!O$5:O$557,Adjustments!$B$5:$B$557,'Mar16-Aug16 Billed-RETAIL'!$D93,Adjustments!$C$5:$C$557,'Mar16-Aug16 Billed-RETAIL'!$E93)</f>
        <v>0</v>
      </c>
      <c r="AO93" s="48">
        <f>SUMIFS(Adjustments!P$5:P$557,Adjustments!$B$5:$B$557,'Mar16-Aug16 Billed-RETAIL'!$D93,Adjustments!$C$5:$C$557,'Mar16-Aug16 Billed-RETAIL'!$E93)</f>
        <v>0</v>
      </c>
      <c r="AP93" s="36">
        <f t="shared" si="159"/>
        <v>5720</v>
      </c>
      <c r="AQ93" s="36">
        <f t="shared" si="160"/>
        <v>20160</v>
      </c>
      <c r="AR93" s="36">
        <f t="shared" si="161"/>
        <v>216239.75925423513</v>
      </c>
      <c r="AS93" s="36">
        <f t="shared" si="162"/>
        <v>61098.841493771339</v>
      </c>
      <c r="AT93" s="43">
        <f t="shared" si="171"/>
        <v>527854.47013282857</v>
      </c>
      <c r="AU93" s="43">
        <f t="shared" si="172"/>
        <v>0</v>
      </c>
      <c r="AV93" s="43"/>
      <c r="AW93" s="43">
        <f t="shared" si="173"/>
        <v>56472.84217993958</v>
      </c>
      <c r="AX93" s="36">
        <f t="shared" si="163"/>
        <v>0</v>
      </c>
      <c r="AY93" s="36"/>
      <c r="AZ93" s="43">
        <f t="shared" si="176"/>
        <v>887545.91</v>
      </c>
      <c r="BA93" s="43">
        <f>SUM(BC93:BJ93)-BF93</f>
        <v>887545.91306834738</v>
      </c>
      <c r="BB93" s="44">
        <f t="shared" si="164"/>
        <v>1</v>
      </c>
      <c r="BC93" s="43">
        <f>(SUMIFS('Fin Forecast'!$F$4:$F$545,'Fin Forecast'!$B$4:$B$545,'Mar16-Aug16 Billed-RETAIL'!$E93,'Fin Forecast'!$C$4:$C$545,'Mar16-Aug16 Billed-RETAIL'!BC$5))*1000</f>
        <v>0</v>
      </c>
      <c r="BD93" s="43">
        <f>(SUMIFS('Fin Forecast'!$F$4:$F$545,'Fin Forecast'!$B$4:$B$545,'Mar16-Aug16 Billed-RETAIL'!$E93,'Fin Forecast'!$C$4:$C$545,'Mar16-Aug16 Billed-RETAIL'!BD$5))*1000</f>
        <v>527854.47013282857</v>
      </c>
      <c r="BE93" s="43">
        <v>0</v>
      </c>
      <c r="BF93" s="43">
        <v>0</v>
      </c>
      <c r="BG93" s="43">
        <f>(SUMIFS('Fin Forecast'!$F$4:$F$545,'Fin Forecast'!$B$4:$B$545,'Mar16-Aug16 Billed-RETAIL'!$E93,'Fin Forecast'!$C$4:$C$545,'Mar16-Aug16 Billed-RETAIL'!BG$5))*1000</f>
        <v>25880</v>
      </c>
      <c r="BH93" s="43">
        <f>(SUMIFS('Fin Forecast'!$F$4:$F$545,'Fin Forecast'!$B$4:$B$545,'Mar16-Aug16 Billed-RETAIL'!$E93,'Fin Forecast'!$C$4:$C$545,'Mar16-Aug16 Billed-RETAIL'!BH$5))*1000</f>
        <v>277338.60075557925</v>
      </c>
      <c r="BI93" s="43">
        <f>(SUMIFS('Fin Forecast'!$F$4:$F$545,'Fin Forecast'!$B$4:$B$545,'Mar16-Aug16 Billed-RETAIL'!$E93,'Fin Forecast'!$C$4:$C$545,'Mar16-Aug16 Billed-RETAIL'!BI$5))*1000</f>
        <v>0</v>
      </c>
      <c r="BJ93" s="43">
        <f>(SUMIFS('Fin Forecast'!$F$4:$F$545,'Fin Forecast'!$B$4:$B$545,'Mar16-Aug16 Billed-RETAIL'!$E93,'Fin Forecast'!$C$4:$C$545,'Mar16-Aug16 Billed-RETAIL'!BJ$5))*1000</f>
        <v>56472.84217993958</v>
      </c>
      <c r="BL93" s="51">
        <f t="shared" si="165"/>
        <v>-3.0683473451063037E-3</v>
      </c>
      <c r="BN93" s="58">
        <f t="shared" si="166"/>
        <v>0</v>
      </c>
      <c r="BO93" s="58">
        <f t="shared" si="167"/>
        <v>-7.5727584771811962E-6</v>
      </c>
      <c r="BP93" s="58">
        <f t="shared" si="168"/>
        <v>0</v>
      </c>
    </row>
    <row r="94" spans="1:68" ht="15" x14ac:dyDescent="0.25">
      <c r="C94" s="14">
        <f t="shared" si="174"/>
        <v>77</v>
      </c>
      <c r="D94" s="604">
        <f t="shared" si="175"/>
        <v>42644</v>
      </c>
      <c r="E94" s="604" t="str">
        <f>+'Retail Rates'!$B$27</f>
        <v>LGING855DS</v>
      </c>
      <c r="F94" s="14" t="str">
        <f t="shared" si="169"/>
        <v>855</v>
      </c>
      <c r="G94" s="14" t="str">
        <f>VLOOKUP(E94,'Retail Rates'!$B$7:$D$34,3,FALSE)</f>
        <v>IGS</v>
      </c>
      <c r="H94" s="546"/>
      <c r="I94" s="546"/>
      <c r="J94" s="546"/>
      <c r="K94" s="545"/>
      <c r="L94" s="545"/>
      <c r="N94" s="34">
        <f>VLOOKUP($E94,'Retail Rates'!$B$7:$L$34,5,FALSE)</f>
        <v>40</v>
      </c>
      <c r="O94" s="34">
        <f>VLOOKUP($E94,'Retail Rates'!$B$7:$L$34,6,FALSE)</f>
        <v>180</v>
      </c>
      <c r="P94" s="35">
        <f>VLOOKUP($E94,'Retail Rates'!$B$7:$L$34,7,FALSE)</f>
        <v>0.22778999999999999</v>
      </c>
      <c r="Q94" s="35">
        <f>VLOOKUP($E94,'Retail Rates'!$B$7:$L$34,8,FALSE)</f>
        <v>0.17779</v>
      </c>
      <c r="R94" s="35">
        <f>VLOOKUP($D94,'GSC-DSM-GLT Factors'!$A$1:$B$60,2,FALSE)</f>
        <v>0.38216</v>
      </c>
      <c r="S94" s="34">
        <f>VLOOKUP($E94,'Retail Rates'!$B$7:$L$34,9,FALSE)</f>
        <v>0</v>
      </c>
      <c r="T94" s="35">
        <f>VLOOKUP($E94,'Retail Rates'!$B$7:$L$34,10,FALSE)</f>
        <v>0</v>
      </c>
      <c r="U94" s="34">
        <f>VLOOKUP($E94,'Retail Rates'!$B$7:$L$34,11,FALSE)</f>
        <v>0</v>
      </c>
      <c r="V94" s="556">
        <f>VLOOKUP($D94,'GSC-DSM-GLT Factors'!$A$1:$O$60,13,FALSE)</f>
        <v>259.54000000000002</v>
      </c>
      <c r="W94" s="36">
        <f t="shared" si="154"/>
        <v>0</v>
      </c>
      <c r="X94" s="36"/>
      <c r="Y94" s="36">
        <f>+J94*O94</f>
        <v>0</v>
      </c>
      <c r="Z94" s="36">
        <f t="shared" si="155"/>
        <v>0</v>
      </c>
      <c r="AA94" s="36">
        <f t="shared" si="156"/>
        <v>0</v>
      </c>
      <c r="AB94" s="36">
        <f t="shared" si="157"/>
        <v>0</v>
      </c>
      <c r="AC94" s="36"/>
      <c r="AD94" s="36"/>
      <c r="AE94" s="36">
        <f t="shared" si="170"/>
        <v>0</v>
      </c>
      <c r="AF94" s="36">
        <f>(+I94*V94)+(J94*V94)</f>
        <v>0</v>
      </c>
      <c r="AG94" s="57">
        <f>SUMIFS(Adjustments!H$5:H$557,Adjustments!$B$5:$B$557,'Mar16-Aug16 Billed-RETAIL'!$D94,Adjustments!$C$5:$C$557,'Mar16-Aug16 Billed-RETAIL'!$E94)</f>
        <v>0</v>
      </c>
      <c r="AH94" s="57">
        <f>SUMIFS(Adjustments!I$5:I$557,Adjustments!$B$5:$B$557,'Mar16-Aug16 Billed-RETAIL'!$D94,Adjustments!$C$5:$C$557,'Mar16-Aug16 Billed-RETAIL'!$E94)</f>
        <v>0</v>
      </c>
      <c r="AI94" s="48">
        <f>SUMIFS(Adjustments!J$5:J$557,Adjustments!$B$5:$B$557,'Mar16-Aug16 Billed-RETAIL'!$D94,Adjustments!$C$5:$C$557,'Mar16-Aug16 Billed-RETAIL'!$E94)</f>
        <v>0</v>
      </c>
      <c r="AJ94" s="48">
        <f>SUMIFS(Adjustments!K$5:K$557,Adjustments!$B$5:$B$557,'Mar16-Aug16 Billed-RETAIL'!$D94,Adjustments!$C$5:$C$557,'Mar16-Aug16 Billed-RETAIL'!$E94)</f>
        <v>0</v>
      </c>
      <c r="AK94" s="48">
        <f>SUMIFS(Adjustments!L$5:L$557,Adjustments!$B$5:$B$557,'Mar16-Aug16 Billed-RETAIL'!$D94,Adjustments!$C$5:$C$557,'Mar16-Aug16 Billed-RETAIL'!$E94)</f>
        <v>0</v>
      </c>
      <c r="AL94" s="48">
        <f>SUMIFS(Adjustments!M$5:M$557,Adjustments!$B$5:$B$557,'Mar16-Aug16 Billed-RETAIL'!$D94,Adjustments!$C$5:$C$557,'Mar16-Aug16 Billed-RETAIL'!$E94)</f>
        <v>0</v>
      </c>
      <c r="AM94" s="48">
        <f>SUMIFS(Adjustments!N$5:N$557,Adjustments!$B$5:$B$557,'Mar16-Aug16 Billed-RETAIL'!$D94,Adjustments!$C$5:$C$557,'Mar16-Aug16 Billed-RETAIL'!$E94)</f>
        <v>0</v>
      </c>
      <c r="AN94" s="48">
        <f>SUMIFS(Adjustments!O$5:O$557,Adjustments!$B$5:$B$557,'Mar16-Aug16 Billed-RETAIL'!$D94,Adjustments!$C$5:$C$557,'Mar16-Aug16 Billed-RETAIL'!$E94)</f>
        <v>0</v>
      </c>
      <c r="AO94" s="48">
        <f>SUMIFS(Adjustments!P$5:P$557,Adjustments!$B$5:$B$557,'Mar16-Aug16 Billed-RETAIL'!$D94,Adjustments!$C$5:$C$557,'Mar16-Aug16 Billed-RETAIL'!$E94)</f>
        <v>0</v>
      </c>
      <c r="AP94" s="36">
        <f>+W94+AI94+(AG94*N94)</f>
        <v>0</v>
      </c>
      <c r="AQ94" s="36">
        <f t="shared" si="160"/>
        <v>0</v>
      </c>
      <c r="AR94" s="36">
        <f t="shared" si="161"/>
        <v>0</v>
      </c>
      <c r="AS94" s="36">
        <f t="shared" si="162"/>
        <v>0</v>
      </c>
      <c r="AT94" s="43">
        <f t="shared" si="171"/>
        <v>0</v>
      </c>
      <c r="AU94" s="43">
        <f t="shared" si="172"/>
        <v>0</v>
      </c>
      <c r="AV94" s="43"/>
      <c r="AW94" s="43">
        <f t="shared" si="173"/>
        <v>0</v>
      </c>
      <c r="AX94" s="36">
        <f t="shared" si="163"/>
        <v>0</v>
      </c>
      <c r="AY94" s="36"/>
      <c r="AZ94" s="43">
        <f t="shared" si="176"/>
        <v>0</v>
      </c>
      <c r="BA94" s="43">
        <f>SUM(BC94:BJ94)-BF94</f>
        <v>0</v>
      </c>
      <c r="BB94" s="44">
        <f t="shared" si="164"/>
        <v>0</v>
      </c>
      <c r="BC94" s="43">
        <f>(SUMIFS('Fin Forecast'!$F$4:$F$545,'Fin Forecast'!$B$4:$B$545,'Mar16-Aug16 Billed-RETAIL'!$E94,'Fin Forecast'!$C$4:$C$545,'Mar16-Aug16 Billed-RETAIL'!BC$5))*1000</f>
        <v>0</v>
      </c>
      <c r="BD94" s="43">
        <f>(SUMIFS('Fin Forecast'!$F$4:$F$545,'Fin Forecast'!$B$4:$B$545,'Mar16-Aug16 Billed-RETAIL'!$E94,'Fin Forecast'!$C$4:$C$545,'Mar16-Aug16 Billed-RETAIL'!BD$5))*1000</f>
        <v>0</v>
      </c>
      <c r="BE94" s="43">
        <v>0</v>
      </c>
      <c r="BF94" s="43">
        <v>0</v>
      </c>
      <c r="BG94" s="43">
        <f>(SUMIFS('Fin Forecast'!$F$4:$F$545,'Fin Forecast'!$B$4:$B$545,'Mar16-Aug16 Billed-RETAIL'!$E94,'Fin Forecast'!$C$4:$C$545,'Mar16-Aug16 Billed-RETAIL'!BG$5))*1000</f>
        <v>0</v>
      </c>
      <c r="BH94" s="43">
        <f>(SUMIFS('Fin Forecast'!$F$4:$F$545,'Fin Forecast'!$B$4:$B$545,'Mar16-Aug16 Billed-RETAIL'!$E94,'Fin Forecast'!$C$4:$C$545,'Mar16-Aug16 Billed-RETAIL'!BH$5))*1000</f>
        <v>0</v>
      </c>
      <c r="BI94" s="43">
        <f>(SUMIFS('Fin Forecast'!$F$4:$F$545,'Fin Forecast'!$B$4:$B$545,'Mar16-Aug16 Billed-RETAIL'!$E94,'Fin Forecast'!$C$4:$C$545,'Mar16-Aug16 Billed-RETAIL'!BI$5))*1000</f>
        <v>0</v>
      </c>
      <c r="BJ94" s="43">
        <f>(SUMIFS('Fin Forecast'!$F$4:$F$545,'Fin Forecast'!$B$4:$B$545,'Mar16-Aug16 Billed-RETAIL'!$E94,'Fin Forecast'!$C$4:$C$545,'Mar16-Aug16 Billed-RETAIL'!BJ$5))*1000</f>
        <v>0</v>
      </c>
      <c r="BL94" s="51">
        <f t="shared" si="165"/>
        <v>0</v>
      </c>
      <c r="BN94" s="58">
        <f t="shared" si="166"/>
        <v>0</v>
      </c>
      <c r="BO94" s="58">
        <f t="shared" si="167"/>
        <v>0</v>
      </c>
      <c r="BP94" s="58">
        <f t="shared" si="168"/>
        <v>0</v>
      </c>
    </row>
    <row r="95" spans="1:68" ht="15" x14ac:dyDescent="0.25">
      <c r="C95" s="14">
        <f t="shared" si="174"/>
        <v>78</v>
      </c>
      <c r="D95" s="604">
        <f t="shared" si="175"/>
        <v>42644</v>
      </c>
      <c r="E95" s="604" t="str">
        <f>+'Retail Rates'!$B$31</f>
        <v>LGRSG811</v>
      </c>
      <c r="F95" s="14" t="str">
        <f t="shared" si="169"/>
        <v>811</v>
      </c>
      <c r="G95" s="14" t="str">
        <f>VLOOKUP(E95,'Retail Rates'!$B$7:$D$34,3,FALSE)</f>
        <v>RGS</v>
      </c>
      <c r="H95" s="546">
        <f>SUMIF('Forecasted Customer Cts'!$D$5:$D$36,'Mar16-Aug16 Billed-RETAIL'!$E95,'Forecasted Customer Cts'!$O$5:$O$36)</f>
        <v>294431</v>
      </c>
      <c r="I95" s="546"/>
      <c r="J95" s="546"/>
      <c r="K95" s="546">
        <f>SUMIF('Forecasted Calendar Month Usage'!$D$5:$D$41,'Mar16-Aug16 Billed-RETAIL'!$E95,'Forecasted Calendar Month Usage'!$O$5:$O$41)*10</f>
        <v>7222664.2400200339</v>
      </c>
      <c r="L95" s="545"/>
      <c r="N95" s="34">
        <f>VLOOKUP($E95,'Retail Rates'!$B$7:$L$34,5,FALSE)</f>
        <v>13.5</v>
      </c>
      <c r="O95" s="34">
        <f>VLOOKUP($E95,'Retail Rates'!$B$7:$L$34,6,FALSE)</f>
        <v>0</v>
      </c>
      <c r="P95" s="35">
        <f>VLOOKUP($E95,'Retail Rates'!$B$7:$L$34,7,FALSE)</f>
        <v>0.28693000000000002</v>
      </c>
      <c r="Q95" s="35">
        <f>VLOOKUP($E95,'Retail Rates'!$B$7:$L$34,8,FALSE)</f>
        <v>0</v>
      </c>
      <c r="R95" s="35">
        <f>VLOOKUP($D95,'GSC-DSM-GLT Factors'!$A$1:$B$60,2,FALSE)</f>
        <v>0.38216</v>
      </c>
      <c r="S95" s="34">
        <f>VLOOKUP($E95,'Retail Rates'!$B$7:$L$34,9,FALSE)</f>
        <v>0</v>
      </c>
      <c r="T95" s="35">
        <f>VLOOKUP($E95,'Retail Rates'!$B$7:$L$34,10,FALSE)</f>
        <v>0</v>
      </c>
      <c r="U95" s="34">
        <f>VLOOKUP($E95,'Retail Rates'!$B$7:$L$34,11,FALSE)</f>
        <v>0</v>
      </c>
      <c r="V95" s="556">
        <f>VLOOKUP($D95,'GSC-DSM-GLT Factors'!$A$1:$O$60,10,FALSE)</f>
        <v>5.14</v>
      </c>
      <c r="W95" s="36">
        <f t="shared" si="154"/>
        <v>3974818.5</v>
      </c>
      <c r="X95" s="36"/>
      <c r="Y95" s="36"/>
      <c r="Z95" s="36">
        <f t="shared" si="155"/>
        <v>2072399.0503889485</v>
      </c>
      <c r="AA95" s="36">
        <f t="shared" si="156"/>
        <v>0</v>
      </c>
      <c r="AB95" s="36">
        <f t="shared" si="157"/>
        <v>2760213.365966056</v>
      </c>
      <c r="AC95" s="36"/>
      <c r="AD95" s="36"/>
      <c r="AE95" s="36">
        <f t="shared" si="170"/>
        <v>0</v>
      </c>
      <c r="AF95" s="36">
        <f>(+H95*V95)+(I95*V95)</f>
        <v>1513375.3399999999</v>
      </c>
      <c r="AG95" s="57">
        <f>SUMIFS(Adjustments!H$5:H$557,Adjustments!$B$5:$B$557,'Mar16-Aug16 Billed-RETAIL'!$D95,Adjustments!$C$5:$C$557,'Mar16-Aug16 Billed-RETAIL'!$E95)</f>
        <v>0</v>
      </c>
      <c r="AH95" s="57">
        <f>SUMIFS(Adjustments!I$5:I$557,Adjustments!$B$5:$B$557,'Mar16-Aug16 Billed-RETAIL'!$D95,Adjustments!$C$5:$C$557,'Mar16-Aug16 Billed-RETAIL'!$E95)</f>
        <v>0</v>
      </c>
      <c r="AI95" s="48">
        <f>SUMIFS(Adjustments!J$5:J$557,Adjustments!$B$5:$B$557,'Mar16-Aug16 Billed-RETAIL'!$D95,Adjustments!$C$5:$C$557,'Mar16-Aug16 Billed-RETAIL'!$E95)</f>
        <v>0</v>
      </c>
      <c r="AJ95" s="48">
        <f>SUMIFS(Adjustments!K$5:K$557,Adjustments!$B$5:$B$557,'Mar16-Aug16 Billed-RETAIL'!$D95,Adjustments!$C$5:$C$557,'Mar16-Aug16 Billed-RETAIL'!$E95)</f>
        <v>0</v>
      </c>
      <c r="AK95" s="48">
        <f>SUMIFS(Adjustments!L$5:L$557,Adjustments!$B$5:$B$557,'Mar16-Aug16 Billed-RETAIL'!$D95,Adjustments!$C$5:$C$557,'Mar16-Aug16 Billed-RETAIL'!$E95)</f>
        <v>0</v>
      </c>
      <c r="AL95" s="48">
        <f>SUMIFS(Adjustments!M$5:M$557,Adjustments!$B$5:$B$557,'Mar16-Aug16 Billed-RETAIL'!$D95,Adjustments!$C$5:$C$557,'Mar16-Aug16 Billed-RETAIL'!$E95)</f>
        <v>0</v>
      </c>
      <c r="AM95" s="48">
        <f>SUMIFS(Adjustments!N$5:N$557,Adjustments!$B$5:$B$557,'Mar16-Aug16 Billed-RETAIL'!$D95,Adjustments!$C$5:$C$557,'Mar16-Aug16 Billed-RETAIL'!$E95)</f>
        <v>0</v>
      </c>
      <c r="AN95" s="48">
        <f>SUMIFS(Adjustments!O$5:O$557,Adjustments!$B$5:$B$557,'Mar16-Aug16 Billed-RETAIL'!$D95,Adjustments!$C$5:$C$557,'Mar16-Aug16 Billed-RETAIL'!$E95)</f>
        <v>0</v>
      </c>
      <c r="AO95" s="48">
        <f>SUMIFS(Adjustments!P$5:P$557,Adjustments!$B$5:$B$557,'Mar16-Aug16 Billed-RETAIL'!$D95,Adjustments!$C$5:$C$557,'Mar16-Aug16 Billed-RETAIL'!$E95)</f>
        <v>0</v>
      </c>
      <c r="AP95" s="36">
        <f>+W95+AI95+(AG95*N95)</f>
        <v>3974818.5</v>
      </c>
      <c r="AQ95" s="36">
        <f t="shared" si="160"/>
        <v>0</v>
      </c>
      <c r="AR95" s="36">
        <f t="shared" si="161"/>
        <v>2072399.0503889485</v>
      </c>
      <c r="AS95" s="36">
        <f t="shared" si="162"/>
        <v>0</v>
      </c>
      <c r="AT95" s="43">
        <f t="shared" si="171"/>
        <v>2948691.42759754</v>
      </c>
      <c r="AU95" s="43">
        <f t="shared" si="172"/>
        <v>122344.763900673</v>
      </c>
      <c r="AV95" s="43"/>
      <c r="AW95" s="43">
        <f t="shared" si="173"/>
        <v>1494276.3280408401</v>
      </c>
      <c r="AX95" s="36">
        <f t="shared" si="163"/>
        <v>0</v>
      </c>
      <c r="AY95" s="36"/>
      <c r="AZ95" s="43">
        <f t="shared" si="176"/>
        <v>10612530.07</v>
      </c>
      <c r="BA95" s="43">
        <f>SUM(BC95:BJ95)-BF95</f>
        <v>10612530.069862483</v>
      </c>
      <c r="BB95" s="44">
        <f t="shared" si="164"/>
        <v>1</v>
      </c>
      <c r="BC95" s="43">
        <f>(SUMIFS('Fin Forecast'!$F$4:$F$545,'Fin Forecast'!$B$4:$B$545,'Mar16-Aug16 Billed-RETAIL'!$E95,'Fin Forecast'!$C$4:$C$545,'Mar16-Aug16 Billed-RETAIL'!BC$5))*1000</f>
        <v>122344.763900673</v>
      </c>
      <c r="BD95" s="43">
        <f>(SUMIFS('Fin Forecast'!$F$4:$F$545,'Fin Forecast'!$B$4:$B$545,'Mar16-Aug16 Billed-RETAIL'!$E95,'Fin Forecast'!$C$4:$C$545,'Mar16-Aug16 Billed-RETAIL'!BD$5))*1000</f>
        <v>2948691.42759754</v>
      </c>
      <c r="BE95" s="43">
        <v>0</v>
      </c>
      <c r="BF95" s="43">
        <v>0</v>
      </c>
      <c r="BG95" s="43">
        <f>(SUMIFS('Fin Forecast'!$F$4:$F$545,'Fin Forecast'!$B$4:$B$545,'Mar16-Aug16 Billed-RETAIL'!$E95,'Fin Forecast'!$C$4:$C$545,'Mar16-Aug16 Billed-RETAIL'!BG$5))*1000</f>
        <v>3974818.5</v>
      </c>
      <c r="BH95" s="43">
        <f>(SUMIFS('Fin Forecast'!$F$4:$F$545,'Fin Forecast'!$B$4:$B$545,'Mar16-Aug16 Billed-RETAIL'!$E95,'Fin Forecast'!$C$4:$C$545,'Mar16-Aug16 Billed-RETAIL'!BH$5))*1000</f>
        <v>2072399.05032343</v>
      </c>
      <c r="BI95" s="43">
        <f>(SUMIFS('Fin Forecast'!$F$4:$F$545,'Fin Forecast'!$B$4:$B$545,'Mar16-Aug16 Billed-RETAIL'!$E95,'Fin Forecast'!$C$4:$C$545,'Mar16-Aug16 Billed-RETAIL'!BI$5))*1000</f>
        <v>0</v>
      </c>
      <c r="BJ95" s="43">
        <f>(SUMIFS('Fin Forecast'!$F$4:$F$545,'Fin Forecast'!$B$4:$B$545,'Mar16-Aug16 Billed-RETAIL'!$E95,'Fin Forecast'!$C$4:$C$545,'Mar16-Aug16 Billed-RETAIL'!BJ$5))*1000</f>
        <v>1494276.3280408401</v>
      </c>
      <c r="BL95" s="51">
        <f t="shared" si="165"/>
        <v>1.3751722872257233E-4</v>
      </c>
      <c r="BN95" s="58">
        <f t="shared" si="166"/>
        <v>0</v>
      </c>
      <c r="BO95" s="58">
        <f t="shared" si="167"/>
        <v>6.5518543124198914E-5</v>
      </c>
      <c r="BP95" s="58">
        <f t="shared" si="168"/>
        <v>0</v>
      </c>
    </row>
    <row r="96" spans="1:68" ht="15" x14ac:dyDescent="0.25">
      <c r="C96" s="14">
        <f t="shared" si="174"/>
        <v>79</v>
      </c>
      <c r="D96" s="604">
        <f t="shared" si="175"/>
        <v>42644</v>
      </c>
      <c r="E96" s="604" t="str">
        <f>+'Retail Rates'!$B$19</f>
        <v>LGCMG851LT</v>
      </c>
      <c r="F96" s="14" t="str">
        <f t="shared" si="169"/>
        <v>851</v>
      </c>
      <c r="G96" s="14" t="str">
        <f>VLOOKUP(E96,'Retail Rates'!$B$7:$D$34,3,FALSE)</f>
        <v>CGS</v>
      </c>
      <c r="H96" s="546"/>
      <c r="I96" s="546"/>
      <c r="J96" s="546"/>
      <c r="K96" s="545"/>
      <c r="L96" s="545"/>
      <c r="N96" s="34">
        <f>VLOOKUP($E96,'Retail Rates'!$B$7:$L$34,5,FALSE)</f>
        <v>40</v>
      </c>
      <c r="O96" s="34">
        <f>VLOOKUP($E96,'Retail Rates'!$B$7:$L$34,6,FALSE)</f>
        <v>180</v>
      </c>
      <c r="P96" s="35">
        <f>VLOOKUP($E96,'Retail Rates'!$B$7:$L$34,7,FALSE)</f>
        <v>0.21504000000000001</v>
      </c>
      <c r="Q96" s="35">
        <f>VLOOKUP($E96,'Retail Rates'!$B$7:$L$34,8,FALSE)</f>
        <v>0.16504000000000002</v>
      </c>
      <c r="R96" s="35">
        <f>VLOOKUP($D96,'GSC-DSM-GLT Factors'!$A$1:$B$60,2,FALSE)</f>
        <v>0.38216</v>
      </c>
      <c r="S96" s="34">
        <f>VLOOKUP($E96,'Retail Rates'!$B$7:$L$34,9,FALSE)</f>
        <v>0</v>
      </c>
      <c r="T96" s="35">
        <f>VLOOKUP($E96,'Retail Rates'!$B$7:$L$34,10,FALSE)</f>
        <v>0</v>
      </c>
      <c r="U96" s="34">
        <f>VLOOKUP($E96,'Retail Rates'!$B$7:$L$34,11,FALSE)</f>
        <v>0</v>
      </c>
      <c r="V96" s="556">
        <f>VLOOKUP($D96,'GSC-DSM-GLT Factors'!$A$1:$O$60,12,FALSE)</f>
        <v>27.41</v>
      </c>
      <c r="W96" s="36">
        <f t="shared" si="154"/>
        <v>0</v>
      </c>
      <c r="X96" s="36"/>
      <c r="Y96" s="36"/>
      <c r="Z96" s="36">
        <f t="shared" si="155"/>
        <v>0</v>
      </c>
      <c r="AA96" s="36">
        <f t="shared" si="156"/>
        <v>0</v>
      </c>
      <c r="AB96" s="36">
        <f t="shared" si="157"/>
        <v>0</v>
      </c>
      <c r="AC96" s="36"/>
      <c r="AD96" s="36"/>
      <c r="AE96" s="36">
        <f t="shared" si="170"/>
        <v>0</v>
      </c>
      <c r="AF96" s="36">
        <f>(+H96*V96)+(I96*V96)</f>
        <v>0</v>
      </c>
      <c r="AG96" s="57">
        <f>SUMIFS(Adjustments!H$5:H$557,Adjustments!$B$5:$B$557,'Mar16-Aug16 Billed-RETAIL'!$D96,Adjustments!$C$5:$C$557,'Mar16-Aug16 Billed-RETAIL'!$E96)</f>
        <v>0</v>
      </c>
      <c r="AH96" s="57">
        <f>SUMIFS(Adjustments!I$5:I$557,Adjustments!$B$5:$B$557,'Mar16-Aug16 Billed-RETAIL'!$D96,Adjustments!$C$5:$C$557,'Mar16-Aug16 Billed-RETAIL'!$E96)</f>
        <v>0</v>
      </c>
      <c r="AI96" s="48">
        <f>SUMIFS(Adjustments!J$5:J$557,Adjustments!$B$5:$B$557,'Mar16-Aug16 Billed-RETAIL'!$D96,Adjustments!$C$5:$C$557,'Mar16-Aug16 Billed-RETAIL'!$E96)</f>
        <v>0</v>
      </c>
      <c r="AJ96" s="48">
        <f>SUMIFS(Adjustments!K$5:K$557,Adjustments!$B$5:$B$557,'Mar16-Aug16 Billed-RETAIL'!$D96,Adjustments!$C$5:$C$557,'Mar16-Aug16 Billed-RETAIL'!$E96)</f>
        <v>0</v>
      </c>
      <c r="AK96" s="48">
        <f>SUMIFS(Adjustments!L$5:L$557,Adjustments!$B$5:$B$557,'Mar16-Aug16 Billed-RETAIL'!$D96,Adjustments!$C$5:$C$557,'Mar16-Aug16 Billed-RETAIL'!$E96)</f>
        <v>0</v>
      </c>
      <c r="AL96" s="48">
        <f>SUMIFS(Adjustments!M$5:M$557,Adjustments!$B$5:$B$557,'Mar16-Aug16 Billed-RETAIL'!$D96,Adjustments!$C$5:$C$557,'Mar16-Aug16 Billed-RETAIL'!$E96)</f>
        <v>0</v>
      </c>
      <c r="AM96" s="48">
        <f>SUMIFS(Adjustments!N$5:N$557,Adjustments!$B$5:$B$557,'Mar16-Aug16 Billed-RETAIL'!$D96,Adjustments!$C$5:$C$557,'Mar16-Aug16 Billed-RETAIL'!$E96)</f>
        <v>0</v>
      </c>
      <c r="AN96" s="48">
        <f>SUMIFS(Adjustments!O$5:O$557,Adjustments!$B$5:$B$557,'Mar16-Aug16 Billed-RETAIL'!$D96,Adjustments!$C$5:$C$557,'Mar16-Aug16 Billed-RETAIL'!$E96)</f>
        <v>0</v>
      </c>
      <c r="AO96" s="48">
        <f>SUMIFS(Adjustments!P$5:P$557,Adjustments!$B$5:$B$557,'Mar16-Aug16 Billed-RETAIL'!$D96,Adjustments!$C$5:$C$557,'Mar16-Aug16 Billed-RETAIL'!$E96)</f>
        <v>0</v>
      </c>
      <c r="AP96" s="36">
        <f>+W96+AI96+(AG96*N96)</f>
        <v>0</v>
      </c>
      <c r="AQ96" s="36">
        <f t="shared" si="160"/>
        <v>0</v>
      </c>
      <c r="AR96" s="36">
        <f t="shared" si="161"/>
        <v>0</v>
      </c>
      <c r="AS96" s="36">
        <f t="shared" si="162"/>
        <v>0</v>
      </c>
      <c r="AT96" s="43">
        <f t="shared" si="171"/>
        <v>0</v>
      </c>
      <c r="AU96" s="43">
        <f t="shared" si="172"/>
        <v>0</v>
      </c>
      <c r="AV96" s="43"/>
      <c r="AW96" s="43">
        <f t="shared" si="173"/>
        <v>0</v>
      </c>
      <c r="AX96" s="36">
        <f t="shared" si="163"/>
        <v>0</v>
      </c>
      <c r="AY96" s="36"/>
      <c r="AZ96" s="43">
        <f t="shared" si="176"/>
        <v>0</v>
      </c>
      <c r="BA96" s="43">
        <f>SUM(BC96:BJ96)-BF96</f>
        <v>0</v>
      </c>
      <c r="BB96" s="44">
        <f t="shared" si="164"/>
        <v>0</v>
      </c>
      <c r="BC96" s="43">
        <f>(SUMIFS('Fin Forecast'!$F$4:$F$545,'Fin Forecast'!$B$4:$B$545,'Mar16-Aug16 Billed-RETAIL'!$E96,'Fin Forecast'!$C$4:$C$545,'Mar16-Aug16 Billed-RETAIL'!BC$5))*1000</f>
        <v>0</v>
      </c>
      <c r="BD96" s="43">
        <f>(SUMIFS('Fin Forecast'!$F$4:$F$545,'Fin Forecast'!$B$4:$B$545,'Mar16-Aug16 Billed-RETAIL'!$E96,'Fin Forecast'!$C$4:$C$545,'Mar16-Aug16 Billed-RETAIL'!BD$5))*1000</f>
        <v>0</v>
      </c>
      <c r="BE96" s="43">
        <v>0</v>
      </c>
      <c r="BF96" s="43">
        <v>0</v>
      </c>
      <c r="BG96" s="43">
        <f>(SUMIFS('Fin Forecast'!$F$4:$F$545,'Fin Forecast'!$B$4:$B$545,'Mar16-Aug16 Billed-RETAIL'!$E96,'Fin Forecast'!$C$4:$C$545,'Mar16-Aug16 Billed-RETAIL'!BG$5))*1000</f>
        <v>0</v>
      </c>
      <c r="BH96" s="43">
        <f>(SUMIFS('Fin Forecast'!$F$4:$F$545,'Fin Forecast'!$B$4:$B$545,'Mar16-Aug16 Billed-RETAIL'!$E96,'Fin Forecast'!$C$4:$C$545,'Mar16-Aug16 Billed-RETAIL'!BH$5))*1000</f>
        <v>0</v>
      </c>
      <c r="BI96" s="43">
        <f>(SUMIFS('Fin Forecast'!$F$4:$F$545,'Fin Forecast'!$B$4:$B$545,'Mar16-Aug16 Billed-RETAIL'!$E96,'Fin Forecast'!$C$4:$C$545,'Mar16-Aug16 Billed-RETAIL'!BI$5))*1000</f>
        <v>0</v>
      </c>
      <c r="BJ96" s="43">
        <f>(SUMIFS('Fin Forecast'!$F$4:$F$545,'Fin Forecast'!$B$4:$B$545,'Mar16-Aug16 Billed-RETAIL'!$E96,'Fin Forecast'!$C$4:$C$545,'Mar16-Aug16 Billed-RETAIL'!BJ$5))*1000</f>
        <v>0</v>
      </c>
      <c r="BL96" s="51">
        <f t="shared" si="165"/>
        <v>0</v>
      </c>
      <c r="BN96" s="58">
        <f t="shared" si="166"/>
        <v>0</v>
      </c>
      <c r="BO96" s="58">
        <f t="shared" si="167"/>
        <v>0</v>
      </c>
      <c r="BP96" s="58">
        <f t="shared" si="168"/>
        <v>0</v>
      </c>
    </row>
    <row r="97" spans="1:68" ht="15" x14ac:dyDescent="0.25">
      <c r="C97" s="14">
        <f t="shared" si="174"/>
        <v>80</v>
      </c>
      <c r="D97" s="604">
        <f t="shared" si="175"/>
        <v>42644</v>
      </c>
      <c r="E97" s="604" t="str">
        <f>+'Retail Rates'!$B$32</f>
        <v>LGRSG840</v>
      </c>
      <c r="F97" s="14" t="str">
        <f t="shared" si="169"/>
        <v>840</v>
      </c>
      <c r="G97" s="14" t="str">
        <f>VLOOKUP(E97,'Retail Rates'!$B$7:$D$34,3,FALSE)</f>
        <v>RGS</v>
      </c>
      <c r="H97" s="546"/>
      <c r="I97" s="546"/>
      <c r="J97" s="546"/>
      <c r="K97" s="545"/>
      <c r="L97" s="545"/>
      <c r="N97" s="34">
        <f>VLOOKUP($E97,'Retail Rates'!$B$7:$L$34,5,FALSE)</f>
        <v>13.5</v>
      </c>
      <c r="O97" s="34">
        <f>VLOOKUP($E97,'Retail Rates'!$B$7:$L$34,6,FALSE)</f>
        <v>0</v>
      </c>
      <c r="P97" s="35">
        <f>VLOOKUP($E97,'Retail Rates'!$B$7:$L$34,7,FALSE)</f>
        <v>0.28693000000000002</v>
      </c>
      <c r="Q97" s="35">
        <f>VLOOKUP($E97,'Retail Rates'!$B$7:$L$34,8,FALSE)</f>
        <v>0</v>
      </c>
      <c r="R97" s="35">
        <f>VLOOKUP($D97,'GSC-DSM-GLT Factors'!$A$1:$B$60,2,FALSE)</f>
        <v>0.38216</v>
      </c>
      <c r="S97" s="34">
        <f>VLOOKUP($E97,'Retail Rates'!$B$7:$L$34,9,FALSE)</f>
        <v>0</v>
      </c>
      <c r="T97" s="35">
        <f>VLOOKUP($E97,'Retail Rates'!$B$7:$L$34,10,FALSE)</f>
        <v>0</v>
      </c>
      <c r="U97" s="34">
        <f>VLOOKUP($E97,'Retail Rates'!$B$7:$L$34,11,FALSE)</f>
        <v>0</v>
      </c>
      <c r="V97" s="556">
        <f>VLOOKUP($D97,'GSC-DSM-GLT Factors'!$A$1:$O$60,11,FALSE)</f>
        <v>5.14</v>
      </c>
      <c r="W97" s="36">
        <f t="shared" si="154"/>
        <v>0</v>
      </c>
      <c r="X97" s="36"/>
      <c r="Y97" s="36"/>
      <c r="Z97" s="36">
        <f t="shared" si="155"/>
        <v>0</v>
      </c>
      <c r="AA97" s="36">
        <f t="shared" si="156"/>
        <v>0</v>
      </c>
      <c r="AB97" s="36">
        <f t="shared" si="157"/>
        <v>0</v>
      </c>
      <c r="AC97" s="36"/>
      <c r="AD97" s="36"/>
      <c r="AE97" s="36">
        <f t="shared" si="170"/>
        <v>0</v>
      </c>
      <c r="AF97" s="36">
        <f>(+H97*V97)+(I97*V97)</f>
        <v>0</v>
      </c>
      <c r="AG97" s="57">
        <f>SUMIFS(Adjustments!H$5:H$557,Adjustments!$B$5:$B$557,'Mar16-Aug16 Billed-RETAIL'!$D97,Adjustments!$C$5:$C$557,'Mar16-Aug16 Billed-RETAIL'!$E97)</f>
        <v>0</v>
      </c>
      <c r="AH97" s="57">
        <f>SUMIFS(Adjustments!I$5:I$557,Adjustments!$B$5:$B$557,'Mar16-Aug16 Billed-RETAIL'!$D97,Adjustments!$C$5:$C$557,'Mar16-Aug16 Billed-RETAIL'!$E97)</f>
        <v>0</v>
      </c>
      <c r="AI97" s="48">
        <f>SUMIFS(Adjustments!J$5:J$557,Adjustments!$B$5:$B$557,'Mar16-Aug16 Billed-RETAIL'!$D97,Adjustments!$C$5:$C$557,'Mar16-Aug16 Billed-RETAIL'!$E97)</f>
        <v>0</v>
      </c>
      <c r="AJ97" s="48">
        <f>SUMIFS(Adjustments!K$5:K$557,Adjustments!$B$5:$B$557,'Mar16-Aug16 Billed-RETAIL'!$D97,Adjustments!$C$5:$C$557,'Mar16-Aug16 Billed-RETAIL'!$E97)</f>
        <v>0</v>
      </c>
      <c r="AK97" s="48">
        <f>SUMIFS(Adjustments!L$5:L$557,Adjustments!$B$5:$B$557,'Mar16-Aug16 Billed-RETAIL'!$D97,Adjustments!$C$5:$C$557,'Mar16-Aug16 Billed-RETAIL'!$E97)</f>
        <v>0</v>
      </c>
      <c r="AL97" s="48">
        <f>SUMIFS(Adjustments!M$5:M$557,Adjustments!$B$5:$B$557,'Mar16-Aug16 Billed-RETAIL'!$D97,Adjustments!$C$5:$C$557,'Mar16-Aug16 Billed-RETAIL'!$E97)</f>
        <v>0</v>
      </c>
      <c r="AM97" s="48">
        <f>SUMIFS(Adjustments!N$5:N$557,Adjustments!$B$5:$B$557,'Mar16-Aug16 Billed-RETAIL'!$D97,Adjustments!$C$5:$C$557,'Mar16-Aug16 Billed-RETAIL'!$E97)</f>
        <v>0</v>
      </c>
      <c r="AN97" s="48">
        <f>SUMIFS(Adjustments!O$5:O$557,Adjustments!$B$5:$B$557,'Mar16-Aug16 Billed-RETAIL'!$D97,Adjustments!$C$5:$C$557,'Mar16-Aug16 Billed-RETAIL'!$E97)</f>
        <v>0</v>
      </c>
      <c r="AO97" s="48">
        <f>SUMIFS(Adjustments!P$5:P$557,Adjustments!$B$5:$B$557,'Mar16-Aug16 Billed-RETAIL'!$D97,Adjustments!$C$5:$C$557,'Mar16-Aug16 Billed-RETAIL'!$E97)</f>
        <v>0</v>
      </c>
      <c r="AP97" s="36">
        <f>+W97+AI97+(AG97*N97)</f>
        <v>0</v>
      </c>
      <c r="AQ97" s="36">
        <f t="shared" si="160"/>
        <v>0</v>
      </c>
      <c r="AR97" s="36">
        <f t="shared" si="161"/>
        <v>0</v>
      </c>
      <c r="AS97" s="36">
        <f t="shared" si="162"/>
        <v>0</v>
      </c>
      <c r="AT97" s="43">
        <f t="shared" si="171"/>
        <v>0</v>
      </c>
      <c r="AU97" s="43">
        <f t="shared" si="172"/>
        <v>0</v>
      </c>
      <c r="AV97" s="43"/>
      <c r="AW97" s="43">
        <f t="shared" si="173"/>
        <v>0</v>
      </c>
      <c r="AX97" s="36">
        <f t="shared" si="163"/>
        <v>0</v>
      </c>
      <c r="AY97" s="36"/>
      <c r="AZ97" s="43">
        <f t="shared" si="176"/>
        <v>0</v>
      </c>
      <c r="BA97" s="43">
        <f>SUM(BC97:BJ97)-BF97</f>
        <v>0</v>
      </c>
      <c r="BB97" s="44">
        <f t="shared" si="164"/>
        <v>0</v>
      </c>
      <c r="BC97" s="43">
        <f>(SUMIFS('Fin Forecast'!$F$4:$F$545,'Fin Forecast'!$B$4:$B$545,'Mar16-Aug16 Billed-RETAIL'!$E97,'Fin Forecast'!$C$4:$C$545,'Mar16-Aug16 Billed-RETAIL'!BC$5))*1000</f>
        <v>0</v>
      </c>
      <c r="BD97" s="43">
        <f>(SUMIFS('Fin Forecast'!$F$4:$F$545,'Fin Forecast'!$B$4:$B$545,'Mar16-Aug16 Billed-RETAIL'!$E97,'Fin Forecast'!$C$4:$C$545,'Mar16-Aug16 Billed-RETAIL'!BD$5))*1000</f>
        <v>0</v>
      </c>
      <c r="BE97" s="43">
        <v>0</v>
      </c>
      <c r="BF97" s="43">
        <v>0</v>
      </c>
      <c r="BG97" s="43">
        <f>(SUMIFS('Fin Forecast'!$F$4:$F$545,'Fin Forecast'!$B$4:$B$545,'Mar16-Aug16 Billed-RETAIL'!$E97,'Fin Forecast'!$C$4:$C$545,'Mar16-Aug16 Billed-RETAIL'!BG$5))*1000</f>
        <v>0</v>
      </c>
      <c r="BH97" s="43">
        <f>(SUMIFS('Fin Forecast'!$F$4:$F$545,'Fin Forecast'!$B$4:$B$545,'Mar16-Aug16 Billed-RETAIL'!$E97,'Fin Forecast'!$C$4:$C$545,'Mar16-Aug16 Billed-RETAIL'!BH$5))*1000</f>
        <v>0</v>
      </c>
      <c r="BI97" s="43">
        <f>(SUMIFS('Fin Forecast'!$F$4:$F$545,'Fin Forecast'!$B$4:$B$545,'Mar16-Aug16 Billed-RETAIL'!$E97,'Fin Forecast'!$C$4:$C$545,'Mar16-Aug16 Billed-RETAIL'!BI$5))*1000</f>
        <v>0</v>
      </c>
      <c r="BJ97" s="43">
        <f>(SUMIFS('Fin Forecast'!$F$4:$F$545,'Fin Forecast'!$B$4:$B$545,'Mar16-Aug16 Billed-RETAIL'!$E97,'Fin Forecast'!$C$4:$C$545,'Mar16-Aug16 Billed-RETAIL'!BJ$5))*1000</f>
        <v>0</v>
      </c>
      <c r="BL97" s="51">
        <f t="shared" si="165"/>
        <v>0</v>
      </c>
      <c r="BN97" s="58">
        <f t="shared" si="166"/>
        <v>0</v>
      </c>
      <c r="BO97" s="58">
        <f t="shared" si="167"/>
        <v>0</v>
      </c>
      <c r="BP97" s="58">
        <f t="shared" si="168"/>
        <v>0</v>
      </c>
    </row>
    <row r="98" spans="1:68" s="563" customFormat="1" ht="15" x14ac:dyDescent="0.25">
      <c r="C98" s="564"/>
      <c r="D98" s="605"/>
      <c r="E98" s="605"/>
      <c r="F98" s="564"/>
      <c r="G98" s="564"/>
      <c r="H98" s="565"/>
      <c r="N98" s="566"/>
      <c r="O98" s="566"/>
      <c r="P98" s="567"/>
      <c r="Q98" s="567"/>
      <c r="R98" s="567"/>
      <c r="S98" s="566"/>
      <c r="T98" s="567"/>
      <c r="U98" s="567"/>
      <c r="V98" s="568"/>
      <c r="W98" s="569"/>
      <c r="X98" s="569"/>
      <c r="Y98" s="569"/>
      <c r="Z98" s="569"/>
      <c r="AA98" s="569"/>
      <c r="AB98" s="569"/>
      <c r="AC98" s="569"/>
      <c r="AD98" s="569"/>
      <c r="AE98" s="569"/>
      <c r="AF98" s="569"/>
      <c r="AG98" s="570"/>
      <c r="AH98" s="570"/>
      <c r="AI98" s="569"/>
      <c r="AJ98" s="569"/>
      <c r="AK98" s="569"/>
      <c r="AL98" s="569"/>
      <c r="AM98" s="569"/>
      <c r="AN98" s="569"/>
      <c r="AO98" s="569"/>
      <c r="AP98" s="586"/>
      <c r="AQ98" s="586"/>
      <c r="AR98" s="586"/>
      <c r="AS98" s="586"/>
      <c r="AT98" s="569"/>
      <c r="AU98" s="569"/>
      <c r="AV98" s="569"/>
      <c r="AW98" s="569"/>
      <c r="AX98" s="569"/>
      <c r="AY98" s="569"/>
      <c r="AZ98" s="569"/>
      <c r="BA98" s="569"/>
      <c r="BB98" s="571"/>
      <c r="BC98" s="586"/>
      <c r="BD98" s="586"/>
      <c r="BE98" s="586"/>
      <c r="BF98" s="586"/>
      <c r="BG98" s="586"/>
      <c r="BH98" s="586"/>
      <c r="BI98" s="586"/>
      <c r="BJ98" s="586"/>
      <c r="BL98" s="569"/>
      <c r="BN98" s="569"/>
      <c r="BO98" s="569"/>
      <c r="BP98" s="569"/>
    </row>
    <row r="99" spans="1:68" ht="15" x14ac:dyDescent="0.25">
      <c r="C99" s="14">
        <f>C95+1</f>
        <v>79</v>
      </c>
      <c r="D99" s="604">
        <f>EDATE(D87,1)</f>
        <v>42675</v>
      </c>
      <c r="E99" s="604" t="str">
        <f>+'Retail Rates'!$B$7</f>
        <v>LGCMG865</v>
      </c>
      <c r="F99" s="14" t="str">
        <f>MID(E99,6,3)</f>
        <v>865</v>
      </c>
      <c r="G99" s="14" t="str">
        <f>VLOOKUP(E99,'Retail Rates'!$B$7:$D$34,3,FALSE)</f>
        <v>AAGS-C</v>
      </c>
      <c r="H99" s="546">
        <f>SUMIF('Forecasted Customer Cts'!$D$5:$D$36,'Mar16-Aug16 Billed-RETAIL'!$E99,'Forecasted Customer Cts'!$P$5:$P$36)</f>
        <v>2</v>
      </c>
      <c r="I99" s="546"/>
      <c r="J99" s="546"/>
      <c r="K99" s="546">
        <f>SUMIF('Forecasted Calendar Month Usage'!$D$5:$D$41,'Mar16-Aug16 Billed-RETAIL'!$E99,'Forecasted Calendar Month Usage'!$P$5:$P$41)*10</f>
        <v>53867.120532404377</v>
      </c>
      <c r="L99" s="545"/>
      <c r="N99" s="34">
        <f>VLOOKUP($E99,'Retail Rates'!$B$7:$L$34,5,FALSE)</f>
        <v>400</v>
      </c>
      <c r="O99" s="34">
        <f>VLOOKUP($E99,'Retail Rates'!$B$7:$L$34,6,FALSE)</f>
        <v>0</v>
      </c>
      <c r="P99" s="35">
        <f>VLOOKUP($E99,'Retail Rates'!$B$7:$L$34,7,FALSE)</f>
        <v>7.009E-2</v>
      </c>
      <c r="Q99" s="35">
        <f>VLOOKUP($E99,'Retail Rates'!$B$7:$L$34,8,FALSE)</f>
        <v>0</v>
      </c>
      <c r="R99" s="35" t="e">
        <f>VLOOKUP($D99,'GSC-DSM-GLT Factors'!$A$1:$B$60,2,FALSE)</f>
        <v>#N/A</v>
      </c>
      <c r="S99" s="34">
        <f>VLOOKUP($E99,'Retail Rates'!$B$7:$L$34,9,FALSE)</f>
        <v>0</v>
      </c>
      <c r="T99" s="35">
        <f>VLOOKUP($E99,'Retail Rates'!$B$7:$L$34,10,FALSE)</f>
        <v>0</v>
      </c>
      <c r="U99" s="34">
        <f>VLOOKUP($E99,'Retail Rates'!$B$7:$L$34,11,FALSE)</f>
        <v>0</v>
      </c>
      <c r="V99" s="556" t="e">
        <f>VLOOKUP($D99,'GSC-DSM-GLT Factors'!$A$1:$O$60,14,FALSE)</f>
        <v>#N/A</v>
      </c>
      <c r="W99" s="36">
        <f t="shared" ref="W99:W109" si="177">(+H99*N99)+(I99*N99)</f>
        <v>800</v>
      </c>
      <c r="X99" s="36"/>
      <c r="Y99" s="36"/>
      <c r="Z99" s="36">
        <f t="shared" ref="Z99:Z109" si="178">+K99*P99</f>
        <v>3775.5464781162227</v>
      </c>
      <c r="AA99" s="36">
        <f t="shared" ref="AA99:AA109" si="179">+L99*Q99</f>
        <v>0</v>
      </c>
      <c r="AB99" s="36" t="e">
        <f t="shared" ref="AB99:AB109" si="180">SUM(K99:L99)*R99</f>
        <v>#N/A</v>
      </c>
      <c r="AC99" s="36"/>
      <c r="AD99" s="36"/>
      <c r="AE99" s="36">
        <f>M99*U99</f>
        <v>0</v>
      </c>
      <c r="AF99" s="36" t="e">
        <f t="shared" ref="AF99:AF104" si="181">(+H99*V99)+(I99*V99)</f>
        <v>#N/A</v>
      </c>
      <c r="AG99" s="57">
        <f>SUMIFS(Adjustments!H$5:H$557,Adjustments!$B$5:$B$557,'Mar16-Aug16 Billed-RETAIL'!$D99,Adjustments!$C$5:$C$557,'Mar16-Aug16 Billed-RETAIL'!$E99)</f>
        <v>0</v>
      </c>
      <c r="AH99" s="57">
        <f>SUMIFS(Adjustments!I$5:I$557,Adjustments!$B$5:$B$557,'Mar16-Aug16 Billed-RETAIL'!$D99,Adjustments!$C$5:$C$557,'Mar16-Aug16 Billed-RETAIL'!$E99)</f>
        <v>0</v>
      </c>
      <c r="AI99" s="48">
        <f>SUMIFS(Adjustments!J$5:J$557,Adjustments!$B$5:$B$557,'Mar16-Aug16 Billed-RETAIL'!$D99,Adjustments!$C$5:$C$557,'Mar16-Aug16 Billed-RETAIL'!$E99)</f>
        <v>0</v>
      </c>
      <c r="AJ99" s="48">
        <f>SUMIFS(Adjustments!K$5:K$557,Adjustments!$B$5:$B$557,'Mar16-Aug16 Billed-RETAIL'!$D99,Adjustments!$C$5:$C$557,'Mar16-Aug16 Billed-RETAIL'!$E99)</f>
        <v>0</v>
      </c>
      <c r="AK99" s="48">
        <f>SUMIFS(Adjustments!L$5:L$557,Adjustments!$B$5:$B$557,'Mar16-Aug16 Billed-RETAIL'!$D99,Adjustments!$C$5:$C$557,'Mar16-Aug16 Billed-RETAIL'!$E99)</f>
        <v>0</v>
      </c>
      <c r="AL99" s="48">
        <f>SUMIFS(Adjustments!M$5:M$557,Adjustments!$B$5:$B$557,'Mar16-Aug16 Billed-RETAIL'!$D99,Adjustments!$C$5:$C$557,'Mar16-Aug16 Billed-RETAIL'!$E99)</f>
        <v>0</v>
      </c>
      <c r="AM99" s="48">
        <f>SUMIFS(Adjustments!N$5:N$557,Adjustments!$B$5:$B$557,'Mar16-Aug16 Billed-RETAIL'!$D99,Adjustments!$C$5:$C$557,'Mar16-Aug16 Billed-RETAIL'!$E99)</f>
        <v>0</v>
      </c>
      <c r="AN99" s="48">
        <f>SUMIFS(Adjustments!O$5:O$557,Adjustments!$B$5:$B$557,'Mar16-Aug16 Billed-RETAIL'!$D99,Adjustments!$C$5:$C$557,'Mar16-Aug16 Billed-RETAIL'!$E99)</f>
        <v>0</v>
      </c>
      <c r="AO99" s="48">
        <f>SUMIFS(Adjustments!P$5:P$557,Adjustments!$B$5:$B$557,'Mar16-Aug16 Billed-RETAIL'!$D99,Adjustments!$C$5:$C$557,'Mar16-Aug16 Billed-RETAIL'!$E99)</f>
        <v>0</v>
      </c>
      <c r="AP99" s="36">
        <f t="shared" ref="AP99:AP105" si="182">+W99+AI99+(AG99*N99)</f>
        <v>800</v>
      </c>
      <c r="AQ99" s="36">
        <f t="shared" ref="AQ99:AQ109" si="183">+Y99+AJ99</f>
        <v>0</v>
      </c>
      <c r="AR99" s="36">
        <f t="shared" ref="AR99:AR109" si="184">+Z99+AK99</f>
        <v>3775.5464781162227</v>
      </c>
      <c r="AS99" s="36">
        <f t="shared" ref="AS99:AS109" si="185">+AA99+AL99</f>
        <v>0</v>
      </c>
      <c r="AT99" s="43">
        <f>BD99</f>
        <v>75897.881409267196</v>
      </c>
      <c r="AU99" s="43">
        <f>BC99</f>
        <v>651.72250451666991</v>
      </c>
      <c r="AV99" s="43"/>
      <c r="AW99" s="43">
        <f>BJ99</f>
        <v>12710.42017949468</v>
      </c>
      <c r="AX99" s="36">
        <f t="shared" ref="AX99:AX109" si="186">+AE99+AO99</f>
        <v>0</v>
      </c>
      <c r="AY99" s="36"/>
      <c r="AZ99" s="43">
        <f>ROUND(SUM(AP99:AY99),2)+SUM(AP100:AY100)</f>
        <v>102386.62055922105</v>
      </c>
      <c r="BA99" s="43">
        <f>SUM(BC99:BJ99)-BF99</f>
        <v>102386.62113005054</v>
      </c>
      <c r="BB99" s="44">
        <f t="shared" ref="BB99:BB109" si="187">IF(BA99=0,0,ROUND(BA99/AZ99,6))</f>
        <v>1</v>
      </c>
      <c r="BC99" s="43">
        <f>(SUMIFS('Fin Forecast'!$G$4:$G$545,'Fin Forecast'!$B$4:$B$545,'Mar16-Aug16 Billed-RETAIL'!$E99,'Fin Forecast'!$C$4:$C$545,'Mar16-Aug16 Billed-RETAIL'!BC$5))*1000</f>
        <v>651.72250451666991</v>
      </c>
      <c r="BD99" s="43">
        <f>(SUMIFS('Fin Forecast'!$G$4:$G$545,'Fin Forecast'!$B$4:$B$545,'Mar16-Aug16 Billed-RETAIL'!$E99,'Fin Forecast'!$C$4:$C$545,'Mar16-Aug16 Billed-RETAIL'!BD$5))*1000</f>
        <v>75897.881409267196</v>
      </c>
      <c r="BE99" s="43">
        <v>0</v>
      </c>
      <c r="BF99" s="43">
        <v>0</v>
      </c>
      <c r="BG99" s="43">
        <f>(SUMIFS('Fin Forecast'!$G$4:$G$545,'Fin Forecast'!$B$4:$B$545,'Mar16-Aug16 Billed-RETAIL'!$E99,'Fin Forecast'!$C$4:$C$545,'Mar16-Aug16 Billed-RETAIL'!BG$5))*1000</f>
        <v>1600</v>
      </c>
      <c r="BH99" s="43">
        <f>(SUMIFS('Fin Forecast'!$G$4:$G$545,'Fin Forecast'!$B$4:$B$545,'Mar16-Aug16 Billed-RETAIL'!$E99,'Fin Forecast'!$C$4:$C$545,'Mar16-Aug16 Billed-RETAIL'!BH$5))*1000</f>
        <v>11526.59703677198</v>
      </c>
      <c r="BI99" s="43">
        <f>(SUMIFS('Fin Forecast'!$G$4:$G$545,'Fin Forecast'!$B$4:$B$545,'Mar16-Aug16 Billed-RETAIL'!$E99,'Fin Forecast'!$C$4:$C$545,'Mar16-Aug16 Billed-RETAIL'!BI$5))*1000</f>
        <v>0</v>
      </c>
      <c r="BJ99" s="43">
        <f>(SUMIFS('Fin Forecast'!$G$4:$G$545,'Fin Forecast'!$B$4:$B$545,'Mar16-Aug16 Billed-RETAIL'!$E99,'Fin Forecast'!$C$4:$C$545,'Mar16-Aug16 Billed-RETAIL'!BJ$5))*1000</f>
        <v>12710.42017949468</v>
      </c>
      <c r="BL99" s="51">
        <f t="shared" ref="BL99:BL109" si="188">+AZ99-BA99</f>
        <v>-5.7082949206233025E-4</v>
      </c>
      <c r="BN99" s="58">
        <f t="shared" ref="BN99:BN109" si="189">+AP99+AQ99-BG99</f>
        <v>-800</v>
      </c>
      <c r="BO99" s="58">
        <f t="shared" ref="BO99:BO109" si="190">+AR99+AS99-BH99</f>
        <v>-7751.0505586557574</v>
      </c>
      <c r="BP99" s="58">
        <f t="shared" ref="BP99:BP109" si="191">+AT99-BD99</f>
        <v>0</v>
      </c>
    </row>
    <row r="100" spans="1:68" ht="15" x14ac:dyDescent="0.25">
      <c r="C100" s="14">
        <f>C99+1</f>
        <v>80</v>
      </c>
      <c r="D100" s="604">
        <f>$D$99</f>
        <v>42675</v>
      </c>
      <c r="E100" s="604" t="str">
        <f>+'Retail Rates'!$B$10</f>
        <v>LGING866</v>
      </c>
      <c r="F100" s="14" t="str">
        <f t="shared" ref="F100:F109" si="192">MID(E100,6,3)</f>
        <v>866</v>
      </c>
      <c r="G100" s="14" t="str">
        <f>VLOOKUP(E100,'Retail Rates'!$B$7:$D$34,3,FALSE)</f>
        <v>AAGS-I</v>
      </c>
      <c r="H100" s="546">
        <f>SUMIF('Forecasted Customer Cts'!$D$5:$D$36,'Mar16-Aug16 Billed-RETAIL'!$E100,'Forecasted Customer Cts'!$P$5:$P$36)</f>
        <v>2</v>
      </c>
      <c r="I100" s="546"/>
      <c r="J100" s="546"/>
      <c r="K100" s="546">
        <f>SUMIF('Forecasted Calendar Month Usage'!$D$5:$D$41,'Mar16-Aug16 Billed-RETAIL'!$E100,'Forecasted Calendar Month Usage'!$P$5:$P$41)*10</f>
        <v>110587.11027566045</v>
      </c>
      <c r="L100" s="545"/>
      <c r="N100" s="34">
        <f>VLOOKUP($E100,'Retail Rates'!$B$7:$L$34,5,FALSE)</f>
        <v>400</v>
      </c>
      <c r="O100" s="34">
        <f>VLOOKUP($E100,'Retail Rates'!$B$7:$L$34,6,FALSE)</f>
        <v>0</v>
      </c>
      <c r="P100" s="35">
        <f>VLOOKUP($E100,'Retail Rates'!$B$7:$L$34,7,FALSE)</f>
        <v>7.009E-2</v>
      </c>
      <c r="Q100" s="35">
        <f>VLOOKUP($E100,'Retail Rates'!$B$7:$L$34,8,FALSE)</f>
        <v>0</v>
      </c>
      <c r="R100" s="35" t="e">
        <f>VLOOKUP($D100,'GSC-DSM-GLT Factors'!$A$1:$B$60,2,FALSE)</f>
        <v>#N/A</v>
      </c>
      <c r="S100" s="34">
        <f>VLOOKUP($E100,'Retail Rates'!$B$7:$L$34,9,FALSE)</f>
        <v>0</v>
      </c>
      <c r="T100" s="35">
        <f>VLOOKUP($E100,'Retail Rates'!$B$7:$L$34,10,FALSE)</f>
        <v>0</v>
      </c>
      <c r="U100" s="34">
        <f>VLOOKUP($E100,'Retail Rates'!$B$7:$L$34,11,FALSE)</f>
        <v>0</v>
      </c>
      <c r="V100" s="556" t="e">
        <f>VLOOKUP($D100,'GSC-DSM-GLT Factors'!$A$1:$O$60,14,FALSE)</f>
        <v>#N/A</v>
      </c>
      <c r="W100" s="36">
        <f t="shared" si="177"/>
        <v>800</v>
      </c>
      <c r="X100" s="36"/>
      <c r="Y100" s="36"/>
      <c r="Z100" s="36">
        <f t="shared" si="178"/>
        <v>7751.0505592210411</v>
      </c>
      <c r="AA100" s="36">
        <f t="shared" si="179"/>
        <v>0</v>
      </c>
      <c r="AB100" s="36" t="e">
        <f t="shared" si="180"/>
        <v>#N/A</v>
      </c>
      <c r="AC100" s="36"/>
      <c r="AD100" s="36"/>
      <c r="AE100" s="36">
        <f t="shared" ref="AE100:AE109" si="193">M100*U100</f>
        <v>0</v>
      </c>
      <c r="AF100" s="36" t="e">
        <f t="shared" si="181"/>
        <v>#N/A</v>
      </c>
      <c r="AG100" s="57">
        <f>SUMIFS(Adjustments!H$5:H$557,Adjustments!$B$5:$B$557,'Mar16-Aug16 Billed-RETAIL'!$D100,Adjustments!$C$5:$C$557,'Mar16-Aug16 Billed-RETAIL'!$E100)</f>
        <v>0</v>
      </c>
      <c r="AH100" s="57">
        <f>SUMIFS(Adjustments!I$5:I$557,Adjustments!$B$5:$B$557,'Mar16-Aug16 Billed-RETAIL'!$D100,Adjustments!$C$5:$C$557,'Mar16-Aug16 Billed-RETAIL'!$E100)</f>
        <v>0</v>
      </c>
      <c r="AI100" s="48">
        <f>SUMIFS(Adjustments!J$5:J$557,Adjustments!$B$5:$B$557,'Mar16-Aug16 Billed-RETAIL'!$D100,Adjustments!$C$5:$C$557,'Mar16-Aug16 Billed-RETAIL'!$E100)</f>
        <v>0</v>
      </c>
      <c r="AJ100" s="48">
        <f>SUMIFS(Adjustments!K$5:K$557,Adjustments!$B$5:$B$557,'Mar16-Aug16 Billed-RETAIL'!$D100,Adjustments!$C$5:$C$557,'Mar16-Aug16 Billed-RETAIL'!$E100)</f>
        <v>0</v>
      </c>
      <c r="AK100" s="48">
        <f>SUMIFS(Adjustments!L$5:L$557,Adjustments!$B$5:$B$557,'Mar16-Aug16 Billed-RETAIL'!$D100,Adjustments!$C$5:$C$557,'Mar16-Aug16 Billed-RETAIL'!$E100)</f>
        <v>0</v>
      </c>
      <c r="AL100" s="48">
        <f>SUMIFS(Adjustments!M$5:M$557,Adjustments!$B$5:$B$557,'Mar16-Aug16 Billed-RETAIL'!$D100,Adjustments!$C$5:$C$557,'Mar16-Aug16 Billed-RETAIL'!$E100)</f>
        <v>0</v>
      </c>
      <c r="AM100" s="48">
        <f>SUMIFS(Adjustments!N$5:N$557,Adjustments!$B$5:$B$557,'Mar16-Aug16 Billed-RETAIL'!$D100,Adjustments!$C$5:$C$557,'Mar16-Aug16 Billed-RETAIL'!$E100)</f>
        <v>0</v>
      </c>
      <c r="AN100" s="48">
        <f>SUMIFS(Adjustments!O$5:O$557,Adjustments!$B$5:$B$557,'Mar16-Aug16 Billed-RETAIL'!$D100,Adjustments!$C$5:$C$557,'Mar16-Aug16 Billed-RETAIL'!$E100)</f>
        <v>0</v>
      </c>
      <c r="AO100" s="48">
        <f>SUMIFS(Adjustments!P$5:P$557,Adjustments!$B$5:$B$557,'Mar16-Aug16 Billed-RETAIL'!$D100,Adjustments!$C$5:$C$557,'Mar16-Aug16 Billed-RETAIL'!$E100)</f>
        <v>0</v>
      </c>
      <c r="AP100" s="36">
        <f t="shared" si="182"/>
        <v>800</v>
      </c>
      <c r="AQ100" s="36">
        <f t="shared" si="183"/>
        <v>0</v>
      </c>
      <c r="AR100" s="36">
        <f t="shared" si="184"/>
        <v>7751.0505592210411</v>
      </c>
      <c r="AS100" s="36">
        <f t="shared" si="185"/>
        <v>0</v>
      </c>
      <c r="AT100" s="43">
        <f t="shared" ref="AT100:AT109" si="194">BD100</f>
        <v>0</v>
      </c>
      <c r="AU100" s="43">
        <f t="shared" ref="AU100:AU109" si="195">BC100</f>
        <v>0</v>
      </c>
      <c r="AV100" s="43"/>
      <c r="AW100" s="43">
        <f t="shared" ref="AW100:AW109" si="196">BJ100</f>
        <v>0</v>
      </c>
      <c r="AX100" s="36">
        <f t="shared" si="186"/>
        <v>0</v>
      </c>
      <c r="AY100" s="36"/>
      <c r="AZ100" s="43"/>
      <c r="BA100" s="43">
        <f>SUM(BC100:BJ100)-BF100</f>
        <v>0</v>
      </c>
      <c r="BB100" s="44">
        <f t="shared" si="187"/>
        <v>0</v>
      </c>
      <c r="BC100" s="43">
        <f>(SUMIFS('Fin Forecast'!$G$4:$G$545,'Fin Forecast'!$B$4:$B$545,'Mar16-Aug16 Billed-RETAIL'!$E100,'Fin Forecast'!$C$4:$C$545,'Mar16-Aug16 Billed-RETAIL'!BC$5))*1000</f>
        <v>0</v>
      </c>
      <c r="BD100" s="43">
        <f>(SUMIFS('Fin Forecast'!$G$4:$G$545,'Fin Forecast'!$B$4:$B$545,'Mar16-Aug16 Billed-RETAIL'!$E100,'Fin Forecast'!$C$4:$C$545,'Mar16-Aug16 Billed-RETAIL'!BD$5))*1000</f>
        <v>0</v>
      </c>
      <c r="BE100" s="43">
        <v>0</v>
      </c>
      <c r="BF100" s="43">
        <v>0</v>
      </c>
      <c r="BG100" s="43">
        <f>(SUMIFS('Fin Forecast'!$G$4:$G$545,'Fin Forecast'!$B$4:$B$545,'Mar16-Aug16 Billed-RETAIL'!$E100,'Fin Forecast'!$C$4:$C$545,'Mar16-Aug16 Billed-RETAIL'!BG$5))*1000</f>
        <v>0</v>
      </c>
      <c r="BH100" s="43">
        <f>(SUMIFS('Fin Forecast'!$G$4:$G$545,'Fin Forecast'!$B$4:$B$545,'Mar16-Aug16 Billed-RETAIL'!$E100,'Fin Forecast'!$C$4:$C$545,'Mar16-Aug16 Billed-RETAIL'!BH$5))*1000</f>
        <v>0</v>
      </c>
      <c r="BI100" s="43">
        <f>(SUMIFS('Fin Forecast'!$G$4:$G$545,'Fin Forecast'!$B$4:$B$545,'Mar16-Aug16 Billed-RETAIL'!$E100,'Fin Forecast'!$C$4:$C$545,'Mar16-Aug16 Billed-RETAIL'!BI$5))*1000</f>
        <v>0</v>
      </c>
      <c r="BJ100" s="43">
        <f>(SUMIFS('Fin Forecast'!$G$4:$G$545,'Fin Forecast'!$B$4:$B$545,'Mar16-Aug16 Billed-RETAIL'!$E100,'Fin Forecast'!$C$4:$C$545,'Mar16-Aug16 Billed-RETAIL'!BJ$5))*1000</f>
        <v>0</v>
      </c>
      <c r="BL100" s="51">
        <f t="shared" si="188"/>
        <v>0</v>
      </c>
      <c r="BN100" s="58">
        <f t="shared" si="189"/>
        <v>800</v>
      </c>
      <c r="BO100" s="58">
        <f t="shared" si="190"/>
        <v>7751.0505592210411</v>
      </c>
      <c r="BP100" s="58">
        <f t="shared" si="191"/>
        <v>0</v>
      </c>
    </row>
    <row r="101" spans="1:68" ht="15" x14ac:dyDescent="0.25">
      <c r="A101" s="548" t="s">
        <v>799</v>
      </c>
      <c r="B101" s="548" t="s">
        <v>800</v>
      </c>
      <c r="C101" s="14">
        <f t="shared" ref="C101:C109" si="197">C100+1</f>
        <v>81</v>
      </c>
      <c r="D101" s="604">
        <f t="shared" ref="D101:D109" si="198">$D$99</f>
        <v>42675</v>
      </c>
      <c r="E101" s="604" t="str">
        <f>+'Retail Rates'!$B$11</f>
        <v>LGING866DS</v>
      </c>
      <c r="F101" s="14" t="str">
        <f t="shared" si="192"/>
        <v>866</v>
      </c>
      <c r="G101" s="14" t="str">
        <f>VLOOKUP(E101,'Retail Rates'!$B$7:$D$34,3,FALSE)</f>
        <v>AAGS-I</v>
      </c>
      <c r="H101" s="546"/>
      <c r="I101" s="546"/>
      <c r="J101" s="546"/>
      <c r="K101" s="546"/>
      <c r="L101" s="546"/>
      <c r="M101" s="63"/>
      <c r="N101" s="34">
        <f>VLOOKUP($E101,'Retail Rates'!$B$7:$L$34,5,FALSE)</f>
        <v>400</v>
      </c>
      <c r="O101" s="34">
        <f>VLOOKUP($E101,'Retail Rates'!$B$7:$L$34,6,FALSE)</f>
        <v>0</v>
      </c>
      <c r="P101" s="35">
        <f>VLOOKUP($E101,'Retail Rates'!$B$7:$L$34,7,FALSE)</f>
        <v>7.009E-2</v>
      </c>
      <c r="Q101" s="35">
        <f>VLOOKUP($E101,'Retail Rates'!$B$7:$L$34,8,FALSE)</f>
        <v>0</v>
      </c>
      <c r="R101" s="35" t="e">
        <f>VLOOKUP($D101,'GSC-DSM-GLT Factors'!$A$1:$B$60,2,FALSE)</f>
        <v>#N/A</v>
      </c>
      <c r="S101" s="34">
        <f>VLOOKUP($E101,'Retail Rates'!$B$7:$L$34,9,FALSE)</f>
        <v>0</v>
      </c>
      <c r="T101" s="35">
        <f>VLOOKUP($E101,'Retail Rates'!$B$7:$L$34,10,FALSE)</f>
        <v>0</v>
      </c>
      <c r="U101" s="34">
        <f>VLOOKUP($E101,'Retail Rates'!$B$7:$L$34,11,FALSE)</f>
        <v>0</v>
      </c>
      <c r="V101" s="556" t="e">
        <f>VLOOKUP($D101,'GSC-DSM-GLT Factors'!$A$1:$O$60,14,FALSE)</f>
        <v>#N/A</v>
      </c>
      <c r="W101" s="36">
        <f t="shared" si="177"/>
        <v>0</v>
      </c>
      <c r="X101" s="36"/>
      <c r="Y101" s="36"/>
      <c r="Z101" s="36">
        <f t="shared" si="178"/>
        <v>0</v>
      </c>
      <c r="AA101" s="36">
        <f t="shared" si="179"/>
        <v>0</v>
      </c>
      <c r="AB101" s="36" t="e">
        <f t="shared" si="180"/>
        <v>#N/A</v>
      </c>
      <c r="AC101" s="36"/>
      <c r="AD101" s="36"/>
      <c r="AE101" s="36">
        <f t="shared" si="193"/>
        <v>0</v>
      </c>
      <c r="AF101" s="36" t="e">
        <f t="shared" si="181"/>
        <v>#N/A</v>
      </c>
      <c r="AG101" s="57">
        <f>SUMIFS(Adjustments!H$5:H$557,Adjustments!$B$5:$B$557,'Mar16-Aug16 Billed-RETAIL'!$D101,Adjustments!$C$5:$C$557,'Mar16-Aug16 Billed-RETAIL'!$E101)</f>
        <v>0</v>
      </c>
      <c r="AH101" s="57">
        <f>SUMIFS(Adjustments!I$5:I$557,Adjustments!$B$5:$B$557,'Mar16-Aug16 Billed-RETAIL'!$D101,Adjustments!$C$5:$C$557,'Mar16-Aug16 Billed-RETAIL'!$E101)</f>
        <v>0</v>
      </c>
      <c r="AI101" s="48">
        <f>SUMIFS(Adjustments!J$5:J$557,Adjustments!$B$5:$B$557,'Mar16-Aug16 Billed-RETAIL'!$D101,Adjustments!$C$5:$C$557,'Mar16-Aug16 Billed-RETAIL'!$E101)</f>
        <v>0</v>
      </c>
      <c r="AJ101" s="48">
        <f>SUMIFS(Adjustments!K$5:K$557,Adjustments!$B$5:$B$557,'Mar16-Aug16 Billed-RETAIL'!$D101,Adjustments!$C$5:$C$557,'Mar16-Aug16 Billed-RETAIL'!$E101)</f>
        <v>0</v>
      </c>
      <c r="AK101" s="48">
        <f>SUMIFS(Adjustments!L$5:L$557,Adjustments!$B$5:$B$557,'Mar16-Aug16 Billed-RETAIL'!$D101,Adjustments!$C$5:$C$557,'Mar16-Aug16 Billed-RETAIL'!$E101)</f>
        <v>0</v>
      </c>
      <c r="AL101" s="48">
        <f>SUMIFS(Adjustments!M$5:M$557,Adjustments!$B$5:$B$557,'Mar16-Aug16 Billed-RETAIL'!$D101,Adjustments!$C$5:$C$557,'Mar16-Aug16 Billed-RETAIL'!$E101)</f>
        <v>0</v>
      </c>
      <c r="AM101" s="48">
        <f>SUMIFS(Adjustments!N$5:N$557,Adjustments!$B$5:$B$557,'Mar16-Aug16 Billed-RETAIL'!$D101,Adjustments!$C$5:$C$557,'Mar16-Aug16 Billed-RETAIL'!$E101)</f>
        <v>0</v>
      </c>
      <c r="AN101" s="48">
        <f>SUMIFS(Adjustments!O$5:O$557,Adjustments!$B$5:$B$557,'Mar16-Aug16 Billed-RETAIL'!$D101,Adjustments!$C$5:$C$557,'Mar16-Aug16 Billed-RETAIL'!$E101)</f>
        <v>0</v>
      </c>
      <c r="AO101" s="48">
        <f>SUMIFS(Adjustments!P$5:P$557,Adjustments!$B$5:$B$557,'Mar16-Aug16 Billed-RETAIL'!$D101,Adjustments!$C$5:$C$557,'Mar16-Aug16 Billed-RETAIL'!$E101)</f>
        <v>0</v>
      </c>
      <c r="AP101" s="36">
        <f t="shared" si="182"/>
        <v>0</v>
      </c>
      <c r="AQ101" s="36">
        <f t="shared" si="183"/>
        <v>0</v>
      </c>
      <c r="AR101" s="36">
        <f t="shared" si="184"/>
        <v>0</v>
      </c>
      <c r="AS101" s="36">
        <f t="shared" si="185"/>
        <v>0</v>
      </c>
      <c r="AT101" s="43">
        <f t="shared" si="194"/>
        <v>0</v>
      </c>
      <c r="AU101" s="43">
        <f t="shared" si="195"/>
        <v>0</v>
      </c>
      <c r="AV101" s="43"/>
      <c r="AW101" s="43">
        <f t="shared" si="196"/>
        <v>0</v>
      </c>
      <c r="AX101" s="36">
        <f t="shared" si="186"/>
        <v>0</v>
      </c>
      <c r="AY101" s="36"/>
      <c r="AZ101" s="43">
        <f t="shared" ref="AZ101:AZ109" si="199">ROUND(SUM(AP101:AY101),2)</f>
        <v>0</v>
      </c>
      <c r="BA101" s="43">
        <f>SUM(BC101:BJ101)-BF101</f>
        <v>0</v>
      </c>
      <c r="BB101" s="44">
        <f t="shared" si="187"/>
        <v>0</v>
      </c>
      <c r="BC101" s="43">
        <f>(SUMIFS('Fin Forecast'!$G$4:$G$545,'Fin Forecast'!$B$4:$B$545,'Mar16-Aug16 Billed-RETAIL'!$E101,'Fin Forecast'!$C$4:$C$545,'Mar16-Aug16 Billed-RETAIL'!BC$5))*1000</f>
        <v>0</v>
      </c>
      <c r="BD101" s="43">
        <f>(SUMIFS('Fin Forecast'!$G$4:$G$545,'Fin Forecast'!$B$4:$B$545,'Mar16-Aug16 Billed-RETAIL'!$E101,'Fin Forecast'!$C$4:$C$545,'Mar16-Aug16 Billed-RETAIL'!BD$5))*1000</f>
        <v>0</v>
      </c>
      <c r="BE101" s="43">
        <v>0</v>
      </c>
      <c r="BF101" s="43">
        <v>0</v>
      </c>
      <c r="BG101" s="43">
        <f>(SUMIFS('Fin Forecast'!$G$4:$G$545,'Fin Forecast'!$B$4:$B$545,'Mar16-Aug16 Billed-RETAIL'!$E101,'Fin Forecast'!$C$4:$C$545,'Mar16-Aug16 Billed-RETAIL'!BG$5))*1000</f>
        <v>0</v>
      </c>
      <c r="BH101" s="43">
        <f>(SUMIFS('Fin Forecast'!$G$4:$G$545,'Fin Forecast'!$B$4:$B$545,'Mar16-Aug16 Billed-RETAIL'!$E101,'Fin Forecast'!$C$4:$C$545,'Mar16-Aug16 Billed-RETAIL'!BH$5))*1000</f>
        <v>0</v>
      </c>
      <c r="BI101" s="43">
        <f>(SUMIFS('Fin Forecast'!$G$4:$G$545,'Fin Forecast'!$B$4:$B$545,'Mar16-Aug16 Billed-RETAIL'!$E101,'Fin Forecast'!$C$4:$C$545,'Mar16-Aug16 Billed-RETAIL'!BI$5))*1000</f>
        <v>0</v>
      </c>
      <c r="BJ101" s="43">
        <f>(SUMIFS('Fin Forecast'!$G$4:$G$545,'Fin Forecast'!$B$4:$B$545,'Mar16-Aug16 Billed-RETAIL'!$E101,'Fin Forecast'!$C$4:$C$545,'Mar16-Aug16 Billed-RETAIL'!BJ$5))*1000</f>
        <v>0</v>
      </c>
      <c r="BL101" s="51">
        <f t="shared" si="188"/>
        <v>0</v>
      </c>
      <c r="BN101" s="58">
        <f t="shared" si="189"/>
        <v>0</v>
      </c>
      <c r="BO101" s="58">
        <f t="shared" si="190"/>
        <v>0</v>
      </c>
      <c r="BP101" s="58">
        <f t="shared" si="191"/>
        <v>0</v>
      </c>
    </row>
    <row r="102" spans="1:68" ht="15" x14ac:dyDescent="0.25">
      <c r="C102" s="14">
        <f t="shared" si="197"/>
        <v>82</v>
      </c>
      <c r="D102" s="604">
        <f t="shared" si="198"/>
        <v>42675</v>
      </c>
      <c r="E102" s="604" t="str">
        <f>+'Retail Rates'!$B$15</f>
        <v>LGCMG851</v>
      </c>
      <c r="F102" s="14" t="str">
        <f t="shared" si="192"/>
        <v>851</v>
      </c>
      <c r="G102" s="14" t="str">
        <f>VLOOKUP(E102,'Retail Rates'!$B$7:$D$34,3,FALSE)</f>
        <v>CGS</v>
      </c>
      <c r="H102" s="546"/>
      <c r="I102" s="546">
        <f>SUMIFS('Forecasted Customer Cts'!$P$5:$P$36,'Forecasted Customer Cts'!$D$5:$D$36,'Mar16-Aug16 Billed-RETAIL'!$E102,'Forecasted Customer Cts'!$C$5:$C$36,'Mar16-Aug16 Billed-RETAIL'!$A$78)</f>
        <v>24027</v>
      </c>
      <c r="J102" s="546">
        <f>SUMIFS('Forecasted Customer Cts'!$P$5:$P$36,'Forecasted Customer Cts'!$D$5:$D$36,'Mar16-Aug16 Billed-RETAIL'!$E102,'Forecasted Customer Cts'!$C$5:$C$36,'Mar16-Aug16 Billed-RETAIL'!$B$78)</f>
        <v>1001</v>
      </c>
      <c r="K102" s="546">
        <f>SUMIF('Forecasted Calendar Month Usage'!$D$5:$D$41,'Mar16-Aug16 Billed-RETAIL'!$E102,'Forecasted Calendar Month Usage'!$P$5:$P$41)*10</f>
        <v>8767439.5007889122</v>
      </c>
      <c r="L102" s="546"/>
      <c r="N102" s="34">
        <f>VLOOKUP($E102,'Retail Rates'!$B$7:$L$34,5,FALSE)</f>
        <v>40</v>
      </c>
      <c r="O102" s="34">
        <f>VLOOKUP($E102,'Retail Rates'!$B$7:$L$34,6,FALSE)</f>
        <v>180</v>
      </c>
      <c r="P102" s="35">
        <f>VLOOKUP($E102,'Retail Rates'!$B$7:$L$34,7,FALSE)</f>
        <v>0.21504000000000001</v>
      </c>
      <c r="Q102" s="35">
        <f>VLOOKUP($E102,'Retail Rates'!$B$7:$L$34,8,FALSE)</f>
        <v>0.16504000000000002</v>
      </c>
      <c r="R102" s="35" t="e">
        <f>VLOOKUP($D102,'GSC-DSM-GLT Factors'!$A$1:$B$60,2,FALSE)</f>
        <v>#N/A</v>
      </c>
      <c r="S102" s="34">
        <f>VLOOKUP($E102,'Retail Rates'!$B$7:$L$34,9,FALSE)</f>
        <v>0</v>
      </c>
      <c r="T102" s="35">
        <f>VLOOKUP($E102,'Retail Rates'!$B$7:$L$34,10,FALSE)</f>
        <v>0</v>
      </c>
      <c r="U102" s="34">
        <f>VLOOKUP($E102,'Retail Rates'!$B$7:$L$34,11,FALSE)</f>
        <v>0</v>
      </c>
      <c r="V102" s="556" t="e">
        <f>VLOOKUP($D102,'GSC-DSM-GLT Factors'!$A$1:$O$60,12,FALSE)</f>
        <v>#N/A</v>
      </c>
      <c r="W102" s="36">
        <f t="shared" si="177"/>
        <v>961080</v>
      </c>
      <c r="X102" s="36"/>
      <c r="Y102" s="36">
        <f>+J102*O102</f>
        <v>180180</v>
      </c>
      <c r="Z102" s="36">
        <f t="shared" si="178"/>
        <v>1885350.1902496477</v>
      </c>
      <c r="AA102" s="36">
        <f t="shared" si="179"/>
        <v>0</v>
      </c>
      <c r="AB102" s="36" t="e">
        <f t="shared" si="180"/>
        <v>#N/A</v>
      </c>
      <c r="AC102" s="36"/>
      <c r="AD102" s="36"/>
      <c r="AE102" s="36">
        <f t="shared" si="193"/>
        <v>0</v>
      </c>
      <c r="AF102" s="36" t="e">
        <f t="shared" si="181"/>
        <v>#N/A</v>
      </c>
      <c r="AG102" s="57">
        <f>SUMIFS(Adjustments!H$5:H$557,Adjustments!$B$5:$B$557,'Mar16-Aug16 Billed-RETAIL'!$D102,Adjustments!$C$5:$C$557,'Mar16-Aug16 Billed-RETAIL'!$E102)</f>
        <v>0</v>
      </c>
      <c r="AH102" s="57">
        <f>SUMIFS(Adjustments!I$5:I$557,Adjustments!$B$5:$B$557,'Mar16-Aug16 Billed-RETAIL'!$D102,Adjustments!$C$5:$C$557,'Mar16-Aug16 Billed-RETAIL'!$E102)</f>
        <v>0</v>
      </c>
      <c r="AI102" s="48">
        <f>SUMIFS(Adjustments!J$5:J$557,Adjustments!$B$5:$B$557,'Mar16-Aug16 Billed-RETAIL'!$D102,Adjustments!$C$5:$C$557,'Mar16-Aug16 Billed-RETAIL'!$E102)</f>
        <v>0</v>
      </c>
      <c r="AJ102" s="48">
        <f>SUMIFS(Adjustments!K$5:K$557,Adjustments!$B$5:$B$557,'Mar16-Aug16 Billed-RETAIL'!$D102,Adjustments!$C$5:$C$557,'Mar16-Aug16 Billed-RETAIL'!$E102)</f>
        <v>0</v>
      </c>
      <c r="AK102" s="48">
        <f>SUMIFS(Adjustments!L$5:L$557,Adjustments!$B$5:$B$557,'Mar16-Aug16 Billed-RETAIL'!$D102,Adjustments!$C$5:$C$557,'Mar16-Aug16 Billed-RETAIL'!$E102)</f>
        <v>0</v>
      </c>
      <c r="AL102" s="48">
        <f>SUMIFS(Adjustments!M$5:M$557,Adjustments!$B$5:$B$557,'Mar16-Aug16 Billed-RETAIL'!$D102,Adjustments!$C$5:$C$557,'Mar16-Aug16 Billed-RETAIL'!$E102)</f>
        <v>0</v>
      </c>
      <c r="AM102" s="48">
        <f>SUMIFS(Adjustments!N$5:N$557,Adjustments!$B$5:$B$557,'Mar16-Aug16 Billed-RETAIL'!$D102,Adjustments!$C$5:$C$557,'Mar16-Aug16 Billed-RETAIL'!$E102)</f>
        <v>0</v>
      </c>
      <c r="AN102" s="48">
        <f>SUMIFS(Adjustments!O$5:O$557,Adjustments!$B$5:$B$557,'Mar16-Aug16 Billed-RETAIL'!$D102,Adjustments!$C$5:$C$557,'Mar16-Aug16 Billed-RETAIL'!$E102)</f>
        <v>0</v>
      </c>
      <c r="AO102" s="48">
        <f>SUMIFS(Adjustments!P$5:P$557,Adjustments!$B$5:$B$557,'Mar16-Aug16 Billed-RETAIL'!$D102,Adjustments!$C$5:$C$557,'Mar16-Aug16 Billed-RETAIL'!$E102)</f>
        <v>0</v>
      </c>
      <c r="AP102" s="36">
        <f t="shared" si="182"/>
        <v>961080</v>
      </c>
      <c r="AQ102" s="36">
        <f t="shared" si="183"/>
        <v>180180</v>
      </c>
      <c r="AR102" s="36">
        <f t="shared" si="184"/>
        <v>1885350.1902496477</v>
      </c>
      <c r="AS102" s="36">
        <f t="shared" si="185"/>
        <v>0</v>
      </c>
      <c r="AT102" s="43">
        <f t="shared" si="194"/>
        <v>4046293.490155254</v>
      </c>
      <c r="AU102" s="43">
        <f t="shared" si="195"/>
        <v>82435.322123353399</v>
      </c>
      <c r="AV102" s="43"/>
      <c r="AW102" s="43">
        <f t="shared" si="196"/>
        <v>628350.36644901289</v>
      </c>
      <c r="AX102" s="36">
        <f t="shared" si="186"/>
        <v>0</v>
      </c>
      <c r="AY102" s="36"/>
      <c r="AZ102" s="43">
        <f t="shared" si="199"/>
        <v>7783689.3700000001</v>
      </c>
      <c r="BA102" s="43">
        <f>SUM(BC102:BJ102)-BF102</f>
        <v>7783689.369035989</v>
      </c>
      <c r="BB102" s="44">
        <f t="shared" si="187"/>
        <v>1</v>
      </c>
      <c r="BC102" s="43">
        <f>(SUMIFS('Fin Forecast'!$G$4:$G$545,'Fin Forecast'!$B$4:$B$545,'Mar16-Aug16 Billed-RETAIL'!$E102,'Fin Forecast'!$C$4:$C$545,'Mar16-Aug16 Billed-RETAIL'!BC$5))*1000</f>
        <v>82435.322123353399</v>
      </c>
      <c r="BD102" s="43">
        <f>(SUMIFS('Fin Forecast'!$G$4:$G$545,'Fin Forecast'!$B$4:$B$545,'Mar16-Aug16 Billed-RETAIL'!$E102,'Fin Forecast'!$C$4:$C$545,'Mar16-Aug16 Billed-RETAIL'!BD$5))*1000</f>
        <v>4046293.490155254</v>
      </c>
      <c r="BE102" s="43">
        <v>0</v>
      </c>
      <c r="BF102" s="43">
        <v>0</v>
      </c>
      <c r="BG102" s="43">
        <f>(SUMIFS('Fin Forecast'!$G$4:$G$545,'Fin Forecast'!$B$4:$B$545,'Mar16-Aug16 Billed-RETAIL'!$E102,'Fin Forecast'!$C$4:$C$545,'Mar16-Aug16 Billed-RETAIL'!BG$5))*1000</f>
        <v>1141260</v>
      </c>
      <c r="BH102" s="43">
        <f>(SUMIFS('Fin Forecast'!$G$4:$G$545,'Fin Forecast'!$B$4:$B$545,'Mar16-Aug16 Billed-RETAIL'!$E102,'Fin Forecast'!$C$4:$C$545,'Mar16-Aug16 Billed-RETAIL'!BH$5))*1000</f>
        <v>1885350.190308369</v>
      </c>
      <c r="BI102" s="43">
        <f>(SUMIFS('Fin Forecast'!$G$4:$G$545,'Fin Forecast'!$B$4:$B$545,'Mar16-Aug16 Billed-RETAIL'!$E102,'Fin Forecast'!$C$4:$C$545,'Mar16-Aug16 Billed-RETAIL'!BI$5))*1000</f>
        <v>0</v>
      </c>
      <c r="BJ102" s="43">
        <f>(SUMIFS('Fin Forecast'!$G$4:$G$545,'Fin Forecast'!$B$4:$B$545,'Mar16-Aug16 Billed-RETAIL'!$E102,'Fin Forecast'!$C$4:$C$545,'Mar16-Aug16 Billed-RETAIL'!BJ$5))*1000</f>
        <v>628350.36644901289</v>
      </c>
      <c r="BL102" s="51">
        <f t="shared" si="188"/>
        <v>9.640110656619072E-4</v>
      </c>
      <c r="BN102" s="58">
        <f t="shared" si="189"/>
        <v>0</v>
      </c>
      <c r="BO102" s="58">
        <f t="shared" si="190"/>
        <v>-5.8721285313367844E-5</v>
      </c>
      <c r="BP102" s="58">
        <f t="shared" si="191"/>
        <v>0</v>
      </c>
    </row>
    <row r="103" spans="1:68" ht="15" x14ac:dyDescent="0.25">
      <c r="C103" s="14">
        <f t="shared" si="197"/>
        <v>83</v>
      </c>
      <c r="D103" s="604">
        <f t="shared" si="198"/>
        <v>42675</v>
      </c>
      <c r="E103" s="604" t="str">
        <f>+'Retail Rates'!$B$16</f>
        <v>LGUMG861</v>
      </c>
      <c r="F103" s="14" t="str">
        <f t="shared" si="192"/>
        <v>861</v>
      </c>
      <c r="G103" s="14" t="str">
        <f>VLOOKUP(E103,'Retail Rates'!$B$7:$D$34,3,FALSE)</f>
        <v>CGS</v>
      </c>
      <c r="H103" s="546"/>
      <c r="I103" s="546"/>
      <c r="J103" s="546"/>
      <c r="K103" s="545"/>
      <c r="L103" s="545"/>
      <c r="N103" s="34">
        <f>VLOOKUP($E103,'Retail Rates'!$B$7:$L$34,5,FALSE)</f>
        <v>40</v>
      </c>
      <c r="O103" s="34">
        <f>VLOOKUP($E103,'Retail Rates'!$B$7:$L$34,6,FALSE)</f>
        <v>180</v>
      </c>
      <c r="P103" s="35">
        <f>VLOOKUP($E103,'Retail Rates'!$B$7:$L$34,7,FALSE)</f>
        <v>0.21504000000000001</v>
      </c>
      <c r="Q103" s="35">
        <f>VLOOKUP($E103,'Retail Rates'!$B$7:$L$34,8,FALSE)</f>
        <v>0.16504000000000002</v>
      </c>
      <c r="R103" s="35" t="e">
        <f>VLOOKUP($D103,'GSC-DSM-GLT Factors'!$A$1:$B$60,2,FALSE)</f>
        <v>#N/A</v>
      </c>
      <c r="S103" s="34">
        <f>VLOOKUP($E103,'Retail Rates'!$B$7:$L$34,9,FALSE)</f>
        <v>0</v>
      </c>
      <c r="T103" s="35">
        <f>VLOOKUP($E103,'Retail Rates'!$B$7:$L$34,10,FALSE)</f>
        <v>0</v>
      </c>
      <c r="U103" s="34">
        <f>VLOOKUP($E103,'Retail Rates'!$B$7:$L$34,11,FALSE)</f>
        <v>0</v>
      </c>
      <c r="V103" s="556" t="e">
        <f>VLOOKUP($D103,'GSC-DSM-GLT Factors'!$A$1:$O$60,12,FALSE)</f>
        <v>#N/A</v>
      </c>
      <c r="W103" s="36">
        <f t="shared" si="177"/>
        <v>0</v>
      </c>
      <c r="X103" s="36"/>
      <c r="Y103" s="36">
        <f>+J103*O103</f>
        <v>0</v>
      </c>
      <c r="Z103" s="36">
        <f t="shared" si="178"/>
        <v>0</v>
      </c>
      <c r="AA103" s="36">
        <f t="shared" si="179"/>
        <v>0</v>
      </c>
      <c r="AB103" s="36" t="e">
        <f t="shared" si="180"/>
        <v>#N/A</v>
      </c>
      <c r="AC103" s="36"/>
      <c r="AD103" s="36"/>
      <c r="AE103" s="36">
        <f t="shared" si="193"/>
        <v>0</v>
      </c>
      <c r="AF103" s="36" t="e">
        <f t="shared" si="181"/>
        <v>#N/A</v>
      </c>
      <c r="AG103" s="57">
        <f>SUMIFS(Adjustments!H$5:H$557,Adjustments!$B$5:$B$557,'Mar16-Aug16 Billed-RETAIL'!$D103,Adjustments!$C$5:$C$557,'Mar16-Aug16 Billed-RETAIL'!$E103)</f>
        <v>0</v>
      </c>
      <c r="AH103" s="57">
        <f>SUMIFS(Adjustments!I$5:I$557,Adjustments!$B$5:$B$557,'Mar16-Aug16 Billed-RETAIL'!$D103,Adjustments!$C$5:$C$557,'Mar16-Aug16 Billed-RETAIL'!$E103)</f>
        <v>0</v>
      </c>
      <c r="AI103" s="48">
        <f>SUMIFS(Adjustments!J$5:J$557,Adjustments!$B$5:$B$557,'Mar16-Aug16 Billed-RETAIL'!$D103,Adjustments!$C$5:$C$557,'Mar16-Aug16 Billed-RETAIL'!$E103)</f>
        <v>0</v>
      </c>
      <c r="AJ103" s="48">
        <f>SUMIFS(Adjustments!K$5:K$557,Adjustments!$B$5:$B$557,'Mar16-Aug16 Billed-RETAIL'!$D103,Adjustments!$C$5:$C$557,'Mar16-Aug16 Billed-RETAIL'!$E103)</f>
        <v>0</v>
      </c>
      <c r="AK103" s="48">
        <f>SUMIFS(Adjustments!L$5:L$557,Adjustments!$B$5:$B$557,'Mar16-Aug16 Billed-RETAIL'!$D103,Adjustments!$C$5:$C$557,'Mar16-Aug16 Billed-RETAIL'!$E103)</f>
        <v>0</v>
      </c>
      <c r="AL103" s="48">
        <f>SUMIFS(Adjustments!M$5:M$557,Adjustments!$B$5:$B$557,'Mar16-Aug16 Billed-RETAIL'!$D103,Adjustments!$C$5:$C$557,'Mar16-Aug16 Billed-RETAIL'!$E103)</f>
        <v>0</v>
      </c>
      <c r="AM103" s="48">
        <f>SUMIFS(Adjustments!N$5:N$557,Adjustments!$B$5:$B$557,'Mar16-Aug16 Billed-RETAIL'!$D103,Adjustments!$C$5:$C$557,'Mar16-Aug16 Billed-RETAIL'!$E103)</f>
        <v>0</v>
      </c>
      <c r="AN103" s="48">
        <f>SUMIFS(Adjustments!O$5:O$557,Adjustments!$B$5:$B$557,'Mar16-Aug16 Billed-RETAIL'!$D103,Adjustments!$C$5:$C$557,'Mar16-Aug16 Billed-RETAIL'!$E103)</f>
        <v>0</v>
      </c>
      <c r="AO103" s="48">
        <f>SUMIFS(Adjustments!P$5:P$557,Adjustments!$B$5:$B$557,'Mar16-Aug16 Billed-RETAIL'!$D103,Adjustments!$C$5:$C$557,'Mar16-Aug16 Billed-RETAIL'!$E103)</f>
        <v>0</v>
      </c>
      <c r="AP103" s="36">
        <f t="shared" si="182"/>
        <v>0</v>
      </c>
      <c r="AQ103" s="36">
        <f t="shared" si="183"/>
        <v>0</v>
      </c>
      <c r="AR103" s="36">
        <f t="shared" si="184"/>
        <v>0</v>
      </c>
      <c r="AS103" s="36">
        <f t="shared" si="185"/>
        <v>0</v>
      </c>
      <c r="AT103" s="43">
        <f t="shared" si="194"/>
        <v>0</v>
      </c>
      <c r="AU103" s="43">
        <f t="shared" si="195"/>
        <v>0</v>
      </c>
      <c r="AV103" s="43"/>
      <c r="AW103" s="43">
        <f t="shared" si="196"/>
        <v>0</v>
      </c>
      <c r="AX103" s="36">
        <f t="shared" si="186"/>
        <v>0</v>
      </c>
      <c r="AY103" s="36"/>
      <c r="AZ103" s="43">
        <f t="shared" si="199"/>
        <v>0</v>
      </c>
      <c r="BA103" s="43">
        <f>SUM(BC103:BJ103)-BF103</f>
        <v>0</v>
      </c>
      <c r="BB103" s="44">
        <f t="shared" si="187"/>
        <v>0</v>
      </c>
      <c r="BC103" s="43">
        <f>(SUMIFS('Fin Forecast'!$G$4:$G$545,'Fin Forecast'!$B$4:$B$545,'Mar16-Aug16 Billed-RETAIL'!$E103,'Fin Forecast'!$C$4:$C$545,'Mar16-Aug16 Billed-RETAIL'!BC$5))*1000</f>
        <v>0</v>
      </c>
      <c r="BD103" s="43">
        <f>(SUMIFS('Fin Forecast'!$G$4:$G$545,'Fin Forecast'!$B$4:$B$545,'Mar16-Aug16 Billed-RETAIL'!$E103,'Fin Forecast'!$C$4:$C$545,'Mar16-Aug16 Billed-RETAIL'!BD$5))*1000</f>
        <v>0</v>
      </c>
      <c r="BE103" s="43">
        <v>0</v>
      </c>
      <c r="BF103" s="43">
        <v>0</v>
      </c>
      <c r="BG103" s="43">
        <f>(SUMIFS('Fin Forecast'!$G$4:$G$545,'Fin Forecast'!$B$4:$B$545,'Mar16-Aug16 Billed-RETAIL'!$E103,'Fin Forecast'!$C$4:$C$545,'Mar16-Aug16 Billed-RETAIL'!BG$5))*1000</f>
        <v>0</v>
      </c>
      <c r="BH103" s="43">
        <f>(SUMIFS('Fin Forecast'!$G$4:$G$545,'Fin Forecast'!$B$4:$B$545,'Mar16-Aug16 Billed-RETAIL'!$E103,'Fin Forecast'!$C$4:$C$545,'Mar16-Aug16 Billed-RETAIL'!BH$5))*1000</f>
        <v>0</v>
      </c>
      <c r="BI103" s="43">
        <f>(SUMIFS('Fin Forecast'!$G$4:$G$545,'Fin Forecast'!$B$4:$B$545,'Mar16-Aug16 Billed-RETAIL'!$E103,'Fin Forecast'!$C$4:$C$545,'Mar16-Aug16 Billed-RETAIL'!BI$5))*1000</f>
        <v>0</v>
      </c>
      <c r="BJ103" s="43">
        <f>(SUMIFS('Fin Forecast'!$G$4:$G$545,'Fin Forecast'!$B$4:$B$545,'Mar16-Aug16 Billed-RETAIL'!$E103,'Fin Forecast'!$C$4:$C$545,'Mar16-Aug16 Billed-RETAIL'!BJ$5))*1000</f>
        <v>0</v>
      </c>
      <c r="BL103" s="51">
        <f t="shared" si="188"/>
        <v>0</v>
      </c>
      <c r="BN103" s="58">
        <f t="shared" si="189"/>
        <v>0</v>
      </c>
      <c r="BO103" s="58">
        <f t="shared" si="190"/>
        <v>0</v>
      </c>
      <c r="BP103" s="58">
        <f t="shared" si="191"/>
        <v>0</v>
      </c>
    </row>
    <row r="104" spans="1:68" ht="15" x14ac:dyDescent="0.25">
      <c r="A104" s="548" t="s">
        <v>799</v>
      </c>
      <c r="B104" s="548" t="s">
        <v>800</v>
      </c>
      <c r="C104" s="14">
        <f t="shared" si="197"/>
        <v>84</v>
      </c>
      <c r="D104" s="604">
        <f t="shared" si="198"/>
        <v>42675</v>
      </c>
      <c r="E104" s="604" t="str">
        <f>+'Retail Rates'!$B$20</f>
        <v>LGCMG875</v>
      </c>
      <c r="F104" s="14" t="str">
        <f t="shared" si="192"/>
        <v>875</v>
      </c>
      <c r="G104" s="14" t="str">
        <f>VLOOKUP(E104,'Retail Rates'!$B$7:$D$34,3,FALSE)</f>
        <v>DGGS-C</v>
      </c>
      <c r="H104" s="546">
        <v>1</v>
      </c>
      <c r="I104" s="546"/>
      <c r="J104" s="546"/>
      <c r="K104" s="546">
        <v>6</v>
      </c>
      <c r="L104" s="546"/>
      <c r="M104" s="21">
        <v>483</v>
      </c>
      <c r="N104" s="34">
        <f>VLOOKUP($E104,'Retail Rates'!$B$7:$L$34,5,FALSE)</f>
        <v>40</v>
      </c>
      <c r="O104" s="34">
        <f>VLOOKUP($E104,'Retail Rates'!$B$7:$L$34,6,FALSE)</f>
        <v>180</v>
      </c>
      <c r="P104" s="35">
        <f>VLOOKUP($E104,'Retail Rates'!$B$7:$L$34,7,FALSE)</f>
        <v>3.329E-2</v>
      </c>
      <c r="Q104" s="35">
        <f>VLOOKUP($E104,'Retail Rates'!$B$7:$L$34,8,FALSE)</f>
        <v>0</v>
      </c>
      <c r="R104" s="35" t="e">
        <f>VLOOKUP($D104,'GSC-DSM-GLT Factors'!$A$1:$B$60,2,FALSE)</f>
        <v>#N/A</v>
      </c>
      <c r="S104" s="34">
        <f>VLOOKUP($E104,'Retail Rates'!$B$7:$L$34,9,FALSE)</f>
        <v>0</v>
      </c>
      <c r="T104" s="35">
        <f>VLOOKUP($E104,'Retail Rates'!$B$7:$L$34,10,FALSE)</f>
        <v>0</v>
      </c>
      <c r="U104" s="699">
        <f>VLOOKUP($E104,'Retail Rates'!$B$7:$L$34,11,FALSE)</f>
        <v>1.1263000000000001</v>
      </c>
      <c r="V104" s="556" t="e">
        <f>VLOOKUP($D104,'GSC-DSM-GLT Factors'!$A$1:$O$60,15,FALSE)</f>
        <v>#N/A</v>
      </c>
      <c r="W104" s="36">
        <f t="shared" si="177"/>
        <v>40</v>
      </c>
      <c r="X104" s="36"/>
      <c r="Y104" s="36"/>
      <c r="Z104" s="36">
        <f t="shared" si="178"/>
        <v>0.19974</v>
      </c>
      <c r="AA104" s="36">
        <f t="shared" si="179"/>
        <v>0</v>
      </c>
      <c r="AB104" s="36" t="e">
        <f t="shared" si="180"/>
        <v>#N/A</v>
      </c>
      <c r="AC104" s="36"/>
      <c r="AD104" s="36"/>
      <c r="AE104" s="36">
        <f t="shared" si="193"/>
        <v>544.00290000000007</v>
      </c>
      <c r="AF104" s="36" t="e">
        <f t="shared" si="181"/>
        <v>#N/A</v>
      </c>
      <c r="AG104" s="57">
        <f>SUMIFS(Adjustments!H$5:H$557,Adjustments!$B$5:$B$557,'Mar16-Aug16 Billed-RETAIL'!$D104,Adjustments!$C$5:$C$557,'Mar16-Aug16 Billed-RETAIL'!$E104)</f>
        <v>0</v>
      </c>
      <c r="AH104" s="57">
        <f>SUMIFS(Adjustments!I$5:I$557,Adjustments!$B$5:$B$557,'Mar16-Aug16 Billed-RETAIL'!$D104,Adjustments!$C$5:$C$557,'Mar16-Aug16 Billed-RETAIL'!$E104)</f>
        <v>0</v>
      </c>
      <c r="AI104" s="48">
        <f>SUMIFS(Adjustments!J$5:J$557,Adjustments!$B$5:$B$557,'Mar16-Aug16 Billed-RETAIL'!$D104,Adjustments!$C$5:$C$557,'Mar16-Aug16 Billed-RETAIL'!$E104)</f>
        <v>0</v>
      </c>
      <c r="AJ104" s="48">
        <f>SUMIFS(Adjustments!K$5:K$557,Adjustments!$B$5:$B$557,'Mar16-Aug16 Billed-RETAIL'!$D104,Adjustments!$C$5:$C$557,'Mar16-Aug16 Billed-RETAIL'!$E104)</f>
        <v>0</v>
      </c>
      <c r="AK104" s="48">
        <f>SUMIFS(Adjustments!L$5:L$557,Adjustments!$B$5:$B$557,'Mar16-Aug16 Billed-RETAIL'!$D104,Adjustments!$C$5:$C$557,'Mar16-Aug16 Billed-RETAIL'!$E104)</f>
        <v>0</v>
      </c>
      <c r="AL104" s="48">
        <f>SUMIFS(Adjustments!M$5:M$557,Adjustments!$B$5:$B$557,'Mar16-Aug16 Billed-RETAIL'!$D104,Adjustments!$C$5:$C$557,'Mar16-Aug16 Billed-RETAIL'!$E104)</f>
        <v>0</v>
      </c>
      <c r="AM104" s="48">
        <f>SUMIFS(Adjustments!N$5:N$557,Adjustments!$B$5:$B$557,'Mar16-Aug16 Billed-RETAIL'!$D104,Adjustments!$C$5:$C$557,'Mar16-Aug16 Billed-RETAIL'!$E104)</f>
        <v>0</v>
      </c>
      <c r="AN104" s="48">
        <f>SUMIFS(Adjustments!O$5:O$557,Adjustments!$B$5:$B$557,'Mar16-Aug16 Billed-RETAIL'!$D104,Adjustments!$C$5:$C$557,'Mar16-Aug16 Billed-RETAIL'!$E104)</f>
        <v>0</v>
      </c>
      <c r="AO104" s="48">
        <f>SUMIFS(Adjustments!P$5:P$557,Adjustments!$B$5:$B$557,'Mar16-Aug16 Billed-RETAIL'!$D104,Adjustments!$C$5:$C$557,'Mar16-Aug16 Billed-RETAIL'!$E104)</f>
        <v>0</v>
      </c>
      <c r="AP104" s="36">
        <f t="shared" si="182"/>
        <v>40</v>
      </c>
      <c r="AQ104" s="36">
        <f t="shared" si="183"/>
        <v>0</v>
      </c>
      <c r="AR104" s="36">
        <f t="shared" si="184"/>
        <v>0.19974</v>
      </c>
      <c r="AS104" s="36">
        <f t="shared" si="185"/>
        <v>0</v>
      </c>
      <c r="AT104" s="43">
        <f t="shared" si="194"/>
        <v>2.7690822318181603</v>
      </c>
      <c r="AU104" s="43">
        <f t="shared" si="195"/>
        <v>5.6414638809906603E-2</v>
      </c>
      <c r="AV104" s="43"/>
      <c r="AW104" s="43">
        <f t="shared" si="196"/>
        <v>0</v>
      </c>
      <c r="AX104" s="36">
        <f t="shared" si="186"/>
        <v>544.00290000000007</v>
      </c>
      <c r="AY104" s="36"/>
      <c r="AZ104" s="43">
        <f t="shared" si="199"/>
        <v>587.03</v>
      </c>
      <c r="BA104" s="43">
        <f>ROUND(SUM(BC104:BJ104)-BF104,2)</f>
        <v>587.03</v>
      </c>
      <c r="BB104" s="44">
        <f t="shared" si="187"/>
        <v>1</v>
      </c>
      <c r="BC104" s="43">
        <f>(SUMIFS('Fin Forecast'!$G$4:$G$545,'Fin Forecast'!$B$4:$B$545,'Mar16-Aug16 Billed-RETAIL'!$E104,'Fin Forecast'!$C$4:$C$545,'Mar16-Aug16 Billed-RETAIL'!BC$5))*1000</f>
        <v>5.6414638809906603E-2</v>
      </c>
      <c r="BD104" s="43">
        <f>(SUMIFS('Fin Forecast'!$G$4:$G$545,'Fin Forecast'!$B$4:$B$545,'Mar16-Aug16 Billed-RETAIL'!$E104,'Fin Forecast'!$C$4:$C$545,'Mar16-Aug16 Billed-RETAIL'!BD$5))*1000</f>
        <v>2.7690822318181603</v>
      </c>
      <c r="BE104" s="43">
        <v>0</v>
      </c>
      <c r="BF104" s="43">
        <v>0</v>
      </c>
      <c r="BG104" s="43">
        <f>(SUMIFS('Fin Forecast'!$G$4:$G$545,'Fin Forecast'!$B$4:$B$545,'Mar16-Aug16 Billed-RETAIL'!$E104,'Fin Forecast'!$C$4:$C$545,'Mar16-Aug16 Billed-RETAIL'!BG$5))*1000</f>
        <v>40</v>
      </c>
      <c r="BH104" s="43">
        <f>(SUMIFS('Fin Forecast'!$G$4:$G$545,'Fin Forecast'!$B$4:$B$545,'Mar16-Aug16 Billed-RETAIL'!$E104,'Fin Forecast'!$C$4:$C$545,'Mar16-Aug16 Billed-RETAIL'!BH$5))*1000</f>
        <v>0.199739999999999</v>
      </c>
      <c r="BI104" s="43">
        <f>(SUMIFS('Fin Forecast'!$G$4:$G$545,'Fin Forecast'!$B$4:$B$545,'Mar16-Aug16 Billed-RETAIL'!$E104,'Fin Forecast'!$C$4:$C$545,'Mar16-Aug16 Billed-RETAIL'!BI$5))*1000</f>
        <v>544.00289999999995</v>
      </c>
      <c r="BJ104" s="43">
        <f>(SUMIFS('Fin Forecast'!$G$4:$G$545,'Fin Forecast'!$B$4:$B$545,'Mar16-Aug16 Billed-RETAIL'!$E104,'Fin Forecast'!$C$4:$C$545,'Mar16-Aug16 Billed-RETAIL'!BJ$5))*1000</f>
        <v>0</v>
      </c>
      <c r="BL104" s="51">
        <f t="shared" si="188"/>
        <v>0</v>
      </c>
      <c r="BN104" s="58">
        <f t="shared" si="189"/>
        <v>0</v>
      </c>
      <c r="BO104" s="58">
        <f t="shared" si="190"/>
        <v>9.9920072216264089E-16</v>
      </c>
      <c r="BP104" s="58">
        <f t="shared" si="191"/>
        <v>0</v>
      </c>
    </row>
    <row r="105" spans="1:68" ht="15" x14ac:dyDescent="0.25">
      <c r="A105" s="21" t="s">
        <v>801</v>
      </c>
      <c r="B105" s="21" t="s">
        <v>802</v>
      </c>
      <c r="C105" s="14">
        <f t="shared" si="197"/>
        <v>85</v>
      </c>
      <c r="D105" s="604">
        <f t="shared" si="198"/>
        <v>42675</v>
      </c>
      <c r="E105" s="604" t="str">
        <f>+'Retail Rates'!$B$26</f>
        <v>LGING855</v>
      </c>
      <c r="F105" s="14" t="str">
        <f t="shared" si="192"/>
        <v>855</v>
      </c>
      <c r="G105" s="14" t="s">
        <v>118</v>
      </c>
      <c r="H105" s="546"/>
      <c r="I105" s="546">
        <f>SUMIFS('Forecasted Customer Cts'!$P$5:$P$36,'Forecasted Customer Cts'!$D$5:$D$36,'Mar16-Aug16 Billed-RETAIL'!$E105,'Forecasted Customer Cts'!$C$5:$C$36,'Mar16-Aug16 Billed-RETAIL'!$A$78)</f>
        <v>143</v>
      </c>
      <c r="J105" s="546">
        <f>SUMIFS('Forecasted Customer Cts'!$P$5:$P$36,'Forecasted Customer Cts'!$D$5:$D$36,'Mar16-Aug16 Billed-RETAIL'!$E105,'Forecasted Customer Cts'!$C$5:$C$36,'Mar16-Aug16 Billed-RETAIL'!$B$78)</f>
        <v>112</v>
      </c>
      <c r="K105" s="546">
        <f>SUMIF('Forecasted Calendar Month Usage'!$D$5:$D$41,'Mar16-Aug16 Billed-RETAIL'!$E105,'Forecasted Calendar Month Usage'!$P$5:$P$41)*10</f>
        <v>1490905.6876971852</v>
      </c>
      <c r="L105" s="546"/>
      <c r="N105" s="34">
        <f>VLOOKUP($E105,'Retail Rates'!$B$7:$L$34,5,FALSE)</f>
        <v>40</v>
      </c>
      <c r="O105" s="34">
        <f>VLOOKUP($E105,'Retail Rates'!$B$7:$L$34,6,FALSE)</f>
        <v>180</v>
      </c>
      <c r="P105" s="35">
        <f>VLOOKUP($E105,'Retail Rates'!$B$7:$L$34,7,FALSE)</f>
        <v>0.22778999999999999</v>
      </c>
      <c r="Q105" s="35">
        <f>VLOOKUP($E105,'Retail Rates'!$B$7:$L$34,8,FALSE)</f>
        <v>0.17779</v>
      </c>
      <c r="R105" s="35" t="e">
        <f>VLOOKUP($D105,'GSC-DSM-GLT Factors'!$A$1:$B$60,2,FALSE)</f>
        <v>#N/A</v>
      </c>
      <c r="S105" s="34">
        <f>VLOOKUP($E105,'Retail Rates'!$B$7:$L$34,9,FALSE)</f>
        <v>0</v>
      </c>
      <c r="T105" s="35">
        <f>VLOOKUP($E105,'Retail Rates'!$B$7:$L$34,10,FALSE)</f>
        <v>0</v>
      </c>
      <c r="U105" s="34">
        <f>VLOOKUP($E105,'Retail Rates'!$B$7:$L$34,11,FALSE)</f>
        <v>0</v>
      </c>
      <c r="V105" s="556" t="e">
        <f>VLOOKUP($D105,'GSC-DSM-GLT Factors'!$A$1:$O$60,13,FALSE)</f>
        <v>#N/A</v>
      </c>
      <c r="W105" s="36">
        <f t="shared" si="177"/>
        <v>5720</v>
      </c>
      <c r="X105" s="36"/>
      <c r="Y105" s="36">
        <f>+J105*O105</f>
        <v>20160</v>
      </c>
      <c r="Z105" s="36">
        <f t="shared" si="178"/>
        <v>339613.40660054178</v>
      </c>
      <c r="AA105" s="36">
        <f t="shared" si="179"/>
        <v>0</v>
      </c>
      <c r="AB105" s="36" t="e">
        <f t="shared" si="180"/>
        <v>#N/A</v>
      </c>
      <c r="AC105" s="36"/>
      <c r="AD105" s="36"/>
      <c r="AE105" s="36">
        <f t="shared" si="193"/>
        <v>0</v>
      </c>
      <c r="AF105" s="36" t="e">
        <f>(+I105*V105)+(J105*V105)</f>
        <v>#N/A</v>
      </c>
      <c r="AG105" s="57">
        <f>SUMIFS(Adjustments!H$5:H$557,Adjustments!$B$5:$B$557,'Mar16-Aug16 Billed-RETAIL'!$D105,Adjustments!$C$5:$C$557,'Mar16-Aug16 Billed-RETAIL'!$E105)</f>
        <v>0</v>
      </c>
      <c r="AH105" s="57">
        <f>SUMIFS(Adjustments!I$5:I$557,Adjustments!$B$5:$B$557,'Mar16-Aug16 Billed-RETAIL'!$D105,Adjustments!$C$5:$C$557,'Mar16-Aug16 Billed-RETAIL'!$E105)</f>
        <v>0</v>
      </c>
      <c r="AI105" s="48">
        <f>SUMIFS(Adjustments!J$5:J$557,Adjustments!$B$5:$B$557,'Mar16-Aug16 Billed-RETAIL'!$D105,Adjustments!$C$5:$C$557,'Mar16-Aug16 Billed-RETAIL'!$E105)</f>
        <v>0</v>
      </c>
      <c r="AJ105" s="48">
        <f>SUMIFS(Adjustments!K$5:K$557,Adjustments!$B$5:$B$557,'Mar16-Aug16 Billed-RETAIL'!$D105,Adjustments!$C$5:$C$557,'Mar16-Aug16 Billed-RETAIL'!$E105)</f>
        <v>0</v>
      </c>
      <c r="AK105" s="48">
        <f>SUMIFS(Adjustments!L$5:L$557,Adjustments!$B$5:$B$557,'Mar16-Aug16 Billed-RETAIL'!$D105,Adjustments!$C$5:$C$557,'Mar16-Aug16 Billed-RETAIL'!$E105)</f>
        <v>0</v>
      </c>
      <c r="AL105" s="48">
        <f>SUMIFS(Adjustments!M$5:M$557,Adjustments!$B$5:$B$557,'Mar16-Aug16 Billed-RETAIL'!$D105,Adjustments!$C$5:$C$557,'Mar16-Aug16 Billed-RETAIL'!$E105)</f>
        <v>0</v>
      </c>
      <c r="AM105" s="48">
        <f>SUMIFS(Adjustments!N$5:N$557,Adjustments!$B$5:$B$557,'Mar16-Aug16 Billed-RETAIL'!$D105,Adjustments!$C$5:$C$557,'Mar16-Aug16 Billed-RETAIL'!$E105)</f>
        <v>0</v>
      </c>
      <c r="AN105" s="48">
        <f>SUMIFS(Adjustments!O$5:O$557,Adjustments!$B$5:$B$557,'Mar16-Aug16 Billed-RETAIL'!$D105,Adjustments!$C$5:$C$557,'Mar16-Aug16 Billed-RETAIL'!$E105)</f>
        <v>0</v>
      </c>
      <c r="AO105" s="48">
        <f>SUMIFS(Adjustments!P$5:P$557,Adjustments!$B$5:$B$557,'Mar16-Aug16 Billed-RETAIL'!$D105,Adjustments!$C$5:$C$557,'Mar16-Aug16 Billed-RETAIL'!$E105)</f>
        <v>0</v>
      </c>
      <c r="AP105" s="36">
        <f t="shared" si="182"/>
        <v>5720</v>
      </c>
      <c r="AQ105" s="36">
        <f t="shared" si="183"/>
        <v>20160</v>
      </c>
      <c r="AR105" s="36">
        <f t="shared" si="184"/>
        <v>339613.40660054178</v>
      </c>
      <c r="AS105" s="36">
        <f t="shared" si="185"/>
        <v>0</v>
      </c>
      <c r="AT105" s="43">
        <f t="shared" si="194"/>
        <v>688073.40818317048</v>
      </c>
      <c r="AU105" s="43">
        <f t="shared" si="195"/>
        <v>0</v>
      </c>
      <c r="AV105" s="43"/>
      <c r="AW105" s="43">
        <f t="shared" si="196"/>
        <v>56789.594010427631</v>
      </c>
      <c r="AX105" s="36">
        <f t="shared" si="186"/>
        <v>0</v>
      </c>
      <c r="AY105" s="36"/>
      <c r="AZ105" s="43">
        <f t="shared" si="199"/>
        <v>1110356.4099999999</v>
      </c>
      <c r="BA105" s="43">
        <f>SUM(BC105:BJ105)-BF105</f>
        <v>1110356.4087925025</v>
      </c>
      <c r="BB105" s="44">
        <f t="shared" si="187"/>
        <v>1</v>
      </c>
      <c r="BC105" s="43">
        <f>(SUMIFS('Fin Forecast'!$G$4:$G$545,'Fin Forecast'!$B$4:$B$545,'Mar16-Aug16 Billed-RETAIL'!$E105,'Fin Forecast'!$C$4:$C$545,'Mar16-Aug16 Billed-RETAIL'!BC$5))*1000</f>
        <v>0</v>
      </c>
      <c r="BD105" s="43">
        <f>(SUMIFS('Fin Forecast'!$G$4:$G$545,'Fin Forecast'!$B$4:$B$545,'Mar16-Aug16 Billed-RETAIL'!$E105,'Fin Forecast'!$C$4:$C$545,'Mar16-Aug16 Billed-RETAIL'!BD$5))*1000</f>
        <v>688073.40818317048</v>
      </c>
      <c r="BE105" s="43">
        <v>0</v>
      </c>
      <c r="BF105" s="43">
        <v>0</v>
      </c>
      <c r="BG105" s="43">
        <f>(SUMIFS('Fin Forecast'!$G$4:$G$545,'Fin Forecast'!$B$4:$B$545,'Mar16-Aug16 Billed-RETAIL'!$E105,'Fin Forecast'!$C$4:$C$545,'Mar16-Aug16 Billed-RETAIL'!BG$5))*1000</f>
        <v>25880</v>
      </c>
      <c r="BH105" s="43">
        <f>(SUMIFS('Fin Forecast'!$G$4:$G$545,'Fin Forecast'!$B$4:$B$545,'Mar16-Aug16 Billed-RETAIL'!$E105,'Fin Forecast'!$C$4:$C$545,'Mar16-Aug16 Billed-RETAIL'!BH$5))*1000</f>
        <v>339613.40659890434</v>
      </c>
      <c r="BI105" s="43">
        <f>(SUMIFS('Fin Forecast'!$G$4:$G$545,'Fin Forecast'!$B$4:$B$545,'Mar16-Aug16 Billed-RETAIL'!$E105,'Fin Forecast'!$C$4:$C$545,'Mar16-Aug16 Billed-RETAIL'!BI$5))*1000</f>
        <v>0</v>
      </c>
      <c r="BJ105" s="43">
        <f>(SUMIFS('Fin Forecast'!$G$4:$G$545,'Fin Forecast'!$B$4:$B$545,'Mar16-Aug16 Billed-RETAIL'!$E105,'Fin Forecast'!$C$4:$C$545,'Mar16-Aug16 Billed-RETAIL'!BJ$5))*1000</f>
        <v>56789.594010427631</v>
      </c>
      <c r="BL105" s="51">
        <f t="shared" si="188"/>
        <v>1.2074974365532398E-3</v>
      </c>
      <c r="BN105" s="58">
        <f t="shared" si="189"/>
        <v>0</v>
      </c>
      <c r="BO105" s="58">
        <f t="shared" si="190"/>
        <v>1.6374397091567516E-6</v>
      </c>
      <c r="BP105" s="58">
        <f t="shared" si="191"/>
        <v>0</v>
      </c>
    </row>
    <row r="106" spans="1:68" ht="15" x14ac:dyDescent="0.25">
      <c r="C106" s="14">
        <f t="shared" si="197"/>
        <v>86</v>
      </c>
      <c r="D106" s="604">
        <f t="shared" si="198"/>
        <v>42675</v>
      </c>
      <c r="E106" s="604" t="str">
        <f>+'Retail Rates'!$B$27</f>
        <v>LGING855DS</v>
      </c>
      <c r="F106" s="14" t="str">
        <f t="shared" si="192"/>
        <v>855</v>
      </c>
      <c r="G106" s="14" t="str">
        <f>VLOOKUP(E106,'Retail Rates'!$B$7:$D$34,3,FALSE)</f>
        <v>IGS</v>
      </c>
      <c r="H106" s="546"/>
      <c r="I106" s="546"/>
      <c r="J106" s="546"/>
      <c r="K106" s="545"/>
      <c r="L106" s="545"/>
      <c r="N106" s="34">
        <f>VLOOKUP($E106,'Retail Rates'!$B$7:$L$34,5,FALSE)</f>
        <v>40</v>
      </c>
      <c r="O106" s="34">
        <f>VLOOKUP($E106,'Retail Rates'!$B$7:$L$34,6,FALSE)</f>
        <v>180</v>
      </c>
      <c r="P106" s="35">
        <f>VLOOKUP($E106,'Retail Rates'!$B$7:$L$34,7,FALSE)</f>
        <v>0.22778999999999999</v>
      </c>
      <c r="Q106" s="35">
        <f>VLOOKUP($E106,'Retail Rates'!$B$7:$L$34,8,FALSE)</f>
        <v>0.17779</v>
      </c>
      <c r="R106" s="35" t="e">
        <f>VLOOKUP($D106,'GSC-DSM-GLT Factors'!$A$1:$B$60,2,FALSE)</f>
        <v>#N/A</v>
      </c>
      <c r="S106" s="34">
        <f>VLOOKUP($E106,'Retail Rates'!$B$7:$L$34,9,FALSE)</f>
        <v>0</v>
      </c>
      <c r="T106" s="35">
        <f>VLOOKUP($E106,'Retail Rates'!$B$7:$L$34,10,FALSE)</f>
        <v>0</v>
      </c>
      <c r="U106" s="34">
        <f>VLOOKUP($E106,'Retail Rates'!$B$7:$L$34,11,FALSE)</f>
        <v>0</v>
      </c>
      <c r="V106" s="556" t="e">
        <f>VLOOKUP($D106,'GSC-DSM-GLT Factors'!$A$1:$O$60,13,FALSE)</f>
        <v>#N/A</v>
      </c>
      <c r="W106" s="36">
        <f t="shared" si="177"/>
        <v>0</v>
      </c>
      <c r="X106" s="36"/>
      <c r="Y106" s="36">
        <f>+J106*O106</f>
        <v>0</v>
      </c>
      <c r="Z106" s="36">
        <f t="shared" si="178"/>
        <v>0</v>
      </c>
      <c r="AA106" s="36">
        <f t="shared" si="179"/>
        <v>0</v>
      </c>
      <c r="AB106" s="36" t="e">
        <f t="shared" si="180"/>
        <v>#N/A</v>
      </c>
      <c r="AC106" s="36"/>
      <c r="AD106" s="36"/>
      <c r="AE106" s="36">
        <f t="shared" si="193"/>
        <v>0</v>
      </c>
      <c r="AF106" s="36" t="e">
        <f>(+I106*V106)+(J106*V106)</f>
        <v>#N/A</v>
      </c>
      <c r="AG106" s="57">
        <f>SUMIFS(Adjustments!H$5:H$557,Adjustments!$B$5:$B$557,'Mar16-Aug16 Billed-RETAIL'!$D106,Adjustments!$C$5:$C$557,'Mar16-Aug16 Billed-RETAIL'!$E106)</f>
        <v>0</v>
      </c>
      <c r="AH106" s="57">
        <f>SUMIFS(Adjustments!I$5:I$557,Adjustments!$B$5:$B$557,'Mar16-Aug16 Billed-RETAIL'!$D106,Adjustments!$C$5:$C$557,'Mar16-Aug16 Billed-RETAIL'!$E106)</f>
        <v>0</v>
      </c>
      <c r="AI106" s="48">
        <f>SUMIFS(Adjustments!J$5:J$557,Adjustments!$B$5:$B$557,'Mar16-Aug16 Billed-RETAIL'!$D106,Adjustments!$C$5:$C$557,'Mar16-Aug16 Billed-RETAIL'!$E106)</f>
        <v>0</v>
      </c>
      <c r="AJ106" s="48">
        <f>SUMIFS(Adjustments!K$5:K$557,Adjustments!$B$5:$B$557,'Mar16-Aug16 Billed-RETAIL'!$D106,Adjustments!$C$5:$C$557,'Mar16-Aug16 Billed-RETAIL'!$E106)</f>
        <v>0</v>
      </c>
      <c r="AK106" s="48">
        <f>SUMIFS(Adjustments!L$5:L$557,Adjustments!$B$5:$B$557,'Mar16-Aug16 Billed-RETAIL'!$D106,Adjustments!$C$5:$C$557,'Mar16-Aug16 Billed-RETAIL'!$E106)</f>
        <v>0</v>
      </c>
      <c r="AL106" s="48">
        <f>SUMIFS(Adjustments!M$5:M$557,Adjustments!$B$5:$B$557,'Mar16-Aug16 Billed-RETAIL'!$D106,Adjustments!$C$5:$C$557,'Mar16-Aug16 Billed-RETAIL'!$E106)</f>
        <v>0</v>
      </c>
      <c r="AM106" s="48">
        <f>SUMIFS(Adjustments!N$5:N$557,Adjustments!$B$5:$B$557,'Mar16-Aug16 Billed-RETAIL'!$D106,Adjustments!$C$5:$C$557,'Mar16-Aug16 Billed-RETAIL'!$E106)</f>
        <v>0</v>
      </c>
      <c r="AN106" s="48">
        <f>SUMIFS(Adjustments!O$5:O$557,Adjustments!$B$5:$B$557,'Mar16-Aug16 Billed-RETAIL'!$D106,Adjustments!$C$5:$C$557,'Mar16-Aug16 Billed-RETAIL'!$E106)</f>
        <v>0</v>
      </c>
      <c r="AO106" s="48">
        <f>SUMIFS(Adjustments!P$5:P$557,Adjustments!$B$5:$B$557,'Mar16-Aug16 Billed-RETAIL'!$D106,Adjustments!$C$5:$C$557,'Mar16-Aug16 Billed-RETAIL'!$E106)</f>
        <v>0</v>
      </c>
      <c r="AP106" s="36">
        <f>+W106+AI106+(AG106*N106)</f>
        <v>0</v>
      </c>
      <c r="AQ106" s="36">
        <f t="shared" si="183"/>
        <v>0</v>
      </c>
      <c r="AR106" s="36">
        <f t="shared" si="184"/>
        <v>0</v>
      </c>
      <c r="AS106" s="36">
        <f t="shared" si="185"/>
        <v>0</v>
      </c>
      <c r="AT106" s="43">
        <f t="shared" si="194"/>
        <v>0</v>
      </c>
      <c r="AU106" s="43">
        <f t="shared" si="195"/>
        <v>0</v>
      </c>
      <c r="AV106" s="43"/>
      <c r="AW106" s="43">
        <f t="shared" si="196"/>
        <v>0</v>
      </c>
      <c r="AX106" s="36">
        <f t="shared" si="186"/>
        <v>0</v>
      </c>
      <c r="AY106" s="36"/>
      <c r="AZ106" s="43">
        <f t="shared" si="199"/>
        <v>0</v>
      </c>
      <c r="BA106" s="43">
        <f>SUM(BC106:BJ106)-BF106</f>
        <v>0</v>
      </c>
      <c r="BB106" s="44">
        <f t="shared" si="187"/>
        <v>0</v>
      </c>
      <c r="BC106" s="43">
        <f>(SUMIFS('Fin Forecast'!$G$4:$G$545,'Fin Forecast'!$B$4:$B$545,'Mar16-Aug16 Billed-RETAIL'!$E106,'Fin Forecast'!$C$4:$C$545,'Mar16-Aug16 Billed-RETAIL'!BC$5))*1000</f>
        <v>0</v>
      </c>
      <c r="BD106" s="43">
        <f>(SUMIFS('Fin Forecast'!$G$4:$G$545,'Fin Forecast'!$B$4:$B$545,'Mar16-Aug16 Billed-RETAIL'!$E106,'Fin Forecast'!$C$4:$C$545,'Mar16-Aug16 Billed-RETAIL'!BD$5))*1000</f>
        <v>0</v>
      </c>
      <c r="BE106" s="43">
        <v>0</v>
      </c>
      <c r="BF106" s="43">
        <v>0</v>
      </c>
      <c r="BG106" s="43">
        <f>(SUMIFS('Fin Forecast'!$G$4:$G$545,'Fin Forecast'!$B$4:$B$545,'Mar16-Aug16 Billed-RETAIL'!$E106,'Fin Forecast'!$C$4:$C$545,'Mar16-Aug16 Billed-RETAIL'!BG$5))*1000</f>
        <v>0</v>
      </c>
      <c r="BH106" s="43">
        <f>(SUMIFS('Fin Forecast'!$G$4:$G$545,'Fin Forecast'!$B$4:$B$545,'Mar16-Aug16 Billed-RETAIL'!$E106,'Fin Forecast'!$C$4:$C$545,'Mar16-Aug16 Billed-RETAIL'!BH$5))*1000</f>
        <v>0</v>
      </c>
      <c r="BI106" s="43">
        <f>(SUMIFS('Fin Forecast'!$G$4:$G$545,'Fin Forecast'!$B$4:$B$545,'Mar16-Aug16 Billed-RETAIL'!$E106,'Fin Forecast'!$C$4:$C$545,'Mar16-Aug16 Billed-RETAIL'!BI$5))*1000</f>
        <v>0</v>
      </c>
      <c r="BJ106" s="43">
        <f>(SUMIFS('Fin Forecast'!$G$4:$G$545,'Fin Forecast'!$B$4:$B$545,'Mar16-Aug16 Billed-RETAIL'!$E106,'Fin Forecast'!$C$4:$C$545,'Mar16-Aug16 Billed-RETAIL'!BJ$5))*1000</f>
        <v>0</v>
      </c>
      <c r="BL106" s="51">
        <f t="shared" si="188"/>
        <v>0</v>
      </c>
      <c r="BN106" s="58">
        <f t="shared" si="189"/>
        <v>0</v>
      </c>
      <c r="BO106" s="58">
        <f t="shared" si="190"/>
        <v>0</v>
      </c>
      <c r="BP106" s="58">
        <f t="shared" si="191"/>
        <v>0</v>
      </c>
    </row>
    <row r="107" spans="1:68" ht="15" x14ac:dyDescent="0.25">
      <c r="C107" s="14">
        <f t="shared" si="197"/>
        <v>87</v>
      </c>
      <c r="D107" s="604">
        <f t="shared" si="198"/>
        <v>42675</v>
      </c>
      <c r="E107" s="604" t="str">
        <f>+'Retail Rates'!$B$31</f>
        <v>LGRSG811</v>
      </c>
      <c r="F107" s="14" t="str">
        <f t="shared" si="192"/>
        <v>811</v>
      </c>
      <c r="G107" s="14" t="str">
        <f>VLOOKUP(E107,'Retail Rates'!$B$7:$D$34,3,FALSE)</f>
        <v>RGS</v>
      </c>
      <c r="H107" s="546">
        <f>SUMIF('Forecasted Customer Cts'!$D$5:$D$36,'Mar16-Aug16 Billed-RETAIL'!$E107,'Forecasted Customer Cts'!$P$5:$P$36)</f>
        <v>295094</v>
      </c>
      <c r="I107" s="546"/>
      <c r="J107" s="546"/>
      <c r="K107" s="546">
        <f>SUMIF('Forecasted Calendar Month Usage'!$D$5:$D$41,'Mar16-Aug16 Billed-RETAIL'!$E107,'Forecasted Calendar Month Usage'!$P$5:$P$41)*10</f>
        <v>18839530.908036351</v>
      </c>
      <c r="L107" s="545"/>
      <c r="N107" s="34">
        <f>VLOOKUP($E107,'Retail Rates'!$B$7:$L$34,5,FALSE)</f>
        <v>13.5</v>
      </c>
      <c r="O107" s="34">
        <f>VLOOKUP($E107,'Retail Rates'!$B$7:$L$34,6,FALSE)</f>
        <v>0</v>
      </c>
      <c r="P107" s="35">
        <f>VLOOKUP($E107,'Retail Rates'!$B$7:$L$34,7,FALSE)</f>
        <v>0.28693000000000002</v>
      </c>
      <c r="Q107" s="35">
        <f>VLOOKUP($E107,'Retail Rates'!$B$7:$L$34,8,FALSE)</f>
        <v>0</v>
      </c>
      <c r="R107" s="35" t="e">
        <f>VLOOKUP($D107,'GSC-DSM-GLT Factors'!$A$1:$B$60,2,FALSE)</f>
        <v>#N/A</v>
      </c>
      <c r="S107" s="34">
        <f>VLOOKUP($E107,'Retail Rates'!$B$7:$L$34,9,FALSE)</f>
        <v>0</v>
      </c>
      <c r="T107" s="35">
        <f>VLOOKUP($E107,'Retail Rates'!$B$7:$L$34,10,FALSE)</f>
        <v>0</v>
      </c>
      <c r="U107" s="34">
        <f>VLOOKUP($E107,'Retail Rates'!$B$7:$L$34,11,FALSE)</f>
        <v>0</v>
      </c>
      <c r="V107" s="556" t="e">
        <f>VLOOKUP($D107,'GSC-DSM-GLT Factors'!$A$1:$O$60,10,FALSE)</f>
        <v>#N/A</v>
      </c>
      <c r="W107" s="36">
        <f t="shared" si="177"/>
        <v>3983769</v>
      </c>
      <c r="X107" s="36"/>
      <c r="Y107" s="36"/>
      <c r="Z107" s="36">
        <f t="shared" si="178"/>
        <v>5405626.603442871</v>
      </c>
      <c r="AA107" s="36">
        <f t="shared" si="179"/>
        <v>0</v>
      </c>
      <c r="AB107" s="36" t="e">
        <f t="shared" si="180"/>
        <v>#N/A</v>
      </c>
      <c r="AC107" s="36"/>
      <c r="AD107" s="36"/>
      <c r="AE107" s="36">
        <f t="shared" si="193"/>
        <v>0</v>
      </c>
      <c r="AF107" s="36" t="e">
        <f>(+H107*V107)+(I107*V107)</f>
        <v>#N/A</v>
      </c>
      <c r="AG107" s="57">
        <f>SUMIFS(Adjustments!H$5:H$557,Adjustments!$B$5:$B$557,'Mar16-Aug16 Billed-RETAIL'!$D107,Adjustments!$C$5:$C$557,'Mar16-Aug16 Billed-RETAIL'!$E107)</f>
        <v>0</v>
      </c>
      <c r="AH107" s="57">
        <f>SUMIFS(Adjustments!I$5:I$557,Adjustments!$B$5:$B$557,'Mar16-Aug16 Billed-RETAIL'!$D107,Adjustments!$C$5:$C$557,'Mar16-Aug16 Billed-RETAIL'!$E107)</f>
        <v>0</v>
      </c>
      <c r="AI107" s="48">
        <f>SUMIFS(Adjustments!J$5:J$557,Adjustments!$B$5:$B$557,'Mar16-Aug16 Billed-RETAIL'!$D107,Adjustments!$C$5:$C$557,'Mar16-Aug16 Billed-RETAIL'!$E107)</f>
        <v>0</v>
      </c>
      <c r="AJ107" s="48">
        <f>SUMIFS(Adjustments!K$5:K$557,Adjustments!$B$5:$B$557,'Mar16-Aug16 Billed-RETAIL'!$D107,Adjustments!$C$5:$C$557,'Mar16-Aug16 Billed-RETAIL'!$E107)</f>
        <v>0</v>
      </c>
      <c r="AK107" s="48">
        <f>SUMIFS(Adjustments!L$5:L$557,Adjustments!$B$5:$B$557,'Mar16-Aug16 Billed-RETAIL'!$D107,Adjustments!$C$5:$C$557,'Mar16-Aug16 Billed-RETAIL'!$E107)</f>
        <v>0</v>
      </c>
      <c r="AL107" s="48">
        <f>SUMIFS(Adjustments!M$5:M$557,Adjustments!$B$5:$B$557,'Mar16-Aug16 Billed-RETAIL'!$D107,Adjustments!$C$5:$C$557,'Mar16-Aug16 Billed-RETAIL'!$E107)</f>
        <v>0</v>
      </c>
      <c r="AM107" s="48">
        <f>SUMIFS(Adjustments!N$5:N$557,Adjustments!$B$5:$B$557,'Mar16-Aug16 Billed-RETAIL'!$D107,Adjustments!$C$5:$C$557,'Mar16-Aug16 Billed-RETAIL'!$E107)</f>
        <v>0</v>
      </c>
      <c r="AN107" s="48">
        <f>SUMIFS(Adjustments!O$5:O$557,Adjustments!$B$5:$B$557,'Mar16-Aug16 Billed-RETAIL'!$D107,Adjustments!$C$5:$C$557,'Mar16-Aug16 Billed-RETAIL'!$E107)</f>
        <v>0</v>
      </c>
      <c r="AO107" s="48">
        <f>SUMIFS(Adjustments!P$5:P$557,Adjustments!$B$5:$B$557,'Mar16-Aug16 Billed-RETAIL'!$D107,Adjustments!$C$5:$C$557,'Mar16-Aug16 Billed-RETAIL'!$E107)</f>
        <v>0</v>
      </c>
      <c r="AP107" s="36">
        <f>+W107+AI107+(AG107*N107)</f>
        <v>3983769</v>
      </c>
      <c r="AQ107" s="36">
        <f t="shared" si="183"/>
        <v>0</v>
      </c>
      <c r="AR107" s="36">
        <f t="shared" si="184"/>
        <v>5405626.603442871</v>
      </c>
      <c r="AS107" s="36">
        <f t="shared" si="185"/>
        <v>0</v>
      </c>
      <c r="AT107" s="43">
        <f t="shared" si="194"/>
        <v>8694701.71550465</v>
      </c>
      <c r="AU107" s="43">
        <f t="shared" si="195"/>
        <v>177137.55525346097</v>
      </c>
      <c r="AV107" s="43"/>
      <c r="AW107" s="43">
        <f t="shared" si="196"/>
        <v>1464864.4738815599</v>
      </c>
      <c r="AX107" s="36">
        <f t="shared" si="186"/>
        <v>0</v>
      </c>
      <c r="AY107" s="36"/>
      <c r="AZ107" s="43">
        <f t="shared" si="199"/>
        <v>19726099.350000001</v>
      </c>
      <c r="BA107" s="43">
        <f>SUM(BC107:BJ107)-BF107</f>
        <v>19726099.348061323</v>
      </c>
      <c r="BB107" s="44">
        <f t="shared" si="187"/>
        <v>1</v>
      </c>
      <c r="BC107" s="43">
        <f>(SUMIFS('Fin Forecast'!$G$4:$G$545,'Fin Forecast'!$B$4:$B$545,'Mar16-Aug16 Billed-RETAIL'!$E107,'Fin Forecast'!$C$4:$C$545,'Mar16-Aug16 Billed-RETAIL'!BC$5))*1000</f>
        <v>177137.55525346097</v>
      </c>
      <c r="BD107" s="43">
        <f>(SUMIFS('Fin Forecast'!$G$4:$G$545,'Fin Forecast'!$B$4:$B$545,'Mar16-Aug16 Billed-RETAIL'!$E107,'Fin Forecast'!$C$4:$C$545,'Mar16-Aug16 Billed-RETAIL'!BD$5))*1000</f>
        <v>8694701.71550465</v>
      </c>
      <c r="BE107" s="43">
        <v>0</v>
      </c>
      <c r="BF107" s="43">
        <v>0</v>
      </c>
      <c r="BG107" s="43">
        <f>(SUMIFS('Fin Forecast'!$G$4:$G$545,'Fin Forecast'!$B$4:$B$545,'Mar16-Aug16 Billed-RETAIL'!$E107,'Fin Forecast'!$C$4:$C$545,'Mar16-Aug16 Billed-RETAIL'!BG$5))*1000</f>
        <v>3983769</v>
      </c>
      <c r="BH107" s="43">
        <f>(SUMIFS('Fin Forecast'!$G$4:$G$545,'Fin Forecast'!$B$4:$B$545,'Mar16-Aug16 Billed-RETAIL'!$E107,'Fin Forecast'!$C$4:$C$545,'Mar16-Aug16 Billed-RETAIL'!BH$5))*1000</f>
        <v>5405626.6034216499</v>
      </c>
      <c r="BI107" s="43">
        <f>(SUMIFS('Fin Forecast'!$G$4:$G$545,'Fin Forecast'!$B$4:$B$545,'Mar16-Aug16 Billed-RETAIL'!$E107,'Fin Forecast'!$C$4:$C$545,'Mar16-Aug16 Billed-RETAIL'!BI$5))*1000</f>
        <v>0</v>
      </c>
      <c r="BJ107" s="43">
        <f>(SUMIFS('Fin Forecast'!$G$4:$G$545,'Fin Forecast'!$B$4:$B$545,'Mar16-Aug16 Billed-RETAIL'!$E107,'Fin Forecast'!$C$4:$C$545,'Mar16-Aug16 Billed-RETAIL'!BJ$5))*1000</f>
        <v>1464864.4738815599</v>
      </c>
      <c r="BL107" s="51">
        <f t="shared" si="188"/>
        <v>1.9386783242225647E-3</v>
      </c>
      <c r="BN107" s="58">
        <f t="shared" si="189"/>
        <v>0</v>
      </c>
      <c r="BO107" s="58">
        <f t="shared" si="190"/>
        <v>2.1221116185188293E-5</v>
      </c>
      <c r="BP107" s="58">
        <f t="shared" si="191"/>
        <v>0</v>
      </c>
    </row>
    <row r="108" spans="1:68" ht="15" x14ac:dyDescent="0.25">
      <c r="C108" s="14">
        <f t="shared" si="197"/>
        <v>88</v>
      </c>
      <c r="D108" s="604">
        <f t="shared" si="198"/>
        <v>42675</v>
      </c>
      <c r="E108" s="604" t="str">
        <f>+'Retail Rates'!$B$19</f>
        <v>LGCMG851LT</v>
      </c>
      <c r="F108" s="14" t="str">
        <f t="shared" si="192"/>
        <v>851</v>
      </c>
      <c r="G108" s="14" t="str">
        <f>VLOOKUP(E108,'Retail Rates'!$B$7:$D$34,3,FALSE)</f>
        <v>CGS</v>
      </c>
      <c r="H108" s="546"/>
      <c r="I108" s="546"/>
      <c r="J108" s="546"/>
      <c r="K108" s="545"/>
      <c r="L108" s="545"/>
      <c r="N108" s="34">
        <f>VLOOKUP($E108,'Retail Rates'!$B$7:$L$34,5,FALSE)</f>
        <v>40</v>
      </c>
      <c r="O108" s="34">
        <f>VLOOKUP($E108,'Retail Rates'!$B$7:$L$34,6,FALSE)</f>
        <v>180</v>
      </c>
      <c r="P108" s="35">
        <f>VLOOKUP($E108,'Retail Rates'!$B$7:$L$34,7,FALSE)</f>
        <v>0.21504000000000001</v>
      </c>
      <c r="Q108" s="35">
        <f>VLOOKUP($E108,'Retail Rates'!$B$7:$L$34,8,FALSE)</f>
        <v>0.16504000000000002</v>
      </c>
      <c r="R108" s="35" t="e">
        <f>VLOOKUP($D108,'GSC-DSM-GLT Factors'!$A$1:$B$60,2,FALSE)</f>
        <v>#N/A</v>
      </c>
      <c r="S108" s="34">
        <f>VLOOKUP($E108,'Retail Rates'!$B$7:$L$34,9,FALSE)</f>
        <v>0</v>
      </c>
      <c r="T108" s="35">
        <f>VLOOKUP($E108,'Retail Rates'!$B$7:$L$34,10,FALSE)</f>
        <v>0</v>
      </c>
      <c r="U108" s="34">
        <f>VLOOKUP($E108,'Retail Rates'!$B$7:$L$34,11,FALSE)</f>
        <v>0</v>
      </c>
      <c r="V108" s="556" t="e">
        <f>VLOOKUP($D108,'GSC-DSM-GLT Factors'!$A$1:$O$60,12,FALSE)</f>
        <v>#N/A</v>
      </c>
      <c r="W108" s="36">
        <f t="shared" si="177"/>
        <v>0</v>
      </c>
      <c r="X108" s="36"/>
      <c r="Y108" s="36"/>
      <c r="Z108" s="36">
        <f t="shared" si="178"/>
        <v>0</v>
      </c>
      <c r="AA108" s="36">
        <f t="shared" si="179"/>
        <v>0</v>
      </c>
      <c r="AB108" s="36" t="e">
        <f t="shared" si="180"/>
        <v>#N/A</v>
      </c>
      <c r="AC108" s="36"/>
      <c r="AD108" s="36"/>
      <c r="AE108" s="36">
        <f t="shared" si="193"/>
        <v>0</v>
      </c>
      <c r="AF108" s="36" t="e">
        <f>(+H108*V108)+(I108*V108)</f>
        <v>#N/A</v>
      </c>
      <c r="AG108" s="57">
        <f>SUMIFS(Adjustments!H$5:H$557,Adjustments!$B$5:$B$557,'Mar16-Aug16 Billed-RETAIL'!$D108,Adjustments!$C$5:$C$557,'Mar16-Aug16 Billed-RETAIL'!$E108)</f>
        <v>0</v>
      </c>
      <c r="AH108" s="57">
        <f>SUMIFS(Adjustments!I$5:I$557,Adjustments!$B$5:$B$557,'Mar16-Aug16 Billed-RETAIL'!$D108,Adjustments!$C$5:$C$557,'Mar16-Aug16 Billed-RETAIL'!$E108)</f>
        <v>0</v>
      </c>
      <c r="AI108" s="48">
        <f>SUMIFS(Adjustments!J$5:J$557,Adjustments!$B$5:$B$557,'Mar16-Aug16 Billed-RETAIL'!$D108,Adjustments!$C$5:$C$557,'Mar16-Aug16 Billed-RETAIL'!$E108)</f>
        <v>0</v>
      </c>
      <c r="AJ108" s="48">
        <f>SUMIFS(Adjustments!K$5:K$557,Adjustments!$B$5:$B$557,'Mar16-Aug16 Billed-RETAIL'!$D108,Adjustments!$C$5:$C$557,'Mar16-Aug16 Billed-RETAIL'!$E108)</f>
        <v>0</v>
      </c>
      <c r="AK108" s="48">
        <f>SUMIFS(Adjustments!L$5:L$557,Adjustments!$B$5:$B$557,'Mar16-Aug16 Billed-RETAIL'!$D108,Adjustments!$C$5:$C$557,'Mar16-Aug16 Billed-RETAIL'!$E108)</f>
        <v>0</v>
      </c>
      <c r="AL108" s="48">
        <f>SUMIFS(Adjustments!M$5:M$557,Adjustments!$B$5:$B$557,'Mar16-Aug16 Billed-RETAIL'!$D108,Adjustments!$C$5:$C$557,'Mar16-Aug16 Billed-RETAIL'!$E108)</f>
        <v>0</v>
      </c>
      <c r="AM108" s="48">
        <f>SUMIFS(Adjustments!N$5:N$557,Adjustments!$B$5:$B$557,'Mar16-Aug16 Billed-RETAIL'!$D108,Adjustments!$C$5:$C$557,'Mar16-Aug16 Billed-RETAIL'!$E108)</f>
        <v>0</v>
      </c>
      <c r="AN108" s="48">
        <f>SUMIFS(Adjustments!O$5:O$557,Adjustments!$B$5:$B$557,'Mar16-Aug16 Billed-RETAIL'!$D108,Adjustments!$C$5:$C$557,'Mar16-Aug16 Billed-RETAIL'!$E108)</f>
        <v>0</v>
      </c>
      <c r="AO108" s="48">
        <f>SUMIFS(Adjustments!P$5:P$557,Adjustments!$B$5:$B$557,'Mar16-Aug16 Billed-RETAIL'!$D108,Adjustments!$C$5:$C$557,'Mar16-Aug16 Billed-RETAIL'!$E108)</f>
        <v>0</v>
      </c>
      <c r="AP108" s="36">
        <f>+W108+AI108+(AG108*N108)</f>
        <v>0</v>
      </c>
      <c r="AQ108" s="36">
        <f t="shared" si="183"/>
        <v>0</v>
      </c>
      <c r="AR108" s="36">
        <f t="shared" si="184"/>
        <v>0</v>
      </c>
      <c r="AS108" s="36">
        <f t="shared" si="185"/>
        <v>0</v>
      </c>
      <c r="AT108" s="43">
        <f t="shared" si="194"/>
        <v>0</v>
      </c>
      <c r="AU108" s="43">
        <f t="shared" si="195"/>
        <v>0</v>
      </c>
      <c r="AV108" s="43"/>
      <c r="AW108" s="43">
        <f t="shared" si="196"/>
        <v>0</v>
      </c>
      <c r="AX108" s="36">
        <f t="shared" si="186"/>
        <v>0</v>
      </c>
      <c r="AY108" s="36"/>
      <c r="AZ108" s="43">
        <f t="shared" si="199"/>
        <v>0</v>
      </c>
      <c r="BA108" s="43">
        <f>SUM(BC108:BJ108)-BF108</f>
        <v>0</v>
      </c>
      <c r="BB108" s="44">
        <f t="shared" si="187"/>
        <v>0</v>
      </c>
      <c r="BC108" s="43">
        <f>(SUMIFS('Fin Forecast'!$G$4:$G$545,'Fin Forecast'!$B$4:$B$545,'Mar16-Aug16 Billed-RETAIL'!$E108,'Fin Forecast'!$C$4:$C$545,'Mar16-Aug16 Billed-RETAIL'!BC$5))*1000</f>
        <v>0</v>
      </c>
      <c r="BD108" s="43">
        <f>(SUMIFS('Fin Forecast'!$G$4:$G$545,'Fin Forecast'!$B$4:$B$545,'Mar16-Aug16 Billed-RETAIL'!$E108,'Fin Forecast'!$C$4:$C$545,'Mar16-Aug16 Billed-RETAIL'!BD$5))*1000</f>
        <v>0</v>
      </c>
      <c r="BE108" s="43">
        <v>0</v>
      </c>
      <c r="BF108" s="43">
        <v>0</v>
      </c>
      <c r="BG108" s="43">
        <f>(SUMIFS('Fin Forecast'!$G$4:$G$545,'Fin Forecast'!$B$4:$B$545,'Mar16-Aug16 Billed-RETAIL'!$E108,'Fin Forecast'!$C$4:$C$545,'Mar16-Aug16 Billed-RETAIL'!BG$5))*1000</f>
        <v>0</v>
      </c>
      <c r="BH108" s="43">
        <f>(SUMIFS('Fin Forecast'!$G$4:$G$545,'Fin Forecast'!$B$4:$B$545,'Mar16-Aug16 Billed-RETAIL'!$E108,'Fin Forecast'!$C$4:$C$545,'Mar16-Aug16 Billed-RETAIL'!BH$5))*1000</f>
        <v>0</v>
      </c>
      <c r="BI108" s="43">
        <f>(SUMIFS('Fin Forecast'!$G$4:$G$545,'Fin Forecast'!$B$4:$B$545,'Mar16-Aug16 Billed-RETAIL'!$E108,'Fin Forecast'!$C$4:$C$545,'Mar16-Aug16 Billed-RETAIL'!BI$5))*1000</f>
        <v>0</v>
      </c>
      <c r="BJ108" s="43">
        <f>(SUMIFS('Fin Forecast'!$G$4:$G$545,'Fin Forecast'!$B$4:$B$545,'Mar16-Aug16 Billed-RETAIL'!$E108,'Fin Forecast'!$C$4:$C$545,'Mar16-Aug16 Billed-RETAIL'!BJ$5))*1000</f>
        <v>0</v>
      </c>
      <c r="BL108" s="51">
        <f t="shared" si="188"/>
        <v>0</v>
      </c>
      <c r="BN108" s="58">
        <f t="shared" si="189"/>
        <v>0</v>
      </c>
      <c r="BO108" s="58">
        <f t="shared" si="190"/>
        <v>0</v>
      </c>
      <c r="BP108" s="58">
        <f t="shared" si="191"/>
        <v>0</v>
      </c>
    </row>
    <row r="109" spans="1:68" ht="15" x14ac:dyDescent="0.25">
      <c r="C109" s="14">
        <f t="shared" si="197"/>
        <v>89</v>
      </c>
      <c r="D109" s="604">
        <f t="shared" si="198"/>
        <v>42675</v>
      </c>
      <c r="E109" s="604" t="str">
        <f>+'Retail Rates'!$B$32</f>
        <v>LGRSG840</v>
      </c>
      <c r="F109" s="14" t="str">
        <f t="shared" si="192"/>
        <v>840</v>
      </c>
      <c r="G109" s="14" t="str">
        <f>VLOOKUP(E109,'Retail Rates'!$B$7:$D$34,3,FALSE)</f>
        <v>RGS</v>
      </c>
      <c r="H109" s="546"/>
      <c r="I109" s="546"/>
      <c r="J109" s="546"/>
      <c r="K109" s="545"/>
      <c r="L109" s="545"/>
      <c r="N109" s="34">
        <f>VLOOKUP($E109,'Retail Rates'!$B$7:$L$34,5,FALSE)</f>
        <v>13.5</v>
      </c>
      <c r="O109" s="34">
        <f>VLOOKUP($E109,'Retail Rates'!$B$7:$L$34,6,FALSE)</f>
        <v>0</v>
      </c>
      <c r="P109" s="35">
        <f>VLOOKUP($E109,'Retail Rates'!$B$7:$L$34,7,FALSE)</f>
        <v>0.28693000000000002</v>
      </c>
      <c r="Q109" s="35">
        <f>VLOOKUP($E109,'Retail Rates'!$B$7:$L$34,8,FALSE)</f>
        <v>0</v>
      </c>
      <c r="R109" s="35" t="e">
        <f>VLOOKUP($D109,'GSC-DSM-GLT Factors'!$A$1:$B$60,2,FALSE)</f>
        <v>#N/A</v>
      </c>
      <c r="S109" s="34">
        <f>VLOOKUP($E109,'Retail Rates'!$B$7:$L$34,9,FALSE)</f>
        <v>0</v>
      </c>
      <c r="T109" s="35">
        <f>VLOOKUP($E109,'Retail Rates'!$B$7:$L$34,10,FALSE)</f>
        <v>0</v>
      </c>
      <c r="U109" s="34">
        <f>VLOOKUP($E109,'Retail Rates'!$B$7:$L$34,11,FALSE)</f>
        <v>0</v>
      </c>
      <c r="V109" s="556" t="e">
        <f>VLOOKUP($D109,'GSC-DSM-GLT Factors'!$A$1:$O$60,11,FALSE)</f>
        <v>#N/A</v>
      </c>
      <c r="W109" s="36">
        <f t="shared" si="177"/>
        <v>0</v>
      </c>
      <c r="X109" s="36"/>
      <c r="Y109" s="36"/>
      <c r="Z109" s="36">
        <f t="shared" si="178"/>
        <v>0</v>
      </c>
      <c r="AA109" s="36">
        <f t="shared" si="179"/>
        <v>0</v>
      </c>
      <c r="AB109" s="36" t="e">
        <f t="shared" si="180"/>
        <v>#N/A</v>
      </c>
      <c r="AC109" s="36"/>
      <c r="AD109" s="36"/>
      <c r="AE109" s="36">
        <f t="shared" si="193"/>
        <v>0</v>
      </c>
      <c r="AF109" s="36" t="e">
        <f>(+H109*V109)+(I109*V109)</f>
        <v>#N/A</v>
      </c>
      <c r="AG109" s="57">
        <f>SUMIFS(Adjustments!H$5:H$557,Adjustments!$B$5:$B$557,'Mar16-Aug16 Billed-RETAIL'!$D109,Adjustments!$C$5:$C$557,'Mar16-Aug16 Billed-RETAIL'!$E109)</f>
        <v>0</v>
      </c>
      <c r="AH109" s="57">
        <f>SUMIFS(Adjustments!I$5:I$557,Adjustments!$B$5:$B$557,'Mar16-Aug16 Billed-RETAIL'!$D109,Adjustments!$C$5:$C$557,'Mar16-Aug16 Billed-RETAIL'!$E109)</f>
        <v>0</v>
      </c>
      <c r="AI109" s="48">
        <f>SUMIFS(Adjustments!J$5:J$557,Adjustments!$B$5:$B$557,'Mar16-Aug16 Billed-RETAIL'!$D109,Adjustments!$C$5:$C$557,'Mar16-Aug16 Billed-RETAIL'!$E109)</f>
        <v>0</v>
      </c>
      <c r="AJ109" s="48">
        <f>SUMIFS(Adjustments!K$5:K$557,Adjustments!$B$5:$B$557,'Mar16-Aug16 Billed-RETAIL'!$D109,Adjustments!$C$5:$C$557,'Mar16-Aug16 Billed-RETAIL'!$E109)</f>
        <v>0</v>
      </c>
      <c r="AK109" s="48">
        <f>SUMIFS(Adjustments!L$5:L$557,Adjustments!$B$5:$B$557,'Mar16-Aug16 Billed-RETAIL'!$D109,Adjustments!$C$5:$C$557,'Mar16-Aug16 Billed-RETAIL'!$E109)</f>
        <v>0</v>
      </c>
      <c r="AL109" s="48">
        <f>SUMIFS(Adjustments!M$5:M$557,Adjustments!$B$5:$B$557,'Mar16-Aug16 Billed-RETAIL'!$D109,Adjustments!$C$5:$C$557,'Mar16-Aug16 Billed-RETAIL'!$E109)</f>
        <v>0</v>
      </c>
      <c r="AM109" s="48">
        <f>SUMIFS(Adjustments!N$5:N$557,Adjustments!$B$5:$B$557,'Mar16-Aug16 Billed-RETAIL'!$D109,Adjustments!$C$5:$C$557,'Mar16-Aug16 Billed-RETAIL'!$E109)</f>
        <v>0</v>
      </c>
      <c r="AN109" s="48">
        <f>SUMIFS(Adjustments!O$5:O$557,Adjustments!$B$5:$B$557,'Mar16-Aug16 Billed-RETAIL'!$D109,Adjustments!$C$5:$C$557,'Mar16-Aug16 Billed-RETAIL'!$E109)</f>
        <v>0</v>
      </c>
      <c r="AO109" s="48">
        <f>SUMIFS(Adjustments!P$5:P$557,Adjustments!$B$5:$B$557,'Mar16-Aug16 Billed-RETAIL'!$D109,Adjustments!$C$5:$C$557,'Mar16-Aug16 Billed-RETAIL'!$E109)</f>
        <v>0</v>
      </c>
      <c r="AP109" s="36">
        <f>+W109+AI109+(AG109*N109)</f>
        <v>0</v>
      </c>
      <c r="AQ109" s="36">
        <f t="shared" si="183"/>
        <v>0</v>
      </c>
      <c r="AR109" s="36">
        <f t="shared" si="184"/>
        <v>0</v>
      </c>
      <c r="AS109" s="36">
        <f t="shared" si="185"/>
        <v>0</v>
      </c>
      <c r="AT109" s="43">
        <f t="shared" si="194"/>
        <v>0</v>
      </c>
      <c r="AU109" s="43">
        <f t="shared" si="195"/>
        <v>0</v>
      </c>
      <c r="AV109" s="43"/>
      <c r="AW109" s="43">
        <f t="shared" si="196"/>
        <v>0</v>
      </c>
      <c r="AX109" s="36">
        <f t="shared" si="186"/>
        <v>0</v>
      </c>
      <c r="AY109" s="36"/>
      <c r="AZ109" s="43">
        <f t="shared" si="199"/>
        <v>0</v>
      </c>
      <c r="BA109" s="43">
        <f>SUM(BC109:BJ109)-BF109</f>
        <v>0</v>
      </c>
      <c r="BB109" s="44">
        <f t="shared" si="187"/>
        <v>0</v>
      </c>
      <c r="BC109" s="43">
        <f>(SUMIFS('Fin Forecast'!$G$4:$G$545,'Fin Forecast'!$B$4:$B$545,'Mar16-Aug16 Billed-RETAIL'!$E109,'Fin Forecast'!$C$4:$C$545,'Mar16-Aug16 Billed-RETAIL'!BC$5))*1000</f>
        <v>0</v>
      </c>
      <c r="BD109" s="43">
        <f>(SUMIFS('Fin Forecast'!$G$4:$G$545,'Fin Forecast'!$B$4:$B$545,'Mar16-Aug16 Billed-RETAIL'!$E109,'Fin Forecast'!$C$4:$C$545,'Mar16-Aug16 Billed-RETAIL'!BD$5))*1000</f>
        <v>0</v>
      </c>
      <c r="BE109" s="43">
        <v>0</v>
      </c>
      <c r="BF109" s="43">
        <v>0</v>
      </c>
      <c r="BG109" s="43">
        <f>(SUMIFS('Fin Forecast'!$G$4:$G$545,'Fin Forecast'!$B$4:$B$545,'Mar16-Aug16 Billed-RETAIL'!$E109,'Fin Forecast'!$C$4:$C$545,'Mar16-Aug16 Billed-RETAIL'!BG$5))*1000</f>
        <v>0</v>
      </c>
      <c r="BH109" s="43">
        <f>(SUMIFS('Fin Forecast'!$G$4:$G$545,'Fin Forecast'!$B$4:$B$545,'Mar16-Aug16 Billed-RETAIL'!$E109,'Fin Forecast'!$C$4:$C$545,'Mar16-Aug16 Billed-RETAIL'!BH$5))*1000</f>
        <v>0</v>
      </c>
      <c r="BI109" s="43">
        <f>(SUMIFS('Fin Forecast'!$G$4:$G$545,'Fin Forecast'!$B$4:$B$545,'Mar16-Aug16 Billed-RETAIL'!$E109,'Fin Forecast'!$C$4:$C$545,'Mar16-Aug16 Billed-RETAIL'!BI$5))*1000</f>
        <v>0</v>
      </c>
      <c r="BJ109" s="43">
        <f>(SUMIFS('Fin Forecast'!$G$4:$G$545,'Fin Forecast'!$B$4:$B$545,'Mar16-Aug16 Billed-RETAIL'!$E109,'Fin Forecast'!$C$4:$C$545,'Mar16-Aug16 Billed-RETAIL'!BJ$5))*1000</f>
        <v>0</v>
      </c>
      <c r="BL109" s="51">
        <f t="shared" si="188"/>
        <v>0</v>
      </c>
      <c r="BN109" s="58">
        <f t="shared" si="189"/>
        <v>0</v>
      </c>
      <c r="BO109" s="58">
        <f t="shared" si="190"/>
        <v>0</v>
      </c>
      <c r="BP109" s="58">
        <f t="shared" si="191"/>
        <v>0</v>
      </c>
    </row>
    <row r="110" spans="1:68" s="563" customFormat="1" ht="15" x14ac:dyDescent="0.25">
      <c r="C110" s="564"/>
      <c r="D110" s="605"/>
      <c r="E110" s="605"/>
      <c r="F110" s="564"/>
      <c r="G110" s="564"/>
      <c r="N110" s="566"/>
      <c r="O110" s="566"/>
      <c r="P110" s="567"/>
      <c r="Q110" s="567"/>
      <c r="R110" s="567"/>
      <c r="S110" s="566"/>
      <c r="T110" s="567"/>
      <c r="U110" s="567"/>
      <c r="V110" s="568"/>
      <c r="W110" s="569"/>
      <c r="X110" s="569"/>
      <c r="Y110" s="569"/>
      <c r="Z110" s="569"/>
      <c r="AA110" s="569"/>
      <c r="AB110" s="569"/>
      <c r="AC110" s="569"/>
      <c r="AD110" s="569"/>
      <c r="AE110" s="569"/>
      <c r="AF110" s="569"/>
      <c r="AG110" s="570"/>
      <c r="AH110" s="570"/>
      <c r="AI110" s="569"/>
      <c r="AJ110" s="569"/>
      <c r="AK110" s="569"/>
      <c r="AL110" s="569"/>
      <c r="AM110" s="569"/>
      <c r="AN110" s="569"/>
      <c r="AO110" s="569"/>
      <c r="AP110" s="586"/>
      <c r="AQ110" s="586"/>
      <c r="AR110" s="586"/>
      <c r="AS110" s="586"/>
      <c r="AT110" s="569"/>
      <c r="AU110" s="569"/>
      <c r="AV110" s="569"/>
      <c r="AW110" s="569"/>
      <c r="AX110" s="569"/>
      <c r="AY110" s="569"/>
      <c r="AZ110" s="569"/>
      <c r="BA110" s="569"/>
      <c r="BB110" s="571"/>
      <c r="BC110" s="586"/>
      <c r="BD110" s="586"/>
      <c r="BE110" s="586"/>
      <c r="BF110" s="586"/>
      <c r="BG110" s="586"/>
      <c r="BH110" s="586"/>
      <c r="BI110" s="586"/>
      <c r="BJ110" s="586"/>
      <c r="BL110" s="569"/>
      <c r="BN110" s="569"/>
      <c r="BO110" s="569"/>
      <c r="BP110" s="569"/>
    </row>
    <row r="111" spans="1:68" ht="15" x14ac:dyDescent="0.25">
      <c r="C111" s="14">
        <f>C109+1</f>
        <v>90</v>
      </c>
      <c r="D111" s="604">
        <f>EDATE(D99,1)</f>
        <v>42705</v>
      </c>
      <c r="E111" s="604" t="str">
        <f>+'Retail Rates'!$B$7</f>
        <v>LGCMG865</v>
      </c>
      <c r="F111" s="14" t="str">
        <f>MID(E111,6,3)</f>
        <v>865</v>
      </c>
      <c r="G111" s="14" t="str">
        <f>VLOOKUP(E111,'Retail Rates'!$B$7:$D$34,3,FALSE)</f>
        <v>AAGS-C</v>
      </c>
      <c r="H111" s="546">
        <f>SUMIF('Forecasted Customer Cts'!$D$5:$D$36,'Mar16-Aug16 Billed-RETAIL'!$E111,'Forecasted Customer Cts'!$Q$5:$Q$36)</f>
        <v>2</v>
      </c>
      <c r="I111" s="546"/>
      <c r="J111" s="546"/>
      <c r="K111" s="546">
        <f>SUMIF('Forecasted Calendar Month Usage'!$D$5:$D$41,'Mar16-Aug16 Billed-RETAIL'!$E111,'Forecasted Calendar Month Usage'!$Q$5:$Q$41)*10</f>
        <v>81655.349537079543</v>
      </c>
      <c r="L111" s="545"/>
      <c r="N111" s="34">
        <f>VLOOKUP($E111,'Retail Rates'!$B$7:$L$34,5,FALSE)</f>
        <v>400</v>
      </c>
      <c r="O111" s="34">
        <f>VLOOKUP($E111,'Retail Rates'!$B$7:$L$34,6,FALSE)</f>
        <v>0</v>
      </c>
      <c r="P111" s="35">
        <f>VLOOKUP($E111,'Retail Rates'!$B$7:$L$34,7,FALSE)</f>
        <v>7.009E-2</v>
      </c>
      <c r="Q111" s="35">
        <f>VLOOKUP($E111,'Retail Rates'!$B$7:$L$34,8,FALSE)</f>
        <v>0</v>
      </c>
      <c r="R111" s="35" t="e">
        <f>VLOOKUP($D111,'GSC-DSM-GLT Factors'!$A$1:$B$60,2,FALSE)</f>
        <v>#N/A</v>
      </c>
      <c r="S111" s="34">
        <f>VLOOKUP($E111,'Retail Rates'!$B$7:$L$34,9,FALSE)</f>
        <v>0</v>
      </c>
      <c r="T111" s="35">
        <f>VLOOKUP($E111,'Retail Rates'!$B$7:$L$34,10,FALSE)</f>
        <v>0</v>
      </c>
      <c r="U111" s="34">
        <f>VLOOKUP($E111,'Retail Rates'!$B$7:$L$34,11,FALSE)</f>
        <v>0</v>
      </c>
      <c r="V111" s="556" t="e">
        <f>VLOOKUP($D111,'GSC-DSM-GLT Factors'!$A$1:$O$60,14,FALSE)</f>
        <v>#N/A</v>
      </c>
      <c r="W111" s="36">
        <f t="shared" ref="W111:W121" si="200">(+H111*N111)+(I111*N111)</f>
        <v>800</v>
      </c>
      <c r="X111" s="36"/>
      <c r="Y111" s="36"/>
      <c r="Z111" s="36">
        <f t="shared" ref="Z111:Z121" si="201">+K111*P111</f>
        <v>5723.2234490539049</v>
      </c>
      <c r="AA111" s="36">
        <f t="shared" ref="AA111:AA121" si="202">+L111*Q111</f>
        <v>0</v>
      </c>
      <c r="AB111" s="36" t="e">
        <f t="shared" ref="AB111:AB121" si="203">SUM(K111:L111)*R111</f>
        <v>#N/A</v>
      </c>
      <c r="AC111" s="36"/>
      <c r="AD111" s="36"/>
      <c r="AE111" s="36">
        <f>M111*U111</f>
        <v>0</v>
      </c>
      <c r="AF111" s="36" t="e">
        <f t="shared" ref="AF111:AF116" si="204">(+H111*V111)+(I111*V111)</f>
        <v>#N/A</v>
      </c>
      <c r="AG111" s="57">
        <f>SUMIFS(Adjustments!H$5:H$557,Adjustments!$B$5:$B$557,'Mar16-Aug16 Billed-RETAIL'!$D111,Adjustments!$C$5:$C$557,'Mar16-Aug16 Billed-RETAIL'!$E111)</f>
        <v>0</v>
      </c>
      <c r="AH111" s="57">
        <f>SUMIFS(Adjustments!I$5:I$557,Adjustments!$B$5:$B$557,'Mar16-Aug16 Billed-RETAIL'!$D111,Adjustments!$C$5:$C$557,'Mar16-Aug16 Billed-RETAIL'!$E111)</f>
        <v>0</v>
      </c>
      <c r="AI111" s="48">
        <f>SUMIFS(Adjustments!J$5:J$557,Adjustments!$B$5:$B$557,'Mar16-Aug16 Billed-RETAIL'!$D111,Adjustments!$C$5:$C$557,'Mar16-Aug16 Billed-RETAIL'!$E111)</f>
        <v>0</v>
      </c>
      <c r="AJ111" s="48">
        <f>SUMIFS(Adjustments!K$5:K$557,Adjustments!$B$5:$B$557,'Mar16-Aug16 Billed-RETAIL'!$D111,Adjustments!$C$5:$C$557,'Mar16-Aug16 Billed-RETAIL'!$E111)</f>
        <v>0</v>
      </c>
      <c r="AK111" s="48">
        <f>SUMIFS(Adjustments!L$5:L$557,Adjustments!$B$5:$B$557,'Mar16-Aug16 Billed-RETAIL'!$D111,Adjustments!$C$5:$C$557,'Mar16-Aug16 Billed-RETAIL'!$E111)</f>
        <v>0</v>
      </c>
      <c r="AL111" s="48">
        <f>SUMIFS(Adjustments!M$5:M$557,Adjustments!$B$5:$B$557,'Mar16-Aug16 Billed-RETAIL'!$D111,Adjustments!$C$5:$C$557,'Mar16-Aug16 Billed-RETAIL'!$E111)</f>
        <v>0</v>
      </c>
      <c r="AM111" s="48">
        <f>SUMIFS(Adjustments!N$5:N$557,Adjustments!$B$5:$B$557,'Mar16-Aug16 Billed-RETAIL'!$D111,Adjustments!$C$5:$C$557,'Mar16-Aug16 Billed-RETAIL'!$E111)</f>
        <v>0</v>
      </c>
      <c r="AN111" s="48">
        <f>SUMIFS(Adjustments!O$5:O$557,Adjustments!$B$5:$B$557,'Mar16-Aug16 Billed-RETAIL'!$D111,Adjustments!$C$5:$C$557,'Mar16-Aug16 Billed-RETAIL'!$E111)</f>
        <v>0</v>
      </c>
      <c r="AO111" s="48">
        <f>SUMIFS(Adjustments!P$5:P$557,Adjustments!$B$5:$B$557,'Mar16-Aug16 Billed-RETAIL'!$D111,Adjustments!$C$5:$C$557,'Mar16-Aug16 Billed-RETAIL'!$E111)</f>
        <v>0</v>
      </c>
      <c r="AP111" s="36">
        <f t="shared" ref="AP111:AP117" si="205">+W111+AI111+(AG111*N111)</f>
        <v>800</v>
      </c>
      <c r="AQ111" s="36">
        <f t="shared" ref="AQ111:AQ121" si="206">+Y111+AJ111</f>
        <v>0</v>
      </c>
      <c r="AR111" s="36">
        <f t="shared" ref="AR111:AR121" si="207">+Z111+AK111</f>
        <v>5723.2234490539049</v>
      </c>
      <c r="AS111" s="36">
        <f t="shared" ref="AS111:AS121" si="208">+AA111+AL111</f>
        <v>0</v>
      </c>
      <c r="AT111" s="43">
        <f>BD111</f>
        <v>59481.596998827306</v>
      </c>
      <c r="AU111" s="43">
        <f>BC111</f>
        <v>694.07080358128201</v>
      </c>
      <c r="AV111" s="43"/>
      <c r="AW111" s="43">
        <f>BJ111</f>
        <v>12633.82474424545</v>
      </c>
      <c r="AX111" s="36">
        <f t="shared" ref="AX111:AX121" si="209">+AE111+AO111</f>
        <v>0</v>
      </c>
      <c r="AY111" s="36"/>
      <c r="AZ111" s="43">
        <f>ROUND(SUM(AP111:AY111),2)+SUM(AP112:AY112)</f>
        <v>83241.339832988568</v>
      </c>
      <c r="BA111" s="43">
        <f>SUM(BC111:BJ111)-BF111</f>
        <v>83241.335828039199</v>
      </c>
      <c r="BB111" s="44">
        <f t="shared" ref="BB111:BB121" si="210">IF(BA111=0,0,ROUND(BA111/AZ111,6))</f>
        <v>1</v>
      </c>
      <c r="BC111" s="43">
        <f>(SUMIFS('Fin Forecast'!$H$4:$H$545,'Fin Forecast'!$B$4:$B$545,'Mar16-Aug16 Billed-RETAIL'!$E111,'Fin Forecast'!$C$4:$C$545,'Mar16-Aug16 Billed-RETAIL'!BC$5))*1000</f>
        <v>694.07080358128201</v>
      </c>
      <c r="BD111" s="43">
        <f>(SUMIFS('Fin Forecast'!$H$4:$H$545,'Fin Forecast'!$B$4:$B$545,'Mar16-Aug16 Billed-RETAIL'!$E111,'Fin Forecast'!$C$4:$C$545,'Mar16-Aug16 Billed-RETAIL'!BD$5))*1000</f>
        <v>59481.596998827306</v>
      </c>
      <c r="BE111" s="43">
        <v>0</v>
      </c>
      <c r="BF111" s="43">
        <v>0</v>
      </c>
      <c r="BG111" s="43">
        <f>(SUMIFS('Fin Forecast'!$H$4:$H$545,'Fin Forecast'!$B$4:$B$545,'Mar16-Aug16 Billed-RETAIL'!$E111,'Fin Forecast'!$C$4:$C$545,'Mar16-Aug16 Billed-RETAIL'!BG$5))*1000</f>
        <v>1600</v>
      </c>
      <c r="BH111" s="43">
        <f>(SUMIFS('Fin Forecast'!$H$4:$H$545,'Fin Forecast'!$B$4:$B$545,'Mar16-Aug16 Billed-RETAIL'!$E111,'Fin Forecast'!$C$4:$C$545,'Mar16-Aug16 Billed-RETAIL'!BH$5))*1000</f>
        <v>8831.8432813851687</v>
      </c>
      <c r="BI111" s="43">
        <f>(SUMIFS('Fin Forecast'!$H$4:$H$545,'Fin Forecast'!$B$4:$B$545,'Mar16-Aug16 Billed-RETAIL'!$E111,'Fin Forecast'!$C$4:$C$545,'Mar16-Aug16 Billed-RETAIL'!BI$5))*1000</f>
        <v>0</v>
      </c>
      <c r="BJ111" s="43">
        <f>(SUMIFS('Fin Forecast'!$H$4:$H$545,'Fin Forecast'!$B$4:$B$545,'Mar16-Aug16 Billed-RETAIL'!$E111,'Fin Forecast'!$C$4:$C$545,'Mar16-Aug16 Billed-RETAIL'!BJ$5))*1000</f>
        <v>12633.82474424545</v>
      </c>
      <c r="BL111" s="51">
        <f t="shared" ref="BL111:BL121" si="211">+AZ111-BA111</f>
        <v>4.0049493691185489E-3</v>
      </c>
      <c r="BN111" s="58">
        <f t="shared" ref="BN111:BN121" si="212">+AP111+AQ111-BG111</f>
        <v>-800</v>
      </c>
      <c r="BO111" s="58">
        <f t="shared" ref="BO111:BO121" si="213">+AR111+AS111-BH111</f>
        <v>-3108.6198323312638</v>
      </c>
      <c r="BP111" s="58">
        <f t="shared" ref="BP111:BP121" si="214">+AT111-BD111</f>
        <v>0</v>
      </c>
    </row>
    <row r="112" spans="1:68" ht="15" x14ac:dyDescent="0.25">
      <c r="C112" s="14">
        <f>C111+1</f>
        <v>91</v>
      </c>
      <c r="D112" s="604">
        <f>$D$111</f>
        <v>42705</v>
      </c>
      <c r="E112" s="604" t="str">
        <f>+'Retail Rates'!$B$10</f>
        <v>LGING866</v>
      </c>
      <c r="F112" s="14" t="str">
        <f t="shared" ref="F112:F121" si="215">MID(E112,6,3)</f>
        <v>866</v>
      </c>
      <c r="G112" s="14" t="str">
        <f>VLOOKUP(E112,'Retail Rates'!$B$7:$D$34,3,FALSE)</f>
        <v>AAGS-I</v>
      </c>
      <c r="H112" s="546">
        <f>SUMIF('Forecasted Customer Cts'!$D$5:$D$36,'Mar16-Aug16 Billed-RETAIL'!$E112,'Forecasted Customer Cts'!$Q$5:$Q$36)</f>
        <v>2</v>
      </c>
      <c r="I112" s="546"/>
      <c r="J112" s="546"/>
      <c r="K112" s="546">
        <f>SUMIF('Forecasted Calendar Month Usage'!$D$5:$D$41,'Mar16-Aug16 Billed-RETAIL'!$E112,'Forecasted Calendar Month Usage'!$Q$5:$Q$41)*10</f>
        <v>44351.830974298296</v>
      </c>
      <c r="L112" s="545"/>
      <c r="N112" s="34">
        <f>VLOOKUP($E112,'Retail Rates'!$B$7:$L$34,5,FALSE)</f>
        <v>400</v>
      </c>
      <c r="O112" s="34">
        <f>VLOOKUP($E112,'Retail Rates'!$B$7:$L$34,6,FALSE)</f>
        <v>0</v>
      </c>
      <c r="P112" s="35">
        <f>VLOOKUP($E112,'Retail Rates'!$B$7:$L$34,7,FALSE)</f>
        <v>7.009E-2</v>
      </c>
      <c r="Q112" s="35">
        <f>VLOOKUP($E112,'Retail Rates'!$B$7:$L$34,8,FALSE)</f>
        <v>0</v>
      </c>
      <c r="R112" s="35" t="e">
        <f>VLOOKUP($D112,'GSC-DSM-GLT Factors'!$A$1:$B$60,2,FALSE)</f>
        <v>#N/A</v>
      </c>
      <c r="S112" s="34">
        <f>VLOOKUP($E112,'Retail Rates'!$B$7:$L$34,9,FALSE)</f>
        <v>0</v>
      </c>
      <c r="T112" s="35">
        <f>VLOOKUP($E112,'Retail Rates'!$B$7:$L$34,10,FALSE)</f>
        <v>0</v>
      </c>
      <c r="U112" s="34">
        <f>VLOOKUP($E112,'Retail Rates'!$B$7:$L$34,11,FALSE)</f>
        <v>0</v>
      </c>
      <c r="V112" s="556" t="e">
        <f>VLOOKUP($D112,'GSC-DSM-GLT Factors'!$A$1:$O$60,14,FALSE)</f>
        <v>#N/A</v>
      </c>
      <c r="W112" s="36">
        <f t="shared" si="200"/>
        <v>800</v>
      </c>
      <c r="X112" s="36"/>
      <c r="Y112" s="36"/>
      <c r="Z112" s="36">
        <f t="shared" si="201"/>
        <v>3108.6198329885674</v>
      </c>
      <c r="AA112" s="36">
        <f t="shared" si="202"/>
        <v>0</v>
      </c>
      <c r="AB112" s="36" t="e">
        <f t="shared" si="203"/>
        <v>#N/A</v>
      </c>
      <c r="AC112" s="36"/>
      <c r="AD112" s="36"/>
      <c r="AE112" s="36">
        <f t="shared" ref="AE112:AE121" si="216">M112*U112</f>
        <v>0</v>
      </c>
      <c r="AF112" s="36" t="e">
        <f t="shared" si="204"/>
        <v>#N/A</v>
      </c>
      <c r="AG112" s="57">
        <f>SUMIFS(Adjustments!H$5:H$557,Adjustments!$B$5:$B$557,'Mar16-Aug16 Billed-RETAIL'!$D112,Adjustments!$C$5:$C$557,'Mar16-Aug16 Billed-RETAIL'!$E112)</f>
        <v>0</v>
      </c>
      <c r="AH112" s="57">
        <f>SUMIFS(Adjustments!I$5:I$557,Adjustments!$B$5:$B$557,'Mar16-Aug16 Billed-RETAIL'!$D112,Adjustments!$C$5:$C$557,'Mar16-Aug16 Billed-RETAIL'!$E112)</f>
        <v>0</v>
      </c>
      <c r="AI112" s="48">
        <f>SUMIFS(Adjustments!J$5:J$557,Adjustments!$B$5:$B$557,'Mar16-Aug16 Billed-RETAIL'!$D112,Adjustments!$C$5:$C$557,'Mar16-Aug16 Billed-RETAIL'!$E112)</f>
        <v>0</v>
      </c>
      <c r="AJ112" s="48">
        <f>SUMIFS(Adjustments!K$5:K$557,Adjustments!$B$5:$B$557,'Mar16-Aug16 Billed-RETAIL'!$D112,Adjustments!$C$5:$C$557,'Mar16-Aug16 Billed-RETAIL'!$E112)</f>
        <v>0</v>
      </c>
      <c r="AK112" s="48">
        <f>SUMIFS(Adjustments!L$5:L$557,Adjustments!$B$5:$B$557,'Mar16-Aug16 Billed-RETAIL'!$D112,Adjustments!$C$5:$C$557,'Mar16-Aug16 Billed-RETAIL'!$E112)</f>
        <v>0</v>
      </c>
      <c r="AL112" s="48">
        <f>SUMIFS(Adjustments!M$5:M$557,Adjustments!$B$5:$B$557,'Mar16-Aug16 Billed-RETAIL'!$D112,Adjustments!$C$5:$C$557,'Mar16-Aug16 Billed-RETAIL'!$E112)</f>
        <v>0</v>
      </c>
      <c r="AM112" s="48">
        <f>SUMIFS(Adjustments!N$5:N$557,Adjustments!$B$5:$B$557,'Mar16-Aug16 Billed-RETAIL'!$D112,Adjustments!$C$5:$C$557,'Mar16-Aug16 Billed-RETAIL'!$E112)</f>
        <v>0</v>
      </c>
      <c r="AN112" s="48">
        <f>SUMIFS(Adjustments!O$5:O$557,Adjustments!$B$5:$B$557,'Mar16-Aug16 Billed-RETAIL'!$D112,Adjustments!$C$5:$C$557,'Mar16-Aug16 Billed-RETAIL'!$E112)</f>
        <v>0</v>
      </c>
      <c r="AO112" s="48">
        <f>SUMIFS(Adjustments!P$5:P$557,Adjustments!$B$5:$B$557,'Mar16-Aug16 Billed-RETAIL'!$D112,Adjustments!$C$5:$C$557,'Mar16-Aug16 Billed-RETAIL'!$E112)</f>
        <v>0</v>
      </c>
      <c r="AP112" s="36">
        <f t="shared" si="205"/>
        <v>800</v>
      </c>
      <c r="AQ112" s="36">
        <f t="shared" si="206"/>
        <v>0</v>
      </c>
      <c r="AR112" s="36">
        <f t="shared" si="207"/>
        <v>3108.6198329885674</v>
      </c>
      <c r="AS112" s="36">
        <f t="shared" si="208"/>
        <v>0</v>
      </c>
      <c r="AT112" s="43">
        <f t="shared" ref="AT112:AT121" si="217">BD112</f>
        <v>0</v>
      </c>
      <c r="AU112" s="43">
        <f t="shared" ref="AU112:AU121" si="218">BC112</f>
        <v>0</v>
      </c>
      <c r="AV112" s="43"/>
      <c r="AW112" s="43">
        <f t="shared" ref="AW112:AW121" si="219">BJ112</f>
        <v>0</v>
      </c>
      <c r="AX112" s="36">
        <f t="shared" si="209"/>
        <v>0</v>
      </c>
      <c r="AY112" s="36"/>
      <c r="AZ112" s="43"/>
      <c r="BA112" s="43">
        <f>SUM(BC112:BJ112)-BF112</f>
        <v>0</v>
      </c>
      <c r="BB112" s="44">
        <f t="shared" si="210"/>
        <v>0</v>
      </c>
      <c r="BC112" s="43">
        <f>(SUMIFS('Fin Forecast'!$H$4:$H$545,'Fin Forecast'!$B$4:$B$545,'Mar16-Aug16 Billed-RETAIL'!$E112,'Fin Forecast'!$C$4:$C$545,'Mar16-Aug16 Billed-RETAIL'!BC$5))*1000</f>
        <v>0</v>
      </c>
      <c r="BD112" s="43">
        <f>(SUMIFS('Fin Forecast'!$H$4:$H$545,'Fin Forecast'!$B$4:$B$545,'Mar16-Aug16 Billed-RETAIL'!$E112,'Fin Forecast'!$C$4:$C$545,'Mar16-Aug16 Billed-RETAIL'!BD$5))*1000</f>
        <v>0</v>
      </c>
      <c r="BE112" s="43">
        <v>0</v>
      </c>
      <c r="BF112" s="43">
        <v>0</v>
      </c>
      <c r="BG112" s="43">
        <f>(SUMIFS('Fin Forecast'!$H$4:$H$545,'Fin Forecast'!$B$4:$B$545,'Mar16-Aug16 Billed-RETAIL'!$E112,'Fin Forecast'!$C$4:$C$545,'Mar16-Aug16 Billed-RETAIL'!BG$5))*1000</f>
        <v>0</v>
      </c>
      <c r="BH112" s="43">
        <f>(SUMIFS('Fin Forecast'!$H$4:$H$545,'Fin Forecast'!$B$4:$B$545,'Mar16-Aug16 Billed-RETAIL'!$E112,'Fin Forecast'!$C$4:$C$545,'Mar16-Aug16 Billed-RETAIL'!BH$5))*1000</f>
        <v>0</v>
      </c>
      <c r="BI112" s="43">
        <f>(SUMIFS('Fin Forecast'!$H$4:$H$545,'Fin Forecast'!$B$4:$B$545,'Mar16-Aug16 Billed-RETAIL'!$E112,'Fin Forecast'!$C$4:$C$545,'Mar16-Aug16 Billed-RETAIL'!BI$5))*1000</f>
        <v>0</v>
      </c>
      <c r="BJ112" s="43">
        <f>(SUMIFS('Fin Forecast'!$H$4:$H$545,'Fin Forecast'!$B$4:$B$545,'Mar16-Aug16 Billed-RETAIL'!$E112,'Fin Forecast'!$C$4:$C$545,'Mar16-Aug16 Billed-RETAIL'!BJ$5))*1000</f>
        <v>0</v>
      </c>
      <c r="BL112" s="51">
        <f t="shared" si="211"/>
        <v>0</v>
      </c>
      <c r="BN112" s="58">
        <f t="shared" si="212"/>
        <v>800</v>
      </c>
      <c r="BO112" s="58">
        <f t="shared" si="213"/>
        <v>3108.6198329885674</v>
      </c>
      <c r="BP112" s="58">
        <f t="shared" si="214"/>
        <v>0</v>
      </c>
    </row>
    <row r="113" spans="1:68" ht="15" x14ac:dyDescent="0.25">
      <c r="A113" s="548" t="s">
        <v>799</v>
      </c>
      <c r="B113" s="548" t="s">
        <v>800</v>
      </c>
      <c r="C113" s="14">
        <f t="shared" ref="C113:C121" si="220">C112+1</f>
        <v>92</v>
      </c>
      <c r="D113" s="604">
        <f t="shared" ref="D113:D121" si="221">$D$111</f>
        <v>42705</v>
      </c>
      <c r="E113" s="604" t="str">
        <f>+'Retail Rates'!$B$11</f>
        <v>LGING866DS</v>
      </c>
      <c r="F113" s="14" t="str">
        <f t="shared" si="215"/>
        <v>866</v>
      </c>
      <c r="G113" s="14" t="str">
        <f>VLOOKUP(E113,'Retail Rates'!$B$7:$D$34,3,FALSE)</f>
        <v>AAGS-I</v>
      </c>
      <c r="H113" s="546"/>
      <c r="I113" s="546"/>
      <c r="J113" s="546"/>
      <c r="K113" s="546"/>
      <c r="L113" s="546"/>
      <c r="M113" s="63"/>
      <c r="N113" s="34">
        <f>VLOOKUP($E113,'Retail Rates'!$B$7:$L$34,5,FALSE)</f>
        <v>400</v>
      </c>
      <c r="O113" s="34">
        <f>VLOOKUP($E113,'Retail Rates'!$B$7:$L$34,6,FALSE)</f>
        <v>0</v>
      </c>
      <c r="P113" s="35">
        <f>VLOOKUP($E113,'Retail Rates'!$B$7:$L$34,7,FALSE)</f>
        <v>7.009E-2</v>
      </c>
      <c r="Q113" s="35">
        <f>VLOOKUP($E113,'Retail Rates'!$B$7:$L$34,8,FALSE)</f>
        <v>0</v>
      </c>
      <c r="R113" s="35" t="e">
        <f>VLOOKUP($D113,'GSC-DSM-GLT Factors'!$A$1:$B$60,2,FALSE)</f>
        <v>#N/A</v>
      </c>
      <c r="S113" s="34">
        <f>VLOOKUP($E113,'Retail Rates'!$B$7:$L$34,9,FALSE)</f>
        <v>0</v>
      </c>
      <c r="T113" s="35">
        <f>VLOOKUP($E113,'Retail Rates'!$B$7:$L$34,10,FALSE)</f>
        <v>0</v>
      </c>
      <c r="U113" s="34">
        <f>VLOOKUP($E113,'Retail Rates'!$B$7:$L$34,11,FALSE)</f>
        <v>0</v>
      </c>
      <c r="V113" s="556" t="e">
        <f>VLOOKUP($D113,'GSC-DSM-GLT Factors'!$A$1:$O$60,14,FALSE)</f>
        <v>#N/A</v>
      </c>
      <c r="W113" s="36">
        <f t="shared" si="200"/>
        <v>0</v>
      </c>
      <c r="X113" s="36"/>
      <c r="Y113" s="36"/>
      <c r="Z113" s="36">
        <f t="shared" si="201"/>
        <v>0</v>
      </c>
      <c r="AA113" s="36">
        <f t="shared" si="202"/>
        <v>0</v>
      </c>
      <c r="AB113" s="36" t="e">
        <f t="shared" si="203"/>
        <v>#N/A</v>
      </c>
      <c r="AC113" s="36"/>
      <c r="AD113" s="36"/>
      <c r="AE113" s="36">
        <f t="shared" si="216"/>
        <v>0</v>
      </c>
      <c r="AF113" s="36" t="e">
        <f t="shared" si="204"/>
        <v>#N/A</v>
      </c>
      <c r="AG113" s="57">
        <f>SUMIFS(Adjustments!H$5:H$557,Adjustments!$B$5:$B$557,'Mar16-Aug16 Billed-RETAIL'!$D113,Adjustments!$C$5:$C$557,'Mar16-Aug16 Billed-RETAIL'!$E113)</f>
        <v>0</v>
      </c>
      <c r="AH113" s="57">
        <f>SUMIFS(Adjustments!I$5:I$557,Adjustments!$B$5:$B$557,'Mar16-Aug16 Billed-RETAIL'!$D113,Adjustments!$C$5:$C$557,'Mar16-Aug16 Billed-RETAIL'!$E113)</f>
        <v>0</v>
      </c>
      <c r="AI113" s="48">
        <f>SUMIFS(Adjustments!J$5:J$557,Adjustments!$B$5:$B$557,'Mar16-Aug16 Billed-RETAIL'!$D113,Adjustments!$C$5:$C$557,'Mar16-Aug16 Billed-RETAIL'!$E113)</f>
        <v>0</v>
      </c>
      <c r="AJ113" s="48">
        <f>SUMIFS(Adjustments!K$5:K$557,Adjustments!$B$5:$B$557,'Mar16-Aug16 Billed-RETAIL'!$D113,Adjustments!$C$5:$C$557,'Mar16-Aug16 Billed-RETAIL'!$E113)</f>
        <v>0</v>
      </c>
      <c r="AK113" s="48">
        <f>SUMIFS(Adjustments!L$5:L$557,Adjustments!$B$5:$B$557,'Mar16-Aug16 Billed-RETAIL'!$D113,Adjustments!$C$5:$C$557,'Mar16-Aug16 Billed-RETAIL'!$E113)</f>
        <v>0</v>
      </c>
      <c r="AL113" s="48">
        <f>SUMIFS(Adjustments!M$5:M$557,Adjustments!$B$5:$B$557,'Mar16-Aug16 Billed-RETAIL'!$D113,Adjustments!$C$5:$C$557,'Mar16-Aug16 Billed-RETAIL'!$E113)</f>
        <v>0</v>
      </c>
      <c r="AM113" s="48">
        <f>SUMIFS(Adjustments!N$5:N$557,Adjustments!$B$5:$B$557,'Mar16-Aug16 Billed-RETAIL'!$D113,Adjustments!$C$5:$C$557,'Mar16-Aug16 Billed-RETAIL'!$E113)</f>
        <v>0</v>
      </c>
      <c r="AN113" s="48">
        <f>SUMIFS(Adjustments!O$5:O$557,Adjustments!$B$5:$B$557,'Mar16-Aug16 Billed-RETAIL'!$D113,Adjustments!$C$5:$C$557,'Mar16-Aug16 Billed-RETAIL'!$E113)</f>
        <v>0</v>
      </c>
      <c r="AO113" s="48">
        <f>SUMIFS(Adjustments!P$5:P$557,Adjustments!$B$5:$B$557,'Mar16-Aug16 Billed-RETAIL'!$D113,Adjustments!$C$5:$C$557,'Mar16-Aug16 Billed-RETAIL'!$E113)</f>
        <v>0</v>
      </c>
      <c r="AP113" s="36">
        <f t="shared" si="205"/>
        <v>0</v>
      </c>
      <c r="AQ113" s="36">
        <f t="shared" si="206"/>
        <v>0</v>
      </c>
      <c r="AR113" s="36">
        <f t="shared" si="207"/>
        <v>0</v>
      </c>
      <c r="AS113" s="36">
        <f t="shared" si="208"/>
        <v>0</v>
      </c>
      <c r="AT113" s="43">
        <f t="shared" si="217"/>
        <v>0</v>
      </c>
      <c r="AU113" s="43">
        <f t="shared" si="218"/>
        <v>0</v>
      </c>
      <c r="AV113" s="43"/>
      <c r="AW113" s="43">
        <f t="shared" si="219"/>
        <v>0</v>
      </c>
      <c r="AX113" s="36">
        <f t="shared" si="209"/>
        <v>0</v>
      </c>
      <c r="AY113" s="36"/>
      <c r="AZ113" s="43">
        <f t="shared" ref="AZ113:AZ121" si="222">ROUND(SUM(AP113:AY113),2)</f>
        <v>0</v>
      </c>
      <c r="BA113" s="43">
        <f>SUM(BC113:BJ113)-BF113</f>
        <v>0</v>
      </c>
      <c r="BB113" s="44">
        <f t="shared" si="210"/>
        <v>0</v>
      </c>
      <c r="BC113" s="43">
        <f>(SUMIFS('Fin Forecast'!$H$4:$H$545,'Fin Forecast'!$B$4:$B$545,'Mar16-Aug16 Billed-RETAIL'!$E113,'Fin Forecast'!$C$4:$C$545,'Mar16-Aug16 Billed-RETAIL'!BC$5))*1000</f>
        <v>0</v>
      </c>
      <c r="BD113" s="43">
        <f>(SUMIFS('Fin Forecast'!$H$4:$H$545,'Fin Forecast'!$B$4:$B$545,'Mar16-Aug16 Billed-RETAIL'!$E113,'Fin Forecast'!$C$4:$C$545,'Mar16-Aug16 Billed-RETAIL'!BD$5))*1000</f>
        <v>0</v>
      </c>
      <c r="BE113" s="43">
        <v>0</v>
      </c>
      <c r="BF113" s="43">
        <v>0</v>
      </c>
      <c r="BG113" s="43">
        <f>(SUMIFS('Fin Forecast'!$H$4:$H$545,'Fin Forecast'!$B$4:$B$545,'Mar16-Aug16 Billed-RETAIL'!$E113,'Fin Forecast'!$C$4:$C$545,'Mar16-Aug16 Billed-RETAIL'!BG$5))*1000</f>
        <v>0</v>
      </c>
      <c r="BH113" s="43">
        <f>(SUMIFS('Fin Forecast'!$H$4:$H$545,'Fin Forecast'!$B$4:$B$545,'Mar16-Aug16 Billed-RETAIL'!$E113,'Fin Forecast'!$C$4:$C$545,'Mar16-Aug16 Billed-RETAIL'!BH$5))*1000</f>
        <v>0</v>
      </c>
      <c r="BI113" s="43">
        <f>(SUMIFS('Fin Forecast'!$H$4:$H$545,'Fin Forecast'!$B$4:$B$545,'Mar16-Aug16 Billed-RETAIL'!$E113,'Fin Forecast'!$C$4:$C$545,'Mar16-Aug16 Billed-RETAIL'!BI$5))*1000</f>
        <v>0</v>
      </c>
      <c r="BJ113" s="43">
        <f>(SUMIFS('Fin Forecast'!$H$4:$H$545,'Fin Forecast'!$B$4:$B$545,'Mar16-Aug16 Billed-RETAIL'!$E113,'Fin Forecast'!$C$4:$C$545,'Mar16-Aug16 Billed-RETAIL'!BJ$5))*1000</f>
        <v>0</v>
      </c>
      <c r="BL113" s="51">
        <f t="shared" si="211"/>
        <v>0</v>
      </c>
      <c r="BN113" s="58">
        <f t="shared" si="212"/>
        <v>0</v>
      </c>
      <c r="BO113" s="58">
        <f t="shared" si="213"/>
        <v>0</v>
      </c>
      <c r="BP113" s="58">
        <f t="shared" si="214"/>
        <v>0</v>
      </c>
    </row>
    <row r="114" spans="1:68" ht="15" x14ac:dyDescent="0.25">
      <c r="C114" s="14">
        <f t="shared" si="220"/>
        <v>93</v>
      </c>
      <c r="D114" s="604">
        <f t="shared" si="221"/>
        <v>42705</v>
      </c>
      <c r="E114" s="604" t="str">
        <f>+'Retail Rates'!$B$15</f>
        <v>LGCMG851</v>
      </c>
      <c r="F114" s="14" t="str">
        <f t="shared" si="215"/>
        <v>851</v>
      </c>
      <c r="G114" s="14" t="str">
        <f>VLOOKUP(E114,'Retail Rates'!$B$7:$D$34,3,FALSE)</f>
        <v>CGS</v>
      </c>
      <c r="H114" s="546"/>
      <c r="I114" s="546">
        <f>SUMIFS('Forecasted Customer Cts'!$Q$5:$Q$36,'Forecasted Customer Cts'!$D$5:$D$36,'Mar16-Aug16 Billed-RETAIL'!$E114,'Forecasted Customer Cts'!$C$5:$C$36,'Mar16-Aug16 Billed-RETAIL'!$A$78)</f>
        <v>24213</v>
      </c>
      <c r="J114" s="546">
        <f>SUMIFS('Forecasted Customer Cts'!$Q$5:$Q$36,'Forecasted Customer Cts'!$D$5:$D$36,'Mar16-Aug16 Billed-RETAIL'!$E114,'Forecasted Customer Cts'!$C$5:$C$36,'Mar16-Aug16 Billed-RETAIL'!$B$78)</f>
        <v>1008</v>
      </c>
      <c r="K114" s="546">
        <f>SUMIF('Forecasted Calendar Month Usage'!$D$5:$D$41,'Mar16-Aug16 Billed-RETAIL'!$E114,'Forecasted Calendar Month Usage'!$Q$5:$Q$41)*10</f>
        <v>15956332.951940682</v>
      </c>
      <c r="L114" s="546"/>
      <c r="N114" s="34">
        <f>VLOOKUP($E114,'Retail Rates'!$B$7:$L$34,5,FALSE)</f>
        <v>40</v>
      </c>
      <c r="O114" s="34">
        <f>VLOOKUP($E114,'Retail Rates'!$B$7:$L$34,6,FALSE)</f>
        <v>180</v>
      </c>
      <c r="P114" s="35">
        <f>VLOOKUP($E114,'Retail Rates'!$B$7:$L$34,7,FALSE)</f>
        <v>0.21504000000000001</v>
      </c>
      <c r="Q114" s="35">
        <f>VLOOKUP($E114,'Retail Rates'!$B$7:$L$34,8,FALSE)</f>
        <v>0.16504000000000002</v>
      </c>
      <c r="R114" s="35" t="e">
        <f>VLOOKUP($D114,'GSC-DSM-GLT Factors'!$A$1:$B$60,2,FALSE)</f>
        <v>#N/A</v>
      </c>
      <c r="S114" s="34">
        <f>VLOOKUP($E114,'Retail Rates'!$B$7:$L$34,9,FALSE)</f>
        <v>0</v>
      </c>
      <c r="T114" s="35">
        <f>VLOOKUP($E114,'Retail Rates'!$B$7:$L$34,10,FALSE)</f>
        <v>0</v>
      </c>
      <c r="U114" s="34">
        <f>VLOOKUP($E114,'Retail Rates'!$B$7:$L$34,11,FALSE)</f>
        <v>0</v>
      </c>
      <c r="V114" s="556" t="e">
        <f>VLOOKUP($D114,'GSC-DSM-GLT Factors'!$A$1:$O$60,12,FALSE)</f>
        <v>#N/A</v>
      </c>
      <c r="W114" s="36">
        <f t="shared" si="200"/>
        <v>968520</v>
      </c>
      <c r="X114" s="36"/>
      <c r="Y114" s="36">
        <f>+J114*O114</f>
        <v>181440</v>
      </c>
      <c r="Z114" s="36">
        <f t="shared" si="201"/>
        <v>3431249.8379853242</v>
      </c>
      <c r="AA114" s="36">
        <f t="shared" si="202"/>
        <v>0</v>
      </c>
      <c r="AB114" s="36" t="e">
        <f t="shared" si="203"/>
        <v>#N/A</v>
      </c>
      <c r="AC114" s="36"/>
      <c r="AD114" s="36"/>
      <c r="AE114" s="36">
        <f t="shared" si="216"/>
        <v>0</v>
      </c>
      <c r="AF114" s="36" t="e">
        <f t="shared" si="204"/>
        <v>#N/A</v>
      </c>
      <c r="AG114" s="57">
        <f>SUMIFS(Adjustments!H$5:H$557,Adjustments!$B$5:$B$557,'Mar16-Aug16 Billed-RETAIL'!$D114,Adjustments!$C$5:$C$557,'Mar16-Aug16 Billed-RETAIL'!$E114)</f>
        <v>0</v>
      </c>
      <c r="AH114" s="57">
        <f>SUMIFS(Adjustments!I$5:I$557,Adjustments!$B$5:$B$557,'Mar16-Aug16 Billed-RETAIL'!$D114,Adjustments!$C$5:$C$557,'Mar16-Aug16 Billed-RETAIL'!$E114)</f>
        <v>0</v>
      </c>
      <c r="AI114" s="48">
        <f>SUMIFS(Adjustments!J$5:J$557,Adjustments!$B$5:$B$557,'Mar16-Aug16 Billed-RETAIL'!$D114,Adjustments!$C$5:$C$557,'Mar16-Aug16 Billed-RETAIL'!$E114)</f>
        <v>0</v>
      </c>
      <c r="AJ114" s="48">
        <f>SUMIFS(Adjustments!K$5:K$557,Adjustments!$B$5:$B$557,'Mar16-Aug16 Billed-RETAIL'!$D114,Adjustments!$C$5:$C$557,'Mar16-Aug16 Billed-RETAIL'!$E114)</f>
        <v>0</v>
      </c>
      <c r="AK114" s="48">
        <f>SUMIFS(Adjustments!L$5:L$557,Adjustments!$B$5:$B$557,'Mar16-Aug16 Billed-RETAIL'!$D114,Adjustments!$C$5:$C$557,'Mar16-Aug16 Billed-RETAIL'!$E114)</f>
        <v>0</v>
      </c>
      <c r="AL114" s="48">
        <f>SUMIFS(Adjustments!M$5:M$557,Adjustments!$B$5:$B$557,'Mar16-Aug16 Billed-RETAIL'!$D114,Adjustments!$C$5:$C$557,'Mar16-Aug16 Billed-RETAIL'!$E114)</f>
        <v>0</v>
      </c>
      <c r="AM114" s="48">
        <f>SUMIFS(Adjustments!N$5:N$557,Adjustments!$B$5:$B$557,'Mar16-Aug16 Billed-RETAIL'!$D114,Adjustments!$C$5:$C$557,'Mar16-Aug16 Billed-RETAIL'!$E114)</f>
        <v>0</v>
      </c>
      <c r="AN114" s="48">
        <f>SUMIFS(Adjustments!O$5:O$557,Adjustments!$B$5:$B$557,'Mar16-Aug16 Billed-RETAIL'!$D114,Adjustments!$C$5:$C$557,'Mar16-Aug16 Billed-RETAIL'!$E114)</f>
        <v>0</v>
      </c>
      <c r="AO114" s="48">
        <f>SUMIFS(Adjustments!P$5:P$557,Adjustments!$B$5:$B$557,'Mar16-Aug16 Billed-RETAIL'!$D114,Adjustments!$C$5:$C$557,'Mar16-Aug16 Billed-RETAIL'!$E114)</f>
        <v>0</v>
      </c>
      <c r="AP114" s="36">
        <f t="shared" si="205"/>
        <v>968520</v>
      </c>
      <c r="AQ114" s="36">
        <f t="shared" si="206"/>
        <v>181440</v>
      </c>
      <c r="AR114" s="36">
        <f t="shared" si="207"/>
        <v>3431249.8379853242</v>
      </c>
      <c r="AS114" s="36">
        <f t="shared" si="208"/>
        <v>0</v>
      </c>
      <c r="AT114" s="43">
        <f t="shared" si="217"/>
        <v>7532175.2511097919</v>
      </c>
      <c r="AU114" s="43">
        <f t="shared" si="218"/>
        <v>126064.42190584789</v>
      </c>
      <c r="AV114" s="43"/>
      <c r="AW114" s="43">
        <f t="shared" si="219"/>
        <v>643298.80307160015</v>
      </c>
      <c r="AX114" s="36">
        <f t="shared" si="209"/>
        <v>0</v>
      </c>
      <c r="AY114" s="36"/>
      <c r="AZ114" s="43">
        <f t="shared" si="222"/>
        <v>12882748.310000001</v>
      </c>
      <c r="BA114" s="43">
        <f>SUM(BC114:BJ114)-BF114</f>
        <v>12882748.314842038</v>
      </c>
      <c r="BB114" s="44">
        <f t="shared" si="210"/>
        <v>1</v>
      </c>
      <c r="BC114" s="43">
        <f>(SUMIFS('Fin Forecast'!$H$4:$H$545,'Fin Forecast'!$B$4:$B$545,'Mar16-Aug16 Billed-RETAIL'!$E114,'Fin Forecast'!$C$4:$C$545,'Mar16-Aug16 Billed-RETAIL'!BC$5))*1000</f>
        <v>126064.42190584789</v>
      </c>
      <c r="BD114" s="43">
        <f>(SUMIFS('Fin Forecast'!$H$4:$H$545,'Fin Forecast'!$B$4:$B$545,'Mar16-Aug16 Billed-RETAIL'!$E114,'Fin Forecast'!$C$4:$C$545,'Mar16-Aug16 Billed-RETAIL'!BD$5))*1000</f>
        <v>7532175.2511097919</v>
      </c>
      <c r="BE114" s="43">
        <v>0</v>
      </c>
      <c r="BF114" s="43">
        <v>0</v>
      </c>
      <c r="BG114" s="43">
        <f>(SUMIFS('Fin Forecast'!$H$4:$H$545,'Fin Forecast'!$B$4:$B$545,'Mar16-Aug16 Billed-RETAIL'!$E114,'Fin Forecast'!$C$4:$C$545,'Mar16-Aug16 Billed-RETAIL'!BG$5))*1000</f>
        <v>1149960</v>
      </c>
      <c r="BH114" s="43">
        <f>(SUMIFS('Fin Forecast'!$H$4:$H$545,'Fin Forecast'!$B$4:$B$545,'Mar16-Aug16 Billed-RETAIL'!$E114,'Fin Forecast'!$C$4:$C$545,'Mar16-Aug16 Billed-RETAIL'!BH$5))*1000</f>
        <v>3431249.8387547988</v>
      </c>
      <c r="BI114" s="43">
        <f>(SUMIFS('Fin Forecast'!$H$4:$H$545,'Fin Forecast'!$B$4:$B$545,'Mar16-Aug16 Billed-RETAIL'!$E114,'Fin Forecast'!$C$4:$C$545,'Mar16-Aug16 Billed-RETAIL'!BI$5))*1000</f>
        <v>0</v>
      </c>
      <c r="BJ114" s="43">
        <f>(SUMIFS('Fin Forecast'!$H$4:$H$545,'Fin Forecast'!$B$4:$B$545,'Mar16-Aug16 Billed-RETAIL'!$E114,'Fin Forecast'!$C$4:$C$545,'Mar16-Aug16 Billed-RETAIL'!BJ$5))*1000</f>
        <v>643298.80307160015</v>
      </c>
      <c r="BL114" s="51">
        <f t="shared" si="211"/>
        <v>-4.8420373350381851E-3</v>
      </c>
      <c r="BN114" s="58">
        <f t="shared" si="212"/>
        <v>0</v>
      </c>
      <c r="BO114" s="58">
        <f t="shared" si="213"/>
        <v>-7.6947454363107681E-4</v>
      </c>
      <c r="BP114" s="58">
        <f t="shared" si="214"/>
        <v>0</v>
      </c>
    </row>
    <row r="115" spans="1:68" ht="15" x14ac:dyDescent="0.25">
      <c r="C115" s="14">
        <f t="shared" si="220"/>
        <v>94</v>
      </c>
      <c r="D115" s="604">
        <f t="shared" si="221"/>
        <v>42705</v>
      </c>
      <c r="E115" s="604" t="str">
        <f>+'Retail Rates'!$B$16</f>
        <v>LGUMG861</v>
      </c>
      <c r="F115" s="14" t="str">
        <f t="shared" si="215"/>
        <v>861</v>
      </c>
      <c r="G115" s="14" t="str">
        <f>VLOOKUP(E115,'Retail Rates'!$B$7:$D$34,3,FALSE)</f>
        <v>CGS</v>
      </c>
      <c r="H115" s="546"/>
      <c r="I115" s="546"/>
      <c r="J115" s="546"/>
      <c r="K115" s="545"/>
      <c r="L115" s="545"/>
      <c r="N115" s="34">
        <f>VLOOKUP($E115,'Retail Rates'!$B$7:$L$34,5,FALSE)</f>
        <v>40</v>
      </c>
      <c r="O115" s="34">
        <f>VLOOKUP($E115,'Retail Rates'!$B$7:$L$34,6,FALSE)</f>
        <v>180</v>
      </c>
      <c r="P115" s="35">
        <f>VLOOKUP($E115,'Retail Rates'!$B$7:$L$34,7,FALSE)</f>
        <v>0.21504000000000001</v>
      </c>
      <c r="Q115" s="35">
        <f>VLOOKUP($E115,'Retail Rates'!$B$7:$L$34,8,FALSE)</f>
        <v>0.16504000000000002</v>
      </c>
      <c r="R115" s="35" t="e">
        <f>VLOOKUP($D115,'GSC-DSM-GLT Factors'!$A$1:$B$60,2,FALSE)</f>
        <v>#N/A</v>
      </c>
      <c r="S115" s="34">
        <f>VLOOKUP($E115,'Retail Rates'!$B$7:$L$34,9,FALSE)</f>
        <v>0</v>
      </c>
      <c r="T115" s="35">
        <f>VLOOKUP($E115,'Retail Rates'!$B$7:$L$34,10,FALSE)</f>
        <v>0</v>
      </c>
      <c r="U115" s="34">
        <f>VLOOKUP($E115,'Retail Rates'!$B$7:$L$34,11,FALSE)</f>
        <v>0</v>
      </c>
      <c r="V115" s="556" t="e">
        <f>VLOOKUP($D115,'GSC-DSM-GLT Factors'!$A$1:$O$60,12,FALSE)</f>
        <v>#N/A</v>
      </c>
      <c r="W115" s="36">
        <f t="shared" si="200"/>
        <v>0</v>
      </c>
      <c r="X115" s="36"/>
      <c r="Y115" s="36">
        <f>+J115*O115</f>
        <v>0</v>
      </c>
      <c r="Z115" s="36">
        <f t="shared" si="201"/>
        <v>0</v>
      </c>
      <c r="AA115" s="36">
        <f t="shared" si="202"/>
        <v>0</v>
      </c>
      <c r="AB115" s="36" t="e">
        <f t="shared" si="203"/>
        <v>#N/A</v>
      </c>
      <c r="AC115" s="36"/>
      <c r="AD115" s="36"/>
      <c r="AE115" s="36">
        <f t="shared" si="216"/>
        <v>0</v>
      </c>
      <c r="AF115" s="36" t="e">
        <f t="shared" si="204"/>
        <v>#N/A</v>
      </c>
      <c r="AG115" s="57">
        <f>SUMIFS(Adjustments!H$5:H$557,Adjustments!$B$5:$B$557,'Mar16-Aug16 Billed-RETAIL'!$D115,Adjustments!$C$5:$C$557,'Mar16-Aug16 Billed-RETAIL'!$E115)</f>
        <v>0</v>
      </c>
      <c r="AH115" s="57">
        <f>SUMIFS(Adjustments!I$5:I$557,Adjustments!$B$5:$B$557,'Mar16-Aug16 Billed-RETAIL'!$D115,Adjustments!$C$5:$C$557,'Mar16-Aug16 Billed-RETAIL'!$E115)</f>
        <v>0</v>
      </c>
      <c r="AI115" s="48">
        <f>SUMIFS(Adjustments!J$5:J$557,Adjustments!$B$5:$B$557,'Mar16-Aug16 Billed-RETAIL'!$D115,Adjustments!$C$5:$C$557,'Mar16-Aug16 Billed-RETAIL'!$E115)</f>
        <v>0</v>
      </c>
      <c r="AJ115" s="48">
        <f>SUMIFS(Adjustments!K$5:K$557,Adjustments!$B$5:$B$557,'Mar16-Aug16 Billed-RETAIL'!$D115,Adjustments!$C$5:$C$557,'Mar16-Aug16 Billed-RETAIL'!$E115)</f>
        <v>0</v>
      </c>
      <c r="AK115" s="48">
        <f>SUMIFS(Adjustments!L$5:L$557,Adjustments!$B$5:$B$557,'Mar16-Aug16 Billed-RETAIL'!$D115,Adjustments!$C$5:$C$557,'Mar16-Aug16 Billed-RETAIL'!$E115)</f>
        <v>0</v>
      </c>
      <c r="AL115" s="48">
        <f>SUMIFS(Adjustments!M$5:M$557,Adjustments!$B$5:$B$557,'Mar16-Aug16 Billed-RETAIL'!$D115,Adjustments!$C$5:$C$557,'Mar16-Aug16 Billed-RETAIL'!$E115)</f>
        <v>0</v>
      </c>
      <c r="AM115" s="48">
        <f>SUMIFS(Adjustments!N$5:N$557,Adjustments!$B$5:$B$557,'Mar16-Aug16 Billed-RETAIL'!$D115,Adjustments!$C$5:$C$557,'Mar16-Aug16 Billed-RETAIL'!$E115)</f>
        <v>0</v>
      </c>
      <c r="AN115" s="48">
        <f>SUMIFS(Adjustments!O$5:O$557,Adjustments!$B$5:$B$557,'Mar16-Aug16 Billed-RETAIL'!$D115,Adjustments!$C$5:$C$557,'Mar16-Aug16 Billed-RETAIL'!$E115)</f>
        <v>0</v>
      </c>
      <c r="AO115" s="48">
        <f>SUMIFS(Adjustments!P$5:P$557,Adjustments!$B$5:$B$557,'Mar16-Aug16 Billed-RETAIL'!$D115,Adjustments!$C$5:$C$557,'Mar16-Aug16 Billed-RETAIL'!$E115)</f>
        <v>0</v>
      </c>
      <c r="AP115" s="36">
        <f t="shared" si="205"/>
        <v>0</v>
      </c>
      <c r="AQ115" s="36">
        <f t="shared" si="206"/>
        <v>0</v>
      </c>
      <c r="AR115" s="36">
        <f t="shared" si="207"/>
        <v>0</v>
      </c>
      <c r="AS115" s="36">
        <f t="shared" si="208"/>
        <v>0</v>
      </c>
      <c r="AT115" s="43">
        <f t="shared" si="217"/>
        <v>0</v>
      </c>
      <c r="AU115" s="43">
        <f t="shared" si="218"/>
        <v>0</v>
      </c>
      <c r="AV115" s="43"/>
      <c r="AW115" s="43">
        <f t="shared" si="219"/>
        <v>0</v>
      </c>
      <c r="AX115" s="36">
        <f t="shared" si="209"/>
        <v>0</v>
      </c>
      <c r="AY115" s="36"/>
      <c r="AZ115" s="43">
        <f t="shared" si="222"/>
        <v>0</v>
      </c>
      <c r="BA115" s="43">
        <f>SUM(BC115:BJ115)-BF115</f>
        <v>0</v>
      </c>
      <c r="BB115" s="44">
        <f t="shared" si="210"/>
        <v>0</v>
      </c>
      <c r="BC115" s="43">
        <f>(SUMIFS('Fin Forecast'!$H$4:$H$545,'Fin Forecast'!$B$4:$B$545,'Mar16-Aug16 Billed-RETAIL'!$E115,'Fin Forecast'!$C$4:$C$545,'Mar16-Aug16 Billed-RETAIL'!BC$5))*1000</f>
        <v>0</v>
      </c>
      <c r="BD115" s="43">
        <f>(SUMIFS('Fin Forecast'!$H$4:$H$545,'Fin Forecast'!$B$4:$B$545,'Mar16-Aug16 Billed-RETAIL'!$E115,'Fin Forecast'!$C$4:$C$545,'Mar16-Aug16 Billed-RETAIL'!BD$5))*1000</f>
        <v>0</v>
      </c>
      <c r="BE115" s="43">
        <v>0</v>
      </c>
      <c r="BF115" s="43">
        <v>0</v>
      </c>
      <c r="BG115" s="43">
        <f>(SUMIFS('Fin Forecast'!$H$4:$H$545,'Fin Forecast'!$B$4:$B$545,'Mar16-Aug16 Billed-RETAIL'!$E115,'Fin Forecast'!$C$4:$C$545,'Mar16-Aug16 Billed-RETAIL'!BG$5))*1000</f>
        <v>0</v>
      </c>
      <c r="BH115" s="43">
        <f>(SUMIFS('Fin Forecast'!$H$4:$H$545,'Fin Forecast'!$B$4:$B$545,'Mar16-Aug16 Billed-RETAIL'!$E115,'Fin Forecast'!$C$4:$C$545,'Mar16-Aug16 Billed-RETAIL'!BH$5))*1000</f>
        <v>0</v>
      </c>
      <c r="BI115" s="43">
        <f>(SUMIFS('Fin Forecast'!$H$4:$H$545,'Fin Forecast'!$B$4:$B$545,'Mar16-Aug16 Billed-RETAIL'!$E115,'Fin Forecast'!$C$4:$C$545,'Mar16-Aug16 Billed-RETAIL'!BI$5))*1000</f>
        <v>0</v>
      </c>
      <c r="BJ115" s="43">
        <f>(SUMIFS('Fin Forecast'!$H$4:$H$545,'Fin Forecast'!$B$4:$B$545,'Mar16-Aug16 Billed-RETAIL'!$E115,'Fin Forecast'!$C$4:$C$545,'Mar16-Aug16 Billed-RETAIL'!BJ$5))*1000</f>
        <v>0</v>
      </c>
      <c r="BL115" s="51">
        <f t="shared" si="211"/>
        <v>0</v>
      </c>
      <c r="BN115" s="58">
        <f t="shared" si="212"/>
        <v>0</v>
      </c>
      <c r="BO115" s="58">
        <f t="shared" si="213"/>
        <v>0</v>
      </c>
      <c r="BP115" s="58">
        <f t="shared" si="214"/>
        <v>0</v>
      </c>
    </row>
    <row r="116" spans="1:68" ht="15" x14ac:dyDescent="0.25">
      <c r="A116" s="548" t="s">
        <v>799</v>
      </c>
      <c r="B116" s="548" t="s">
        <v>800</v>
      </c>
      <c r="C116" s="14">
        <f t="shared" si="220"/>
        <v>95</v>
      </c>
      <c r="D116" s="604">
        <f t="shared" si="221"/>
        <v>42705</v>
      </c>
      <c r="E116" s="604" t="str">
        <f>+'Retail Rates'!$B$20</f>
        <v>LGCMG875</v>
      </c>
      <c r="F116" s="14" t="str">
        <f t="shared" si="215"/>
        <v>875</v>
      </c>
      <c r="G116" s="14" t="str">
        <f>VLOOKUP(E116,'Retail Rates'!$B$7:$D$34,3,FALSE)</f>
        <v>DGGS-C</v>
      </c>
      <c r="H116" s="546">
        <v>1</v>
      </c>
      <c r="I116" s="546"/>
      <c r="J116" s="546"/>
      <c r="K116" s="546">
        <v>6</v>
      </c>
      <c r="L116" s="546"/>
      <c r="M116" s="21">
        <v>483</v>
      </c>
      <c r="N116" s="34">
        <f>VLOOKUP($E116,'Retail Rates'!$B$7:$L$34,5,FALSE)</f>
        <v>40</v>
      </c>
      <c r="O116" s="34">
        <f>VLOOKUP($E116,'Retail Rates'!$B$7:$L$34,6,FALSE)</f>
        <v>180</v>
      </c>
      <c r="P116" s="35">
        <f>VLOOKUP($E116,'Retail Rates'!$B$7:$L$34,7,FALSE)</f>
        <v>3.329E-2</v>
      </c>
      <c r="Q116" s="35">
        <f>VLOOKUP($E116,'Retail Rates'!$B$7:$L$34,8,FALSE)</f>
        <v>0</v>
      </c>
      <c r="R116" s="35" t="e">
        <f>VLOOKUP($D116,'GSC-DSM-GLT Factors'!$A$1:$B$60,2,FALSE)</f>
        <v>#N/A</v>
      </c>
      <c r="S116" s="34">
        <f>VLOOKUP($E116,'Retail Rates'!$B$7:$L$34,9,FALSE)</f>
        <v>0</v>
      </c>
      <c r="T116" s="35">
        <f>VLOOKUP($E116,'Retail Rates'!$B$7:$L$34,10,FALSE)</f>
        <v>0</v>
      </c>
      <c r="U116" s="699">
        <f>VLOOKUP($E116,'Retail Rates'!$B$7:$L$34,11,FALSE)</f>
        <v>1.1263000000000001</v>
      </c>
      <c r="V116" s="556" t="e">
        <f>VLOOKUP($D116,'GSC-DSM-GLT Factors'!$A$1:$O$60,15,FALSE)</f>
        <v>#N/A</v>
      </c>
      <c r="W116" s="36">
        <f t="shared" si="200"/>
        <v>40</v>
      </c>
      <c r="X116" s="36"/>
      <c r="Y116" s="36"/>
      <c r="Z116" s="36">
        <f t="shared" si="201"/>
        <v>0.19974</v>
      </c>
      <c r="AA116" s="36">
        <f t="shared" si="202"/>
        <v>0</v>
      </c>
      <c r="AB116" s="36" t="e">
        <f t="shared" si="203"/>
        <v>#N/A</v>
      </c>
      <c r="AC116" s="36"/>
      <c r="AD116" s="36"/>
      <c r="AE116" s="36">
        <f t="shared" si="216"/>
        <v>544.00290000000007</v>
      </c>
      <c r="AF116" s="36" t="e">
        <f t="shared" si="204"/>
        <v>#N/A</v>
      </c>
      <c r="AG116" s="57">
        <f>SUMIFS(Adjustments!H$5:H$557,Adjustments!$B$5:$B$557,'Mar16-Aug16 Billed-RETAIL'!$D116,Adjustments!$C$5:$C$557,'Mar16-Aug16 Billed-RETAIL'!$E116)</f>
        <v>0</v>
      </c>
      <c r="AH116" s="57">
        <f>SUMIFS(Adjustments!I$5:I$557,Adjustments!$B$5:$B$557,'Mar16-Aug16 Billed-RETAIL'!$D116,Adjustments!$C$5:$C$557,'Mar16-Aug16 Billed-RETAIL'!$E116)</f>
        <v>0</v>
      </c>
      <c r="AI116" s="48">
        <f>SUMIFS(Adjustments!J$5:J$557,Adjustments!$B$5:$B$557,'Mar16-Aug16 Billed-RETAIL'!$D116,Adjustments!$C$5:$C$557,'Mar16-Aug16 Billed-RETAIL'!$E116)</f>
        <v>0</v>
      </c>
      <c r="AJ116" s="48">
        <f>SUMIFS(Adjustments!K$5:K$557,Adjustments!$B$5:$B$557,'Mar16-Aug16 Billed-RETAIL'!$D116,Adjustments!$C$5:$C$557,'Mar16-Aug16 Billed-RETAIL'!$E116)</f>
        <v>0</v>
      </c>
      <c r="AK116" s="48">
        <f>SUMIFS(Adjustments!L$5:L$557,Adjustments!$B$5:$B$557,'Mar16-Aug16 Billed-RETAIL'!$D116,Adjustments!$C$5:$C$557,'Mar16-Aug16 Billed-RETAIL'!$E116)</f>
        <v>0</v>
      </c>
      <c r="AL116" s="48">
        <f>SUMIFS(Adjustments!M$5:M$557,Adjustments!$B$5:$B$557,'Mar16-Aug16 Billed-RETAIL'!$D116,Adjustments!$C$5:$C$557,'Mar16-Aug16 Billed-RETAIL'!$E116)</f>
        <v>0</v>
      </c>
      <c r="AM116" s="48">
        <f>SUMIFS(Adjustments!N$5:N$557,Adjustments!$B$5:$B$557,'Mar16-Aug16 Billed-RETAIL'!$D116,Adjustments!$C$5:$C$557,'Mar16-Aug16 Billed-RETAIL'!$E116)</f>
        <v>0</v>
      </c>
      <c r="AN116" s="48">
        <f>SUMIFS(Adjustments!O$5:O$557,Adjustments!$B$5:$B$557,'Mar16-Aug16 Billed-RETAIL'!$D116,Adjustments!$C$5:$C$557,'Mar16-Aug16 Billed-RETAIL'!$E116)</f>
        <v>0</v>
      </c>
      <c r="AO116" s="48">
        <f>SUMIFS(Adjustments!P$5:P$557,Adjustments!$B$5:$B$557,'Mar16-Aug16 Billed-RETAIL'!$D116,Adjustments!$C$5:$C$557,'Mar16-Aug16 Billed-RETAIL'!$E116)</f>
        <v>0</v>
      </c>
      <c r="AP116" s="36">
        <f t="shared" si="205"/>
        <v>40</v>
      </c>
      <c r="AQ116" s="36">
        <f t="shared" si="206"/>
        <v>0</v>
      </c>
      <c r="AR116" s="36">
        <f t="shared" si="207"/>
        <v>0.19974</v>
      </c>
      <c r="AS116" s="36">
        <f t="shared" si="208"/>
        <v>0</v>
      </c>
      <c r="AT116" s="43">
        <f t="shared" si="217"/>
        <v>2.8322955927682196</v>
      </c>
      <c r="AU116" s="43">
        <f t="shared" si="218"/>
        <v>4.7403531472027395E-2</v>
      </c>
      <c r="AV116" s="43"/>
      <c r="AW116" s="43">
        <f t="shared" si="219"/>
        <v>0</v>
      </c>
      <c r="AX116" s="36">
        <f t="shared" si="209"/>
        <v>544.00290000000007</v>
      </c>
      <c r="AY116" s="36"/>
      <c r="AZ116" s="43">
        <f t="shared" si="222"/>
        <v>587.08000000000004</v>
      </c>
      <c r="BA116" s="43">
        <f>ROUND(SUM(BC116:BJ116)-BF116,2)</f>
        <v>587.08000000000004</v>
      </c>
      <c r="BB116" s="44">
        <f t="shared" si="210"/>
        <v>1</v>
      </c>
      <c r="BC116" s="43">
        <f>(SUMIFS('Fin Forecast'!$H$4:$H$545,'Fin Forecast'!$B$4:$B$545,'Mar16-Aug16 Billed-RETAIL'!$E116,'Fin Forecast'!$C$4:$C$545,'Mar16-Aug16 Billed-RETAIL'!BC$5))*1000</f>
        <v>4.7403531472027395E-2</v>
      </c>
      <c r="BD116" s="43">
        <f>(SUMIFS('Fin Forecast'!$H$4:$H$545,'Fin Forecast'!$B$4:$B$545,'Mar16-Aug16 Billed-RETAIL'!$E116,'Fin Forecast'!$C$4:$C$545,'Mar16-Aug16 Billed-RETAIL'!BD$5))*1000</f>
        <v>2.8322955927682196</v>
      </c>
      <c r="BE116" s="43">
        <v>0</v>
      </c>
      <c r="BF116" s="43">
        <v>0</v>
      </c>
      <c r="BG116" s="43">
        <f>(SUMIFS('Fin Forecast'!$H$4:$H$545,'Fin Forecast'!$B$4:$B$545,'Mar16-Aug16 Billed-RETAIL'!$E116,'Fin Forecast'!$C$4:$C$545,'Mar16-Aug16 Billed-RETAIL'!BG$5))*1000</f>
        <v>40</v>
      </c>
      <c r="BH116" s="43">
        <f>(SUMIFS('Fin Forecast'!$H$4:$H$545,'Fin Forecast'!$B$4:$B$545,'Mar16-Aug16 Billed-RETAIL'!$E116,'Fin Forecast'!$C$4:$C$545,'Mar16-Aug16 Billed-RETAIL'!BH$5))*1000</f>
        <v>0.199739999999999</v>
      </c>
      <c r="BI116" s="43">
        <f>(SUMIFS('Fin Forecast'!$H$4:$H$545,'Fin Forecast'!$B$4:$B$545,'Mar16-Aug16 Billed-RETAIL'!$E116,'Fin Forecast'!$C$4:$C$545,'Mar16-Aug16 Billed-RETAIL'!BI$5))*1000</f>
        <v>544.00289999999995</v>
      </c>
      <c r="BJ116" s="43">
        <f>(SUMIFS('Fin Forecast'!$H$4:$H$545,'Fin Forecast'!$B$4:$B$545,'Mar16-Aug16 Billed-RETAIL'!$E116,'Fin Forecast'!$C$4:$C$545,'Mar16-Aug16 Billed-RETAIL'!BJ$5))*1000</f>
        <v>0</v>
      </c>
      <c r="BL116" s="51">
        <f t="shared" si="211"/>
        <v>0</v>
      </c>
      <c r="BN116" s="58">
        <f t="shared" si="212"/>
        <v>0</v>
      </c>
      <c r="BO116" s="58">
        <f t="shared" si="213"/>
        <v>9.9920072216264089E-16</v>
      </c>
      <c r="BP116" s="58">
        <f t="shared" si="214"/>
        <v>0</v>
      </c>
    </row>
    <row r="117" spans="1:68" ht="15" x14ac:dyDescent="0.25">
      <c r="A117" s="21" t="s">
        <v>801</v>
      </c>
      <c r="B117" s="21" t="s">
        <v>802</v>
      </c>
      <c r="C117" s="14">
        <f t="shared" si="220"/>
        <v>96</v>
      </c>
      <c r="D117" s="604">
        <f t="shared" si="221"/>
        <v>42705</v>
      </c>
      <c r="E117" s="604" t="str">
        <f>+'Retail Rates'!$B$26</f>
        <v>LGING855</v>
      </c>
      <c r="F117" s="14" t="str">
        <f t="shared" si="215"/>
        <v>855</v>
      </c>
      <c r="G117" s="14" t="s">
        <v>118</v>
      </c>
      <c r="H117" s="546"/>
      <c r="I117" s="546">
        <f>SUMIFS('Forecasted Customer Cts'!$Q$5:$Q$36,'Forecasted Customer Cts'!$D$5:$D$36,'Mar16-Aug16 Billed-RETAIL'!$E117,'Forecasted Customer Cts'!$C$5:$C$36,'Mar16-Aug16 Billed-RETAIL'!$A$78)</f>
        <v>144</v>
      </c>
      <c r="J117" s="546">
        <f>SUMIFS('Forecasted Customer Cts'!$Q$5:$Q$36,'Forecasted Customer Cts'!$D$5:$D$36,'Mar16-Aug16 Billed-RETAIL'!$E117,'Forecasted Customer Cts'!$C$5:$C$36,'Mar16-Aug16 Billed-RETAIL'!$B$78)</f>
        <v>112</v>
      </c>
      <c r="K117" s="546">
        <f>SUMIF('Forecasted Calendar Month Usage'!$D$5:$D$41,'Mar16-Aug16 Billed-RETAIL'!$E117,'Forecasted Calendar Month Usage'!$Q$5:$Q$41)*10</f>
        <v>1797873.4460673362</v>
      </c>
      <c r="L117" s="546"/>
      <c r="N117" s="34">
        <f>VLOOKUP($E117,'Retail Rates'!$B$7:$L$34,5,FALSE)</f>
        <v>40</v>
      </c>
      <c r="O117" s="34">
        <f>VLOOKUP($E117,'Retail Rates'!$B$7:$L$34,6,FALSE)</f>
        <v>180</v>
      </c>
      <c r="P117" s="35">
        <f>VLOOKUP($E117,'Retail Rates'!$B$7:$L$34,7,FALSE)</f>
        <v>0.22778999999999999</v>
      </c>
      <c r="Q117" s="35">
        <f>VLOOKUP($E117,'Retail Rates'!$B$7:$L$34,8,FALSE)</f>
        <v>0.17779</v>
      </c>
      <c r="R117" s="35" t="e">
        <f>VLOOKUP($D117,'GSC-DSM-GLT Factors'!$A$1:$B$60,2,FALSE)</f>
        <v>#N/A</v>
      </c>
      <c r="S117" s="34">
        <f>VLOOKUP($E117,'Retail Rates'!$B$7:$L$34,9,FALSE)</f>
        <v>0</v>
      </c>
      <c r="T117" s="35">
        <f>VLOOKUP($E117,'Retail Rates'!$B$7:$L$34,10,FALSE)</f>
        <v>0</v>
      </c>
      <c r="U117" s="34">
        <f>VLOOKUP($E117,'Retail Rates'!$B$7:$L$34,11,FALSE)</f>
        <v>0</v>
      </c>
      <c r="V117" s="556" t="e">
        <f>VLOOKUP($D117,'GSC-DSM-GLT Factors'!$A$1:$O$60,13,FALSE)</f>
        <v>#N/A</v>
      </c>
      <c r="W117" s="36">
        <f t="shared" si="200"/>
        <v>5760</v>
      </c>
      <c r="X117" s="36"/>
      <c r="Y117" s="36">
        <f>+J117*O117</f>
        <v>20160</v>
      </c>
      <c r="Z117" s="36">
        <f t="shared" si="201"/>
        <v>409537.5922796785</v>
      </c>
      <c r="AA117" s="36">
        <f t="shared" si="202"/>
        <v>0</v>
      </c>
      <c r="AB117" s="36" t="e">
        <f t="shared" si="203"/>
        <v>#N/A</v>
      </c>
      <c r="AC117" s="36"/>
      <c r="AD117" s="36"/>
      <c r="AE117" s="36">
        <f t="shared" si="216"/>
        <v>0</v>
      </c>
      <c r="AF117" s="36" t="e">
        <f>(+I117*V117)+(J117*V117)</f>
        <v>#N/A</v>
      </c>
      <c r="AG117" s="57">
        <f>SUMIFS(Adjustments!H$5:H$557,Adjustments!$B$5:$B$557,'Mar16-Aug16 Billed-RETAIL'!$D117,Adjustments!$C$5:$C$557,'Mar16-Aug16 Billed-RETAIL'!$E117)</f>
        <v>0</v>
      </c>
      <c r="AH117" s="57">
        <f>SUMIFS(Adjustments!I$5:I$557,Adjustments!$B$5:$B$557,'Mar16-Aug16 Billed-RETAIL'!$D117,Adjustments!$C$5:$C$557,'Mar16-Aug16 Billed-RETAIL'!$E117)</f>
        <v>0</v>
      </c>
      <c r="AI117" s="48">
        <f>SUMIFS(Adjustments!J$5:J$557,Adjustments!$B$5:$B$557,'Mar16-Aug16 Billed-RETAIL'!$D117,Adjustments!$C$5:$C$557,'Mar16-Aug16 Billed-RETAIL'!$E117)</f>
        <v>0</v>
      </c>
      <c r="AJ117" s="48">
        <f>SUMIFS(Adjustments!K$5:K$557,Adjustments!$B$5:$B$557,'Mar16-Aug16 Billed-RETAIL'!$D117,Adjustments!$C$5:$C$557,'Mar16-Aug16 Billed-RETAIL'!$E117)</f>
        <v>0</v>
      </c>
      <c r="AK117" s="48">
        <f>SUMIFS(Adjustments!L$5:L$557,Adjustments!$B$5:$B$557,'Mar16-Aug16 Billed-RETAIL'!$D117,Adjustments!$C$5:$C$557,'Mar16-Aug16 Billed-RETAIL'!$E117)</f>
        <v>0</v>
      </c>
      <c r="AL117" s="48">
        <f>SUMIFS(Adjustments!M$5:M$557,Adjustments!$B$5:$B$557,'Mar16-Aug16 Billed-RETAIL'!$D117,Adjustments!$C$5:$C$557,'Mar16-Aug16 Billed-RETAIL'!$E117)</f>
        <v>0</v>
      </c>
      <c r="AM117" s="48">
        <f>SUMIFS(Adjustments!N$5:N$557,Adjustments!$B$5:$B$557,'Mar16-Aug16 Billed-RETAIL'!$D117,Adjustments!$C$5:$C$557,'Mar16-Aug16 Billed-RETAIL'!$E117)</f>
        <v>0</v>
      </c>
      <c r="AN117" s="48">
        <f>SUMIFS(Adjustments!O$5:O$557,Adjustments!$B$5:$B$557,'Mar16-Aug16 Billed-RETAIL'!$D117,Adjustments!$C$5:$C$557,'Mar16-Aug16 Billed-RETAIL'!$E117)</f>
        <v>0</v>
      </c>
      <c r="AO117" s="48">
        <f>SUMIFS(Adjustments!P$5:P$557,Adjustments!$B$5:$B$557,'Mar16-Aug16 Billed-RETAIL'!$D117,Adjustments!$C$5:$C$557,'Mar16-Aug16 Billed-RETAIL'!$E117)</f>
        <v>0</v>
      </c>
      <c r="AP117" s="36">
        <f t="shared" si="205"/>
        <v>5760</v>
      </c>
      <c r="AQ117" s="36">
        <f t="shared" si="206"/>
        <v>20160</v>
      </c>
      <c r="AR117" s="36">
        <f t="shared" si="207"/>
        <v>409537.5922796785</v>
      </c>
      <c r="AS117" s="36">
        <f t="shared" si="208"/>
        <v>0</v>
      </c>
      <c r="AT117" s="43">
        <f t="shared" si="217"/>
        <v>848684.83960984601</v>
      </c>
      <c r="AU117" s="43">
        <f t="shared" si="218"/>
        <v>0</v>
      </c>
      <c r="AV117" s="43"/>
      <c r="AW117" s="43">
        <f t="shared" si="219"/>
        <v>60272.036754021836</v>
      </c>
      <c r="AX117" s="36">
        <f t="shared" si="209"/>
        <v>0</v>
      </c>
      <c r="AY117" s="36"/>
      <c r="AZ117" s="43">
        <f t="shared" si="222"/>
        <v>1344414.47</v>
      </c>
      <c r="BA117" s="43">
        <f>SUM(BC117:BJ117)-BF117</f>
        <v>1344414.4686441529</v>
      </c>
      <c r="BB117" s="44">
        <f t="shared" si="210"/>
        <v>1</v>
      </c>
      <c r="BC117" s="43">
        <f>(SUMIFS('Fin Forecast'!$H$4:$H$545,'Fin Forecast'!$B$4:$B$545,'Mar16-Aug16 Billed-RETAIL'!$E117,'Fin Forecast'!$C$4:$C$545,'Mar16-Aug16 Billed-RETAIL'!BC$5))*1000</f>
        <v>0</v>
      </c>
      <c r="BD117" s="43">
        <f>(SUMIFS('Fin Forecast'!$H$4:$H$545,'Fin Forecast'!$B$4:$B$545,'Mar16-Aug16 Billed-RETAIL'!$E117,'Fin Forecast'!$C$4:$C$545,'Mar16-Aug16 Billed-RETAIL'!BD$5))*1000</f>
        <v>848684.83960984601</v>
      </c>
      <c r="BE117" s="43">
        <v>0</v>
      </c>
      <c r="BF117" s="43">
        <v>0</v>
      </c>
      <c r="BG117" s="43">
        <f>(SUMIFS('Fin Forecast'!$H$4:$H$545,'Fin Forecast'!$B$4:$B$545,'Mar16-Aug16 Billed-RETAIL'!$E117,'Fin Forecast'!$C$4:$C$545,'Mar16-Aug16 Billed-RETAIL'!BG$5))*1000</f>
        <v>25920</v>
      </c>
      <c r="BH117" s="43">
        <f>(SUMIFS('Fin Forecast'!$H$4:$H$545,'Fin Forecast'!$B$4:$B$545,'Mar16-Aug16 Billed-RETAIL'!$E117,'Fin Forecast'!$C$4:$C$545,'Mar16-Aug16 Billed-RETAIL'!BH$5))*1000</f>
        <v>409537.59228028497</v>
      </c>
      <c r="BI117" s="43">
        <f>(SUMIFS('Fin Forecast'!$H$4:$H$545,'Fin Forecast'!$B$4:$B$545,'Mar16-Aug16 Billed-RETAIL'!$E117,'Fin Forecast'!$C$4:$C$545,'Mar16-Aug16 Billed-RETAIL'!BI$5))*1000</f>
        <v>0</v>
      </c>
      <c r="BJ117" s="43">
        <f>(SUMIFS('Fin Forecast'!$H$4:$H$545,'Fin Forecast'!$B$4:$B$545,'Mar16-Aug16 Billed-RETAIL'!$E117,'Fin Forecast'!$C$4:$C$545,'Mar16-Aug16 Billed-RETAIL'!BJ$5))*1000</f>
        <v>60272.036754021836</v>
      </c>
      <c r="BL117" s="51">
        <f t="shared" si="211"/>
        <v>1.3558471109718084E-3</v>
      </c>
      <c r="BN117" s="58">
        <f t="shared" si="212"/>
        <v>0</v>
      </c>
      <c r="BO117" s="58">
        <f t="shared" si="213"/>
        <v>-6.0646561905741692E-7</v>
      </c>
      <c r="BP117" s="58">
        <f t="shared" si="214"/>
        <v>0</v>
      </c>
    </row>
    <row r="118" spans="1:68" ht="15" x14ac:dyDescent="0.25">
      <c r="C118" s="14">
        <f t="shared" si="220"/>
        <v>97</v>
      </c>
      <c r="D118" s="604">
        <f t="shared" si="221"/>
        <v>42705</v>
      </c>
      <c r="E118" s="604" t="str">
        <f>+'Retail Rates'!$B$27</f>
        <v>LGING855DS</v>
      </c>
      <c r="F118" s="14" t="str">
        <f t="shared" si="215"/>
        <v>855</v>
      </c>
      <c r="G118" s="14" t="str">
        <f>VLOOKUP(E118,'Retail Rates'!$B$7:$D$34,3,FALSE)</f>
        <v>IGS</v>
      </c>
      <c r="H118" s="546"/>
      <c r="I118" s="546"/>
      <c r="J118" s="546"/>
      <c r="K118" s="545"/>
      <c r="L118" s="545"/>
      <c r="N118" s="34">
        <f>VLOOKUP($E118,'Retail Rates'!$B$7:$L$34,5,FALSE)</f>
        <v>40</v>
      </c>
      <c r="O118" s="34">
        <f>VLOOKUP($E118,'Retail Rates'!$B$7:$L$34,6,FALSE)</f>
        <v>180</v>
      </c>
      <c r="P118" s="35">
        <f>VLOOKUP($E118,'Retail Rates'!$B$7:$L$34,7,FALSE)</f>
        <v>0.22778999999999999</v>
      </c>
      <c r="Q118" s="35">
        <f>VLOOKUP($E118,'Retail Rates'!$B$7:$L$34,8,FALSE)</f>
        <v>0.17779</v>
      </c>
      <c r="R118" s="35" t="e">
        <f>VLOOKUP($D118,'GSC-DSM-GLT Factors'!$A$1:$B$60,2,FALSE)</f>
        <v>#N/A</v>
      </c>
      <c r="S118" s="34">
        <f>VLOOKUP($E118,'Retail Rates'!$B$7:$L$34,9,FALSE)</f>
        <v>0</v>
      </c>
      <c r="T118" s="35">
        <f>VLOOKUP($E118,'Retail Rates'!$B$7:$L$34,10,FALSE)</f>
        <v>0</v>
      </c>
      <c r="U118" s="34">
        <f>VLOOKUP($E118,'Retail Rates'!$B$7:$L$34,11,FALSE)</f>
        <v>0</v>
      </c>
      <c r="V118" s="556" t="e">
        <f>VLOOKUP($D118,'GSC-DSM-GLT Factors'!$A$1:$O$60,13,FALSE)</f>
        <v>#N/A</v>
      </c>
      <c r="W118" s="36">
        <f t="shared" si="200"/>
        <v>0</v>
      </c>
      <c r="X118" s="36"/>
      <c r="Y118" s="36">
        <f>+J118*O118</f>
        <v>0</v>
      </c>
      <c r="Z118" s="36">
        <f t="shared" si="201"/>
        <v>0</v>
      </c>
      <c r="AA118" s="36">
        <f t="shared" si="202"/>
        <v>0</v>
      </c>
      <c r="AB118" s="36" t="e">
        <f t="shared" si="203"/>
        <v>#N/A</v>
      </c>
      <c r="AC118" s="36"/>
      <c r="AD118" s="36"/>
      <c r="AE118" s="36">
        <f t="shared" si="216"/>
        <v>0</v>
      </c>
      <c r="AF118" s="36" t="e">
        <f>(+I118*V118)+(J118*V118)</f>
        <v>#N/A</v>
      </c>
      <c r="AG118" s="57">
        <f>SUMIFS(Adjustments!H$5:H$557,Adjustments!$B$5:$B$557,'Mar16-Aug16 Billed-RETAIL'!$D118,Adjustments!$C$5:$C$557,'Mar16-Aug16 Billed-RETAIL'!$E118)</f>
        <v>0</v>
      </c>
      <c r="AH118" s="57">
        <f>SUMIFS(Adjustments!I$5:I$557,Adjustments!$B$5:$B$557,'Mar16-Aug16 Billed-RETAIL'!$D118,Adjustments!$C$5:$C$557,'Mar16-Aug16 Billed-RETAIL'!$E118)</f>
        <v>0</v>
      </c>
      <c r="AI118" s="48">
        <f>SUMIFS(Adjustments!J$5:J$557,Adjustments!$B$5:$B$557,'Mar16-Aug16 Billed-RETAIL'!$D118,Adjustments!$C$5:$C$557,'Mar16-Aug16 Billed-RETAIL'!$E118)</f>
        <v>0</v>
      </c>
      <c r="AJ118" s="48">
        <f>SUMIFS(Adjustments!K$5:K$557,Adjustments!$B$5:$B$557,'Mar16-Aug16 Billed-RETAIL'!$D118,Adjustments!$C$5:$C$557,'Mar16-Aug16 Billed-RETAIL'!$E118)</f>
        <v>0</v>
      </c>
      <c r="AK118" s="48">
        <f>SUMIFS(Adjustments!L$5:L$557,Adjustments!$B$5:$B$557,'Mar16-Aug16 Billed-RETAIL'!$D118,Adjustments!$C$5:$C$557,'Mar16-Aug16 Billed-RETAIL'!$E118)</f>
        <v>0</v>
      </c>
      <c r="AL118" s="48">
        <f>SUMIFS(Adjustments!M$5:M$557,Adjustments!$B$5:$B$557,'Mar16-Aug16 Billed-RETAIL'!$D118,Adjustments!$C$5:$C$557,'Mar16-Aug16 Billed-RETAIL'!$E118)</f>
        <v>0</v>
      </c>
      <c r="AM118" s="48">
        <f>SUMIFS(Adjustments!N$5:N$557,Adjustments!$B$5:$B$557,'Mar16-Aug16 Billed-RETAIL'!$D118,Adjustments!$C$5:$C$557,'Mar16-Aug16 Billed-RETAIL'!$E118)</f>
        <v>0</v>
      </c>
      <c r="AN118" s="48">
        <f>SUMIFS(Adjustments!O$5:O$557,Adjustments!$B$5:$B$557,'Mar16-Aug16 Billed-RETAIL'!$D118,Adjustments!$C$5:$C$557,'Mar16-Aug16 Billed-RETAIL'!$E118)</f>
        <v>0</v>
      </c>
      <c r="AO118" s="48">
        <f>SUMIFS(Adjustments!P$5:P$557,Adjustments!$B$5:$B$557,'Mar16-Aug16 Billed-RETAIL'!$D118,Adjustments!$C$5:$C$557,'Mar16-Aug16 Billed-RETAIL'!$E118)</f>
        <v>0</v>
      </c>
      <c r="AP118" s="36">
        <f>+W118+AI118+(AG118*N118)</f>
        <v>0</v>
      </c>
      <c r="AQ118" s="36">
        <f t="shared" si="206"/>
        <v>0</v>
      </c>
      <c r="AR118" s="36">
        <f t="shared" si="207"/>
        <v>0</v>
      </c>
      <c r="AS118" s="36">
        <f t="shared" si="208"/>
        <v>0</v>
      </c>
      <c r="AT118" s="43">
        <f t="shared" si="217"/>
        <v>0</v>
      </c>
      <c r="AU118" s="43">
        <f t="shared" si="218"/>
        <v>0</v>
      </c>
      <c r="AV118" s="43"/>
      <c r="AW118" s="43">
        <f t="shared" si="219"/>
        <v>0</v>
      </c>
      <c r="AX118" s="36">
        <f t="shared" si="209"/>
        <v>0</v>
      </c>
      <c r="AY118" s="36"/>
      <c r="AZ118" s="43">
        <f t="shared" si="222"/>
        <v>0</v>
      </c>
      <c r="BA118" s="43">
        <f>SUM(BC118:BJ118)-BF118</f>
        <v>0</v>
      </c>
      <c r="BB118" s="44">
        <f t="shared" si="210"/>
        <v>0</v>
      </c>
      <c r="BC118" s="43">
        <f>(SUMIFS('Fin Forecast'!$H$4:$H$545,'Fin Forecast'!$B$4:$B$545,'Mar16-Aug16 Billed-RETAIL'!$E118,'Fin Forecast'!$C$4:$C$545,'Mar16-Aug16 Billed-RETAIL'!BC$5))*1000</f>
        <v>0</v>
      </c>
      <c r="BD118" s="43">
        <f>(SUMIFS('Fin Forecast'!$H$4:$H$545,'Fin Forecast'!$B$4:$B$545,'Mar16-Aug16 Billed-RETAIL'!$E118,'Fin Forecast'!$C$4:$C$545,'Mar16-Aug16 Billed-RETAIL'!BD$5))*1000</f>
        <v>0</v>
      </c>
      <c r="BE118" s="43">
        <v>0</v>
      </c>
      <c r="BF118" s="43">
        <v>0</v>
      </c>
      <c r="BG118" s="43">
        <f>(SUMIFS('Fin Forecast'!$H$4:$H$545,'Fin Forecast'!$B$4:$B$545,'Mar16-Aug16 Billed-RETAIL'!$E118,'Fin Forecast'!$C$4:$C$545,'Mar16-Aug16 Billed-RETAIL'!BG$5))*1000</f>
        <v>0</v>
      </c>
      <c r="BH118" s="43">
        <f>(SUMIFS('Fin Forecast'!$H$4:$H$545,'Fin Forecast'!$B$4:$B$545,'Mar16-Aug16 Billed-RETAIL'!$E118,'Fin Forecast'!$C$4:$C$545,'Mar16-Aug16 Billed-RETAIL'!BH$5))*1000</f>
        <v>0</v>
      </c>
      <c r="BI118" s="43">
        <f>(SUMIFS('Fin Forecast'!$H$4:$H$545,'Fin Forecast'!$B$4:$B$545,'Mar16-Aug16 Billed-RETAIL'!$E118,'Fin Forecast'!$C$4:$C$545,'Mar16-Aug16 Billed-RETAIL'!BI$5))*1000</f>
        <v>0</v>
      </c>
      <c r="BJ118" s="43">
        <f>(SUMIFS('Fin Forecast'!$H$4:$H$545,'Fin Forecast'!$B$4:$B$545,'Mar16-Aug16 Billed-RETAIL'!$E118,'Fin Forecast'!$C$4:$C$545,'Mar16-Aug16 Billed-RETAIL'!BJ$5))*1000</f>
        <v>0</v>
      </c>
      <c r="BL118" s="51">
        <f t="shared" si="211"/>
        <v>0</v>
      </c>
      <c r="BN118" s="58">
        <f t="shared" si="212"/>
        <v>0</v>
      </c>
      <c r="BO118" s="58">
        <f t="shared" si="213"/>
        <v>0</v>
      </c>
      <c r="BP118" s="58">
        <f t="shared" si="214"/>
        <v>0</v>
      </c>
    </row>
    <row r="119" spans="1:68" ht="15" x14ac:dyDescent="0.25">
      <c r="C119" s="14">
        <f t="shared" si="220"/>
        <v>98</v>
      </c>
      <c r="D119" s="604">
        <f t="shared" si="221"/>
        <v>42705</v>
      </c>
      <c r="E119" s="604" t="str">
        <f>+'Retail Rates'!$B$31</f>
        <v>LGRSG811</v>
      </c>
      <c r="F119" s="14" t="str">
        <f t="shared" si="215"/>
        <v>811</v>
      </c>
      <c r="G119" s="14" t="str">
        <f>VLOOKUP(E119,'Retail Rates'!$B$7:$D$34,3,FALSE)</f>
        <v>RGS</v>
      </c>
      <c r="H119" s="546">
        <f>SUMIF('Forecasted Customer Cts'!$D$5:$D$36,'Mar16-Aug16 Billed-RETAIL'!$E119,'Forecasted Customer Cts'!$Q$5:$Q$36)</f>
        <v>296171</v>
      </c>
      <c r="I119" s="546"/>
      <c r="J119" s="546"/>
      <c r="K119" s="546">
        <f>SUMIF('Forecasted Calendar Month Usage'!$D$5:$D$41,'Mar16-Aug16 Billed-RETAIL'!$E119,'Forecasted Calendar Month Usage'!$Q$5:$Q$41)*10</f>
        <v>34700930.340371616</v>
      </c>
      <c r="L119" s="545"/>
      <c r="N119" s="34">
        <f>VLOOKUP($E119,'Retail Rates'!$B$7:$L$34,5,FALSE)</f>
        <v>13.5</v>
      </c>
      <c r="O119" s="34">
        <f>VLOOKUP($E119,'Retail Rates'!$B$7:$L$34,6,FALSE)</f>
        <v>0</v>
      </c>
      <c r="P119" s="35">
        <f>VLOOKUP($E119,'Retail Rates'!$B$7:$L$34,7,FALSE)</f>
        <v>0.28693000000000002</v>
      </c>
      <c r="Q119" s="35">
        <f>VLOOKUP($E119,'Retail Rates'!$B$7:$L$34,8,FALSE)</f>
        <v>0</v>
      </c>
      <c r="R119" s="35" t="e">
        <f>VLOOKUP($D119,'GSC-DSM-GLT Factors'!$A$1:$B$60,2,FALSE)</f>
        <v>#N/A</v>
      </c>
      <c r="S119" s="34">
        <f>VLOOKUP($E119,'Retail Rates'!$B$7:$L$34,9,FALSE)</f>
        <v>0</v>
      </c>
      <c r="T119" s="35">
        <f>VLOOKUP($E119,'Retail Rates'!$B$7:$L$34,10,FALSE)</f>
        <v>0</v>
      </c>
      <c r="U119" s="34">
        <f>VLOOKUP($E119,'Retail Rates'!$B$7:$L$34,11,FALSE)</f>
        <v>0</v>
      </c>
      <c r="V119" s="556" t="e">
        <f>VLOOKUP($D119,'GSC-DSM-GLT Factors'!$A$1:$O$60,10,FALSE)</f>
        <v>#N/A</v>
      </c>
      <c r="W119" s="36">
        <f t="shared" si="200"/>
        <v>3998308.5</v>
      </c>
      <c r="X119" s="36"/>
      <c r="Y119" s="36"/>
      <c r="Z119" s="36">
        <f t="shared" si="201"/>
        <v>9956737.9425628278</v>
      </c>
      <c r="AA119" s="36">
        <f t="shared" si="202"/>
        <v>0</v>
      </c>
      <c r="AB119" s="36" t="e">
        <f t="shared" si="203"/>
        <v>#N/A</v>
      </c>
      <c r="AC119" s="36"/>
      <c r="AD119" s="36"/>
      <c r="AE119" s="36">
        <f t="shared" si="216"/>
        <v>0</v>
      </c>
      <c r="AF119" s="36" t="e">
        <f>(+H119*V119)+(I119*V119)</f>
        <v>#N/A</v>
      </c>
      <c r="AG119" s="57">
        <f>SUMIFS(Adjustments!H$5:H$557,Adjustments!$B$5:$B$557,'Mar16-Aug16 Billed-RETAIL'!$D119,Adjustments!$C$5:$C$557,'Mar16-Aug16 Billed-RETAIL'!$E119)</f>
        <v>0</v>
      </c>
      <c r="AH119" s="57">
        <f>SUMIFS(Adjustments!I$5:I$557,Adjustments!$B$5:$B$557,'Mar16-Aug16 Billed-RETAIL'!$D119,Adjustments!$C$5:$C$557,'Mar16-Aug16 Billed-RETAIL'!$E119)</f>
        <v>0</v>
      </c>
      <c r="AI119" s="48">
        <f>SUMIFS(Adjustments!J$5:J$557,Adjustments!$B$5:$B$557,'Mar16-Aug16 Billed-RETAIL'!$D119,Adjustments!$C$5:$C$557,'Mar16-Aug16 Billed-RETAIL'!$E119)</f>
        <v>0</v>
      </c>
      <c r="AJ119" s="48">
        <f>SUMIFS(Adjustments!K$5:K$557,Adjustments!$B$5:$B$557,'Mar16-Aug16 Billed-RETAIL'!$D119,Adjustments!$C$5:$C$557,'Mar16-Aug16 Billed-RETAIL'!$E119)</f>
        <v>0</v>
      </c>
      <c r="AK119" s="48">
        <f>SUMIFS(Adjustments!L$5:L$557,Adjustments!$B$5:$B$557,'Mar16-Aug16 Billed-RETAIL'!$D119,Adjustments!$C$5:$C$557,'Mar16-Aug16 Billed-RETAIL'!$E119)</f>
        <v>0</v>
      </c>
      <c r="AL119" s="48">
        <f>SUMIFS(Adjustments!M$5:M$557,Adjustments!$B$5:$B$557,'Mar16-Aug16 Billed-RETAIL'!$D119,Adjustments!$C$5:$C$557,'Mar16-Aug16 Billed-RETAIL'!$E119)</f>
        <v>0</v>
      </c>
      <c r="AM119" s="48">
        <f>SUMIFS(Adjustments!N$5:N$557,Adjustments!$B$5:$B$557,'Mar16-Aug16 Billed-RETAIL'!$D119,Adjustments!$C$5:$C$557,'Mar16-Aug16 Billed-RETAIL'!$E119)</f>
        <v>0</v>
      </c>
      <c r="AN119" s="48">
        <f>SUMIFS(Adjustments!O$5:O$557,Adjustments!$B$5:$B$557,'Mar16-Aug16 Billed-RETAIL'!$D119,Adjustments!$C$5:$C$557,'Mar16-Aug16 Billed-RETAIL'!$E119)</f>
        <v>0</v>
      </c>
      <c r="AO119" s="48">
        <f>SUMIFS(Adjustments!P$5:P$557,Adjustments!$B$5:$B$557,'Mar16-Aug16 Billed-RETAIL'!$D119,Adjustments!$C$5:$C$557,'Mar16-Aug16 Billed-RETAIL'!$E119)</f>
        <v>0</v>
      </c>
      <c r="AP119" s="36">
        <f>+W119+AI119+(AG119*N119)</f>
        <v>3998308.5</v>
      </c>
      <c r="AQ119" s="36">
        <f t="shared" si="206"/>
        <v>0</v>
      </c>
      <c r="AR119" s="36">
        <f t="shared" si="207"/>
        <v>9956737.9425628278</v>
      </c>
      <c r="AS119" s="36">
        <f t="shared" si="208"/>
        <v>0</v>
      </c>
      <c r="AT119" s="43">
        <f t="shared" si="217"/>
        <v>16380548.677942999</v>
      </c>
      <c r="AU119" s="43">
        <f t="shared" si="218"/>
        <v>274157.77391547599</v>
      </c>
      <c r="AV119" s="43"/>
      <c r="AW119" s="43">
        <f t="shared" si="219"/>
        <v>1499713.5563643898</v>
      </c>
      <c r="AX119" s="36">
        <f t="shared" si="209"/>
        <v>0</v>
      </c>
      <c r="AY119" s="36"/>
      <c r="AZ119" s="43">
        <f t="shared" si="222"/>
        <v>32109466.449999999</v>
      </c>
      <c r="BA119" s="43">
        <f>SUM(BC119:BJ119)-BF119</f>
        <v>32109466.450751934</v>
      </c>
      <c r="BB119" s="44">
        <f t="shared" si="210"/>
        <v>1</v>
      </c>
      <c r="BC119" s="43">
        <f>(SUMIFS('Fin Forecast'!$H$4:$H$545,'Fin Forecast'!$B$4:$B$545,'Mar16-Aug16 Billed-RETAIL'!$E119,'Fin Forecast'!$C$4:$C$545,'Mar16-Aug16 Billed-RETAIL'!BC$5))*1000</f>
        <v>274157.77391547599</v>
      </c>
      <c r="BD119" s="43">
        <f>(SUMIFS('Fin Forecast'!$H$4:$H$545,'Fin Forecast'!$B$4:$B$545,'Mar16-Aug16 Billed-RETAIL'!$E119,'Fin Forecast'!$C$4:$C$545,'Mar16-Aug16 Billed-RETAIL'!BD$5))*1000</f>
        <v>16380548.677942999</v>
      </c>
      <c r="BE119" s="43">
        <v>0</v>
      </c>
      <c r="BF119" s="43">
        <v>0</v>
      </c>
      <c r="BG119" s="43">
        <f>(SUMIFS('Fin Forecast'!$H$4:$H$545,'Fin Forecast'!$B$4:$B$545,'Mar16-Aug16 Billed-RETAIL'!$E119,'Fin Forecast'!$C$4:$C$545,'Mar16-Aug16 Billed-RETAIL'!BG$5))*1000</f>
        <v>3998308.5</v>
      </c>
      <c r="BH119" s="43">
        <f>(SUMIFS('Fin Forecast'!$H$4:$H$545,'Fin Forecast'!$B$4:$B$545,'Mar16-Aug16 Billed-RETAIL'!$E119,'Fin Forecast'!$C$4:$C$545,'Mar16-Aug16 Billed-RETAIL'!BH$5))*1000</f>
        <v>9956737.9425290693</v>
      </c>
      <c r="BI119" s="43">
        <f>(SUMIFS('Fin Forecast'!$H$4:$H$545,'Fin Forecast'!$B$4:$B$545,'Mar16-Aug16 Billed-RETAIL'!$E119,'Fin Forecast'!$C$4:$C$545,'Mar16-Aug16 Billed-RETAIL'!BI$5))*1000</f>
        <v>0</v>
      </c>
      <c r="BJ119" s="43">
        <f>(SUMIFS('Fin Forecast'!$H$4:$H$545,'Fin Forecast'!$B$4:$B$545,'Mar16-Aug16 Billed-RETAIL'!$E119,'Fin Forecast'!$C$4:$C$545,'Mar16-Aug16 Billed-RETAIL'!BJ$5))*1000</f>
        <v>1499713.5563643898</v>
      </c>
      <c r="BL119" s="51">
        <f t="shared" si="211"/>
        <v>-7.5193494558334351E-4</v>
      </c>
      <c r="BN119" s="58">
        <f t="shared" si="212"/>
        <v>0</v>
      </c>
      <c r="BO119" s="58">
        <f t="shared" si="213"/>
        <v>3.3758580684661865E-5</v>
      </c>
      <c r="BP119" s="58">
        <f t="shared" si="214"/>
        <v>0</v>
      </c>
    </row>
    <row r="120" spans="1:68" ht="15" x14ac:dyDescent="0.25">
      <c r="C120" s="14">
        <f t="shared" si="220"/>
        <v>99</v>
      </c>
      <c r="D120" s="604">
        <f t="shared" si="221"/>
        <v>42705</v>
      </c>
      <c r="E120" s="604" t="str">
        <f>+'Retail Rates'!$B$19</f>
        <v>LGCMG851LT</v>
      </c>
      <c r="F120" s="14" t="str">
        <f t="shared" si="215"/>
        <v>851</v>
      </c>
      <c r="G120" s="14" t="str">
        <f>VLOOKUP(E120,'Retail Rates'!$B$7:$D$34,3,FALSE)</f>
        <v>CGS</v>
      </c>
      <c r="H120" s="546"/>
      <c r="I120" s="546"/>
      <c r="J120" s="546"/>
      <c r="K120" s="545"/>
      <c r="L120" s="545"/>
      <c r="N120" s="34">
        <f>VLOOKUP($E120,'Retail Rates'!$B$7:$L$34,5,FALSE)</f>
        <v>40</v>
      </c>
      <c r="O120" s="34">
        <f>VLOOKUP($E120,'Retail Rates'!$B$7:$L$34,6,FALSE)</f>
        <v>180</v>
      </c>
      <c r="P120" s="35">
        <f>VLOOKUP($E120,'Retail Rates'!$B$7:$L$34,7,FALSE)</f>
        <v>0.21504000000000001</v>
      </c>
      <c r="Q120" s="35">
        <f>VLOOKUP($E120,'Retail Rates'!$B$7:$L$34,8,FALSE)</f>
        <v>0.16504000000000002</v>
      </c>
      <c r="R120" s="35" t="e">
        <f>VLOOKUP($D120,'GSC-DSM-GLT Factors'!$A$1:$B$60,2,FALSE)</f>
        <v>#N/A</v>
      </c>
      <c r="S120" s="34">
        <f>VLOOKUP($E120,'Retail Rates'!$B$7:$L$34,9,FALSE)</f>
        <v>0</v>
      </c>
      <c r="T120" s="35">
        <f>VLOOKUP($E120,'Retail Rates'!$B$7:$L$34,10,FALSE)</f>
        <v>0</v>
      </c>
      <c r="U120" s="34">
        <f>VLOOKUP($E120,'Retail Rates'!$B$7:$L$34,11,FALSE)</f>
        <v>0</v>
      </c>
      <c r="V120" s="556" t="e">
        <f>VLOOKUP($D120,'GSC-DSM-GLT Factors'!$A$1:$O$60,12,FALSE)</f>
        <v>#N/A</v>
      </c>
      <c r="W120" s="36">
        <f t="shared" si="200"/>
        <v>0</v>
      </c>
      <c r="X120" s="36"/>
      <c r="Y120" s="36"/>
      <c r="Z120" s="36">
        <f t="shared" si="201"/>
        <v>0</v>
      </c>
      <c r="AA120" s="36">
        <f t="shared" si="202"/>
        <v>0</v>
      </c>
      <c r="AB120" s="36" t="e">
        <f t="shared" si="203"/>
        <v>#N/A</v>
      </c>
      <c r="AC120" s="36"/>
      <c r="AD120" s="36"/>
      <c r="AE120" s="36">
        <f t="shared" si="216"/>
        <v>0</v>
      </c>
      <c r="AF120" s="36" t="e">
        <f>(+H120*V120)+(I120*V120)</f>
        <v>#N/A</v>
      </c>
      <c r="AG120" s="57">
        <f>SUMIFS(Adjustments!H$5:H$557,Adjustments!$B$5:$B$557,'Mar16-Aug16 Billed-RETAIL'!$D120,Adjustments!$C$5:$C$557,'Mar16-Aug16 Billed-RETAIL'!$E120)</f>
        <v>0</v>
      </c>
      <c r="AH120" s="57">
        <f>SUMIFS(Adjustments!I$5:I$557,Adjustments!$B$5:$B$557,'Mar16-Aug16 Billed-RETAIL'!$D120,Adjustments!$C$5:$C$557,'Mar16-Aug16 Billed-RETAIL'!$E120)</f>
        <v>0</v>
      </c>
      <c r="AI120" s="48">
        <f>SUMIFS(Adjustments!J$5:J$557,Adjustments!$B$5:$B$557,'Mar16-Aug16 Billed-RETAIL'!$D120,Adjustments!$C$5:$C$557,'Mar16-Aug16 Billed-RETAIL'!$E120)</f>
        <v>0</v>
      </c>
      <c r="AJ120" s="48">
        <f>SUMIFS(Adjustments!K$5:K$557,Adjustments!$B$5:$B$557,'Mar16-Aug16 Billed-RETAIL'!$D120,Adjustments!$C$5:$C$557,'Mar16-Aug16 Billed-RETAIL'!$E120)</f>
        <v>0</v>
      </c>
      <c r="AK120" s="48">
        <f>SUMIFS(Adjustments!L$5:L$557,Adjustments!$B$5:$B$557,'Mar16-Aug16 Billed-RETAIL'!$D120,Adjustments!$C$5:$C$557,'Mar16-Aug16 Billed-RETAIL'!$E120)</f>
        <v>0</v>
      </c>
      <c r="AL120" s="48">
        <f>SUMIFS(Adjustments!M$5:M$557,Adjustments!$B$5:$B$557,'Mar16-Aug16 Billed-RETAIL'!$D120,Adjustments!$C$5:$C$557,'Mar16-Aug16 Billed-RETAIL'!$E120)</f>
        <v>0</v>
      </c>
      <c r="AM120" s="48">
        <f>SUMIFS(Adjustments!N$5:N$557,Adjustments!$B$5:$B$557,'Mar16-Aug16 Billed-RETAIL'!$D120,Adjustments!$C$5:$C$557,'Mar16-Aug16 Billed-RETAIL'!$E120)</f>
        <v>0</v>
      </c>
      <c r="AN120" s="48">
        <f>SUMIFS(Adjustments!O$5:O$557,Adjustments!$B$5:$B$557,'Mar16-Aug16 Billed-RETAIL'!$D120,Adjustments!$C$5:$C$557,'Mar16-Aug16 Billed-RETAIL'!$E120)</f>
        <v>0</v>
      </c>
      <c r="AO120" s="48">
        <f>SUMIFS(Adjustments!P$5:P$557,Adjustments!$B$5:$B$557,'Mar16-Aug16 Billed-RETAIL'!$D120,Adjustments!$C$5:$C$557,'Mar16-Aug16 Billed-RETAIL'!$E120)</f>
        <v>0</v>
      </c>
      <c r="AP120" s="36">
        <f>+W120+AI120+(AG120*N120)</f>
        <v>0</v>
      </c>
      <c r="AQ120" s="36">
        <f t="shared" si="206"/>
        <v>0</v>
      </c>
      <c r="AR120" s="36">
        <f t="shared" si="207"/>
        <v>0</v>
      </c>
      <c r="AS120" s="36">
        <f t="shared" si="208"/>
        <v>0</v>
      </c>
      <c r="AT120" s="43">
        <f t="shared" si="217"/>
        <v>0</v>
      </c>
      <c r="AU120" s="43">
        <f t="shared" si="218"/>
        <v>0</v>
      </c>
      <c r="AV120" s="43"/>
      <c r="AW120" s="43">
        <f t="shared" si="219"/>
        <v>0</v>
      </c>
      <c r="AX120" s="36">
        <f t="shared" si="209"/>
        <v>0</v>
      </c>
      <c r="AY120" s="36"/>
      <c r="AZ120" s="43">
        <f t="shared" si="222"/>
        <v>0</v>
      </c>
      <c r="BA120" s="43">
        <f>SUM(BC120:BJ120)-BF120</f>
        <v>0</v>
      </c>
      <c r="BB120" s="44">
        <f t="shared" si="210"/>
        <v>0</v>
      </c>
      <c r="BC120" s="43">
        <f>(SUMIFS('Fin Forecast'!$H$4:$H$545,'Fin Forecast'!$B$4:$B$545,'Mar16-Aug16 Billed-RETAIL'!$E120,'Fin Forecast'!$C$4:$C$545,'Mar16-Aug16 Billed-RETAIL'!BC$5))*1000</f>
        <v>0</v>
      </c>
      <c r="BD120" s="43">
        <f>(SUMIFS('Fin Forecast'!$H$4:$H$545,'Fin Forecast'!$B$4:$B$545,'Mar16-Aug16 Billed-RETAIL'!$E120,'Fin Forecast'!$C$4:$C$545,'Mar16-Aug16 Billed-RETAIL'!BD$5))*1000</f>
        <v>0</v>
      </c>
      <c r="BE120" s="43">
        <v>0</v>
      </c>
      <c r="BF120" s="43">
        <v>0</v>
      </c>
      <c r="BG120" s="43">
        <f>(SUMIFS('Fin Forecast'!$H$4:$H$545,'Fin Forecast'!$B$4:$B$545,'Mar16-Aug16 Billed-RETAIL'!$E120,'Fin Forecast'!$C$4:$C$545,'Mar16-Aug16 Billed-RETAIL'!BG$5))*1000</f>
        <v>0</v>
      </c>
      <c r="BH120" s="43">
        <f>(SUMIFS('Fin Forecast'!$H$4:$H$545,'Fin Forecast'!$B$4:$B$545,'Mar16-Aug16 Billed-RETAIL'!$E120,'Fin Forecast'!$C$4:$C$545,'Mar16-Aug16 Billed-RETAIL'!BH$5))*1000</f>
        <v>0</v>
      </c>
      <c r="BI120" s="43">
        <f>(SUMIFS('Fin Forecast'!$H$4:$H$545,'Fin Forecast'!$B$4:$B$545,'Mar16-Aug16 Billed-RETAIL'!$E120,'Fin Forecast'!$C$4:$C$545,'Mar16-Aug16 Billed-RETAIL'!BI$5))*1000</f>
        <v>0</v>
      </c>
      <c r="BJ120" s="43">
        <f>(SUMIFS('Fin Forecast'!$H$4:$H$545,'Fin Forecast'!$B$4:$B$545,'Mar16-Aug16 Billed-RETAIL'!$E120,'Fin Forecast'!$C$4:$C$545,'Mar16-Aug16 Billed-RETAIL'!BJ$5))*1000</f>
        <v>0</v>
      </c>
      <c r="BL120" s="51">
        <f t="shared" si="211"/>
        <v>0</v>
      </c>
      <c r="BN120" s="58">
        <f t="shared" si="212"/>
        <v>0</v>
      </c>
      <c r="BO120" s="58">
        <f t="shared" si="213"/>
        <v>0</v>
      </c>
      <c r="BP120" s="58">
        <f t="shared" si="214"/>
        <v>0</v>
      </c>
    </row>
    <row r="121" spans="1:68" ht="15" x14ac:dyDescent="0.25">
      <c r="C121" s="14">
        <f t="shared" si="220"/>
        <v>100</v>
      </c>
      <c r="D121" s="604">
        <f t="shared" si="221"/>
        <v>42705</v>
      </c>
      <c r="E121" s="604" t="str">
        <f>+'Retail Rates'!$B$32</f>
        <v>LGRSG840</v>
      </c>
      <c r="F121" s="14" t="str">
        <f t="shared" si="215"/>
        <v>840</v>
      </c>
      <c r="G121" s="14" t="str">
        <f>VLOOKUP(E121,'Retail Rates'!$B$7:$D$34,3,FALSE)</f>
        <v>RGS</v>
      </c>
      <c r="H121" s="546"/>
      <c r="I121" s="546"/>
      <c r="J121" s="546"/>
      <c r="K121" s="545"/>
      <c r="L121" s="545"/>
      <c r="N121" s="34">
        <f>VLOOKUP($E121,'Retail Rates'!$B$7:$L$34,5,FALSE)</f>
        <v>13.5</v>
      </c>
      <c r="O121" s="34">
        <f>VLOOKUP($E121,'Retail Rates'!$B$7:$L$34,6,FALSE)</f>
        <v>0</v>
      </c>
      <c r="P121" s="35">
        <f>VLOOKUP($E121,'Retail Rates'!$B$7:$L$34,7,FALSE)</f>
        <v>0.28693000000000002</v>
      </c>
      <c r="Q121" s="35">
        <f>VLOOKUP($E121,'Retail Rates'!$B$7:$L$34,8,FALSE)</f>
        <v>0</v>
      </c>
      <c r="R121" s="35" t="e">
        <f>VLOOKUP($D121,'GSC-DSM-GLT Factors'!$A$1:$B$60,2,FALSE)</f>
        <v>#N/A</v>
      </c>
      <c r="S121" s="34">
        <f>VLOOKUP($E121,'Retail Rates'!$B$7:$L$34,9,FALSE)</f>
        <v>0</v>
      </c>
      <c r="T121" s="35">
        <f>VLOOKUP($E121,'Retail Rates'!$B$7:$L$34,10,FALSE)</f>
        <v>0</v>
      </c>
      <c r="U121" s="34">
        <f>VLOOKUP($E121,'Retail Rates'!$B$7:$L$34,11,FALSE)</f>
        <v>0</v>
      </c>
      <c r="V121" s="556" t="e">
        <f>VLOOKUP($D121,'GSC-DSM-GLT Factors'!$A$1:$O$60,11,FALSE)</f>
        <v>#N/A</v>
      </c>
      <c r="W121" s="36">
        <f t="shared" si="200"/>
        <v>0</v>
      </c>
      <c r="X121" s="36"/>
      <c r="Y121" s="36"/>
      <c r="Z121" s="36">
        <f t="shared" si="201"/>
        <v>0</v>
      </c>
      <c r="AA121" s="36">
        <f t="shared" si="202"/>
        <v>0</v>
      </c>
      <c r="AB121" s="36" t="e">
        <f t="shared" si="203"/>
        <v>#N/A</v>
      </c>
      <c r="AC121" s="36"/>
      <c r="AD121" s="36"/>
      <c r="AE121" s="36">
        <f t="shared" si="216"/>
        <v>0</v>
      </c>
      <c r="AF121" s="36" t="e">
        <f>(+H121*V121)+(I121*V121)</f>
        <v>#N/A</v>
      </c>
      <c r="AG121" s="57">
        <f>SUMIFS(Adjustments!H$5:H$557,Adjustments!$B$5:$B$557,'Mar16-Aug16 Billed-RETAIL'!$D121,Adjustments!$C$5:$C$557,'Mar16-Aug16 Billed-RETAIL'!$E121)</f>
        <v>0</v>
      </c>
      <c r="AH121" s="57">
        <f>SUMIFS(Adjustments!I$5:I$557,Adjustments!$B$5:$B$557,'Mar16-Aug16 Billed-RETAIL'!$D121,Adjustments!$C$5:$C$557,'Mar16-Aug16 Billed-RETAIL'!$E121)</f>
        <v>0</v>
      </c>
      <c r="AI121" s="48">
        <f>SUMIFS(Adjustments!J$5:J$557,Adjustments!$B$5:$B$557,'Mar16-Aug16 Billed-RETAIL'!$D121,Adjustments!$C$5:$C$557,'Mar16-Aug16 Billed-RETAIL'!$E121)</f>
        <v>0</v>
      </c>
      <c r="AJ121" s="48">
        <f>SUMIFS(Adjustments!K$5:K$557,Adjustments!$B$5:$B$557,'Mar16-Aug16 Billed-RETAIL'!$D121,Adjustments!$C$5:$C$557,'Mar16-Aug16 Billed-RETAIL'!$E121)</f>
        <v>0</v>
      </c>
      <c r="AK121" s="48">
        <f>SUMIFS(Adjustments!L$5:L$557,Adjustments!$B$5:$B$557,'Mar16-Aug16 Billed-RETAIL'!$D121,Adjustments!$C$5:$C$557,'Mar16-Aug16 Billed-RETAIL'!$E121)</f>
        <v>0</v>
      </c>
      <c r="AL121" s="48">
        <f>SUMIFS(Adjustments!M$5:M$557,Adjustments!$B$5:$B$557,'Mar16-Aug16 Billed-RETAIL'!$D121,Adjustments!$C$5:$C$557,'Mar16-Aug16 Billed-RETAIL'!$E121)</f>
        <v>0</v>
      </c>
      <c r="AM121" s="48">
        <f>SUMIFS(Adjustments!N$5:N$557,Adjustments!$B$5:$B$557,'Mar16-Aug16 Billed-RETAIL'!$D121,Adjustments!$C$5:$C$557,'Mar16-Aug16 Billed-RETAIL'!$E121)</f>
        <v>0</v>
      </c>
      <c r="AN121" s="48">
        <f>SUMIFS(Adjustments!O$5:O$557,Adjustments!$B$5:$B$557,'Mar16-Aug16 Billed-RETAIL'!$D121,Adjustments!$C$5:$C$557,'Mar16-Aug16 Billed-RETAIL'!$E121)</f>
        <v>0</v>
      </c>
      <c r="AO121" s="48">
        <f>SUMIFS(Adjustments!P$5:P$557,Adjustments!$B$5:$B$557,'Mar16-Aug16 Billed-RETAIL'!$D121,Adjustments!$C$5:$C$557,'Mar16-Aug16 Billed-RETAIL'!$E121)</f>
        <v>0</v>
      </c>
      <c r="AP121" s="36">
        <f>+W121+AI121+(AG121*N121)</f>
        <v>0</v>
      </c>
      <c r="AQ121" s="36">
        <f t="shared" si="206"/>
        <v>0</v>
      </c>
      <c r="AR121" s="36">
        <f t="shared" si="207"/>
        <v>0</v>
      </c>
      <c r="AS121" s="36">
        <f t="shared" si="208"/>
        <v>0</v>
      </c>
      <c r="AT121" s="43">
        <f t="shared" si="217"/>
        <v>0</v>
      </c>
      <c r="AU121" s="43">
        <f t="shared" si="218"/>
        <v>0</v>
      </c>
      <c r="AV121" s="43"/>
      <c r="AW121" s="43">
        <f t="shared" si="219"/>
        <v>0</v>
      </c>
      <c r="AX121" s="36">
        <f t="shared" si="209"/>
        <v>0</v>
      </c>
      <c r="AY121" s="36"/>
      <c r="AZ121" s="43">
        <f t="shared" si="222"/>
        <v>0</v>
      </c>
      <c r="BA121" s="43">
        <f>SUM(BC121:BJ121)-BF121</f>
        <v>0</v>
      </c>
      <c r="BB121" s="44">
        <f t="shared" si="210"/>
        <v>0</v>
      </c>
      <c r="BC121" s="43">
        <f>(SUMIFS('Fin Forecast'!$H$4:$H$545,'Fin Forecast'!$B$4:$B$545,'Mar16-Aug16 Billed-RETAIL'!$E121,'Fin Forecast'!$C$4:$C$545,'Mar16-Aug16 Billed-RETAIL'!BC$5))*1000</f>
        <v>0</v>
      </c>
      <c r="BD121" s="43">
        <f>(SUMIFS('Fin Forecast'!$H$4:$H$545,'Fin Forecast'!$B$4:$B$545,'Mar16-Aug16 Billed-RETAIL'!$E121,'Fin Forecast'!$C$4:$C$545,'Mar16-Aug16 Billed-RETAIL'!BD$5))*1000</f>
        <v>0</v>
      </c>
      <c r="BE121" s="43">
        <v>0</v>
      </c>
      <c r="BF121" s="43">
        <v>0</v>
      </c>
      <c r="BG121" s="43">
        <f>(SUMIFS('Fin Forecast'!$H$4:$H$545,'Fin Forecast'!$B$4:$B$545,'Mar16-Aug16 Billed-RETAIL'!$E121,'Fin Forecast'!$C$4:$C$545,'Mar16-Aug16 Billed-RETAIL'!BG$5))*1000</f>
        <v>0</v>
      </c>
      <c r="BH121" s="43">
        <f>(SUMIFS('Fin Forecast'!$H$4:$H$545,'Fin Forecast'!$B$4:$B$545,'Mar16-Aug16 Billed-RETAIL'!$E121,'Fin Forecast'!$C$4:$C$545,'Mar16-Aug16 Billed-RETAIL'!BH$5))*1000</f>
        <v>0</v>
      </c>
      <c r="BI121" s="43">
        <f>(SUMIFS('Fin Forecast'!$H$4:$H$545,'Fin Forecast'!$B$4:$B$545,'Mar16-Aug16 Billed-RETAIL'!$E121,'Fin Forecast'!$C$4:$C$545,'Mar16-Aug16 Billed-RETAIL'!BI$5))*1000</f>
        <v>0</v>
      </c>
      <c r="BJ121" s="43">
        <f>(SUMIFS('Fin Forecast'!$H$4:$H$545,'Fin Forecast'!$B$4:$B$545,'Mar16-Aug16 Billed-RETAIL'!$E121,'Fin Forecast'!$C$4:$C$545,'Mar16-Aug16 Billed-RETAIL'!BJ$5))*1000</f>
        <v>0</v>
      </c>
      <c r="BL121" s="51">
        <f t="shared" si="211"/>
        <v>0</v>
      </c>
      <c r="BN121" s="58">
        <f t="shared" si="212"/>
        <v>0</v>
      </c>
      <c r="BO121" s="58">
        <f t="shared" si="213"/>
        <v>0</v>
      </c>
      <c r="BP121" s="58">
        <f t="shared" si="214"/>
        <v>0</v>
      </c>
    </row>
    <row r="122" spans="1:68" s="563" customFormat="1" ht="15" x14ac:dyDescent="0.25">
      <c r="C122" s="564"/>
      <c r="D122" s="605"/>
      <c r="E122" s="605"/>
      <c r="F122" s="564"/>
      <c r="G122" s="564"/>
      <c r="N122" s="566"/>
      <c r="O122" s="566"/>
      <c r="P122" s="567"/>
      <c r="Q122" s="567"/>
      <c r="R122" s="567"/>
      <c r="S122" s="566"/>
      <c r="T122" s="567"/>
      <c r="U122" s="567"/>
      <c r="V122" s="568"/>
      <c r="W122" s="569"/>
      <c r="X122" s="569"/>
      <c r="Y122" s="569"/>
      <c r="Z122" s="569"/>
      <c r="AA122" s="569"/>
      <c r="AB122" s="569"/>
      <c r="AC122" s="569"/>
      <c r="AD122" s="569"/>
      <c r="AE122" s="569"/>
      <c r="AF122" s="569"/>
      <c r="AG122" s="570"/>
      <c r="AH122" s="570"/>
      <c r="AI122" s="569"/>
      <c r="AJ122" s="569"/>
      <c r="AK122" s="569"/>
      <c r="AL122" s="569"/>
      <c r="AM122" s="569"/>
      <c r="AN122" s="569"/>
      <c r="AO122" s="569"/>
      <c r="AP122" s="586"/>
      <c r="AQ122" s="586"/>
      <c r="AR122" s="586"/>
      <c r="AS122" s="586"/>
      <c r="AT122" s="569"/>
      <c r="AU122" s="569"/>
      <c r="AV122" s="569"/>
      <c r="AW122" s="569"/>
      <c r="AX122" s="569"/>
      <c r="AY122" s="569"/>
      <c r="AZ122" s="569"/>
      <c r="BA122" s="569"/>
      <c r="BB122" s="571"/>
      <c r="BC122" s="586"/>
      <c r="BD122" s="586"/>
      <c r="BE122" s="586"/>
      <c r="BF122" s="586"/>
      <c r="BG122" s="586"/>
      <c r="BH122" s="586"/>
      <c r="BI122" s="586"/>
      <c r="BJ122" s="586"/>
      <c r="BL122" s="569"/>
      <c r="BN122" s="569"/>
      <c r="BO122" s="569"/>
      <c r="BP122" s="569"/>
    </row>
    <row r="123" spans="1:68" ht="15" x14ac:dyDescent="0.25">
      <c r="C123" s="14">
        <f>C121+1</f>
        <v>101</v>
      </c>
      <c r="D123" s="604">
        <f>EDATE(D111,1)</f>
        <v>42736</v>
      </c>
      <c r="E123" s="604" t="str">
        <f>+'Retail Rates'!$B$7</f>
        <v>LGCMG865</v>
      </c>
      <c r="F123" s="14" t="str">
        <f>MID(E123,6,3)</f>
        <v>865</v>
      </c>
      <c r="G123" s="14" t="str">
        <f>VLOOKUP(E123,'Retail Rates'!$B$7:$D$34,3,FALSE)</f>
        <v>AAGS-C</v>
      </c>
      <c r="H123" s="546">
        <f>SUMIF('Forecasted Customer Cts'!$D$5:$D$36,'Mar16-Aug16 Billed-RETAIL'!$E123,'Forecasted Customer Cts'!$R$5:$R$36)</f>
        <v>2</v>
      </c>
      <c r="I123" s="546"/>
      <c r="J123" s="546"/>
      <c r="K123" s="546">
        <f>SUMIF('Forecasted Calendar Month Usage'!$D$5:$D$41,'Mar16-Aug16 Billed-RETAIL'!$E123,'Forecasted Calendar Month Usage'!$R$5:$R$41)*10</f>
        <v>93076.874898578186</v>
      </c>
      <c r="L123" s="545"/>
      <c r="N123" s="34">
        <f>VLOOKUP($E123,'Retail Rates'!$B$7:$L$34,5,FALSE)</f>
        <v>400</v>
      </c>
      <c r="O123" s="34">
        <f>VLOOKUP($E123,'Retail Rates'!$B$7:$L$34,6,FALSE)</f>
        <v>0</v>
      </c>
      <c r="P123" s="35">
        <f>VLOOKUP($E123,'Retail Rates'!$B$7:$L$34,7,FALSE)</f>
        <v>7.009E-2</v>
      </c>
      <c r="Q123" s="35">
        <f>VLOOKUP($E123,'Retail Rates'!$B$7:$L$34,8,FALSE)</f>
        <v>0</v>
      </c>
      <c r="R123" s="35" t="e">
        <f>VLOOKUP($D123,'GSC-DSM-GLT Factors'!$A$1:$B$60,2,FALSE)</f>
        <v>#N/A</v>
      </c>
      <c r="S123" s="34">
        <f>VLOOKUP($E123,'Retail Rates'!$B$7:$L$34,9,FALSE)</f>
        <v>0</v>
      </c>
      <c r="T123" s="35">
        <f>VLOOKUP($E123,'Retail Rates'!$B$7:$L$34,10,FALSE)</f>
        <v>0</v>
      </c>
      <c r="U123" s="34">
        <f>VLOOKUP($E123,'Retail Rates'!$B$7:$L$34,11,FALSE)</f>
        <v>0</v>
      </c>
      <c r="V123" s="556" t="e">
        <f>VLOOKUP($D123,'GSC-DSM-GLT Factors'!$A$1:$O$60,14,FALSE)</f>
        <v>#N/A</v>
      </c>
      <c r="W123" s="36">
        <f t="shared" ref="W123:W133" si="223">(+H123*N123)+(I123*N123)</f>
        <v>800</v>
      </c>
      <c r="X123" s="36"/>
      <c r="Y123" s="36"/>
      <c r="Z123" s="36">
        <f t="shared" ref="Z123:Z133" si="224">+K123*P123</f>
        <v>6523.7581616413454</v>
      </c>
      <c r="AA123" s="36">
        <f t="shared" ref="AA123:AA133" si="225">+L123*Q123</f>
        <v>0</v>
      </c>
      <c r="AB123" s="36" t="e">
        <f t="shared" ref="AB123:AB133" si="226">SUM(K123:L123)*R123</f>
        <v>#N/A</v>
      </c>
      <c r="AC123" s="36"/>
      <c r="AD123" s="36"/>
      <c r="AE123" s="36">
        <f>M123*U123</f>
        <v>0</v>
      </c>
      <c r="AF123" s="36" t="e">
        <f t="shared" ref="AF123:AF128" si="227">(+H123*V123)+(I123*V123)</f>
        <v>#N/A</v>
      </c>
      <c r="AG123" s="57">
        <f>SUMIFS(Adjustments!H$5:H$557,Adjustments!$B$5:$B$557,'Mar16-Aug16 Billed-RETAIL'!$D123,Adjustments!$C$5:$C$557,'Mar16-Aug16 Billed-RETAIL'!$E123)</f>
        <v>0</v>
      </c>
      <c r="AH123" s="57">
        <f>SUMIFS(Adjustments!I$5:I$557,Adjustments!$B$5:$B$557,'Mar16-Aug16 Billed-RETAIL'!$D123,Adjustments!$C$5:$C$557,'Mar16-Aug16 Billed-RETAIL'!$E123)</f>
        <v>0</v>
      </c>
      <c r="AI123" s="48">
        <f>SUMIFS(Adjustments!J$5:J$557,Adjustments!$B$5:$B$557,'Mar16-Aug16 Billed-RETAIL'!$D123,Adjustments!$C$5:$C$557,'Mar16-Aug16 Billed-RETAIL'!$E123)</f>
        <v>0</v>
      </c>
      <c r="AJ123" s="48">
        <f>SUMIFS(Adjustments!K$5:K$557,Adjustments!$B$5:$B$557,'Mar16-Aug16 Billed-RETAIL'!$D123,Adjustments!$C$5:$C$557,'Mar16-Aug16 Billed-RETAIL'!$E123)</f>
        <v>0</v>
      </c>
      <c r="AK123" s="48">
        <f>SUMIFS(Adjustments!L$5:L$557,Adjustments!$B$5:$B$557,'Mar16-Aug16 Billed-RETAIL'!$D123,Adjustments!$C$5:$C$557,'Mar16-Aug16 Billed-RETAIL'!$E123)</f>
        <v>0</v>
      </c>
      <c r="AL123" s="48">
        <f>SUMIFS(Adjustments!M$5:M$557,Adjustments!$B$5:$B$557,'Mar16-Aug16 Billed-RETAIL'!$D123,Adjustments!$C$5:$C$557,'Mar16-Aug16 Billed-RETAIL'!$E123)</f>
        <v>0</v>
      </c>
      <c r="AM123" s="48">
        <f>SUMIFS(Adjustments!N$5:N$557,Adjustments!$B$5:$B$557,'Mar16-Aug16 Billed-RETAIL'!$D123,Adjustments!$C$5:$C$557,'Mar16-Aug16 Billed-RETAIL'!$E123)</f>
        <v>0</v>
      </c>
      <c r="AN123" s="48">
        <f>SUMIFS(Adjustments!O$5:O$557,Adjustments!$B$5:$B$557,'Mar16-Aug16 Billed-RETAIL'!$D123,Adjustments!$C$5:$C$557,'Mar16-Aug16 Billed-RETAIL'!$E123)</f>
        <v>0</v>
      </c>
      <c r="AO123" s="48">
        <f>SUMIFS(Adjustments!P$5:P$557,Adjustments!$B$5:$B$557,'Mar16-Aug16 Billed-RETAIL'!$D123,Adjustments!$C$5:$C$557,'Mar16-Aug16 Billed-RETAIL'!$E123)</f>
        <v>0</v>
      </c>
      <c r="AP123" s="36">
        <f t="shared" ref="AP123:AP129" si="228">+W123+AI123+(AG123*N123)</f>
        <v>800</v>
      </c>
      <c r="AQ123" s="36">
        <f t="shared" ref="AQ123:AQ133" si="229">+Y123+AJ123</f>
        <v>0</v>
      </c>
      <c r="AR123" s="36">
        <f t="shared" ref="AR123:AR133" si="230">+Z123+AK123</f>
        <v>6523.7581616413454</v>
      </c>
      <c r="AS123" s="36">
        <f t="shared" ref="AS123:AS133" si="231">+AA123+AL123</f>
        <v>0</v>
      </c>
      <c r="AT123" s="43">
        <f>BD123</f>
        <v>47185.961588741964</v>
      </c>
      <c r="AU123" s="43">
        <f>BC123</f>
        <v>408.78375929488897</v>
      </c>
      <c r="AV123" s="43"/>
      <c r="AW123" s="43">
        <f>BJ123</f>
        <v>14996.22029443145</v>
      </c>
      <c r="AX123" s="36">
        <f t="shared" ref="AX123:AX133" si="232">+AE123+AO123</f>
        <v>0</v>
      </c>
      <c r="AY123" s="36"/>
      <c r="AZ123" s="43">
        <f>ROUND(SUM(AP123:AY123),2)+SUM(AP124:AY124)</f>
        <v>71915.312420194299</v>
      </c>
      <c r="BA123" s="43">
        <f>SUM(BC123:BJ123)-BF123</f>
        <v>71915.316224140566</v>
      </c>
      <c r="BB123" s="44">
        <f t="shared" ref="BB123:BB133" si="233">IF(BA123=0,0,ROUND(BA123/AZ123,6))</f>
        <v>1</v>
      </c>
      <c r="BC123" s="43">
        <f>(SUMIFS('Fin Forecast'!$I$4:$I$545,'Fin Forecast'!$B$4:$B$545,'Mar16-Aug16 Billed-RETAIL'!$E123,'Fin Forecast'!$C$4:$C$545,'Mar16-Aug16 Billed-RETAIL'!BC$5))*1000</f>
        <v>408.78375929488897</v>
      </c>
      <c r="BD123" s="43">
        <f>(SUMIFS('Fin Forecast'!$I$4:$I$545,'Fin Forecast'!$B$4:$B$545,'Mar16-Aug16 Billed-RETAIL'!$E123,'Fin Forecast'!$C$4:$C$545,'Mar16-Aug16 Billed-RETAIL'!BD$5))*1000</f>
        <v>47185.961588741964</v>
      </c>
      <c r="BE123" s="43">
        <v>0</v>
      </c>
      <c r="BF123" s="43">
        <v>0</v>
      </c>
      <c r="BG123" s="43">
        <f>(SUMIFS('Fin Forecast'!$I$4:$I$545,'Fin Forecast'!$B$4:$B$545,'Mar16-Aug16 Billed-RETAIL'!$E123,'Fin Forecast'!$C$4:$C$545,'Mar16-Aug16 Billed-RETAIL'!BG$5))*1000</f>
        <v>1600</v>
      </c>
      <c r="BH123" s="43">
        <f>(SUMIFS('Fin Forecast'!$I$4:$I$545,'Fin Forecast'!$B$4:$B$545,'Mar16-Aug16 Billed-RETAIL'!$E123,'Fin Forecast'!$C$4:$C$545,'Mar16-Aug16 Billed-RETAIL'!BH$5))*1000</f>
        <v>7724.35058167227</v>
      </c>
      <c r="BI123" s="43">
        <f>(SUMIFS('Fin Forecast'!$I$4:$I$545,'Fin Forecast'!$B$4:$B$545,'Mar16-Aug16 Billed-RETAIL'!$E123,'Fin Forecast'!$C$4:$C$545,'Mar16-Aug16 Billed-RETAIL'!BI$5))*1000</f>
        <v>0</v>
      </c>
      <c r="BJ123" s="43">
        <f>(SUMIFS('Fin Forecast'!$I$4:$I$545,'Fin Forecast'!$B$4:$B$545,'Mar16-Aug16 Billed-RETAIL'!$E123,'Fin Forecast'!$C$4:$C$545,'Mar16-Aug16 Billed-RETAIL'!BJ$5))*1000</f>
        <v>14996.22029443145</v>
      </c>
      <c r="BL123" s="51">
        <f t="shared" ref="BL123:BL133" si="234">+AZ123-BA123</f>
        <v>-3.8039462669985369E-3</v>
      </c>
      <c r="BN123" s="58">
        <f t="shared" ref="BN123:BN133" si="235">+AP123+AQ123-BG123</f>
        <v>-800</v>
      </c>
      <c r="BO123" s="58">
        <f t="shared" ref="BO123:BO133" si="236">+AR123+AS123-BH123</f>
        <v>-1200.5924200309246</v>
      </c>
      <c r="BP123" s="58">
        <f t="shared" ref="BP123:BP133" si="237">+AT123-BD123</f>
        <v>0</v>
      </c>
    </row>
    <row r="124" spans="1:68" ht="15" x14ac:dyDescent="0.25">
      <c r="C124" s="14">
        <f>C123+1</f>
        <v>102</v>
      </c>
      <c r="D124" s="604">
        <f>$D$123</f>
        <v>42736</v>
      </c>
      <c r="E124" s="604" t="str">
        <f>+'Retail Rates'!$B$10</f>
        <v>LGING866</v>
      </c>
      <c r="F124" s="14" t="str">
        <f t="shared" ref="F124:F133" si="238">MID(E124,6,3)</f>
        <v>866</v>
      </c>
      <c r="G124" s="14" t="str">
        <f>VLOOKUP(E124,'Retail Rates'!$B$7:$D$34,3,FALSE)</f>
        <v>AAGS-I</v>
      </c>
      <c r="H124" s="546">
        <f>SUMIF('Forecasted Customer Cts'!$D$5:$D$36,'Mar16-Aug16 Billed-RETAIL'!$E124,'Forecasted Customer Cts'!$R$5:$R$36)</f>
        <v>2</v>
      </c>
      <c r="I124" s="546"/>
      <c r="J124" s="546"/>
      <c r="K124" s="546">
        <f>SUMIF('Forecasted Calendar Month Usage'!$D$5:$D$41,'Mar16-Aug16 Billed-RETAIL'!$E124,'Forecasted Calendar Month Usage'!$R$5:$R$41)*10</f>
        <v>17129.296906752665</v>
      </c>
      <c r="L124" s="545"/>
      <c r="N124" s="34">
        <f>VLOOKUP($E124,'Retail Rates'!$B$7:$L$34,5,FALSE)</f>
        <v>400</v>
      </c>
      <c r="O124" s="34">
        <f>VLOOKUP($E124,'Retail Rates'!$B$7:$L$34,6,FALSE)</f>
        <v>0</v>
      </c>
      <c r="P124" s="35">
        <f>VLOOKUP($E124,'Retail Rates'!$B$7:$L$34,7,FALSE)</f>
        <v>7.009E-2</v>
      </c>
      <c r="Q124" s="35">
        <f>VLOOKUP($E124,'Retail Rates'!$B$7:$L$34,8,FALSE)</f>
        <v>0</v>
      </c>
      <c r="R124" s="35" t="e">
        <f>VLOOKUP($D124,'GSC-DSM-GLT Factors'!$A$1:$B$60,2,FALSE)</f>
        <v>#N/A</v>
      </c>
      <c r="S124" s="34">
        <f>VLOOKUP($E124,'Retail Rates'!$B$7:$L$34,9,FALSE)</f>
        <v>0</v>
      </c>
      <c r="T124" s="35">
        <f>VLOOKUP($E124,'Retail Rates'!$B$7:$L$34,10,FALSE)</f>
        <v>0</v>
      </c>
      <c r="U124" s="34">
        <f>VLOOKUP($E124,'Retail Rates'!$B$7:$L$34,11,FALSE)</f>
        <v>0</v>
      </c>
      <c r="V124" s="556" t="e">
        <f>VLOOKUP($D124,'GSC-DSM-GLT Factors'!$A$1:$O$60,14,FALSE)</f>
        <v>#N/A</v>
      </c>
      <c r="W124" s="36">
        <f t="shared" si="223"/>
        <v>800</v>
      </c>
      <c r="X124" s="36"/>
      <c r="Y124" s="36"/>
      <c r="Z124" s="36">
        <f t="shared" si="224"/>
        <v>1200.5924201942942</v>
      </c>
      <c r="AA124" s="36">
        <f t="shared" si="225"/>
        <v>0</v>
      </c>
      <c r="AB124" s="36" t="e">
        <f t="shared" si="226"/>
        <v>#N/A</v>
      </c>
      <c r="AC124" s="36"/>
      <c r="AD124" s="36"/>
      <c r="AE124" s="36">
        <f t="shared" ref="AE124:AE133" si="239">M124*U124</f>
        <v>0</v>
      </c>
      <c r="AF124" s="36" t="e">
        <f t="shared" si="227"/>
        <v>#N/A</v>
      </c>
      <c r="AG124" s="57">
        <f>SUMIFS(Adjustments!H$5:H$557,Adjustments!$B$5:$B$557,'Mar16-Aug16 Billed-RETAIL'!$D124,Adjustments!$C$5:$C$557,'Mar16-Aug16 Billed-RETAIL'!$E124)</f>
        <v>0</v>
      </c>
      <c r="AH124" s="57">
        <f>SUMIFS(Adjustments!I$5:I$557,Adjustments!$B$5:$B$557,'Mar16-Aug16 Billed-RETAIL'!$D124,Adjustments!$C$5:$C$557,'Mar16-Aug16 Billed-RETAIL'!$E124)</f>
        <v>0</v>
      </c>
      <c r="AI124" s="48">
        <f>SUMIFS(Adjustments!J$5:J$557,Adjustments!$B$5:$B$557,'Mar16-Aug16 Billed-RETAIL'!$D124,Adjustments!$C$5:$C$557,'Mar16-Aug16 Billed-RETAIL'!$E124)</f>
        <v>0</v>
      </c>
      <c r="AJ124" s="48">
        <f>SUMIFS(Adjustments!K$5:K$557,Adjustments!$B$5:$B$557,'Mar16-Aug16 Billed-RETAIL'!$D124,Adjustments!$C$5:$C$557,'Mar16-Aug16 Billed-RETAIL'!$E124)</f>
        <v>0</v>
      </c>
      <c r="AK124" s="48">
        <f>SUMIFS(Adjustments!L$5:L$557,Adjustments!$B$5:$B$557,'Mar16-Aug16 Billed-RETAIL'!$D124,Adjustments!$C$5:$C$557,'Mar16-Aug16 Billed-RETAIL'!$E124)</f>
        <v>0</v>
      </c>
      <c r="AL124" s="48">
        <f>SUMIFS(Adjustments!M$5:M$557,Adjustments!$B$5:$B$557,'Mar16-Aug16 Billed-RETAIL'!$D124,Adjustments!$C$5:$C$557,'Mar16-Aug16 Billed-RETAIL'!$E124)</f>
        <v>0</v>
      </c>
      <c r="AM124" s="48">
        <f>SUMIFS(Adjustments!N$5:N$557,Adjustments!$B$5:$B$557,'Mar16-Aug16 Billed-RETAIL'!$D124,Adjustments!$C$5:$C$557,'Mar16-Aug16 Billed-RETAIL'!$E124)</f>
        <v>0</v>
      </c>
      <c r="AN124" s="48">
        <f>SUMIFS(Adjustments!O$5:O$557,Adjustments!$B$5:$B$557,'Mar16-Aug16 Billed-RETAIL'!$D124,Adjustments!$C$5:$C$557,'Mar16-Aug16 Billed-RETAIL'!$E124)</f>
        <v>0</v>
      </c>
      <c r="AO124" s="48">
        <f>SUMIFS(Adjustments!P$5:P$557,Adjustments!$B$5:$B$557,'Mar16-Aug16 Billed-RETAIL'!$D124,Adjustments!$C$5:$C$557,'Mar16-Aug16 Billed-RETAIL'!$E124)</f>
        <v>0</v>
      </c>
      <c r="AP124" s="36">
        <f t="shared" si="228"/>
        <v>800</v>
      </c>
      <c r="AQ124" s="36">
        <f t="shared" si="229"/>
        <v>0</v>
      </c>
      <c r="AR124" s="36">
        <f t="shared" si="230"/>
        <v>1200.5924201942942</v>
      </c>
      <c r="AS124" s="36">
        <f t="shared" si="231"/>
        <v>0</v>
      </c>
      <c r="AT124" s="43">
        <f t="shared" ref="AT124:AT133" si="240">BD124</f>
        <v>0</v>
      </c>
      <c r="AU124" s="43">
        <f t="shared" ref="AU124:AU133" si="241">BC124</f>
        <v>0</v>
      </c>
      <c r="AV124" s="43"/>
      <c r="AW124" s="43">
        <f t="shared" ref="AW124:AW133" si="242">BJ124</f>
        <v>0</v>
      </c>
      <c r="AX124" s="36">
        <f t="shared" si="232"/>
        <v>0</v>
      </c>
      <c r="AY124" s="36"/>
      <c r="AZ124" s="43"/>
      <c r="BA124" s="43">
        <f>SUM(BC124:BJ124)-BF124</f>
        <v>0</v>
      </c>
      <c r="BB124" s="44">
        <f t="shared" si="233"/>
        <v>0</v>
      </c>
      <c r="BC124" s="43">
        <f>(SUMIFS('Fin Forecast'!$I$4:$I$545,'Fin Forecast'!$B$4:$B$545,'Mar16-Aug16 Billed-RETAIL'!$E124,'Fin Forecast'!$C$4:$C$545,'Mar16-Aug16 Billed-RETAIL'!BC$5))*1000</f>
        <v>0</v>
      </c>
      <c r="BD124" s="43">
        <f>(SUMIFS('Fin Forecast'!$I$4:$I$545,'Fin Forecast'!$B$4:$B$545,'Mar16-Aug16 Billed-RETAIL'!$E124,'Fin Forecast'!$C$4:$C$545,'Mar16-Aug16 Billed-RETAIL'!BD$5))*1000</f>
        <v>0</v>
      </c>
      <c r="BE124" s="43">
        <v>0</v>
      </c>
      <c r="BF124" s="43">
        <v>0</v>
      </c>
      <c r="BG124" s="43">
        <f>(SUMIFS('Fin Forecast'!$I$4:$I$545,'Fin Forecast'!$B$4:$B$545,'Mar16-Aug16 Billed-RETAIL'!$E124,'Fin Forecast'!$C$4:$C$545,'Mar16-Aug16 Billed-RETAIL'!BG$5))*1000</f>
        <v>0</v>
      </c>
      <c r="BH124" s="43">
        <f>(SUMIFS('Fin Forecast'!$I$4:$I$545,'Fin Forecast'!$B$4:$B$545,'Mar16-Aug16 Billed-RETAIL'!$E124,'Fin Forecast'!$C$4:$C$545,'Mar16-Aug16 Billed-RETAIL'!BH$5))*1000</f>
        <v>0</v>
      </c>
      <c r="BI124" s="43">
        <f>(SUMIFS('Fin Forecast'!$I$4:$I$545,'Fin Forecast'!$B$4:$B$545,'Mar16-Aug16 Billed-RETAIL'!$E124,'Fin Forecast'!$C$4:$C$545,'Mar16-Aug16 Billed-RETAIL'!BI$5))*1000</f>
        <v>0</v>
      </c>
      <c r="BJ124" s="43">
        <f>(SUMIFS('Fin Forecast'!$I$4:$I$545,'Fin Forecast'!$B$4:$B$545,'Mar16-Aug16 Billed-RETAIL'!$E124,'Fin Forecast'!$C$4:$C$545,'Mar16-Aug16 Billed-RETAIL'!BJ$5))*1000</f>
        <v>0</v>
      </c>
      <c r="BL124" s="51">
        <f t="shared" si="234"/>
        <v>0</v>
      </c>
      <c r="BN124" s="58">
        <f t="shared" si="235"/>
        <v>800</v>
      </c>
      <c r="BO124" s="58">
        <f t="shared" si="236"/>
        <v>1200.5924201942942</v>
      </c>
      <c r="BP124" s="58">
        <f t="shared" si="237"/>
        <v>0</v>
      </c>
    </row>
    <row r="125" spans="1:68" ht="15" x14ac:dyDescent="0.25">
      <c r="A125" s="548" t="s">
        <v>799</v>
      </c>
      <c r="B125" s="548" t="s">
        <v>800</v>
      </c>
      <c r="C125" s="14">
        <f t="shared" ref="C125:C133" si="243">C124+1</f>
        <v>103</v>
      </c>
      <c r="D125" s="604">
        <f t="shared" ref="D125:D133" si="244">$D$123</f>
        <v>42736</v>
      </c>
      <c r="E125" s="604" t="str">
        <f>+'Retail Rates'!$B$11</f>
        <v>LGING866DS</v>
      </c>
      <c r="F125" s="14" t="str">
        <f t="shared" si="238"/>
        <v>866</v>
      </c>
      <c r="G125" s="14" t="str">
        <f>VLOOKUP(E125,'Retail Rates'!$B$7:$D$34,3,FALSE)</f>
        <v>AAGS-I</v>
      </c>
      <c r="H125" s="546"/>
      <c r="I125" s="546"/>
      <c r="J125" s="546"/>
      <c r="K125" s="546"/>
      <c r="L125" s="546"/>
      <c r="M125" s="63"/>
      <c r="N125" s="34">
        <f>VLOOKUP($E125,'Retail Rates'!$B$7:$L$34,5,FALSE)</f>
        <v>400</v>
      </c>
      <c r="O125" s="34">
        <f>VLOOKUP($E125,'Retail Rates'!$B$7:$L$34,6,FALSE)</f>
        <v>0</v>
      </c>
      <c r="P125" s="35">
        <f>VLOOKUP($E125,'Retail Rates'!$B$7:$L$34,7,FALSE)</f>
        <v>7.009E-2</v>
      </c>
      <c r="Q125" s="35">
        <f>VLOOKUP($E125,'Retail Rates'!$B$7:$L$34,8,FALSE)</f>
        <v>0</v>
      </c>
      <c r="R125" s="35" t="e">
        <f>VLOOKUP($D125,'GSC-DSM-GLT Factors'!$A$1:$B$60,2,FALSE)</f>
        <v>#N/A</v>
      </c>
      <c r="S125" s="34">
        <f>VLOOKUP($E125,'Retail Rates'!$B$7:$L$34,9,FALSE)</f>
        <v>0</v>
      </c>
      <c r="T125" s="35">
        <f>VLOOKUP($E125,'Retail Rates'!$B$7:$L$34,10,FALSE)</f>
        <v>0</v>
      </c>
      <c r="U125" s="34">
        <f>VLOOKUP($E125,'Retail Rates'!$B$7:$L$34,11,FALSE)</f>
        <v>0</v>
      </c>
      <c r="V125" s="556" t="e">
        <f>VLOOKUP($D125,'GSC-DSM-GLT Factors'!$A$1:$O$60,14,FALSE)</f>
        <v>#N/A</v>
      </c>
      <c r="W125" s="36">
        <f t="shared" si="223"/>
        <v>0</v>
      </c>
      <c r="X125" s="36"/>
      <c r="Y125" s="36"/>
      <c r="Z125" s="36">
        <f t="shared" si="224"/>
        <v>0</v>
      </c>
      <c r="AA125" s="36">
        <f t="shared" si="225"/>
        <v>0</v>
      </c>
      <c r="AB125" s="36" t="e">
        <f t="shared" si="226"/>
        <v>#N/A</v>
      </c>
      <c r="AC125" s="36"/>
      <c r="AD125" s="36"/>
      <c r="AE125" s="36">
        <f t="shared" si="239"/>
        <v>0</v>
      </c>
      <c r="AF125" s="36" t="e">
        <f t="shared" si="227"/>
        <v>#N/A</v>
      </c>
      <c r="AG125" s="57">
        <f>SUMIFS(Adjustments!H$5:H$557,Adjustments!$B$5:$B$557,'Mar16-Aug16 Billed-RETAIL'!$D125,Adjustments!$C$5:$C$557,'Mar16-Aug16 Billed-RETAIL'!$E125)</f>
        <v>0</v>
      </c>
      <c r="AH125" s="57">
        <f>SUMIFS(Adjustments!I$5:I$557,Adjustments!$B$5:$B$557,'Mar16-Aug16 Billed-RETAIL'!$D125,Adjustments!$C$5:$C$557,'Mar16-Aug16 Billed-RETAIL'!$E125)</f>
        <v>0</v>
      </c>
      <c r="AI125" s="48">
        <f>SUMIFS(Adjustments!J$5:J$557,Adjustments!$B$5:$B$557,'Mar16-Aug16 Billed-RETAIL'!$D125,Adjustments!$C$5:$C$557,'Mar16-Aug16 Billed-RETAIL'!$E125)</f>
        <v>0</v>
      </c>
      <c r="AJ125" s="48">
        <f>SUMIFS(Adjustments!K$5:K$557,Adjustments!$B$5:$B$557,'Mar16-Aug16 Billed-RETAIL'!$D125,Adjustments!$C$5:$C$557,'Mar16-Aug16 Billed-RETAIL'!$E125)</f>
        <v>0</v>
      </c>
      <c r="AK125" s="48">
        <f>SUMIFS(Adjustments!L$5:L$557,Adjustments!$B$5:$B$557,'Mar16-Aug16 Billed-RETAIL'!$D125,Adjustments!$C$5:$C$557,'Mar16-Aug16 Billed-RETAIL'!$E125)</f>
        <v>0</v>
      </c>
      <c r="AL125" s="48">
        <f>SUMIFS(Adjustments!M$5:M$557,Adjustments!$B$5:$B$557,'Mar16-Aug16 Billed-RETAIL'!$D125,Adjustments!$C$5:$C$557,'Mar16-Aug16 Billed-RETAIL'!$E125)</f>
        <v>0</v>
      </c>
      <c r="AM125" s="48">
        <f>SUMIFS(Adjustments!N$5:N$557,Adjustments!$B$5:$B$557,'Mar16-Aug16 Billed-RETAIL'!$D125,Adjustments!$C$5:$C$557,'Mar16-Aug16 Billed-RETAIL'!$E125)</f>
        <v>0</v>
      </c>
      <c r="AN125" s="48">
        <f>SUMIFS(Adjustments!O$5:O$557,Adjustments!$B$5:$B$557,'Mar16-Aug16 Billed-RETAIL'!$D125,Adjustments!$C$5:$C$557,'Mar16-Aug16 Billed-RETAIL'!$E125)</f>
        <v>0</v>
      </c>
      <c r="AO125" s="48">
        <f>SUMIFS(Adjustments!P$5:P$557,Adjustments!$B$5:$B$557,'Mar16-Aug16 Billed-RETAIL'!$D125,Adjustments!$C$5:$C$557,'Mar16-Aug16 Billed-RETAIL'!$E125)</f>
        <v>0</v>
      </c>
      <c r="AP125" s="36">
        <f t="shared" si="228"/>
        <v>0</v>
      </c>
      <c r="AQ125" s="36">
        <f t="shared" si="229"/>
        <v>0</v>
      </c>
      <c r="AR125" s="36">
        <f t="shared" si="230"/>
        <v>0</v>
      </c>
      <c r="AS125" s="36">
        <f t="shared" si="231"/>
        <v>0</v>
      </c>
      <c r="AT125" s="43">
        <f t="shared" si="240"/>
        <v>0</v>
      </c>
      <c r="AU125" s="43">
        <f t="shared" si="241"/>
        <v>0</v>
      </c>
      <c r="AV125" s="43"/>
      <c r="AW125" s="43">
        <f t="shared" si="242"/>
        <v>0</v>
      </c>
      <c r="AX125" s="36">
        <f t="shared" si="232"/>
        <v>0</v>
      </c>
      <c r="AY125" s="36"/>
      <c r="AZ125" s="43">
        <f t="shared" ref="AZ125:AZ133" si="245">ROUND(SUM(AP125:AY125),2)</f>
        <v>0</v>
      </c>
      <c r="BA125" s="43">
        <f>SUM(BC125:BJ125)-BF125</f>
        <v>0</v>
      </c>
      <c r="BB125" s="44">
        <f t="shared" si="233"/>
        <v>0</v>
      </c>
      <c r="BC125" s="43">
        <f>(SUMIFS('Fin Forecast'!$I$4:$I$545,'Fin Forecast'!$B$4:$B$545,'Mar16-Aug16 Billed-RETAIL'!$E125,'Fin Forecast'!$C$4:$C$545,'Mar16-Aug16 Billed-RETAIL'!BC$5))*1000</f>
        <v>0</v>
      </c>
      <c r="BD125" s="43">
        <f>(SUMIFS('Fin Forecast'!$I$4:$I$545,'Fin Forecast'!$B$4:$B$545,'Mar16-Aug16 Billed-RETAIL'!$E125,'Fin Forecast'!$C$4:$C$545,'Mar16-Aug16 Billed-RETAIL'!BD$5))*1000</f>
        <v>0</v>
      </c>
      <c r="BE125" s="43">
        <v>0</v>
      </c>
      <c r="BF125" s="43">
        <v>0</v>
      </c>
      <c r="BG125" s="43">
        <f>(SUMIFS('Fin Forecast'!$I$4:$I$545,'Fin Forecast'!$B$4:$B$545,'Mar16-Aug16 Billed-RETAIL'!$E125,'Fin Forecast'!$C$4:$C$545,'Mar16-Aug16 Billed-RETAIL'!BG$5))*1000</f>
        <v>0</v>
      </c>
      <c r="BH125" s="43">
        <f>(SUMIFS('Fin Forecast'!$I$4:$I$545,'Fin Forecast'!$B$4:$B$545,'Mar16-Aug16 Billed-RETAIL'!$E125,'Fin Forecast'!$C$4:$C$545,'Mar16-Aug16 Billed-RETAIL'!BH$5))*1000</f>
        <v>0</v>
      </c>
      <c r="BI125" s="43">
        <f>(SUMIFS('Fin Forecast'!$I$4:$I$545,'Fin Forecast'!$B$4:$B$545,'Mar16-Aug16 Billed-RETAIL'!$E125,'Fin Forecast'!$C$4:$C$545,'Mar16-Aug16 Billed-RETAIL'!BI$5))*1000</f>
        <v>0</v>
      </c>
      <c r="BJ125" s="43">
        <f>(SUMIFS('Fin Forecast'!$I$4:$I$545,'Fin Forecast'!$B$4:$B$545,'Mar16-Aug16 Billed-RETAIL'!$E125,'Fin Forecast'!$C$4:$C$545,'Mar16-Aug16 Billed-RETAIL'!BJ$5))*1000</f>
        <v>0</v>
      </c>
      <c r="BL125" s="51">
        <f t="shared" si="234"/>
        <v>0</v>
      </c>
      <c r="BN125" s="58">
        <f t="shared" si="235"/>
        <v>0</v>
      </c>
      <c r="BO125" s="58">
        <f t="shared" si="236"/>
        <v>0</v>
      </c>
      <c r="BP125" s="58">
        <f t="shared" si="237"/>
        <v>0</v>
      </c>
    </row>
    <row r="126" spans="1:68" ht="15" x14ac:dyDescent="0.25">
      <c r="C126" s="14">
        <f t="shared" si="243"/>
        <v>104</v>
      </c>
      <c r="D126" s="604">
        <f t="shared" si="244"/>
        <v>42736</v>
      </c>
      <c r="E126" s="604" t="str">
        <f>+'Retail Rates'!$B$15</f>
        <v>LGCMG851</v>
      </c>
      <c r="F126" s="14" t="str">
        <f t="shared" si="238"/>
        <v>851</v>
      </c>
      <c r="G126" s="14" t="str">
        <f>VLOOKUP(E126,'Retail Rates'!$B$7:$D$34,3,FALSE)</f>
        <v>CGS</v>
      </c>
      <c r="H126" s="546"/>
      <c r="I126" s="546">
        <f>SUMIFS('Forecasted Customer Cts'!$R$5:$R$36,'Forecasted Customer Cts'!$D$5:$D$36,'Mar16-Aug16 Billed-RETAIL'!$E126,'Forecasted Customer Cts'!$C$5:$C$36,'Mar16-Aug16 Billed-RETAIL'!$A$78)</f>
        <v>24296</v>
      </c>
      <c r="J126" s="546">
        <f>SUMIFS('Forecasted Customer Cts'!$R$5:$R$36,'Forecasted Customer Cts'!$D$5:$D$36,'Mar16-Aug16 Billed-RETAIL'!$E126,'Forecasted Customer Cts'!$C$5:$C$36,'Mar16-Aug16 Billed-RETAIL'!$B$78)</f>
        <v>1011</v>
      </c>
      <c r="K126" s="546">
        <f>SUMIF('Forecasted Calendar Month Usage'!$D$5:$D$41,'Mar16-Aug16 Billed-RETAIL'!$E126,'Forecasted Calendar Month Usage'!$R$5:$R$41)*10</f>
        <v>20462128.49191127</v>
      </c>
      <c r="L126" s="546"/>
      <c r="N126" s="34">
        <f>VLOOKUP($E126,'Retail Rates'!$B$7:$L$34,5,FALSE)</f>
        <v>40</v>
      </c>
      <c r="O126" s="34">
        <f>VLOOKUP($E126,'Retail Rates'!$B$7:$L$34,6,FALSE)</f>
        <v>180</v>
      </c>
      <c r="P126" s="35">
        <f>VLOOKUP($E126,'Retail Rates'!$B$7:$L$34,7,FALSE)</f>
        <v>0.21504000000000001</v>
      </c>
      <c r="Q126" s="35">
        <f>VLOOKUP($E126,'Retail Rates'!$B$7:$L$34,8,FALSE)</f>
        <v>0.16504000000000002</v>
      </c>
      <c r="R126" s="35" t="e">
        <f>VLOOKUP($D126,'GSC-DSM-GLT Factors'!$A$1:$B$60,2,FALSE)</f>
        <v>#N/A</v>
      </c>
      <c r="S126" s="34">
        <f>VLOOKUP($E126,'Retail Rates'!$B$7:$L$34,9,FALSE)</f>
        <v>0</v>
      </c>
      <c r="T126" s="35">
        <f>VLOOKUP($E126,'Retail Rates'!$B$7:$L$34,10,FALSE)</f>
        <v>0</v>
      </c>
      <c r="U126" s="34">
        <f>VLOOKUP($E126,'Retail Rates'!$B$7:$L$34,11,FALSE)</f>
        <v>0</v>
      </c>
      <c r="V126" s="556" t="e">
        <f>VLOOKUP($D126,'GSC-DSM-GLT Factors'!$A$1:$O$60,12,FALSE)</f>
        <v>#N/A</v>
      </c>
      <c r="W126" s="36">
        <f t="shared" si="223"/>
        <v>971840</v>
      </c>
      <c r="X126" s="36"/>
      <c r="Y126" s="36">
        <f>+J126*O126</f>
        <v>181980</v>
      </c>
      <c r="Z126" s="36">
        <f t="shared" si="224"/>
        <v>4400176.1109005995</v>
      </c>
      <c r="AA126" s="36">
        <f t="shared" si="225"/>
        <v>0</v>
      </c>
      <c r="AB126" s="36" t="e">
        <f t="shared" si="226"/>
        <v>#N/A</v>
      </c>
      <c r="AC126" s="36"/>
      <c r="AD126" s="36"/>
      <c r="AE126" s="36">
        <f t="shared" si="239"/>
        <v>0</v>
      </c>
      <c r="AF126" s="36" t="e">
        <f t="shared" si="227"/>
        <v>#N/A</v>
      </c>
      <c r="AG126" s="57">
        <f>SUMIFS(Adjustments!H$5:H$557,Adjustments!$B$5:$B$557,'Mar16-Aug16 Billed-RETAIL'!$D126,Adjustments!$C$5:$C$557,'Mar16-Aug16 Billed-RETAIL'!$E126)</f>
        <v>0</v>
      </c>
      <c r="AH126" s="57">
        <f>SUMIFS(Adjustments!I$5:I$557,Adjustments!$B$5:$B$557,'Mar16-Aug16 Billed-RETAIL'!$D126,Adjustments!$C$5:$C$557,'Mar16-Aug16 Billed-RETAIL'!$E126)</f>
        <v>0</v>
      </c>
      <c r="AI126" s="48">
        <f>SUMIFS(Adjustments!J$5:J$557,Adjustments!$B$5:$B$557,'Mar16-Aug16 Billed-RETAIL'!$D126,Adjustments!$C$5:$C$557,'Mar16-Aug16 Billed-RETAIL'!$E126)</f>
        <v>0</v>
      </c>
      <c r="AJ126" s="48">
        <f>SUMIFS(Adjustments!K$5:K$557,Adjustments!$B$5:$B$557,'Mar16-Aug16 Billed-RETAIL'!$D126,Adjustments!$C$5:$C$557,'Mar16-Aug16 Billed-RETAIL'!$E126)</f>
        <v>0</v>
      </c>
      <c r="AK126" s="48">
        <f>SUMIFS(Adjustments!L$5:L$557,Adjustments!$B$5:$B$557,'Mar16-Aug16 Billed-RETAIL'!$D126,Adjustments!$C$5:$C$557,'Mar16-Aug16 Billed-RETAIL'!$E126)</f>
        <v>0</v>
      </c>
      <c r="AL126" s="48">
        <f>SUMIFS(Adjustments!M$5:M$557,Adjustments!$B$5:$B$557,'Mar16-Aug16 Billed-RETAIL'!$D126,Adjustments!$C$5:$C$557,'Mar16-Aug16 Billed-RETAIL'!$E126)</f>
        <v>0</v>
      </c>
      <c r="AM126" s="48">
        <f>SUMIFS(Adjustments!N$5:N$557,Adjustments!$B$5:$B$557,'Mar16-Aug16 Billed-RETAIL'!$D126,Adjustments!$C$5:$C$557,'Mar16-Aug16 Billed-RETAIL'!$E126)</f>
        <v>0</v>
      </c>
      <c r="AN126" s="48">
        <f>SUMIFS(Adjustments!O$5:O$557,Adjustments!$B$5:$B$557,'Mar16-Aug16 Billed-RETAIL'!$D126,Adjustments!$C$5:$C$557,'Mar16-Aug16 Billed-RETAIL'!$E126)</f>
        <v>0</v>
      </c>
      <c r="AO126" s="48">
        <f>SUMIFS(Adjustments!P$5:P$557,Adjustments!$B$5:$B$557,'Mar16-Aug16 Billed-RETAIL'!$D126,Adjustments!$C$5:$C$557,'Mar16-Aug16 Billed-RETAIL'!$E126)</f>
        <v>0</v>
      </c>
      <c r="AP126" s="36">
        <f t="shared" si="228"/>
        <v>971840</v>
      </c>
      <c r="AQ126" s="36">
        <f t="shared" si="229"/>
        <v>181980</v>
      </c>
      <c r="AR126" s="36">
        <f t="shared" si="230"/>
        <v>4400176.1109005995</v>
      </c>
      <c r="AS126" s="36">
        <f t="shared" si="231"/>
        <v>0</v>
      </c>
      <c r="AT126" s="43">
        <f t="shared" si="240"/>
        <v>8761081.1032886002</v>
      </c>
      <c r="AU126" s="43">
        <f t="shared" si="241"/>
        <v>87615.234995198087</v>
      </c>
      <c r="AV126" s="43"/>
      <c r="AW126" s="43">
        <f t="shared" si="242"/>
        <v>776082.784091637</v>
      </c>
      <c r="AX126" s="36">
        <f t="shared" si="232"/>
        <v>0</v>
      </c>
      <c r="AY126" s="36"/>
      <c r="AZ126" s="43">
        <f t="shared" si="245"/>
        <v>15178775.23</v>
      </c>
      <c r="BA126" s="43">
        <f>SUM(BC126:BJ126)-BF126</f>
        <v>15178775.234213974</v>
      </c>
      <c r="BB126" s="44">
        <f t="shared" si="233"/>
        <v>1</v>
      </c>
      <c r="BC126" s="43">
        <f>(SUMIFS('Fin Forecast'!$I$4:$I$545,'Fin Forecast'!$B$4:$B$545,'Mar16-Aug16 Billed-RETAIL'!$E126,'Fin Forecast'!$C$4:$C$545,'Mar16-Aug16 Billed-RETAIL'!BC$5))*1000</f>
        <v>87615.234995198087</v>
      </c>
      <c r="BD126" s="43">
        <f>(SUMIFS('Fin Forecast'!$I$4:$I$545,'Fin Forecast'!$B$4:$B$545,'Mar16-Aug16 Billed-RETAIL'!$E126,'Fin Forecast'!$C$4:$C$545,'Mar16-Aug16 Billed-RETAIL'!BD$5))*1000</f>
        <v>8761081.1032886002</v>
      </c>
      <c r="BE126" s="43">
        <v>0</v>
      </c>
      <c r="BF126" s="43">
        <v>0</v>
      </c>
      <c r="BG126" s="43">
        <f>(SUMIFS('Fin Forecast'!$I$4:$I$545,'Fin Forecast'!$B$4:$B$545,'Mar16-Aug16 Billed-RETAIL'!$E126,'Fin Forecast'!$C$4:$C$545,'Mar16-Aug16 Billed-RETAIL'!BG$5))*1000</f>
        <v>1153820</v>
      </c>
      <c r="BH126" s="43">
        <f>(SUMIFS('Fin Forecast'!$I$4:$I$545,'Fin Forecast'!$B$4:$B$545,'Mar16-Aug16 Billed-RETAIL'!$E126,'Fin Forecast'!$C$4:$C$545,'Mar16-Aug16 Billed-RETAIL'!BH$5))*1000</f>
        <v>4400176.1118385391</v>
      </c>
      <c r="BI126" s="43">
        <f>(SUMIFS('Fin Forecast'!$I$4:$I$545,'Fin Forecast'!$B$4:$B$545,'Mar16-Aug16 Billed-RETAIL'!$E126,'Fin Forecast'!$C$4:$C$545,'Mar16-Aug16 Billed-RETAIL'!BI$5))*1000</f>
        <v>0</v>
      </c>
      <c r="BJ126" s="43">
        <f>(SUMIFS('Fin Forecast'!$I$4:$I$545,'Fin Forecast'!$B$4:$B$545,'Mar16-Aug16 Billed-RETAIL'!$E126,'Fin Forecast'!$C$4:$C$545,'Mar16-Aug16 Billed-RETAIL'!BJ$5))*1000</f>
        <v>776082.784091637</v>
      </c>
      <c r="BL126" s="51">
        <f t="shared" si="234"/>
        <v>-4.2139738798141479E-3</v>
      </c>
      <c r="BN126" s="58">
        <f t="shared" si="235"/>
        <v>0</v>
      </c>
      <c r="BO126" s="58">
        <f t="shared" si="236"/>
        <v>-9.3793962150812149E-4</v>
      </c>
      <c r="BP126" s="58">
        <f t="shared" si="237"/>
        <v>0</v>
      </c>
    </row>
    <row r="127" spans="1:68" ht="15" x14ac:dyDescent="0.25">
      <c r="C127" s="14">
        <f t="shared" si="243"/>
        <v>105</v>
      </c>
      <c r="D127" s="604">
        <f t="shared" si="244"/>
        <v>42736</v>
      </c>
      <c r="E127" s="604" t="str">
        <f>+'Retail Rates'!$B$16</f>
        <v>LGUMG861</v>
      </c>
      <c r="F127" s="14" t="str">
        <f t="shared" si="238"/>
        <v>861</v>
      </c>
      <c r="G127" s="14" t="str">
        <f>VLOOKUP(E127,'Retail Rates'!$B$7:$D$34,3,FALSE)</f>
        <v>CGS</v>
      </c>
      <c r="H127" s="546"/>
      <c r="I127" s="546"/>
      <c r="J127" s="546"/>
      <c r="K127" s="545"/>
      <c r="L127" s="545"/>
      <c r="N127" s="34">
        <f>VLOOKUP($E127,'Retail Rates'!$B$7:$L$34,5,FALSE)</f>
        <v>40</v>
      </c>
      <c r="O127" s="34">
        <f>VLOOKUP($E127,'Retail Rates'!$B$7:$L$34,6,FALSE)</f>
        <v>180</v>
      </c>
      <c r="P127" s="35">
        <f>VLOOKUP($E127,'Retail Rates'!$B$7:$L$34,7,FALSE)</f>
        <v>0.21504000000000001</v>
      </c>
      <c r="Q127" s="35">
        <f>VLOOKUP($E127,'Retail Rates'!$B$7:$L$34,8,FALSE)</f>
        <v>0.16504000000000002</v>
      </c>
      <c r="R127" s="35" t="e">
        <f>VLOOKUP($D127,'GSC-DSM-GLT Factors'!$A$1:$B$60,2,FALSE)</f>
        <v>#N/A</v>
      </c>
      <c r="S127" s="34">
        <f>VLOOKUP($E127,'Retail Rates'!$B$7:$L$34,9,FALSE)</f>
        <v>0</v>
      </c>
      <c r="T127" s="35">
        <f>VLOOKUP($E127,'Retail Rates'!$B$7:$L$34,10,FALSE)</f>
        <v>0</v>
      </c>
      <c r="U127" s="34">
        <f>VLOOKUP($E127,'Retail Rates'!$B$7:$L$34,11,FALSE)</f>
        <v>0</v>
      </c>
      <c r="V127" s="556" t="e">
        <f>VLOOKUP($D127,'GSC-DSM-GLT Factors'!$A$1:$O$60,12,FALSE)</f>
        <v>#N/A</v>
      </c>
      <c r="W127" s="36">
        <f t="shared" si="223"/>
        <v>0</v>
      </c>
      <c r="X127" s="36"/>
      <c r="Y127" s="36">
        <f>+J127*O127</f>
        <v>0</v>
      </c>
      <c r="Z127" s="36">
        <f t="shared" si="224"/>
        <v>0</v>
      </c>
      <c r="AA127" s="36">
        <f t="shared" si="225"/>
        <v>0</v>
      </c>
      <c r="AB127" s="36" t="e">
        <f t="shared" si="226"/>
        <v>#N/A</v>
      </c>
      <c r="AC127" s="36"/>
      <c r="AD127" s="36"/>
      <c r="AE127" s="36">
        <f t="shared" si="239"/>
        <v>0</v>
      </c>
      <c r="AF127" s="36" t="e">
        <f t="shared" si="227"/>
        <v>#N/A</v>
      </c>
      <c r="AG127" s="57">
        <f>SUMIFS(Adjustments!H$5:H$557,Adjustments!$B$5:$B$557,'Mar16-Aug16 Billed-RETAIL'!$D127,Adjustments!$C$5:$C$557,'Mar16-Aug16 Billed-RETAIL'!$E127)</f>
        <v>0</v>
      </c>
      <c r="AH127" s="57">
        <f>SUMIFS(Adjustments!I$5:I$557,Adjustments!$B$5:$B$557,'Mar16-Aug16 Billed-RETAIL'!$D127,Adjustments!$C$5:$C$557,'Mar16-Aug16 Billed-RETAIL'!$E127)</f>
        <v>0</v>
      </c>
      <c r="AI127" s="48">
        <f>SUMIFS(Adjustments!J$5:J$557,Adjustments!$B$5:$B$557,'Mar16-Aug16 Billed-RETAIL'!$D127,Adjustments!$C$5:$C$557,'Mar16-Aug16 Billed-RETAIL'!$E127)</f>
        <v>0</v>
      </c>
      <c r="AJ127" s="48">
        <f>SUMIFS(Adjustments!K$5:K$557,Adjustments!$B$5:$B$557,'Mar16-Aug16 Billed-RETAIL'!$D127,Adjustments!$C$5:$C$557,'Mar16-Aug16 Billed-RETAIL'!$E127)</f>
        <v>0</v>
      </c>
      <c r="AK127" s="48">
        <f>SUMIFS(Adjustments!L$5:L$557,Adjustments!$B$5:$B$557,'Mar16-Aug16 Billed-RETAIL'!$D127,Adjustments!$C$5:$C$557,'Mar16-Aug16 Billed-RETAIL'!$E127)</f>
        <v>0</v>
      </c>
      <c r="AL127" s="48">
        <f>SUMIFS(Adjustments!M$5:M$557,Adjustments!$B$5:$B$557,'Mar16-Aug16 Billed-RETAIL'!$D127,Adjustments!$C$5:$C$557,'Mar16-Aug16 Billed-RETAIL'!$E127)</f>
        <v>0</v>
      </c>
      <c r="AM127" s="48">
        <f>SUMIFS(Adjustments!N$5:N$557,Adjustments!$B$5:$B$557,'Mar16-Aug16 Billed-RETAIL'!$D127,Adjustments!$C$5:$C$557,'Mar16-Aug16 Billed-RETAIL'!$E127)</f>
        <v>0</v>
      </c>
      <c r="AN127" s="48">
        <f>SUMIFS(Adjustments!O$5:O$557,Adjustments!$B$5:$B$557,'Mar16-Aug16 Billed-RETAIL'!$D127,Adjustments!$C$5:$C$557,'Mar16-Aug16 Billed-RETAIL'!$E127)</f>
        <v>0</v>
      </c>
      <c r="AO127" s="48">
        <f>SUMIFS(Adjustments!P$5:P$557,Adjustments!$B$5:$B$557,'Mar16-Aug16 Billed-RETAIL'!$D127,Adjustments!$C$5:$C$557,'Mar16-Aug16 Billed-RETAIL'!$E127)</f>
        <v>0</v>
      </c>
      <c r="AP127" s="36">
        <f t="shared" si="228"/>
        <v>0</v>
      </c>
      <c r="AQ127" s="36">
        <f t="shared" si="229"/>
        <v>0</v>
      </c>
      <c r="AR127" s="36">
        <f t="shared" si="230"/>
        <v>0</v>
      </c>
      <c r="AS127" s="36">
        <f t="shared" si="231"/>
        <v>0</v>
      </c>
      <c r="AT127" s="43">
        <f t="shared" si="240"/>
        <v>0</v>
      </c>
      <c r="AU127" s="43">
        <f t="shared" si="241"/>
        <v>0</v>
      </c>
      <c r="AV127" s="43"/>
      <c r="AW127" s="43">
        <f t="shared" si="242"/>
        <v>0</v>
      </c>
      <c r="AX127" s="36">
        <f t="shared" si="232"/>
        <v>0</v>
      </c>
      <c r="AY127" s="36"/>
      <c r="AZ127" s="43">
        <f t="shared" si="245"/>
        <v>0</v>
      </c>
      <c r="BA127" s="43">
        <f>SUM(BC127:BJ127)-BF127</f>
        <v>0</v>
      </c>
      <c r="BB127" s="44">
        <f t="shared" si="233"/>
        <v>0</v>
      </c>
      <c r="BC127" s="43">
        <f>(SUMIFS('Fin Forecast'!$I$4:$I$545,'Fin Forecast'!$B$4:$B$545,'Mar16-Aug16 Billed-RETAIL'!$E127,'Fin Forecast'!$C$4:$C$545,'Mar16-Aug16 Billed-RETAIL'!BC$5))*1000</f>
        <v>0</v>
      </c>
      <c r="BD127" s="43">
        <f>(SUMIFS('Fin Forecast'!$I$4:$I$545,'Fin Forecast'!$B$4:$B$545,'Mar16-Aug16 Billed-RETAIL'!$E127,'Fin Forecast'!$C$4:$C$545,'Mar16-Aug16 Billed-RETAIL'!BD$5))*1000</f>
        <v>0</v>
      </c>
      <c r="BE127" s="43">
        <v>0</v>
      </c>
      <c r="BF127" s="43">
        <v>0</v>
      </c>
      <c r="BG127" s="43">
        <f>(SUMIFS('Fin Forecast'!$I$4:$I$545,'Fin Forecast'!$B$4:$B$545,'Mar16-Aug16 Billed-RETAIL'!$E127,'Fin Forecast'!$C$4:$C$545,'Mar16-Aug16 Billed-RETAIL'!BG$5))*1000</f>
        <v>0</v>
      </c>
      <c r="BH127" s="43">
        <f>(SUMIFS('Fin Forecast'!$I$4:$I$545,'Fin Forecast'!$B$4:$B$545,'Mar16-Aug16 Billed-RETAIL'!$E127,'Fin Forecast'!$C$4:$C$545,'Mar16-Aug16 Billed-RETAIL'!BH$5))*1000</f>
        <v>0</v>
      </c>
      <c r="BI127" s="43">
        <f>(SUMIFS('Fin Forecast'!$I$4:$I$545,'Fin Forecast'!$B$4:$B$545,'Mar16-Aug16 Billed-RETAIL'!$E127,'Fin Forecast'!$C$4:$C$545,'Mar16-Aug16 Billed-RETAIL'!BI$5))*1000</f>
        <v>0</v>
      </c>
      <c r="BJ127" s="43">
        <f>(SUMIFS('Fin Forecast'!$I$4:$I$545,'Fin Forecast'!$B$4:$B$545,'Mar16-Aug16 Billed-RETAIL'!$E127,'Fin Forecast'!$C$4:$C$545,'Mar16-Aug16 Billed-RETAIL'!BJ$5))*1000</f>
        <v>0</v>
      </c>
      <c r="BL127" s="51">
        <f t="shared" si="234"/>
        <v>0</v>
      </c>
      <c r="BN127" s="58">
        <f t="shared" si="235"/>
        <v>0</v>
      </c>
      <c r="BO127" s="58">
        <f t="shared" si="236"/>
        <v>0</v>
      </c>
      <c r="BP127" s="58">
        <f t="shared" si="237"/>
        <v>0</v>
      </c>
    </row>
    <row r="128" spans="1:68" ht="15" x14ac:dyDescent="0.25">
      <c r="A128" s="548" t="s">
        <v>799</v>
      </c>
      <c r="B128" s="548" t="s">
        <v>800</v>
      </c>
      <c r="C128" s="14">
        <f t="shared" si="243"/>
        <v>106</v>
      </c>
      <c r="D128" s="604">
        <f t="shared" si="244"/>
        <v>42736</v>
      </c>
      <c r="E128" s="604" t="str">
        <f>+'Retail Rates'!$B$20</f>
        <v>LGCMG875</v>
      </c>
      <c r="F128" s="14" t="str">
        <f t="shared" si="238"/>
        <v>875</v>
      </c>
      <c r="G128" s="14" t="str">
        <f>VLOOKUP(E128,'Retail Rates'!$B$7:$D$34,3,FALSE)</f>
        <v>DGGS-C</v>
      </c>
      <c r="H128" s="546">
        <v>1</v>
      </c>
      <c r="I128" s="546"/>
      <c r="J128" s="546"/>
      <c r="K128" s="546">
        <v>6</v>
      </c>
      <c r="L128" s="546"/>
      <c r="M128" s="21">
        <v>483</v>
      </c>
      <c r="N128" s="34">
        <f>VLOOKUP($E128,'Retail Rates'!$B$7:$L$34,5,FALSE)</f>
        <v>40</v>
      </c>
      <c r="O128" s="34">
        <f>VLOOKUP($E128,'Retail Rates'!$B$7:$L$34,6,FALSE)</f>
        <v>180</v>
      </c>
      <c r="P128" s="35">
        <f>VLOOKUP($E128,'Retail Rates'!$B$7:$L$34,7,FALSE)</f>
        <v>3.329E-2</v>
      </c>
      <c r="Q128" s="35">
        <f>VLOOKUP($E128,'Retail Rates'!$B$7:$L$34,8,FALSE)</f>
        <v>0</v>
      </c>
      <c r="R128" s="35" t="e">
        <f>VLOOKUP($D128,'GSC-DSM-GLT Factors'!$A$1:$B$60,2,FALSE)</f>
        <v>#N/A</v>
      </c>
      <c r="S128" s="34">
        <f>VLOOKUP($E128,'Retail Rates'!$B$7:$L$34,9,FALSE)</f>
        <v>0</v>
      </c>
      <c r="T128" s="35">
        <f>VLOOKUP($E128,'Retail Rates'!$B$7:$L$34,10,FALSE)</f>
        <v>0</v>
      </c>
      <c r="U128" s="699">
        <f>VLOOKUP($E128,'Retail Rates'!$B$7:$L$34,11,FALSE)</f>
        <v>1.1263000000000001</v>
      </c>
      <c r="V128" s="556" t="e">
        <f>VLOOKUP($D128,'GSC-DSM-GLT Factors'!$A$1:$O$60,15,FALSE)</f>
        <v>#N/A</v>
      </c>
      <c r="W128" s="36">
        <f t="shared" si="223"/>
        <v>40</v>
      </c>
      <c r="X128" s="36"/>
      <c r="Y128" s="36"/>
      <c r="Z128" s="36">
        <f t="shared" si="224"/>
        <v>0.19974</v>
      </c>
      <c r="AA128" s="36">
        <f t="shared" si="225"/>
        <v>0</v>
      </c>
      <c r="AB128" s="36" t="e">
        <f t="shared" si="226"/>
        <v>#N/A</v>
      </c>
      <c r="AC128" s="36"/>
      <c r="AD128" s="36"/>
      <c r="AE128" s="36">
        <f t="shared" si="239"/>
        <v>544.00290000000007</v>
      </c>
      <c r="AF128" s="36" t="e">
        <f t="shared" si="227"/>
        <v>#N/A</v>
      </c>
      <c r="AG128" s="57">
        <f>SUMIFS(Adjustments!H$5:H$557,Adjustments!$B$5:$B$557,'Mar16-Aug16 Billed-RETAIL'!$D128,Adjustments!$C$5:$C$557,'Mar16-Aug16 Billed-RETAIL'!$E128)</f>
        <v>0</v>
      </c>
      <c r="AH128" s="57">
        <f>SUMIFS(Adjustments!I$5:I$557,Adjustments!$B$5:$B$557,'Mar16-Aug16 Billed-RETAIL'!$D128,Adjustments!$C$5:$C$557,'Mar16-Aug16 Billed-RETAIL'!$E128)</f>
        <v>0</v>
      </c>
      <c r="AI128" s="48">
        <f>SUMIFS(Adjustments!J$5:J$557,Adjustments!$B$5:$B$557,'Mar16-Aug16 Billed-RETAIL'!$D128,Adjustments!$C$5:$C$557,'Mar16-Aug16 Billed-RETAIL'!$E128)</f>
        <v>0</v>
      </c>
      <c r="AJ128" s="48">
        <f>SUMIFS(Adjustments!K$5:K$557,Adjustments!$B$5:$B$557,'Mar16-Aug16 Billed-RETAIL'!$D128,Adjustments!$C$5:$C$557,'Mar16-Aug16 Billed-RETAIL'!$E128)</f>
        <v>0</v>
      </c>
      <c r="AK128" s="48">
        <f>SUMIFS(Adjustments!L$5:L$557,Adjustments!$B$5:$B$557,'Mar16-Aug16 Billed-RETAIL'!$D128,Adjustments!$C$5:$C$557,'Mar16-Aug16 Billed-RETAIL'!$E128)</f>
        <v>0</v>
      </c>
      <c r="AL128" s="48">
        <f>SUMIFS(Adjustments!M$5:M$557,Adjustments!$B$5:$B$557,'Mar16-Aug16 Billed-RETAIL'!$D128,Adjustments!$C$5:$C$557,'Mar16-Aug16 Billed-RETAIL'!$E128)</f>
        <v>0</v>
      </c>
      <c r="AM128" s="48">
        <f>SUMIFS(Adjustments!N$5:N$557,Adjustments!$B$5:$B$557,'Mar16-Aug16 Billed-RETAIL'!$D128,Adjustments!$C$5:$C$557,'Mar16-Aug16 Billed-RETAIL'!$E128)</f>
        <v>0</v>
      </c>
      <c r="AN128" s="48">
        <f>SUMIFS(Adjustments!O$5:O$557,Adjustments!$B$5:$B$557,'Mar16-Aug16 Billed-RETAIL'!$D128,Adjustments!$C$5:$C$557,'Mar16-Aug16 Billed-RETAIL'!$E128)</f>
        <v>0</v>
      </c>
      <c r="AO128" s="48">
        <f>SUMIFS(Adjustments!P$5:P$557,Adjustments!$B$5:$B$557,'Mar16-Aug16 Billed-RETAIL'!$D128,Adjustments!$C$5:$C$557,'Mar16-Aug16 Billed-RETAIL'!$E128)</f>
        <v>0</v>
      </c>
      <c r="AP128" s="36">
        <f t="shared" si="228"/>
        <v>40</v>
      </c>
      <c r="AQ128" s="36">
        <f t="shared" si="229"/>
        <v>0</v>
      </c>
      <c r="AR128" s="36">
        <f t="shared" si="230"/>
        <v>0.19974</v>
      </c>
      <c r="AS128" s="36">
        <f t="shared" si="231"/>
        <v>0</v>
      </c>
      <c r="AT128" s="43">
        <f t="shared" si="240"/>
        <v>2.56896474036443</v>
      </c>
      <c r="AU128" s="43">
        <f t="shared" si="241"/>
        <v>2.5690944618344001E-2</v>
      </c>
      <c r="AV128" s="43"/>
      <c r="AW128" s="43">
        <f t="shared" si="242"/>
        <v>0</v>
      </c>
      <c r="AX128" s="36">
        <f t="shared" si="232"/>
        <v>544.00290000000007</v>
      </c>
      <c r="AY128" s="36"/>
      <c r="AZ128" s="43">
        <f t="shared" si="245"/>
        <v>586.79999999999995</v>
      </c>
      <c r="BA128" s="43">
        <f>ROUND(SUM(BC128:BJ128)-BF128,2)</f>
        <v>586.79999999999995</v>
      </c>
      <c r="BB128" s="44">
        <f t="shared" si="233"/>
        <v>1</v>
      </c>
      <c r="BC128" s="43">
        <f>(SUMIFS('Fin Forecast'!$I$4:$I$545,'Fin Forecast'!$B$4:$B$545,'Mar16-Aug16 Billed-RETAIL'!$E128,'Fin Forecast'!$C$4:$C$545,'Mar16-Aug16 Billed-RETAIL'!BC$5))*1000</f>
        <v>2.5690944618344001E-2</v>
      </c>
      <c r="BD128" s="43">
        <f>(SUMIFS('Fin Forecast'!$I$4:$I$545,'Fin Forecast'!$B$4:$B$545,'Mar16-Aug16 Billed-RETAIL'!$E128,'Fin Forecast'!$C$4:$C$545,'Mar16-Aug16 Billed-RETAIL'!BD$5))*1000</f>
        <v>2.56896474036443</v>
      </c>
      <c r="BE128" s="43">
        <v>0</v>
      </c>
      <c r="BF128" s="43">
        <v>0</v>
      </c>
      <c r="BG128" s="43">
        <f>(SUMIFS('Fin Forecast'!$I$4:$I$545,'Fin Forecast'!$B$4:$B$545,'Mar16-Aug16 Billed-RETAIL'!$E128,'Fin Forecast'!$C$4:$C$545,'Mar16-Aug16 Billed-RETAIL'!BG$5))*1000</f>
        <v>40</v>
      </c>
      <c r="BH128" s="43">
        <f>(SUMIFS('Fin Forecast'!$I$4:$I$545,'Fin Forecast'!$B$4:$B$545,'Mar16-Aug16 Billed-RETAIL'!$E128,'Fin Forecast'!$C$4:$C$545,'Mar16-Aug16 Billed-RETAIL'!BH$5))*1000</f>
        <v>0.199739999999999</v>
      </c>
      <c r="BI128" s="43">
        <f>(SUMIFS('Fin Forecast'!$I$4:$I$545,'Fin Forecast'!$B$4:$B$545,'Mar16-Aug16 Billed-RETAIL'!$E128,'Fin Forecast'!$C$4:$C$545,'Mar16-Aug16 Billed-RETAIL'!BI$5))*1000</f>
        <v>544.00289999999995</v>
      </c>
      <c r="BJ128" s="43">
        <f>(SUMIFS('Fin Forecast'!$I$4:$I$545,'Fin Forecast'!$B$4:$B$545,'Mar16-Aug16 Billed-RETAIL'!$E128,'Fin Forecast'!$C$4:$C$545,'Mar16-Aug16 Billed-RETAIL'!BJ$5))*1000</f>
        <v>0</v>
      </c>
      <c r="BL128" s="51">
        <f t="shared" si="234"/>
        <v>0</v>
      </c>
      <c r="BN128" s="58">
        <f t="shared" si="235"/>
        <v>0</v>
      </c>
      <c r="BO128" s="58">
        <f t="shared" si="236"/>
        <v>9.9920072216264089E-16</v>
      </c>
      <c r="BP128" s="58">
        <f t="shared" si="237"/>
        <v>0</v>
      </c>
    </row>
    <row r="129" spans="1:68" ht="15" x14ac:dyDescent="0.25">
      <c r="A129" s="21" t="s">
        <v>801</v>
      </c>
      <c r="B129" s="21" t="s">
        <v>802</v>
      </c>
      <c r="C129" s="14">
        <f t="shared" si="243"/>
        <v>107</v>
      </c>
      <c r="D129" s="604">
        <f t="shared" si="244"/>
        <v>42736</v>
      </c>
      <c r="E129" s="604" t="str">
        <f>+'Retail Rates'!$B$26</f>
        <v>LGING855</v>
      </c>
      <c r="F129" s="14" t="str">
        <f t="shared" si="238"/>
        <v>855</v>
      </c>
      <c r="G129" s="14" t="s">
        <v>118</v>
      </c>
      <c r="H129" s="546"/>
      <c r="I129" s="546">
        <f>SUMIFS('Forecasted Customer Cts'!$R$5:$R$36,'Forecasted Customer Cts'!$D$5:$D$36,'Mar16-Aug16 Billed-RETAIL'!$E129,'Forecasted Customer Cts'!$C$5:$C$36,'Mar16-Aug16 Billed-RETAIL'!$A$78)</f>
        <v>144</v>
      </c>
      <c r="J129" s="546">
        <f>SUMIFS('Forecasted Customer Cts'!$R$5:$R$36,'Forecasted Customer Cts'!$D$5:$D$36,'Mar16-Aug16 Billed-RETAIL'!$E129,'Forecasted Customer Cts'!$C$5:$C$36,'Mar16-Aug16 Billed-RETAIL'!$B$78)</f>
        <v>112</v>
      </c>
      <c r="K129" s="546">
        <f>SUMIF('Forecasted Calendar Month Usage'!$D$5:$D$41,'Mar16-Aug16 Billed-RETAIL'!$E129,'Forecasted Calendar Month Usage'!$R$5:$R$41)*10</f>
        <v>1861734.5627917501</v>
      </c>
      <c r="L129" s="546"/>
      <c r="N129" s="34">
        <f>VLOOKUP($E129,'Retail Rates'!$B$7:$L$34,5,FALSE)</f>
        <v>40</v>
      </c>
      <c r="O129" s="34">
        <f>VLOOKUP($E129,'Retail Rates'!$B$7:$L$34,6,FALSE)</f>
        <v>180</v>
      </c>
      <c r="P129" s="35">
        <f>VLOOKUP($E129,'Retail Rates'!$B$7:$L$34,7,FALSE)</f>
        <v>0.22778999999999999</v>
      </c>
      <c r="Q129" s="35">
        <f>VLOOKUP($E129,'Retail Rates'!$B$7:$L$34,8,FALSE)</f>
        <v>0.17779</v>
      </c>
      <c r="R129" s="35" t="e">
        <f>VLOOKUP($D129,'GSC-DSM-GLT Factors'!$A$1:$B$60,2,FALSE)</f>
        <v>#N/A</v>
      </c>
      <c r="S129" s="34">
        <f>VLOOKUP($E129,'Retail Rates'!$B$7:$L$34,9,FALSE)</f>
        <v>0</v>
      </c>
      <c r="T129" s="35">
        <f>VLOOKUP($E129,'Retail Rates'!$B$7:$L$34,10,FALSE)</f>
        <v>0</v>
      </c>
      <c r="U129" s="34">
        <f>VLOOKUP($E129,'Retail Rates'!$B$7:$L$34,11,FALSE)</f>
        <v>0</v>
      </c>
      <c r="V129" s="556" t="e">
        <f>VLOOKUP($D129,'GSC-DSM-GLT Factors'!$A$1:$O$60,13,FALSE)</f>
        <v>#N/A</v>
      </c>
      <c r="W129" s="36">
        <f t="shared" si="223"/>
        <v>5760</v>
      </c>
      <c r="X129" s="36"/>
      <c r="Y129" s="36">
        <f>+J129*O129</f>
        <v>20160</v>
      </c>
      <c r="Z129" s="36">
        <f t="shared" si="224"/>
        <v>424084.51605833275</v>
      </c>
      <c r="AA129" s="36">
        <f t="shared" si="225"/>
        <v>0</v>
      </c>
      <c r="AB129" s="36" t="e">
        <f t="shared" si="226"/>
        <v>#N/A</v>
      </c>
      <c r="AC129" s="36"/>
      <c r="AD129" s="36"/>
      <c r="AE129" s="36">
        <f t="shared" si="239"/>
        <v>0</v>
      </c>
      <c r="AF129" s="36" t="e">
        <f>(+I129*V129)+(J129*V129)</f>
        <v>#N/A</v>
      </c>
      <c r="AG129" s="57">
        <f>SUMIFS(Adjustments!H$5:H$557,Adjustments!$B$5:$B$557,'Mar16-Aug16 Billed-RETAIL'!$D129,Adjustments!$C$5:$C$557,'Mar16-Aug16 Billed-RETAIL'!$E129)</f>
        <v>0</v>
      </c>
      <c r="AH129" s="57">
        <f>SUMIFS(Adjustments!I$5:I$557,Adjustments!$B$5:$B$557,'Mar16-Aug16 Billed-RETAIL'!$D129,Adjustments!$C$5:$C$557,'Mar16-Aug16 Billed-RETAIL'!$E129)</f>
        <v>0</v>
      </c>
      <c r="AI129" s="48">
        <f>SUMIFS(Adjustments!J$5:J$557,Adjustments!$B$5:$B$557,'Mar16-Aug16 Billed-RETAIL'!$D129,Adjustments!$C$5:$C$557,'Mar16-Aug16 Billed-RETAIL'!$E129)</f>
        <v>0</v>
      </c>
      <c r="AJ129" s="48">
        <f>SUMIFS(Adjustments!K$5:K$557,Adjustments!$B$5:$B$557,'Mar16-Aug16 Billed-RETAIL'!$D129,Adjustments!$C$5:$C$557,'Mar16-Aug16 Billed-RETAIL'!$E129)</f>
        <v>0</v>
      </c>
      <c r="AK129" s="48">
        <f>SUMIFS(Adjustments!L$5:L$557,Adjustments!$B$5:$B$557,'Mar16-Aug16 Billed-RETAIL'!$D129,Adjustments!$C$5:$C$557,'Mar16-Aug16 Billed-RETAIL'!$E129)</f>
        <v>0</v>
      </c>
      <c r="AL129" s="48">
        <f>SUMIFS(Adjustments!M$5:M$557,Adjustments!$B$5:$B$557,'Mar16-Aug16 Billed-RETAIL'!$D129,Adjustments!$C$5:$C$557,'Mar16-Aug16 Billed-RETAIL'!$E129)</f>
        <v>0</v>
      </c>
      <c r="AM129" s="48">
        <f>SUMIFS(Adjustments!N$5:N$557,Adjustments!$B$5:$B$557,'Mar16-Aug16 Billed-RETAIL'!$D129,Adjustments!$C$5:$C$557,'Mar16-Aug16 Billed-RETAIL'!$E129)</f>
        <v>0</v>
      </c>
      <c r="AN129" s="48">
        <f>SUMIFS(Adjustments!O$5:O$557,Adjustments!$B$5:$B$557,'Mar16-Aug16 Billed-RETAIL'!$D129,Adjustments!$C$5:$C$557,'Mar16-Aug16 Billed-RETAIL'!$E129)</f>
        <v>0</v>
      </c>
      <c r="AO129" s="48">
        <f>SUMIFS(Adjustments!P$5:P$557,Adjustments!$B$5:$B$557,'Mar16-Aug16 Billed-RETAIL'!$D129,Adjustments!$C$5:$C$557,'Mar16-Aug16 Billed-RETAIL'!$E129)</f>
        <v>0</v>
      </c>
      <c r="AP129" s="36">
        <f t="shared" si="228"/>
        <v>5760</v>
      </c>
      <c r="AQ129" s="36">
        <f t="shared" si="229"/>
        <v>20160</v>
      </c>
      <c r="AR129" s="36">
        <f t="shared" si="230"/>
        <v>424084.51605833275</v>
      </c>
      <c r="AS129" s="36">
        <f t="shared" si="231"/>
        <v>0</v>
      </c>
      <c r="AT129" s="43">
        <f t="shared" si="240"/>
        <v>797121.74139887199</v>
      </c>
      <c r="AU129" s="43">
        <f t="shared" si="241"/>
        <v>0</v>
      </c>
      <c r="AV129" s="43"/>
      <c r="AW129" s="43">
        <f t="shared" si="242"/>
        <v>75330.699591363809</v>
      </c>
      <c r="AX129" s="36">
        <f t="shared" si="232"/>
        <v>0</v>
      </c>
      <c r="AY129" s="36"/>
      <c r="AZ129" s="43">
        <f t="shared" si="245"/>
        <v>1322456.96</v>
      </c>
      <c r="BA129" s="43">
        <f>SUM(BC129:BJ129)-BF129</f>
        <v>1322456.9571073949</v>
      </c>
      <c r="BB129" s="44">
        <f t="shared" si="233"/>
        <v>1</v>
      </c>
      <c r="BC129" s="43">
        <f>(SUMIFS('Fin Forecast'!$I$4:$I$545,'Fin Forecast'!$B$4:$B$545,'Mar16-Aug16 Billed-RETAIL'!$E129,'Fin Forecast'!$C$4:$C$545,'Mar16-Aug16 Billed-RETAIL'!BC$5))*1000</f>
        <v>0</v>
      </c>
      <c r="BD129" s="43">
        <f>(SUMIFS('Fin Forecast'!$I$4:$I$545,'Fin Forecast'!$B$4:$B$545,'Mar16-Aug16 Billed-RETAIL'!$E129,'Fin Forecast'!$C$4:$C$545,'Mar16-Aug16 Billed-RETAIL'!BD$5))*1000</f>
        <v>797121.74139887199</v>
      </c>
      <c r="BE129" s="43">
        <v>0</v>
      </c>
      <c r="BF129" s="43">
        <v>0</v>
      </c>
      <c r="BG129" s="43">
        <f>(SUMIFS('Fin Forecast'!$I$4:$I$545,'Fin Forecast'!$B$4:$B$545,'Mar16-Aug16 Billed-RETAIL'!$E129,'Fin Forecast'!$C$4:$C$545,'Mar16-Aug16 Billed-RETAIL'!BG$5))*1000</f>
        <v>25920</v>
      </c>
      <c r="BH129" s="43">
        <f>(SUMIFS('Fin Forecast'!$I$4:$I$545,'Fin Forecast'!$B$4:$B$545,'Mar16-Aug16 Billed-RETAIL'!$E129,'Fin Forecast'!$C$4:$C$545,'Mar16-Aug16 Billed-RETAIL'!BH$5))*1000</f>
        <v>424084.51611715928</v>
      </c>
      <c r="BI129" s="43">
        <f>(SUMIFS('Fin Forecast'!$I$4:$I$545,'Fin Forecast'!$B$4:$B$545,'Mar16-Aug16 Billed-RETAIL'!$E129,'Fin Forecast'!$C$4:$C$545,'Mar16-Aug16 Billed-RETAIL'!BI$5))*1000</f>
        <v>0</v>
      </c>
      <c r="BJ129" s="43">
        <f>(SUMIFS('Fin Forecast'!$I$4:$I$545,'Fin Forecast'!$B$4:$B$545,'Mar16-Aug16 Billed-RETAIL'!$E129,'Fin Forecast'!$C$4:$C$545,'Mar16-Aug16 Billed-RETAIL'!BJ$5))*1000</f>
        <v>75330.699591363809</v>
      </c>
      <c r="BL129" s="51">
        <f t="shared" si="234"/>
        <v>2.8926050290465355E-3</v>
      </c>
      <c r="BN129" s="58">
        <f t="shared" si="235"/>
        <v>0</v>
      </c>
      <c r="BO129" s="58">
        <f t="shared" si="236"/>
        <v>-5.8826524764299393E-5</v>
      </c>
      <c r="BP129" s="58">
        <f t="shared" si="237"/>
        <v>0</v>
      </c>
    </row>
    <row r="130" spans="1:68" ht="15" x14ac:dyDescent="0.25">
      <c r="C130" s="14">
        <f t="shared" si="243"/>
        <v>108</v>
      </c>
      <c r="D130" s="604">
        <f t="shared" si="244"/>
        <v>42736</v>
      </c>
      <c r="E130" s="604" t="str">
        <f>+'Retail Rates'!$B$27</f>
        <v>LGING855DS</v>
      </c>
      <c r="F130" s="14" t="str">
        <f t="shared" si="238"/>
        <v>855</v>
      </c>
      <c r="G130" s="14" t="str">
        <f>VLOOKUP(E130,'Retail Rates'!$B$7:$D$34,3,FALSE)</f>
        <v>IGS</v>
      </c>
      <c r="H130" s="546"/>
      <c r="I130" s="546"/>
      <c r="J130" s="546"/>
      <c r="K130" s="545"/>
      <c r="L130" s="545"/>
      <c r="N130" s="34">
        <f>VLOOKUP($E130,'Retail Rates'!$B$7:$L$34,5,FALSE)</f>
        <v>40</v>
      </c>
      <c r="O130" s="34">
        <f>VLOOKUP($E130,'Retail Rates'!$B$7:$L$34,6,FALSE)</f>
        <v>180</v>
      </c>
      <c r="P130" s="35">
        <f>VLOOKUP($E130,'Retail Rates'!$B$7:$L$34,7,FALSE)</f>
        <v>0.22778999999999999</v>
      </c>
      <c r="Q130" s="35">
        <f>VLOOKUP($E130,'Retail Rates'!$B$7:$L$34,8,FALSE)</f>
        <v>0.17779</v>
      </c>
      <c r="R130" s="35" t="e">
        <f>VLOOKUP($D130,'GSC-DSM-GLT Factors'!$A$1:$B$60,2,FALSE)</f>
        <v>#N/A</v>
      </c>
      <c r="S130" s="34">
        <f>VLOOKUP($E130,'Retail Rates'!$B$7:$L$34,9,FALSE)</f>
        <v>0</v>
      </c>
      <c r="T130" s="35">
        <f>VLOOKUP($E130,'Retail Rates'!$B$7:$L$34,10,FALSE)</f>
        <v>0</v>
      </c>
      <c r="U130" s="34">
        <f>VLOOKUP($E130,'Retail Rates'!$B$7:$L$34,11,FALSE)</f>
        <v>0</v>
      </c>
      <c r="V130" s="556" t="e">
        <f>VLOOKUP($D130,'GSC-DSM-GLT Factors'!$A$1:$O$60,13,FALSE)</f>
        <v>#N/A</v>
      </c>
      <c r="W130" s="36">
        <f t="shared" si="223"/>
        <v>0</v>
      </c>
      <c r="X130" s="36"/>
      <c r="Y130" s="36">
        <f>+J130*O130</f>
        <v>0</v>
      </c>
      <c r="Z130" s="36">
        <f t="shared" si="224"/>
        <v>0</v>
      </c>
      <c r="AA130" s="36">
        <f t="shared" si="225"/>
        <v>0</v>
      </c>
      <c r="AB130" s="36" t="e">
        <f t="shared" si="226"/>
        <v>#N/A</v>
      </c>
      <c r="AC130" s="36"/>
      <c r="AD130" s="36"/>
      <c r="AE130" s="36">
        <f t="shared" si="239"/>
        <v>0</v>
      </c>
      <c r="AF130" s="36" t="e">
        <f>(+I130*V130)+(J130*V130)</f>
        <v>#N/A</v>
      </c>
      <c r="AG130" s="57">
        <f>SUMIFS(Adjustments!H$5:H$557,Adjustments!$B$5:$B$557,'Mar16-Aug16 Billed-RETAIL'!$D130,Adjustments!$C$5:$C$557,'Mar16-Aug16 Billed-RETAIL'!$E130)</f>
        <v>0</v>
      </c>
      <c r="AH130" s="57">
        <f>SUMIFS(Adjustments!I$5:I$557,Adjustments!$B$5:$B$557,'Mar16-Aug16 Billed-RETAIL'!$D130,Adjustments!$C$5:$C$557,'Mar16-Aug16 Billed-RETAIL'!$E130)</f>
        <v>0</v>
      </c>
      <c r="AI130" s="48">
        <f>SUMIFS(Adjustments!J$5:J$557,Adjustments!$B$5:$B$557,'Mar16-Aug16 Billed-RETAIL'!$D130,Adjustments!$C$5:$C$557,'Mar16-Aug16 Billed-RETAIL'!$E130)</f>
        <v>0</v>
      </c>
      <c r="AJ130" s="48">
        <f>SUMIFS(Adjustments!K$5:K$557,Adjustments!$B$5:$B$557,'Mar16-Aug16 Billed-RETAIL'!$D130,Adjustments!$C$5:$C$557,'Mar16-Aug16 Billed-RETAIL'!$E130)</f>
        <v>0</v>
      </c>
      <c r="AK130" s="48">
        <f>SUMIFS(Adjustments!L$5:L$557,Adjustments!$B$5:$B$557,'Mar16-Aug16 Billed-RETAIL'!$D130,Adjustments!$C$5:$C$557,'Mar16-Aug16 Billed-RETAIL'!$E130)</f>
        <v>0</v>
      </c>
      <c r="AL130" s="48">
        <f>SUMIFS(Adjustments!M$5:M$557,Adjustments!$B$5:$B$557,'Mar16-Aug16 Billed-RETAIL'!$D130,Adjustments!$C$5:$C$557,'Mar16-Aug16 Billed-RETAIL'!$E130)</f>
        <v>0</v>
      </c>
      <c r="AM130" s="48">
        <f>SUMIFS(Adjustments!N$5:N$557,Adjustments!$B$5:$B$557,'Mar16-Aug16 Billed-RETAIL'!$D130,Adjustments!$C$5:$C$557,'Mar16-Aug16 Billed-RETAIL'!$E130)</f>
        <v>0</v>
      </c>
      <c r="AN130" s="48">
        <f>SUMIFS(Adjustments!O$5:O$557,Adjustments!$B$5:$B$557,'Mar16-Aug16 Billed-RETAIL'!$D130,Adjustments!$C$5:$C$557,'Mar16-Aug16 Billed-RETAIL'!$E130)</f>
        <v>0</v>
      </c>
      <c r="AO130" s="48">
        <f>SUMIFS(Adjustments!P$5:P$557,Adjustments!$B$5:$B$557,'Mar16-Aug16 Billed-RETAIL'!$D130,Adjustments!$C$5:$C$557,'Mar16-Aug16 Billed-RETAIL'!$E130)</f>
        <v>0</v>
      </c>
      <c r="AP130" s="36">
        <f>+W130+AI130+(AG130*N130)</f>
        <v>0</v>
      </c>
      <c r="AQ130" s="36">
        <f t="shared" si="229"/>
        <v>0</v>
      </c>
      <c r="AR130" s="36">
        <f t="shared" si="230"/>
        <v>0</v>
      </c>
      <c r="AS130" s="36">
        <f t="shared" si="231"/>
        <v>0</v>
      </c>
      <c r="AT130" s="43">
        <f t="shared" si="240"/>
        <v>0</v>
      </c>
      <c r="AU130" s="43">
        <f t="shared" si="241"/>
        <v>0</v>
      </c>
      <c r="AV130" s="43"/>
      <c r="AW130" s="43">
        <f t="shared" si="242"/>
        <v>0</v>
      </c>
      <c r="AX130" s="36">
        <f t="shared" si="232"/>
        <v>0</v>
      </c>
      <c r="AY130" s="36"/>
      <c r="AZ130" s="43">
        <f t="shared" si="245"/>
        <v>0</v>
      </c>
      <c r="BA130" s="43">
        <f>SUM(BC130:BJ130)-BF130</f>
        <v>0</v>
      </c>
      <c r="BB130" s="44">
        <f t="shared" si="233"/>
        <v>0</v>
      </c>
      <c r="BC130" s="43">
        <f>(SUMIFS('Fin Forecast'!$I$4:$I$545,'Fin Forecast'!$B$4:$B$545,'Mar16-Aug16 Billed-RETAIL'!$E130,'Fin Forecast'!$C$4:$C$545,'Mar16-Aug16 Billed-RETAIL'!BC$5))*1000</f>
        <v>0</v>
      </c>
      <c r="BD130" s="43">
        <f>(SUMIFS('Fin Forecast'!$I$4:$I$545,'Fin Forecast'!$B$4:$B$545,'Mar16-Aug16 Billed-RETAIL'!$E130,'Fin Forecast'!$C$4:$C$545,'Mar16-Aug16 Billed-RETAIL'!BD$5))*1000</f>
        <v>0</v>
      </c>
      <c r="BE130" s="43">
        <v>0</v>
      </c>
      <c r="BF130" s="43">
        <v>0</v>
      </c>
      <c r="BG130" s="43">
        <f>(SUMIFS('Fin Forecast'!$I$4:$I$545,'Fin Forecast'!$B$4:$B$545,'Mar16-Aug16 Billed-RETAIL'!$E130,'Fin Forecast'!$C$4:$C$545,'Mar16-Aug16 Billed-RETAIL'!BG$5))*1000</f>
        <v>0</v>
      </c>
      <c r="BH130" s="43">
        <f>(SUMIFS('Fin Forecast'!$I$4:$I$545,'Fin Forecast'!$B$4:$B$545,'Mar16-Aug16 Billed-RETAIL'!$E130,'Fin Forecast'!$C$4:$C$545,'Mar16-Aug16 Billed-RETAIL'!BH$5))*1000</f>
        <v>0</v>
      </c>
      <c r="BI130" s="43">
        <f>(SUMIFS('Fin Forecast'!$I$4:$I$545,'Fin Forecast'!$B$4:$B$545,'Mar16-Aug16 Billed-RETAIL'!$E130,'Fin Forecast'!$C$4:$C$545,'Mar16-Aug16 Billed-RETAIL'!BI$5))*1000</f>
        <v>0</v>
      </c>
      <c r="BJ130" s="43">
        <f>(SUMIFS('Fin Forecast'!$I$4:$I$545,'Fin Forecast'!$B$4:$B$545,'Mar16-Aug16 Billed-RETAIL'!$E130,'Fin Forecast'!$C$4:$C$545,'Mar16-Aug16 Billed-RETAIL'!BJ$5))*1000</f>
        <v>0</v>
      </c>
      <c r="BL130" s="51">
        <f t="shared" si="234"/>
        <v>0</v>
      </c>
      <c r="BN130" s="58">
        <f t="shared" si="235"/>
        <v>0</v>
      </c>
      <c r="BO130" s="58">
        <f t="shared" si="236"/>
        <v>0</v>
      </c>
      <c r="BP130" s="58">
        <f t="shared" si="237"/>
        <v>0</v>
      </c>
    </row>
    <row r="131" spans="1:68" ht="15" x14ac:dyDescent="0.25">
      <c r="C131" s="14">
        <f t="shared" si="243"/>
        <v>109</v>
      </c>
      <c r="D131" s="604">
        <f t="shared" si="244"/>
        <v>42736</v>
      </c>
      <c r="E131" s="604" t="str">
        <f>+'Retail Rates'!$B$31</f>
        <v>LGRSG811</v>
      </c>
      <c r="F131" s="14" t="str">
        <f t="shared" si="238"/>
        <v>811</v>
      </c>
      <c r="G131" s="14" t="str">
        <f>VLOOKUP(E131,'Retail Rates'!$B$7:$D$34,3,FALSE)</f>
        <v>RGS</v>
      </c>
      <c r="H131" s="546">
        <f>SUMIF('Forecasted Customer Cts'!$D$5:$D$36,'Mar16-Aug16 Billed-RETAIL'!$E131,'Forecasted Customer Cts'!$R$5:$R$36)</f>
        <v>296728</v>
      </c>
      <c r="I131" s="546"/>
      <c r="J131" s="546"/>
      <c r="K131" s="546">
        <f>SUMIF('Forecasted Calendar Month Usage'!$D$5:$D$41,'Mar16-Aug16 Billed-RETAIL'!$E131,'Forecasted Calendar Month Usage'!$R$5:$R$41)*10</f>
        <v>43197975.752255924</v>
      </c>
      <c r="L131" s="545"/>
      <c r="N131" s="34">
        <f>VLOOKUP($E131,'Retail Rates'!$B$7:$L$34,5,FALSE)</f>
        <v>13.5</v>
      </c>
      <c r="O131" s="34">
        <f>VLOOKUP($E131,'Retail Rates'!$B$7:$L$34,6,FALSE)</f>
        <v>0</v>
      </c>
      <c r="P131" s="35">
        <f>VLOOKUP($E131,'Retail Rates'!$B$7:$L$34,7,FALSE)</f>
        <v>0.28693000000000002</v>
      </c>
      <c r="Q131" s="35">
        <f>VLOOKUP($E131,'Retail Rates'!$B$7:$L$34,8,FALSE)</f>
        <v>0</v>
      </c>
      <c r="R131" s="35" t="e">
        <f>VLOOKUP($D131,'GSC-DSM-GLT Factors'!$A$1:$B$60,2,FALSE)</f>
        <v>#N/A</v>
      </c>
      <c r="S131" s="34">
        <f>VLOOKUP($E131,'Retail Rates'!$B$7:$L$34,9,FALSE)</f>
        <v>0</v>
      </c>
      <c r="T131" s="35">
        <f>VLOOKUP($E131,'Retail Rates'!$B$7:$L$34,10,FALSE)</f>
        <v>0</v>
      </c>
      <c r="U131" s="34">
        <f>VLOOKUP($E131,'Retail Rates'!$B$7:$L$34,11,FALSE)</f>
        <v>0</v>
      </c>
      <c r="V131" s="556" t="e">
        <f>VLOOKUP($D131,'GSC-DSM-GLT Factors'!$A$1:$O$60,10,FALSE)</f>
        <v>#N/A</v>
      </c>
      <c r="W131" s="36">
        <f t="shared" si="223"/>
        <v>4005828</v>
      </c>
      <c r="X131" s="36"/>
      <c r="Y131" s="36"/>
      <c r="Z131" s="36">
        <f t="shared" si="224"/>
        <v>12394795.182594793</v>
      </c>
      <c r="AA131" s="36">
        <f t="shared" si="225"/>
        <v>0</v>
      </c>
      <c r="AB131" s="36" t="e">
        <f t="shared" si="226"/>
        <v>#N/A</v>
      </c>
      <c r="AC131" s="36"/>
      <c r="AD131" s="36"/>
      <c r="AE131" s="36">
        <f t="shared" si="239"/>
        <v>0</v>
      </c>
      <c r="AF131" s="36" t="e">
        <f>(+H131*V131)+(I131*V131)</f>
        <v>#N/A</v>
      </c>
      <c r="AG131" s="57">
        <f>SUMIFS(Adjustments!H$5:H$557,Adjustments!$B$5:$B$557,'Mar16-Aug16 Billed-RETAIL'!$D131,Adjustments!$C$5:$C$557,'Mar16-Aug16 Billed-RETAIL'!$E131)</f>
        <v>0</v>
      </c>
      <c r="AH131" s="57">
        <f>SUMIFS(Adjustments!I$5:I$557,Adjustments!$B$5:$B$557,'Mar16-Aug16 Billed-RETAIL'!$D131,Adjustments!$C$5:$C$557,'Mar16-Aug16 Billed-RETAIL'!$E131)</f>
        <v>0</v>
      </c>
      <c r="AI131" s="48">
        <f>SUMIFS(Adjustments!J$5:J$557,Adjustments!$B$5:$B$557,'Mar16-Aug16 Billed-RETAIL'!$D131,Adjustments!$C$5:$C$557,'Mar16-Aug16 Billed-RETAIL'!$E131)</f>
        <v>0</v>
      </c>
      <c r="AJ131" s="48">
        <f>SUMIFS(Adjustments!K$5:K$557,Adjustments!$B$5:$B$557,'Mar16-Aug16 Billed-RETAIL'!$D131,Adjustments!$C$5:$C$557,'Mar16-Aug16 Billed-RETAIL'!$E131)</f>
        <v>0</v>
      </c>
      <c r="AK131" s="48">
        <f>SUMIFS(Adjustments!L$5:L$557,Adjustments!$B$5:$B$557,'Mar16-Aug16 Billed-RETAIL'!$D131,Adjustments!$C$5:$C$557,'Mar16-Aug16 Billed-RETAIL'!$E131)</f>
        <v>0</v>
      </c>
      <c r="AL131" s="48">
        <f>SUMIFS(Adjustments!M$5:M$557,Adjustments!$B$5:$B$557,'Mar16-Aug16 Billed-RETAIL'!$D131,Adjustments!$C$5:$C$557,'Mar16-Aug16 Billed-RETAIL'!$E131)</f>
        <v>0</v>
      </c>
      <c r="AM131" s="48">
        <f>SUMIFS(Adjustments!N$5:N$557,Adjustments!$B$5:$B$557,'Mar16-Aug16 Billed-RETAIL'!$D131,Adjustments!$C$5:$C$557,'Mar16-Aug16 Billed-RETAIL'!$E131)</f>
        <v>0</v>
      </c>
      <c r="AN131" s="48">
        <f>SUMIFS(Adjustments!O$5:O$557,Adjustments!$B$5:$B$557,'Mar16-Aug16 Billed-RETAIL'!$D131,Adjustments!$C$5:$C$557,'Mar16-Aug16 Billed-RETAIL'!$E131)</f>
        <v>0</v>
      </c>
      <c r="AO131" s="48">
        <f>SUMIFS(Adjustments!P$5:P$557,Adjustments!$B$5:$B$557,'Mar16-Aug16 Billed-RETAIL'!$D131,Adjustments!$C$5:$C$557,'Mar16-Aug16 Billed-RETAIL'!$E131)</f>
        <v>0</v>
      </c>
      <c r="AP131" s="36">
        <f>+W131+AI131+(AG131*N131)</f>
        <v>4005828</v>
      </c>
      <c r="AQ131" s="36">
        <f t="shared" si="229"/>
        <v>0</v>
      </c>
      <c r="AR131" s="36">
        <f t="shared" si="230"/>
        <v>12394795.182594793</v>
      </c>
      <c r="AS131" s="36">
        <f t="shared" si="231"/>
        <v>0</v>
      </c>
      <c r="AT131" s="43">
        <f t="shared" si="240"/>
        <v>18495679.427681301</v>
      </c>
      <c r="AU131" s="43">
        <f t="shared" si="241"/>
        <v>184966.13378500298</v>
      </c>
      <c r="AV131" s="43"/>
      <c r="AW131" s="43">
        <f t="shared" si="242"/>
        <v>1809271.0053335901</v>
      </c>
      <c r="AX131" s="36">
        <f t="shared" si="232"/>
        <v>0</v>
      </c>
      <c r="AY131" s="36"/>
      <c r="AZ131" s="43">
        <f t="shared" si="245"/>
        <v>36890539.75</v>
      </c>
      <c r="BA131" s="43">
        <f>SUM(BC131:BJ131)-BF131</f>
        <v>36890539.749777094</v>
      </c>
      <c r="BB131" s="44">
        <f t="shared" si="233"/>
        <v>1</v>
      </c>
      <c r="BC131" s="43">
        <f>(SUMIFS('Fin Forecast'!$I$4:$I$545,'Fin Forecast'!$B$4:$B$545,'Mar16-Aug16 Billed-RETAIL'!$E131,'Fin Forecast'!$C$4:$C$545,'Mar16-Aug16 Billed-RETAIL'!BC$5))*1000</f>
        <v>184966.13378500298</v>
      </c>
      <c r="BD131" s="43">
        <f>(SUMIFS('Fin Forecast'!$I$4:$I$545,'Fin Forecast'!$B$4:$B$545,'Mar16-Aug16 Billed-RETAIL'!$E131,'Fin Forecast'!$C$4:$C$545,'Mar16-Aug16 Billed-RETAIL'!BD$5))*1000</f>
        <v>18495679.427681301</v>
      </c>
      <c r="BE131" s="43">
        <v>0</v>
      </c>
      <c r="BF131" s="43">
        <v>0</v>
      </c>
      <c r="BG131" s="43">
        <f>(SUMIFS('Fin Forecast'!$I$4:$I$545,'Fin Forecast'!$B$4:$B$545,'Mar16-Aug16 Billed-RETAIL'!$E131,'Fin Forecast'!$C$4:$C$545,'Mar16-Aug16 Billed-RETAIL'!BG$5))*1000</f>
        <v>4005828</v>
      </c>
      <c r="BH131" s="43">
        <f>(SUMIFS('Fin Forecast'!$I$4:$I$545,'Fin Forecast'!$B$4:$B$545,'Mar16-Aug16 Billed-RETAIL'!$E131,'Fin Forecast'!$C$4:$C$545,'Mar16-Aug16 Billed-RETAIL'!BH$5))*1000</f>
        <v>12394795.1829772</v>
      </c>
      <c r="BI131" s="43">
        <f>(SUMIFS('Fin Forecast'!$I$4:$I$545,'Fin Forecast'!$B$4:$B$545,'Mar16-Aug16 Billed-RETAIL'!$E131,'Fin Forecast'!$C$4:$C$545,'Mar16-Aug16 Billed-RETAIL'!BI$5))*1000</f>
        <v>0</v>
      </c>
      <c r="BJ131" s="43">
        <f>(SUMIFS('Fin Forecast'!$I$4:$I$545,'Fin Forecast'!$B$4:$B$545,'Mar16-Aug16 Billed-RETAIL'!$E131,'Fin Forecast'!$C$4:$C$545,'Mar16-Aug16 Billed-RETAIL'!BJ$5))*1000</f>
        <v>1809271.0053335901</v>
      </c>
      <c r="BL131" s="51">
        <f t="shared" si="234"/>
        <v>2.2290647029876709E-4</v>
      </c>
      <c r="BN131" s="58">
        <f t="shared" si="235"/>
        <v>0</v>
      </c>
      <c r="BO131" s="58">
        <f t="shared" si="236"/>
        <v>-3.8240663707256317E-4</v>
      </c>
      <c r="BP131" s="58">
        <f t="shared" si="237"/>
        <v>0</v>
      </c>
    </row>
    <row r="132" spans="1:68" ht="15" x14ac:dyDescent="0.25">
      <c r="C132" s="14">
        <f t="shared" si="243"/>
        <v>110</v>
      </c>
      <c r="D132" s="604">
        <f t="shared" si="244"/>
        <v>42736</v>
      </c>
      <c r="E132" s="604" t="str">
        <f>+'Retail Rates'!$B$19</f>
        <v>LGCMG851LT</v>
      </c>
      <c r="F132" s="14" t="str">
        <f t="shared" si="238"/>
        <v>851</v>
      </c>
      <c r="G132" s="14" t="str">
        <f>VLOOKUP(E132,'Retail Rates'!$B$7:$D$34,3,FALSE)</f>
        <v>CGS</v>
      </c>
      <c r="H132" s="546"/>
      <c r="I132" s="546"/>
      <c r="J132" s="546"/>
      <c r="K132" s="545"/>
      <c r="L132" s="545"/>
      <c r="N132" s="34">
        <f>VLOOKUP($E132,'Retail Rates'!$B$7:$L$34,5,FALSE)</f>
        <v>40</v>
      </c>
      <c r="O132" s="34">
        <f>VLOOKUP($E132,'Retail Rates'!$B$7:$L$34,6,FALSE)</f>
        <v>180</v>
      </c>
      <c r="P132" s="35">
        <f>VLOOKUP($E132,'Retail Rates'!$B$7:$L$34,7,FALSE)</f>
        <v>0.21504000000000001</v>
      </c>
      <c r="Q132" s="35">
        <f>VLOOKUP($E132,'Retail Rates'!$B$7:$L$34,8,FALSE)</f>
        <v>0.16504000000000002</v>
      </c>
      <c r="R132" s="35" t="e">
        <f>VLOOKUP($D132,'GSC-DSM-GLT Factors'!$A$1:$B$60,2,FALSE)</f>
        <v>#N/A</v>
      </c>
      <c r="S132" s="34">
        <f>VLOOKUP($E132,'Retail Rates'!$B$7:$L$34,9,FALSE)</f>
        <v>0</v>
      </c>
      <c r="T132" s="35">
        <f>VLOOKUP($E132,'Retail Rates'!$B$7:$L$34,10,FALSE)</f>
        <v>0</v>
      </c>
      <c r="U132" s="34">
        <f>VLOOKUP($E132,'Retail Rates'!$B$7:$L$34,11,FALSE)</f>
        <v>0</v>
      </c>
      <c r="V132" s="556" t="e">
        <f>VLOOKUP($D132,'GSC-DSM-GLT Factors'!$A$1:$O$60,12,FALSE)</f>
        <v>#N/A</v>
      </c>
      <c r="W132" s="36">
        <f t="shared" si="223"/>
        <v>0</v>
      </c>
      <c r="X132" s="36"/>
      <c r="Y132" s="36"/>
      <c r="Z132" s="36">
        <f t="shared" si="224"/>
        <v>0</v>
      </c>
      <c r="AA132" s="36">
        <f t="shared" si="225"/>
        <v>0</v>
      </c>
      <c r="AB132" s="36" t="e">
        <f t="shared" si="226"/>
        <v>#N/A</v>
      </c>
      <c r="AC132" s="36"/>
      <c r="AD132" s="36"/>
      <c r="AE132" s="36">
        <f t="shared" si="239"/>
        <v>0</v>
      </c>
      <c r="AF132" s="36" t="e">
        <f>(+H132*V132)+(I132*V132)</f>
        <v>#N/A</v>
      </c>
      <c r="AG132" s="57">
        <f>SUMIFS(Adjustments!H$5:H$557,Adjustments!$B$5:$B$557,'Mar16-Aug16 Billed-RETAIL'!$D132,Adjustments!$C$5:$C$557,'Mar16-Aug16 Billed-RETAIL'!$E132)</f>
        <v>0</v>
      </c>
      <c r="AH132" s="57">
        <f>SUMIFS(Adjustments!I$5:I$557,Adjustments!$B$5:$B$557,'Mar16-Aug16 Billed-RETAIL'!$D132,Adjustments!$C$5:$C$557,'Mar16-Aug16 Billed-RETAIL'!$E132)</f>
        <v>0</v>
      </c>
      <c r="AI132" s="48">
        <f>SUMIFS(Adjustments!J$5:J$557,Adjustments!$B$5:$B$557,'Mar16-Aug16 Billed-RETAIL'!$D132,Adjustments!$C$5:$C$557,'Mar16-Aug16 Billed-RETAIL'!$E132)</f>
        <v>0</v>
      </c>
      <c r="AJ132" s="48">
        <f>SUMIFS(Adjustments!K$5:K$557,Adjustments!$B$5:$B$557,'Mar16-Aug16 Billed-RETAIL'!$D132,Adjustments!$C$5:$C$557,'Mar16-Aug16 Billed-RETAIL'!$E132)</f>
        <v>0</v>
      </c>
      <c r="AK132" s="48">
        <f>SUMIFS(Adjustments!L$5:L$557,Adjustments!$B$5:$B$557,'Mar16-Aug16 Billed-RETAIL'!$D132,Adjustments!$C$5:$C$557,'Mar16-Aug16 Billed-RETAIL'!$E132)</f>
        <v>0</v>
      </c>
      <c r="AL132" s="48">
        <f>SUMIFS(Adjustments!M$5:M$557,Adjustments!$B$5:$B$557,'Mar16-Aug16 Billed-RETAIL'!$D132,Adjustments!$C$5:$C$557,'Mar16-Aug16 Billed-RETAIL'!$E132)</f>
        <v>0</v>
      </c>
      <c r="AM132" s="48">
        <f>SUMIFS(Adjustments!N$5:N$557,Adjustments!$B$5:$B$557,'Mar16-Aug16 Billed-RETAIL'!$D132,Adjustments!$C$5:$C$557,'Mar16-Aug16 Billed-RETAIL'!$E132)</f>
        <v>0</v>
      </c>
      <c r="AN132" s="48">
        <f>SUMIFS(Adjustments!O$5:O$557,Adjustments!$B$5:$B$557,'Mar16-Aug16 Billed-RETAIL'!$D132,Adjustments!$C$5:$C$557,'Mar16-Aug16 Billed-RETAIL'!$E132)</f>
        <v>0</v>
      </c>
      <c r="AO132" s="48">
        <f>SUMIFS(Adjustments!P$5:P$557,Adjustments!$B$5:$B$557,'Mar16-Aug16 Billed-RETAIL'!$D132,Adjustments!$C$5:$C$557,'Mar16-Aug16 Billed-RETAIL'!$E132)</f>
        <v>0</v>
      </c>
      <c r="AP132" s="36">
        <f>+W132+AI132+(AG132*N132)</f>
        <v>0</v>
      </c>
      <c r="AQ132" s="36">
        <f t="shared" si="229"/>
        <v>0</v>
      </c>
      <c r="AR132" s="36">
        <f t="shared" si="230"/>
        <v>0</v>
      </c>
      <c r="AS132" s="36">
        <f t="shared" si="231"/>
        <v>0</v>
      </c>
      <c r="AT132" s="43">
        <f t="shared" si="240"/>
        <v>0</v>
      </c>
      <c r="AU132" s="43">
        <f t="shared" si="241"/>
        <v>0</v>
      </c>
      <c r="AV132" s="43"/>
      <c r="AW132" s="43">
        <f t="shared" si="242"/>
        <v>0</v>
      </c>
      <c r="AX132" s="36">
        <f t="shared" si="232"/>
        <v>0</v>
      </c>
      <c r="AY132" s="36"/>
      <c r="AZ132" s="43">
        <f t="shared" si="245"/>
        <v>0</v>
      </c>
      <c r="BA132" s="43">
        <f>SUM(BC132:BJ132)-BF132</f>
        <v>0</v>
      </c>
      <c r="BB132" s="44">
        <f t="shared" si="233"/>
        <v>0</v>
      </c>
      <c r="BC132" s="43">
        <f>(SUMIFS('Fin Forecast'!$I$4:$I$545,'Fin Forecast'!$B$4:$B$545,'Mar16-Aug16 Billed-RETAIL'!$E132,'Fin Forecast'!$C$4:$C$545,'Mar16-Aug16 Billed-RETAIL'!BC$5))*1000</f>
        <v>0</v>
      </c>
      <c r="BD132" s="43">
        <f>(SUMIFS('Fin Forecast'!$I$4:$I$545,'Fin Forecast'!$B$4:$B$545,'Mar16-Aug16 Billed-RETAIL'!$E132,'Fin Forecast'!$C$4:$C$545,'Mar16-Aug16 Billed-RETAIL'!BD$5))*1000</f>
        <v>0</v>
      </c>
      <c r="BE132" s="43">
        <v>0</v>
      </c>
      <c r="BF132" s="43">
        <v>0</v>
      </c>
      <c r="BG132" s="43">
        <f>(SUMIFS('Fin Forecast'!$I$4:$I$545,'Fin Forecast'!$B$4:$B$545,'Mar16-Aug16 Billed-RETAIL'!$E132,'Fin Forecast'!$C$4:$C$545,'Mar16-Aug16 Billed-RETAIL'!BG$5))*1000</f>
        <v>0</v>
      </c>
      <c r="BH132" s="43">
        <f>(SUMIFS('Fin Forecast'!$I$4:$I$545,'Fin Forecast'!$B$4:$B$545,'Mar16-Aug16 Billed-RETAIL'!$E132,'Fin Forecast'!$C$4:$C$545,'Mar16-Aug16 Billed-RETAIL'!BH$5))*1000</f>
        <v>0</v>
      </c>
      <c r="BI132" s="43">
        <f>(SUMIFS('Fin Forecast'!$I$4:$I$545,'Fin Forecast'!$B$4:$B$545,'Mar16-Aug16 Billed-RETAIL'!$E132,'Fin Forecast'!$C$4:$C$545,'Mar16-Aug16 Billed-RETAIL'!BI$5))*1000</f>
        <v>0</v>
      </c>
      <c r="BJ132" s="43">
        <f>(SUMIFS('Fin Forecast'!$I$4:$I$545,'Fin Forecast'!$B$4:$B$545,'Mar16-Aug16 Billed-RETAIL'!$E132,'Fin Forecast'!$C$4:$C$545,'Mar16-Aug16 Billed-RETAIL'!BJ$5))*1000</f>
        <v>0</v>
      </c>
      <c r="BL132" s="51">
        <f t="shared" si="234"/>
        <v>0</v>
      </c>
      <c r="BN132" s="58">
        <f t="shared" si="235"/>
        <v>0</v>
      </c>
      <c r="BO132" s="58">
        <f t="shared" si="236"/>
        <v>0</v>
      </c>
      <c r="BP132" s="58">
        <f t="shared" si="237"/>
        <v>0</v>
      </c>
    </row>
    <row r="133" spans="1:68" ht="15" x14ac:dyDescent="0.25">
      <c r="C133" s="14">
        <f t="shared" si="243"/>
        <v>111</v>
      </c>
      <c r="D133" s="604">
        <f t="shared" si="244"/>
        <v>42736</v>
      </c>
      <c r="E133" s="604" t="str">
        <f>+'Retail Rates'!$B$32</f>
        <v>LGRSG840</v>
      </c>
      <c r="F133" s="14" t="str">
        <f t="shared" si="238"/>
        <v>840</v>
      </c>
      <c r="G133" s="14" t="str">
        <f>VLOOKUP(E133,'Retail Rates'!$B$7:$D$34,3,FALSE)</f>
        <v>RGS</v>
      </c>
      <c r="H133" s="546"/>
      <c r="I133" s="546"/>
      <c r="J133" s="546"/>
      <c r="K133" s="545"/>
      <c r="L133" s="545"/>
      <c r="N133" s="34">
        <f>VLOOKUP($E133,'Retail Rates'!$B$7:$L$34,5,FALSE)</f>
        <v>13.5</v>
      </c>
      <c r="O133" s="34">
        <f>VLOOKUP($E133,'Retail Rates'!$B$7:$L$34,6,FALSE)</f>
        <v>0</v>
      </c>
      <c r="P133" s="35">
        <f>VLOOKUP($E133,'Retail Rates'!$B$7:$L$34,7,FALSE)</f>
        <v>0.28693000000000002</v>
      </c>
      <c r="Q133" s="35">
        <f>VLOOKUP($E133,'Retail Rates'!$B$7:$L$34,8,FALSE)</f>
        <v>0</v>
      </c>
      <c r="R133" s="35" t="e">
        <f>VLOOKUP($D133,'GSC-DSM-GLT Factors'!$A$1:$B$60,2,FALSE)</f>
        <v>#N/A</v>
      </c>
      <c r="S133" s="34">
        <f>VLOOKUP($E133,'Retail Rates'!$B$7:$L$34,9,FALSE)</f>
        <v>0</v>
      </c>
      <c r="T133" s="35">
        <f>VLOOKUP($E133,'Retail Rates'!$B$7:$L$34,10,FALSE)</f>
        <v>0</v>
      </c>
      <c r="U133" s="34">
        <f>VLOOKUP($E133,'Retail Rates'!$B$7:$L$34,11,FALSE)</f>
        <v>0</v>
      </c>
      <c r="V133" s="556" t="e">
        <f>VLOOKUP($D133,'GSC-DSM-GLT Factors'!$A$1:$O$60,11,FALSE)</f>
        <v>#N/A</v>
      </c>
      <c r="W133" s="36">
        <f t="shared" si="223"/>
        <v>0</v>
      </c>
      <c r="X133" s="36"/>
      <c r="Y133" s="36"/>
      <c r="Z133" s="36">
        <f t="shared" si="224"/>
        <v>0</v>
      </c>
      <c r="AA133" s="36">
        <f t="shared" si="225"/>
        <v>0</v>
      </c>
      <c r="AB133" s="36" t="e">
        <f t="shared" si="226"/>
        <v>#N/A</v>
      </c>
      <c r="AC133" s="36"/>
      <c r="AD133" s="36"/>
      <c r="AE133" s="36">
        <f t="shared" si="239"/>
        <v>0</v>
      </c>
      <c r="AF133" s="36" t="e">
        <f>(+H133*V133)+(I133*V133)</f>
        <v>#N/A</v>
      </c>
      <c r="AG133" s="57">
        <f>SUMIFS(Adjustments!H$5:H$557,Adjustments!$B$5:$B$557,'Mar16-Aug16 Billed-RETAIL'!$D133,Adjustments!$C$5:$C$557,'Mar16-Aug16 Billed-RETAIL'!$E133)</f>
        <v>0</v>
      </c>
      <c r="AH133" s="57">
        <f>SUMIFS(Adjustments!I$5:I$557,Adjustments!$B$5:$B$557,'Mar16-Aug16 Billed-RETAIL'!$D133,Adjustments!$C$5:$C$557,'Mar16-Aug16 Billed-RETAIL'!$E133)</f>
        <v>0</v>
      </c>
      <c r="AI133" s="48">
        <f>SUMIFS(Adjustments!J$5:J$557,Adjustments!$B$5:$B$557,'Mar16-Aug16 Billed-RETAIL'!$D133,Adjustments!$C$5:$C$557,'Mar16-Aug16 Billed-RETAIL'!$E133)</f>
        <v>0</v>
      </c>
      <c r="AJ133" s="48">
        <f>SUMIFS(Adjustments!K$5:K$557,Adjustments!$B$5:$B$557,'Mar16-Aug16 Billed-RETAIL'!$D133,Adjustments!$C$5:$C$557,'Mar16-Aug16 Billed-RETAIL'!$E133)</f>
        <v>0</v>
      </c>
      <c r="AK133" s="48">
        <f>SUMIFS(Adjustments!L$5:L$557,Adjustments!$B$5:$B$557,'Mar16-Aug16 Billed-RETAIL'!$D133,Adjustments!$C$5:$C$557,'Mar16-Aug16 Billed-RETAIL'!$E133)</f>
        <v>0</v>
      </c>
      <c r="AL133" s="48">
        <f>SUMIFS(Adjustments!M$5:M$557,Adjustments!$B$5:$B$557,'Mar16-Aug16 Billed-RETAIL'!$D133,Adjustments!$C$5:$C$557,'Mar16-Aug16 Billed-RETAIL'!$E133)</f>
        <v>0</v>
      </c>
      <c r="AM133" s="48">
        <f>SUMIFS(Adjustments!N$5:N$557,Adjustments!$B$5:$B$557,'Mar16-Aug16 Billed-RETAIL'!$D133,Adjustments!$C$5:$C$557,'Mar16-Aug16 Billed-RETAIL'!$E133)</f>
        <v>0</v>
      </c>
      <c r="AN133" s="48">
        <f>SUMIFS(Adjustments!O$5:O$557,Adjustments!$B$5:$B$557,'Mar16-Aug16 Billed-RETAIL'!$D133,Adjustments!$C$5:$C$557,'Mar16-Aug16 Billed-RETAIL'!$E133)</f>
        <v>0</v>
      </c>
      <c r="AO133" s="48">
        <f>SUMIFS(Adjustments!P$5:P$557,Adjustments!$B$5:$B$557,'Mar16-Aug16 Billed-RETAIL'!$D133,Adjustments!$C$5:$C$557,'Mar16-Aug16 Billed-RETAIL'!$E133)</f>
        <v>0</v>
      </c>
      <c r="AP133" s="36">
        <f>+W133+AI133+(AG133*N133)</f>
        <v>0</v>
      </c>
      <c r="AQ133" s="36">
        <f t="shared" si="229"/>
        <v>0</v>
      </c>
      <c r="AR133" s="36">
        <f t="shared" si="230"/>
        <v>0</v>
      </c>
      <c r="AS133" s="36">
        <f t="shared" si="231"/>
        <v>0</v>
      </c>
      <c r="AT133" s="43">
        <f t="shared" si="240"/>
        <v>0</v>
      </c>
      <c r="AU133" s="43">
        <f t="shared" si="241"/>
        <v>0</v>
      </c>
      <c r="AV133" s="43"/>
      <c r="AW133" s="43">
        <f t="shared" si="242"/>
        <v>0</v>
      </c>
      <c r="AX133" s="36">
        <f t="shared" si="232"/>
        <v>0</v>
      </c>
      <c r="AY133" s="36"/>
      <c r="AZ133" s="43">
        <f t="shared" si="245"/>
        <v>0</v>
      </c>
      <c r="BA133" s="43">
        <f>SUM(BC133:BJ133)-BF133</f>
        <v>0</v>
      </c>
      <c r="BB133" s="44">
        <f t="shared" si="233"/>
        <v>0</v>
      </c>
      <c r="BC133" s="43">
        <f>(SUMIFS('Fin Forecast'!$I$4:$I$545,'Fin Forecast'!$B$4:$B$545,'Mar16-Aug16 Billed-RETAIL'!$E133,'Fin Forecast'!$C$4:$C$545,'Mar16-Aug16 Billed-RETAIL'!BC$5))*1000</f>
        <v>0</v>
      </c>
      <c r="BD133" s="43">
        <f>(SUMIFS('Fin Forecast'!$I$4:$I$545,'Fin Forecast'!$B$4:$B$545,'Mar16-Aug16 Billed-RETAIL'!$E133,'Fin Forecast'!$C$4:$C$545,'Mar16-Aug16 Billed-RETAIL'!BD$5))*1000</f>
        <v>0</v>
      </c>
      <c r="BE133" s="43">
        <v>0</v>
      </c>
      <c r="BF133" s="43">
        <v>0</v>
      </c>
      <c r="BG133" s="43">
        <f>(SUMIFS('Fin Forecast'!$I$4:$I$545,'Fin Forecast'!$B$4:$B$545,'Mar16-Aug16 Billed-RETAIL'!$E133,'Fin Forecast'!$C$4:$C$545,'Mar16-Aug16 Billed-RETAIL'!BG$5))*1000</f>
        <v>0</v>
      </c>
      <c r="BH133" s="43">
        <f>(SUMIFS('Fin Forecast'!$I$4:$I$545,'Fin Forecast'!$B$4:$B$545,'Mar16-Aug16 Billed-RETAIL'!$E133,'Fin Forecast'!$C$4:$C$545,'Mar16-Aug16 Billed-RETAIL'!BH$5))*1000</f>
        <v>0</v>
      </c>
      <c r="BI133" s="43">
        <f>(SUMIFS('Fin Forecast'!$I$4:$I$545,'Fin Forecast'!$B$4:$B$545,'Mar16-Aug16 Billed-RETAIL'!$E133,'Fin Forecast'!$C$4:$C$545,'Mar16-Aug16 Billed-RETAIL'!BI$5))*1000</f>
        <v>0</v>
      </c>
      <c r="BJ133" s="43">
        <f>(SUMIFS('Fin Forecast'!$I$4:$I$545,'Fin Forecast'!$B$4:$B$545,'Mar16-Aug16 Billed-RETAIL'!$E133,'Fin Forecast'!$C$4:$C$545,'Mar16-Aug16 Billed-RETAIL'!BJ$5))*1000</f>
        <v>0</v>
      </c>
      <c r="BL133" s="51">
        <f t="shared" si="234"/>
        <v>0</v>
      </c>
      <c r="BN133" s="58">
        <f t="shared" si="235"/>
        <v>0</v>
      </c>
      <c r="BO133" s="58">
        <f t="shared" si="236"/>
        <v>0</v>
      </c>
      <c r="BP133" s="58">
        <f t="shared" si="237"/>
        <v>0</v>
      </c>
    </row>
    <row r="134" spans="1:68" s="563" customFormat="1" ht="15" x14ac:dyDescent="0.25">
      <c r="C134" s="564"/>
      <c r="D134" s="605"/>
      <c r="E134" s="605"/>
      <c r="F134" s="564"/>
      <c r="G134" s="564"/>
      <c r="N134" s="566"/>
      <c r="O134" s="566"/>
      <c r="P134" s="567"/>
      <c r="Q134" s="567"/>
      <c r="R134" s="567"/>
      <c r="S134" s="566"/>
      <c r="T134" s="567"/>
      <c r="U134" s="567"/>
      <c r="V134" s="568"/>
      <c r="W134" s="569"/>
      <c r="X134" s="569"/>
      <c r="Y134" s="569"/>
      <c r="Z134" s="569"/>
      <c r="AA134" s="569"/>
      <c r="AB134" s="569"/>
      <c r="AC134" s="569"/>
      <c r="AD134" s="569"/>
      <c r="AE134" s="569"/>
      <c r="AF134" s="569"/>
      <c r="AG134" s="570"/>
      <c r="AH134" s="570"/>
      <c r="AI134" s="569"/>
      <c r="AJ134" s="569"/>
      <c r="AK134" s="569"/>
      <c r="AL134" s="569"/>
      <c r="AM134" s="569"/>
      <c r="AN134" s="569"/>
      <c r="AO134" s="569"/>
      <c r="AP134" s="586"/>
      <c r="AQ134" s="586"/>
      <c r="AR134" s="586"/>
      <c r="AS134" s="586"/>
      <c r="AT134" s="569"/>
      <c r="AU134" s="569"/>
      <c r="AV134" s="569"/>
      <c r="AW134" s="569"/>
      <c r="AX134" s="569"/>
      <c r="AY134" s="569"/>
      <c r="AZ134" s="569"/>
      <c r="BA134" s="569"/>
      <c r="BB134" s="571"/>
      <c r="BC134" s="586"/>
      <c r="BD134" s="586"/>
      <c r="BE134" s="586"/>
      <c r="BF134" s="586"/>
      <c r="BG134" s="586"/>
      <c r="BH134" s="586"/>
      <c r="BI134" s="586"/>
      <c r="BJ134" s="586"/>
      <c r="BL134" s="569"/>
      <c r="BN134" s="569"/>
      <c r="BO134" s="569"/>
      <c r="BP134" s="569"/>
    </row>
    <row r="135" spans="1:68" ht="15" x14ac:dyDescent="0.25">
      <c r="C135" s="14">
        <f>C133+1</f>
        <v>112</v>
      </c>
      <c r="D135" s="604">
        <f>EDATE(D123,1)</f>
        <v>42767</v>
      </c>
      <c r="E135" s="604" t="str">
        <f>+'Retail Rates'!$B$7</f>
        <v>LGCMG865</v>
      </c>
      <c r="F135" s="14" t="str">
        <f>MID(E135,6,3)</f>
        <v>865</v>
      </c>
      <c r="G135" s="14" t="str">
        <f>VLOOKUP(E135,'Retail Rates'!$B$7:$D$34,3,FALSE)</f>
        <v>AAGS-C</v>
      </c>
      <c r="H135" s="546">
        <f>SUMIF('Forecasted Customer Cts'!$D$5:$D$36,'Mar16-Aug16 Billed-RETAIL'!$E135,'Forecasted Customer Cts'!$S$5:$S$36)</f>
        <v>2</v>
      </c>
      <c r="I135" s="546"/>
      <c r="J135" s="546"/>
      <c r="K135" s="546">
        <f>SUMIF('Forecasted Calendar Month Usage'!$D$5:$D$41,'Mar16-Aug16 Billed-RETAIL'!$E135,'Forecasted Calendar Month Usage'!$S$5:$S$41)*10</f>
        <v>77664.588510374466</v>
      </c>
      <c r="L135" s="545"/>
      <c r="N135" s="34">
        <f>VLOOKUP($E135,'Retail Rates'!$B$7:$L$34,5,FALSE)</f>
        <v>400</v>
      </c>
      <c r="O135" s="34">
        <f>VLOOKUP($E135,'Retail Rates'!$B$7:$L$34,6,FALSE)</f>
        <v>0</v>
      </c>
      <c r="P135" s="35">
        <f>VLOOKUP($E135,'Retail Rates'!$B$7:$L$34,7,FALSE)</f>
        <v>7.009E-2</v>
      </c>
      <c r="Q135" s="35">
        <f>VLOOKUP($E135,'Retail Rates'!$B$7:$L$34,8,FALSE)</f>
        <v>0</v>
      </c>
      <c r="R135" s="35" t="e">
        <f>VLOOKUP($D135,'GSC-DSM-GLT Factors'!$A$1:$B$60,2,FALSE)</f>
        <v>#N/A</v>
      </c>
      <c r="S135" s="34">
        <f>VLOOKUP($E135,'Retail Rates'!$B$7:$L$34,9,FALSE)</f>
        <v>0</v>
      </c>
      <c r="T135" s="35">
        <f>VLOOKUP($E135,'Retail Rates'!$B$7:$L$34,10,FALSE)</f>
        <v>0</v>
      </c>
      <c r="U135" s="34">
        <f>VLOOKUP($E135,'Retail Rates'!$B$7:$L$34,11,FALSE)</f>
        <v>0</v>
      </c>
      <c r="V135" s="556" t="e">
        <f>VLOOKUP($D135,'GSC-DSM-GLT Factors'!$A$1:$O$60,14,FALSE)</f>
        <v>#N/A</v>
      </c>
      <c r="W135" s="36">
        <f t="shared" ref="W135:W145" si="246">(+H135*N135)+(I135*N135)</f>
        <v>800</v>
      </c>
      <c r="X135" s="36"/>
      <c r="Y135" s="36"/>
      <c r="Z135" s="36">
        <f t="shared" ref="Z135:Z145" si="247">+K135*P135</f>
        <v>5443.5110086921459</v>
      </c>
      <c r="AA135" s="36">
        <f t="shared" ref="AA135:AA145" si="248">+L135*Q135</f>
        <v>0</v>
      </c>
      <c r="AB135" s="36" t="e">
        <f t="shared" ref="AB135:AB145" si="249">SUM(K135:L135)*R135</f>
        <v>#N/A</v>
      </c>
      <c r="AC135" s="36"/>
      <c r="AD135" s="36"/>
      <c r="AE135" s="36">
        <f>M135*U135</f>
        <v>0</v>
      </c>
      <c r="AF135" s="36" t="e">
        <f t="shared" ref="AF135:AF140" si="250">(+H135*V135)+(I135*V135)</f>
        <v>#N/A</v>
      </c>
      <c r="AG135" s="57">
        <f>SUMIFS(Adjustments!H$5:H$557,Adjustments!$B$5:$B$557,'Mar16-Aug16 Billed-RETAIL'!$D135,Adjustments!$C$5:$C$557,'Mar16-Aug16 Billed-RETAIL'!$E135)</f>
        <v>0</v>
      </c>
      <c r="AH135" s="57">
        <f>SUMIFS(Adjustments!I$5:I$557,Adjustments!$B$5:$B$557,'Mar16-Aug16 Billed-RETAIL'!$D135,Adjustments!$C$5:$C$557,'Mar16-Aug16 Billed-RETAIL'!$E135)</f>
        <v>0</v>
      </c>
      <c r="AI135" s="48">
        <f>SUMIFS(Adjustments!J$5:J$557,Adjustments!$B$5:$B$557,'Mar16-Aug16 Billed-RETAIL'!$D135,Adjustments!$C$5:$C$557,'Mar16-Aug16 Billed-RETAIL'!$E135)</f>
        <v>0</v>
      </c>
      <c r="AJ135" s="48">
        <f>SUMIFS(Adjustments!K$5:K$557,Adjustments!$B$5:$B$557,'Mar16-Aug16 Billed-RETAIL'!$D135,Adjustments!$C$5:$C$557,'Mar16-Aug16 Billed-RETAIL'!$E135)</f>
        <v>0</v>
      </c>
      <c r="AK135" s="48">
        <f>SUMIFS(Adjustments!L$5:L$557,Adjustments!$B$5:$B$557,'Mar16-Aug16 Billed-RETAIL'!$D135,Adjustments!$C$5:$C$557,'Mar16-Aug16 Billed-RETAIL'!$E135)</f>
        <v>0</v>
      </c>
      <c r="AL135" s="48">
        <f>SUMIFS(Adjustments!M$5:M$557,Adjustments!$B$5:$B$557,'Mar16-Aug16 Billed-RETAIL'!$D135,Adjustments!$C$5:$C$557,'Mar16-Aug16 Billed-RETAIL'!$E135)</f>
        <v>0</v>
      </c>
      <c r="AM135" s="48">
        <f>SUMIFS(Adjustments!N$5:N$557,Adjustments!$B$5:$B$557,'Mar16-Aug16 Billed-RETAIL'!$D135,Adjustments!$C$5:$C$557,'Mar16-Aug16 Billed-RETAIL'!$E135)</f>
        <v>0</v>
      </c>
      <c r="AN135" s="48">
        <f>SUMIFS(Adjustments!O$5:O$557,Adjustments!$B$5:$B$557,'Mar16-Aug16 Billed-RETAIL'!$D135,Adjustments!$C$5:$C$557,'Mar16-Aug16 Billed-RETAIL'!$E135)</f>
        <v>0</v>
      </c>
      <c r="AO135" s="48">
        <f>SUMIFS(Adjustments!P$5:P$557,Adjustments!$B$5:$B$557,'Mar16-Aug16 Billed-RETAIL'!$D135,Adjustments!$C$5:$C$557,'Mar16-Aug16 Billed-RETAIL'!$E135)</f>
        <v>0</v>
      </c>
      <c r="AP135" s="36">
        <f t="shared" ref="AP135:AP141" si="251">+W135+AI135+(AG135*N135)</f>
        <v>800</v>
      </c>
      <c r="AQ135" s="36">
        <f t="shared" ref="AQ135:AQ145" si="252">+Y135+AJ135</f>
        <v>0</v>
      </c>
      <c r="AR135" s="36">
        <f t="shared" ref="AR135:AR145" si="253">+Z135+AK135</f>
        <v>5443.5110086921459</v>
      </c>
      <c r="AS135" s="36">
        <f t="shared" ref="AS135:AS145" si="254">+AA135+AL135</f>
        <v>0</v>
      </c>
      <c r="AT135" s="43">
        <f>BD135</f>
        <v>42622.091330112286</v>
      </c>
      <c r="AU135" s="43">
        <f>BC135</f>
        <v>425.23568049442201</v>
      </c>
      <c r="AV135" s="43"/>
      <c r="AW135" s="43">
        <f>BJ135</f>
        <v>15735.54892661052</v>
      </c>
      <c r="AX135" s="36">
        <f t="shared" ref="AX135:AX145" si="255">+AE135+AO135</f>
        <v>0</v>
      </c>
      <c r="AY135" s="36"/>
      <c r="AZ135" s="43">
        <f>ROUND(SUM(AP135:AY135),2)+SUM(AP136:AY136)</f>
        <v>66852.227514468337</v>
      </c>
      <c r="BA135" s="43">
        <f>SUM(BC135:BJ135)-BF135</f>
        <v>66852.224460635916</v>
      </c>
      <c r="BB135" s="44">
        <f t="shared" ref="BB135:BB145" si="256">IF(BA135=0,0,ROUND(BA135/AZ135,6))</f>
        <v>1</v>
      </c>
      <c r="BC135" s="43">
        <f>(SUMIFS('Fin Forecast'!$J$4:$J$545,'Fin Forecast'!$B$4:$B$545,'Mar16-Aug16 Billed-RETAIL'!$E135,'Fin Forecast'!$C$4:$C$545,'Mar16-Aug16 Billed-RETAIL'!BC$5))*1000</f>
        <v>425.23568049442201</v>
      </c>
      <c r="BD135" s="43">
        <f>(SUMIFS('Fin Forecast'!$J$4:$J$545,'Fin Forecast'!$B$4:$B$545,'Mar16-Aug16 Billed-RETAIL'!$E135,'Fin Forecast'!$C$4:$C$545,'Mar16-Aug16 Billed-RETAIL'!BD$5))*1000</f>
        <v>42622.091330112286</v>
      </c>
      <c r="BE135" s="43">
        <v>0</v>
      </c>
      <c r="BF135" s="43">
        <v>0</v>
      </c>
      <c r="BG135" s="43">
        <f>(SUMIFS('Fin Forecast'!$J$4:$J$545,'Fin Forecast'!$B$4:$B$545,'Mar16-Aug16 Billed-RETAIL'!$E135,'Fin Forecast'!$C$4:$C$545,'Mar16-Aug16 Billed-RETAIL'!BG$5))*1000</f>
        <v>1600</v>
      </c>
      <c r="BH135" s="43">
        <f>(SUMIFS('Fin Forecast'!$J$4:$J$545,'Fin Forecast'!$B$4:$B$545,'Mar16-Aug16 Billed-RETAIL'!$E135,'Fin Forecast'!$C$4:$C$545,'Mar16-Aug16 Billed-RETAIL'!BH$5))*1000</f>
        <v>6469.3485234186901</v>
      </c>
      <c r="BI135" s="43">
        <f>(SUMIFS('Fin Forecast'!$J$4:$J$545,'Fin Forecast'!$B$4:$B$545,'Mar16-Aug16 Billed-RETAIL'!$E135,'Fin Forecast'!$C$4:$C$545,'Mar16-Aug16 Billed-RETAIL'!BI$5))*1000</f>
        <v>0</v>
      </c>
      <c r="BJ135" s="43">
        <f>(SUMIFS('Fin Forecast'!$J$4:$J$545,'Fin Forecast'!$B$4:$B$545,'Mar16-Aug16 Billed-RETAIL'!$E135,'Fin Forecast'!$C$4:$C$545,'Mar16-Aug16 Billed-RETAIL'!BJ$5))*1000</f>
        <v>15735.54892661052</v>
      </c>
      <c r="BL135" s="51">
        <f t="shared" ref="BL135:BL145" si="257">+AZ135-BA135</f>
        <v>3.0538324208464473E-3</v>
      </c>
      <c r="BN135" s="58">
        <f t="shared" ref="BN135:BN145" si="258">+AP135+AQ135-BG135</f>
        <v>-800</v>
      </c>
      <c r="BO135" s="58">
        <f t="shared" ref="BO135:BO145" si="259">+AR135+AS135-BH135</f>
        <v>-1025.8375147265442</v>
      </c>
      <c r="BP135" s="58">
        <f t="shared" ref="BP135:BP145" si="260">+AT135-BD135</f>
        <v>0</v>
      </c>
    </row>
    <row r="136" spans="1:68" ht="15" x14ac:dyDescent="0.25">
      <c r="C136" s="14">
        <f>C135+1</f>
        <v>113</v>
      </c>
      <c r="D136" s="604">
        <f>$D$135</f>
        <v>42767</v>
      </c>
      <c r="E136" s="604" t="str">
        <f>+'Retail Rates'!$B$10</f>
        <v>LGING866</v>
      </c>
      <c r="F136" s="14" t="str">
        <f t="shared" ref="F136:F145" si="261">MID(E136,6,3)</f>
        <v>866</v>
      </c>
      <c r="G136" s="14" t="str">
        <f>VLOOKUP(E136,'Retail Rates'!$B$7:$D$34,3,FALSE)</f>
        <v>AAGS-I</v>
      </c>
      <c r="H136" s="546">
        <f>SUMIF('Forecasted Customer Cts'!$D$5:$D$36,'Mar16-Aug16 Billed-RETAIL'!$E136,'Forecasted Customer Cts'!$S$5:$S$36)</f>
        <v>2</v>
      </c>
      <c r="I136" s="546"/>
      <c r="J136" s="546"/>
      <c r="K136" s="546">
        <f>SUMIF('Forecasted Calendar Month Usage'!$D$5:$D$41,'Mar16-Aug16 Billed-RETAIL'!$E136,'Forecasted Calendar Month Usage'!$S$5:$S$41)*10</f>
        <v>14636.00391594139</v>
      </c>
      <c r="L136" s="545"/>
      <c r="N136" s="34">
        <f>VLOOKUP($E136,'Retail Rates'!$B$7:$L$34,5,FALSE)</f>
        <v>400</v>
      </c>
      <c r="O136" s="34">
        <f>VLOOKUP($E136,'Retail Rates'!$B$7:$L$34,6,FALSE)</f>
        <v>0</v>
      </c>
      <c r="P136" s="35">
        <f>VLOOKUP($E136,'Retail Rates'!$B$7:$L$34,7,FALSE)</f>
        <v>7.009E-2</v>
      </c>
      <c r="Q136" s="35">
        <f>VLOOKUP($E136,'Retail Rates'!$B$7:$L$34,8,FALSE)</f>
        <v>0</v>
      </c>
      <c r="R136" s="35" t="e">
        <f>VLOOKUP($D136,'GSC-DSM-GLT Factors'!$A$1:$B$60,2,FALSE)</f>
        <v>#N/A</v>
      </c>
      <c r="S136" s="34">
        <f>VLOOKUP($E136,'Retail Rates'!$B$7:$L$34,9,FALSE)</f>
        <v>0</v>
      </c>
      <c r="T136" s="35">
        <f>VLOOKUP($E136,'Retail Rates'!$B$7:$L$34,10,FALSE)</f>
        <v>0</v>
      </c>
      <c r="U136" s="34">
        <f>VLOOKUP($E136,'Retail Rates'!$B$7:$L$34,11,FALSE)</f>
        <v>0</v>
      </c>
      <c r="V136" s="556" t="e">
        <f>VLOOKUP($D136,'GSC-DSM-GLT Factors'!$A$1:$O$60,14,FALSE)</f>
        <v>#N/A</v>
      </c>
      <c r="W136" s="36">
        <f t="shared" si="246"/>
        <v>800</v>
      </c>
      <c r="X136" s="36"/>
      <c r="Y136" s="36"/>
      <c r="Z136" s="36">
        <f t="shared" si="247"/>
        <v>1025.8375144683321</v>
      </c>
      <c r="AA136" s="36">
        <f t="shared" si="248"/>
        <v>0</v>
      </c>
      <c r="AB136" s="36" t="e">
        <f t="shared" si="249"/>
        <v>#N/A</v>
      </c>
      <c r="AC136" s="36"/>
      <c r="AD136" s="36"/>
      <c r="AE136" s="36">
        <f t="shared" ref="AE136:AE145" si="262">M136*U136</f>
        <v>0</v>
      </c>
      <c r="AF136" s="36" t="e">
        <f t="shared" si="250"/>
        <v>#N/A</v>
      </c>
      <c r="AG136" s="57">
        <f>SUMIFS(Adjustments!H$5:H$557,Adjustments!$B$5:$B$557,'Mar16-Aug16 Billed-RETAIL'!$D136,Adjustments!$C$5:$C$557,'Mar16-Aug16 Billed-RETAIL'!$E136)</f>
        <v>0</v>
      </c>
      <c r="AH136" s="57">
        <f>SUMIFS(Adjustments!I$5:I$557,Adjustments!$B$5:$B$557,'Mar16-Aug16 Billed-RETAIL'!$D136,Adjustments!$C$5:$C$557,'Mar16-Aug16 Billed-RETAIL'!$E136)</f>
        <v>0</v>
      </c>
      <c r="AI136" s="48">
        <f>SUMIFS(Adjustments!J$5:J$557,Adjustments!$B$5:$B$557,'Mar16-Aug16 Billed-RETAIL'!$D136,Adjustments!$C$5:$C$557,'Mar16-Aug16 Billed-RETAIL'!$E136)</f>
        <v>0</v>
      </c>
      <c r="AJ136" s="48">
        <f>SUMIFS(Adjustments!K$5:K$557,Adjustments!$B$5:$B$557,'Mar16-Aug16 Billed-RETAIL'!$D136,Adjustments!$C$5:$C$557,'Mar16-Aug16 Billed-RETAIL'!$E136)</f>
        <v>0</v>
      </c>
      <c r="AK136" s="48">
        <f>SUMIFS(Adjustments!L$5:L$557,Adjustments!$B$5:$B$557,'Mar16-Aug16 Billed-RETAIL'!$D136,Adjustments!$C$5:$C$557,'Mar16-Aug16 Billed-RETAIL'!$E136)</f>
        <v>0</v>
      </c>
      <c r="AL136" s="48">
        <f>SUMIFS(Adjustments!M$5:M$557,Adjustments!$B$5:$B$557,'Mar16-Aug16 Billed-RETAIL'!$D136,Adjustments!$C$5:$C$557,'Mar16-Aug16 Billed-RETAIL'!$E136)</f>
        <v>0</v>
      </c>
      <c r="AM136" s="48">
        <f>SUMIFS(Adjustments!N$5:N$557,Adjustments!$B$5:$B$557,'Mar16-Aug16 Billed-RETAIL'!$D136,Adjustments!$C$5:$C$557,'Mar16-Aug16 Billed-RETAIL'!$E136)</f>
        <v>0</v>
      </c>
      <c r="AN136" s="48">
        <f>SUMIFS(Adjustments!O$5:O$557,Adjustments!$B$5:$B$557,'Mar16-Aug16 Billed-RETAIL'!$D136,Adjustments!$C$5:$C$557,'Mar16-Aug16 Billed-RETAIL'!$E136)</f>
        <v>0</v>
      </c>
      <c r="AO136" s="48">
        <f>SUMIFS(Adjustments!P$5:P$557,Adjustments!$B$5:$B$557,'Mar16-Aug16 Billed-RETAIL'!$D136,Adjustments!$C$5:$C$557,'Mar16-Aug16 Billed-RETAIL'!$E136)</f>
        <v>0</v>
      </c>
      <c r="AP136" s="36">
        <f t="shared" si="251"/>
        <v>800</v>
      </c>
      <c r="AQ136" s="36">
        <f t="shared" si="252"/>
        <v>0</v>
      </c>
      <c r="AR136" s="36">
        <f t="shared" si="253"/>
        <v>1025.8375144683321</v>
      </c>
      <c r="AS136" s="36">
        <f t="shared" si="254"/>
        <v>0</v>
      </c>
      <c r="AT136" s="43">
        <f t="shared" ref="AT136:AT145" si="263">BD136</f>
        <v>0</v>
      </c>
      <c r="AU136" s="43">
        <f t="shared" ref="AU136:AU145" si="264">BC136</f>
        <v>0</v>
      </c>
      <c r="AV136" s="43"/>
      <c r="AW136" s="43">
        <f t="shared" ref="AW136:AW145" si="265">BJ136</f>
        <v>0</v>
      </c>
      <c r="AX136" s="36">
        <f t="shared" si="255"/>
        <v>0</v>
      </c>
      <c r="AY136" s="36"/>
      <c r="AZ136" s="43"/>
      <c r="BA136" s="43">
        <f>SUM(BC136:BJ136)-BF136</f>
        <v>0</v>
      </c>
      <c r="BB136" s="44">
        <f t="shared" si="256"/>
        <v>0</v>
      </c>
      <c r="BC136" s="43">
        <f>(SUMIFS('Fin Forecast'!$J$4:$J$545,'Fin Forecast'!$B$4:$B$545,'Mar16-Aug16 Billed-RETAIL'!$E136,'Fin Forecast'!$C$4:$C$545,'Mar16-Aug16 Billed-RETAIL'!BC$5))*1000</f>
        <v>0</v>
      </c>
      <c r="BD136" s="43">
        <f>(SUMIFS('Fin Forecast'!$J$4:$J$545,'Fin Forecast'!$B$4:$B$545,'Mar16-Aug16 Billed-RETAIL'!$E136,'Fin Forecast'!$C$4:$C$545,'Mar16-Aug16 Billed-RETAIL'!BD$5))*1000</f>
        <v>0</v>
      </c>
      <c r="BE136" s="43">
        <v>0</v>
      </c>
      <c r="BF136" s="43">
        <v>0</v>
      </c>
      <c r="BG136" s="43">
        <f>(SUMIFS('Fin Forecast'!$J$4:$J$545,'Fin Forecast'!$B$4:$B$545,'Mar16-Aug16 Billed-RETAIL'!$E136,'Fin Forecast'!$C$4:$C$545,'Mar16-Aug16 Billed-RETAIL'!BG$5))*1000</f>
        <v>0</v>
      </c>
      <c r="BH136" s="43">
        <f>(SUMIFS('Fin Forecast'!$J$4:$J$545,'Fin Forecast'!$B$4:$B$545,'Mar16-Aug16 Billed-RETAIL'!$E136,'Fin Forecast'!$C$4:$C$545,'Mar16-Aug16 Billed-RETAIL'!BH$5))*1000</f>
        <v>0</v>
      </c>
      <c r="BI136" s="43">
        <f>(SUMIFS('Fin Forecast'!$J$4:$J$545,'Fin Forecast'!$B$4:$B$545,'Mar16-Aug16 Billed-RETAIL'!$E136,'Fin Forecast'!$C$4:$C$545,'Mar16-Aug16 Billed-RETAIL'!BI$5))*1000</f>
        <v>0</v>
      </c>
      <c r="BJ136" s="43">
        <f>(SUMIFS('Fin Forecast'!$J$4:$J$545,'Fin Forecast'!$B$4:$B$545,'Mar16-Aug16 Billed-RETAIL'!$E136,'Fin Forecast'!$C$4:$C$545,'Mar16-Aug16 Billed-RETAIL'!BJ$5))*1000</f>
        <v>0</v>
      </c>
      <c r="BL136" s="51">
        <f t="shared" si="257"/>
        <v>0</v>
      </c>
      <c r="BN136" s="58">
        <f t="shared" si="258"/>
        <v>800</v>
      </c>
      <c r="BO136" s="58">
        <f t="shared" si="259"/>
        <v>1025.8375144683321</v>
      </c>
      <c r="BP136" s="58">
        <f t="shared" si="260"/>
        <v>0</v>
      </c>
    </row>
    <row r="137" spans="1:68" ht="15" x14ac:dyDescent="0.25">
      <c r="A137" s="548" t="s">
        <v>799</v>
      </c>
      <c r="B137" s="548" t="s">
        <v>800</v>
      </c>
      <c r="C137" s="14">
        <f t="shared" ref="C137:C145" si="266">C136+1</f>
        <v>114</v>
      </c>
      <c r="D137" s="604">
        <f t="shared" ref="D137:D145" si="267">$D$135</f>
        <v>42767</v>
      </c>
      <c r="E137" s="604" t="str">
        <f>+'Retail Rates'!$B$11</f>
        <v>LGING866DS</v>
      </c>
      <c r="F137" s="14" t="str">
        <f t="shared" si="261"/>
        <v>866</v>
      </c>
      <c r="G137" s="14" t="str">
        <f>VLOOKUP(E137,'Retail Rates'!$B$7:$D$34,3,FALSE)</f>
        <v>AAGS-I</v>
      </c>
      <c r="H137" s="546"/>
      <c r="I137" s="546"/>
      <c r="J137" s="546"/>
      <c r="K137" s="546"/>
      <c r="L137" s="546"/>
      <c r="M137" s="63"/>
      <c r="N137" s="34">
        <f>VLOOKUP($E137,'Retail Rates'!$B$7:$L$34,5,FALSE)</f>
        <v>400</v>
      </c>
      <c r="O137" s="34">
        <f>VLOOKUP($E137,'Retail Rates'!$B$7:$L$34,6,FALSE)</f>
        <v>0</v>
      </c>
      <c r="P137" s="35">
        <f>VLOOKUP($E137,'Retail Rates'!$B$7:$L$34,7,FALSE)</f>
        <v>7.009E-2</v>
      </c>
      <c r="Q137" s="35">
        <f>VLOOKUP($E137,'Retail Rates'!$B$7:$L$34,8,FALSE)</f>
        <v>0</v>
      </c>
      <c r="R137" s="35" t="e">
        <f>VLOOKUP($D137,'GSC-DSM-GLT Factors'!$A$1:$B$60,2,FALSE)</f>
        <v>#N/A</v>
      </c>
      <c r="S137" s="34">
        <f>VLOOKUP($E137,'Retail Rates'!$B$7:$L$34,9,FALSE)</f>
        <v>0</v>
      </c>
      <c r="T137" s="35">
        <f>VLOOKUP($E137,'Retail Rates'!$B$7:$L$34,10,FALSE)</f>
        <v>0</v>
      </c>
      <c r="U137" s="34">
        <f>VLOOKUP($E137,'Retail Rates'!$B$7:$L$34,11,FALSE)</f>
        <v>0</v>
      </c>
      <c r="V137" s="556" t="e">
        <f>VLOOKUP($D137,'GSC-DSM-GLT Factors'!$A$1:$O$60,14,FALSE)</f>
        <v>#N/A</v>
      </c>
      <c r="W137" s="36">
        <f t="shared" si="246"/>
        <v>0</v>
      </c>
      <c r="X137" s="36"/>
      <c r="Y137" s="36"/>
      <c r="Z137" s="36">
        <f t="shared" si="247"/>
        <v>0</v>
      </c>
      <c r="AA137" s="36">
        <f t="shared" si="248"/>
        <v>0</v>
      </c>
      <c r="AB137" s="36" t="e">
        <f t="shared" si="249"/>
        <v>#N/A</v>
      </c>
      <c r="AC137" s="36"/>
      <c r="AD137" s="36"/>
      <c r="AE137" s="36">
        <f t="shared" si="262"/>
        <v>0</v>
      </c>
      <c r="AF137" s="36" t="e">
        <f t="shared" si="250"/>
        <v>#N/A</v>
      </c>
      <c r="AG137" s="57">
        <f>SUMIFS(Adjustments!H$5:H$557,Adjustments!$B$5:$B$557,'Mar16-Aug16 Billed-RETAIL'!$D137,Adjustments!$C$5:$C$557,'Mar16-Aug16 Billed-RETAIL'!$E137)</f>
        <v>0</v>
      </c>
      <c r="AH137" s="57">
        <f>SUMIFS(Adjustments!I$5:I$557,Adjustments!$B$5:$B$557,'Mar16-Aug16 Billed-RETAIL'!$D137,Adjustments!$C$5:$C$557,'Mar16-Aug16 Billed-RETAIL'!$E137)</f>
        <v>0</v>
      </c>
      <c r="AI137" s="48">
        <f>SUMIFS(Adjustments!J$5:J$557,Adjustments!$B$5:$B$557,'Mar16-Aug16 Billed-RETAIL'!$D137,Adjustments!$C$5:$C$557,'Mar16-Aug16 Billed-RETAIL'!$E137)</f>
        <v>0</v>
      </c>
      <c r="AJ137" s="48">
        <f>SUMIFS(Adjustments!K$5:K$557,Adjustments!$B$5:$B$557,'Mar16-Aug16 Billed-RETAIL'!$D137,Adjustments!$C$5:$C$557,'Mar16-Aug16 Billed-RETAIL'!$E137)</f>
        <v>0</v>
      </c>
      <c r="AK137" s="48">
        <f>SUMIFS(Adjustments!L$5:L$557,Adjustments!$B$5:$B$557,'Mar16-Aug16 Billed-RETAIL'!$D137,Adjustments!$C$5:$C$557,'Mar16-Aug16 Billed-RETAIL'!$E137)</f>
        <v>0</v>
      </c>
      <c r="AL137" s="48">
        <f>SUMIFS(Adjustments!M$5:M$557,Adjustments!$B$5:$B$557,'Mar16-Aug16 Billed-RETAIL'!$D137,Adjustments!$C$5:$C$557,'Mar16-Aug16 Billed-RETAIL'!$E137)</f>
        <v>0</v>
      </c>
      <c r="AM137" s="48">
        <f>SUMIFS(Adjustments!N$5:N$557,Adjustments!$B$5:$B$557,'Mar16-Aug16 Billed-RETAIL'!$D137,Adjustments!$C$5:$C$557,'Mar16-Aug16 Billed-RETAIL'!$E137)</f>
        <v>0</v>
      </c>
      <c r="AN137" s="48">
        <f>SUMIFS(Adjustments!O$5:O$557,Adjustments!$B$5:$B$557,'Mar16-Aug16 Billed-RETAIL'!$D137,Adjustments!$C$5:$C$557,'Mar16-Aug16 Billed-RETAIL'!$E137)</f>
        <v>0</v>
      </c>
      <c r="AO137" s="48">
        <f>SUMIFS(Adjustments!P$5:P$557,Adjustments!$B$5:$B$557,'Mar16-Aug16 Billed-RETAIL'!$D137,Adjustments!$C$5:$C$557,'Mar16-Aug16 Billed-RETAIL'!$E137)</f>
        <v>0</v>
      </c>
      <c r="AP137" s="36">
        <f t="shared" si="251"/>
        <v>0</v>
      </c>
      <c r="AQ137" s="36">
        <f t="shared" si="252"/>
        <v>0</v>
      </c>
      <c r="AR137" s="36">
        <f t="shared" si="253"/>
        <v>0</v>
      </c>
      <c r="AS137" s="36">
        <f t="shared" si="254"/>
        <v>0</v>
      </c>
      <c r="AT137" s="43">
        <f t="shared" si="263"/>
        <v>0</v>
      </c>
      <c r="AU137" s="43">
        <f t="shared" si="264"/>
        <v>0</v>
      </c>
      <c r="AV137" s="43"/>
      <c r="AW137" s="43">
        <f t="shared" si="265"/>
        <v>0</v>
      </c>
      <c r="AX137" s="36">
        <f t="shared" si="255"/>
        <v>0</v>
      </c>
      <c r="AY137" s="36"/>
      <c r="AZ137" s="43">
        <f t="shared" ref="AZ137:AZ145" si="268">ROUND(SUM(AP137:AY137),2)</f>
        <v>0</v>
      </c>
      <c r="BA137" s="43">
        <f>SUM(BC137:BJ137)-BF137</f>
        <v>0</v>
      </c>
      <c r="BB137" s="44">
        <f t="shared" si="256"/>
        <v>0</v>
      </c>
      <c r="BC137" s="43">
        <f>(SUMIFS('Fin Forecast'!$J$4:$J$545,'Fin Forecast'!$B$4:$B$545,'Mar16-Aug16 Billed-RETAIL'!$E137,'Fin Forecast'!$C$4:$C$545,'Mar16-Aug16 Billed-RETAIL'!BC$5))*1000</f>
        <v>0</v>
      </c>
      <c r="BD137" s="43">
        <f>(SUMIFS('Fin Forecast'!$J$4:$J$545,'Fin Forecast'!$B$4:$B$545,'Mar16-Aug16 Billed-RETAIL'!$E137,'Fin Forecast'!$C$4:$C$545,'Mar16-Aug16 Billed-RETAIL'!BD$5))*1000</f>
        <v>0</v>
      </c>
      <c r="BE137" s="43">
        <v>0</v>
      </c>
      <c r="BF137" s="43">
        <v>0</v>
      </c>
      <c r="BG137" s="43">
        <f>(SUMIFS('Fin Forecast'!$J$4:$J$545,'Fin Forecast'!$B$4:$B$545,'Mar16-Aug16 Billed-RETAIL'!$E137,'Fin Forecast'!$C$4:$C$545,'Mar16-Aug16 Billed-RETAIL'!BG$5))*1000</f>
        <v>0</v>
      </c>
      <c r="BH137" s="43">
        <f>(SUMIFS('Fin Forecast'!$J$4:$J$545,'Fin Forecast'!$B$4:$B$545,'Mar16-Aug16 Billed-RETAIL'!$E137,'Fin Forecast'!$C$4:$C$545,'Mar16-Aug16 Billed-RETAIL'!BH$5))*1000</f>
        <v>0</v>
      </c>
      <c r="BI137" s="43">
        <f>(SUMIFS('Fin Forecast'!$J$4:$J$545,'Fin Forecast'!$B$4:$B$545,'Mar16-Aug16 Billed-RETAIL'!$E137,'Fin Forecast'!$C$4:$C$545,'Mar16-Aug16 Billed-RETAIL'!BI$5))*1000</f>
        <v>0</v>
      </c>
      <c r="BJ137" s="43">
        <f>(SUMIFS('Fin Forecast'!$J$4:$J$545,'Fin Forecast'!$B$4:$B$545,'Mar16-Aug16 Billed-RETAIL'!$E137,'Fin Forecast'!$C$4:$C$545,'Mar16-Aug16 Billed-RETAIL'!BJ$5))*1000</f>
        <v>0</v>
      </c>
      <c r="BL137" s="51">
        <f t="shared" si="257"/>
        <v>0</v>
      </c>
      <c r="BN137" s="58">
        <f t="shared" si="258"/>
        <v>0</v>
      </c>
      <c r="BO137" s="58">
        <f t="shared" si="259"/>
        <v>0</v>
      </c>
      <c r="BP137" s="58">
        <f t="shared" si="260"/>
        <v>0</v>
      </c>
    </row>
    <row r="138" spans="1:68" ht="15" x14ac:dyDescent="0.25">
      <c r="C138" s="14">
        <f t="shared" si="266"/>
        <v>115</v>
      </c>
      <c r="D138" s="604">
        <f t="shared" si="267"/>
        <v>42767</v>
      </c>
      <c r="E138" s="604" t="str">
        <f>+'Retail Rates'!$B$15</f>
        <v>LGCMG851</v>
      </c>
      <c r="F138" s="14" t="str">
        <f t="shared" si="261"/>
        <v>851</v>
      </c>
      <c r="G138" s="14" t="str">
        <f>VLOOKUP(E138,'Retail Rates'!$B$7:$D$34,3,FALSE)</f>
        <v>CGS</v>
      </c>
      <c r="H138" s="546"/>
      <c r="I138" s="546">
        <f>SUMIFS('Forecasted Customer Cts'!$S$5:$S$36,'Forecasted Customer Cts'!$D$5:$D$36,'Mar16-Aug16 Billed-RETAIL'!$E138,'Forecasted Customer Cts'!$C$5:$C$36,'Mar16-Aug16 Billed-RETAIL'!$A$78)</f>
        <v>24305</v>
      </c>
      <c r="J138" s="546">
        <f>SUMIFS('Forecasted Customer Cts'!$S$5:$S$36,'Forecasted Customer Cts'!$D$5:$D$36,'Mar16-Aug16 Billed-RETAIL'!$E138,'Forecasted Customer Cts'!$C$5:$C$36,'Mar16-Aug16 Billed-RETAIL'!$B$78)</f>
        <v>1012</v>
      </c>
      <c r="K138" s="546">
        <f>SUMIF('Forecasted Calendar Month Usage'!$D$5:$D$41,'Mar16-Aug16 Billed-RETAIL'!$E138,'Forecasted Calendar Month Usage'!$S$5:$S$41)*10</f>
        <v>17742481.584701553</v>
      </c>
      <c r="L138" s="546"/>
      <c r="N138" s="34">
        <f>VLOOKUP($E138,'Retail Rates'!$B$7:$L$34,5,FALSE)</f>
        <v>40</v>
      </c>
      <c r="O138" s="34">
        <f>VLOOKUP($E138,'Retail Rates'!$B$7:$L$34,6,FALSE)</f>
        <v>180</v>
      </c>
      <c r="P138" s="35">
        <f>VLOOKUP($E138,'Retail Rates'!$B$7:$L$34,7,FALSE)</f>
        <v>0.21504000000000001</v>
      </c>
      <c r="Q138" s="35">
        <f>VLOOKUP($E138,'Retail Rates'!$B$7:$L$34,8,FALSE)</f>
        <v>0.16504000000000002</v>
      </c>
      <c r="R138" s="35" t="e">
        <f>VLOOKUP($D138,'GSC-DSM-GLT Factors'!$A$1:$B$60,2,FALSE)</f>
        <v>#N/A</v>
      </c>
      <c r="S138" s="34">
        <f>VLOOKUP($E138,'Retail Rates'!$B$7:$L$34,9,FALSE)</f>
        <v>0</v>
      </c>
      <c r="T138" s="35">
        <f>VLOOKUP($E138,'Retail Rates'!$B$7:$L$34,10,FALSE)</f>
        <v>0</v>
      </c>
      <c r="U138" s="34">
        <f>VLOOKUP($E138,'Retail Rates'!$B$7:$L$34,11,FALSE)</f>
        <v>0</v>
      </c>
      <c r="V138" s="556" t="e">
        <f>VLOOKUP($D138,'GSC-DSM-GLT Factors'!$A$1:$O$60,12,FALSE)</f>
        <v>#N/A</v>
      </c>
      <c r="W138" s="36">
        <f t="shared" si="246"/>
        <v>972200</v>
      </c>
      <c r="X138" s="36"/>
      <c r="Y138" s="36">
        <f>+J138*O138</f>
        <v>182160</v>
      </c>
      <c r="Z138" s="36">
        <f t="shared" si="247"/>
        <v>3815343.2399742221</v>
      </c>
      <c r="AA138" s="36">
        <f t="shared" si="248"/>
        <v>0</v>
      </c>
      <c r="AB138" s="36" t="e">
        <f t="shared" si="249"/>
        <v>#N/A</v>
      </c>
      <c r="AC138" s="36"/>
      <c r="AD138" s="36"/>
      <c r="AE138" s="36">
        <f t="shared" si="262"/>
        <v>0</v>
      </c>
      <c r="AF138" s="36" t="e">
        <f t="shared" si="250"/>
        <v>#N/A</v>
      </c>
      <c r="AG138" s="57">
        <f>SUMIFS(Adjustments!H$5:H$557,Adjustments!$B$5:$B$557,'Mar16-Aug16 Billed-RETAIL'!$D138,Adjustments!$C$5:$C$557,'Mar16-Aug16 Billed-RETAIL'!$E138)</f>
        <v>0</v>
      </c>
      <c r="AH138" s="57">
        <f>SUMIFS(Adjustments!I$5:I$557,Adjustments!$B$5:$B$557,'Mar16-Aug16 Billed-RETAIL'!$D138,Adjustments!$C$5:$C$557,'Mar16-Aug16 Billed-RETAIL'!$E138)</f>
        <v>0</v>
      </c>
      <c r="AI138" s="48">
        <f>SUMIFS(Adjustments!J$5:J$557,Adjustments!$B$5:$B$557,'Mar16-Aug16 Billed-RETAIL'!$D138,Adjustments!$C$5:$C$557,'Mar16-Aug16 Billed-RETAIL'!$E138)</f>
        <v>0</v>
      </c>
      <c r="AJ138" s="48">
        <f>SUMIFS(Adjustments!K$5:K$557,Adjustments!$B$5:$B$557,'Mar16-Aug16 Billed-RETAIL'!$D138,Adjustments!$C$5:$C$557,'Mar16-Aug16 Billed-RETAIL'!$E138)</f>
        <v>0</v>
      </c>
      <c r="AK138" s="48">
        <f>SUMIFS(Adjustments!L$5:L$557,Adjustments!$B$5:$B$557,'Mar16-Aug16 Billed-RETAIL'!$D138,Adjustments!$C$5:$C$557,'Mar16-Aug16 Billed-RETAIL'!$E138)</f>
        <v>0</v>
      </c>
      <c r="AL138" s="48">
        <f>SUMIFS(Adjustments!M$5:M$557,Adjustments!$B$5:$B$557,'Mar16-Aug16 Billed-RETAIL'!$D138,Adjustments!$C$5:$C$557,'Mar16-Aug16 Billed-RETAIL'!$E138)</f>
        <v>0</v>
      </c>
      <c r="AM138" s="48">
        <f>SUMIFS(Adjustments!N$5:N$557,Adjustments!$B$5:$B$557,'Mar16-Aug16 Billed-RETAIL'!$D138,Adjustments!$C$5:$C$557,'Mar16-Aug16 Billed-RETAIL'!$E138)</f>
        <v>0</v>
      </c>
      <c r="AN138" s="48">
        <f>SUMIFS(Adjustments!O$5:O$557,Adjustments!$B$5:$B$557,'Mar16-Aug16 Billed-RETAIL'!$D138,Adjustments!$C$5:$C$557,'Mar16-Aug16 Billed-RETAIL'!$E138)</f>
        <v>0</v>
      </c>
      <c r="AO138" s="48">
        <f>SUMIFS(Adjustments!P$5:P$557,Adjustments!$B$5:$B$557,'Mar16-Aug16 Billed-RETAIL'!$D138,Adjustments!$C$5:$C$557,'Mar16-Aug16 Billed-RETAIL'!$E138)</f>
        <v>0</v>
      </c>
      <c r="AP138" s="36">
        <f t="shared" si="251"/>
        <v>972200</v>
      </c>
      <c r="AQ138" s="36">
        <f t="shared" si="252"/>
        <v>182160</v>
      </c>
      <c r="AR138" s="36">
        <f t="shared" si="253"/>
        <v>3815343.2399742221</v>
      </c>
      <c r="AS138" s="36">
        <f t="shared" si="254"/>
        <v>0</v>
      </c>
      <c r="AT138" s="43">
        <f t="shared" si="263"/>
        <v>8193031.5996901793</v>
      </c>
      <c r="AU138" s="43">
        <f t="shared" si="264"/>
        <v>94653.528411233099</v>
      </c>
      <c r="AV138" s="43"/>
      <c r="AW138" s="43">
        <f t="shared" si="265"/>
        <v>759247.7871785477</v>
      </c>
      <c r="AX138" s="36">
        <f t="shared" si="255"/>
        <v>0</v>
      </c>
      <c r="AY138" s="36"/>
      <c r="AZ138" s="43">
        <f t="shared" si="268"/>
        <v>14016636.16</v>
      </c>
      <c r="BA138" s="43">
        <f>SUM(BC138:BJ138)-BF138</f>
        <v>14016636.154866343</v>
      </c>
      <c r="BB138" s="44">
        <f t="shared" si="256"/>
        <v>1</v>
      </c>
      <c r="BC138" s="43">
        <f>(SUMIFS('Fin Forecast'!$J$4:$J$545,'Fin Forecast'!$B$4:$B$545,'Mar16-Aug16 Billed-RETAIL'!$E138,'Fin Forecast'!$C$4:$C$545,'Mar16-Aug16 Billed-RETAIL'!BC$5))*1000</f>
        <v>94653.528411233099</v>
      </c>
      <c r="BD138" s="43">
        <f>(SUMIFS('Fin Forecast'!$J$4:$J$545,'Fin Forecast'!$B$4:$B$545,'Mar16-Aug16 Billed-RETAIL'!$E138,'Fin Forecast'!$C$4:$C$545,'Mar16-Aug16 Billed-RETAIL'!BD$5))*1000</f>
        <v>8193031.5996901793</v>
      </c>
      <c r="BE138" s="43">
        <v>0</v>
      </c>
      <c r="BF138" s="43">
        <v>0</v>
      </c>
      <c r="BG138" s="43">
        <f>(SUMIFS('Fin Forecast'!$J$4:$J$545,'Fin Forecast'!$B$4:$B$545,'Mar16-Aug16 Billed-RETAIL'!$E138,'Fin Forecast'!$C$4:$C$545,'Mar16-Aug16 Billed-RETAIL'!BG$5))*1000</f>
        <v>1154360.0000000002</v>
      </c>
      <c r="BH138" s="43">
        <f>(SUMIFS('Fin Forecast'!$J$4:$J$545,'Fin Forecast'!$B$4:$B$545,'Mar16-Aug16 Billed-RETAIL'!$E138,'Fin Forecast'!$C$4:$C$545,'Mar16-Aug16 Billed-RETAIL'!BH$5))*1000</f>
        <v>3815343.239586384</v>
      </c>
      <c r="BI138" s="43">
        <f>(SUMIFS('Fin Forecast'!$J$4:$J$545,'Fin Forecast'!$B$4:$B$545,'Mar16-Aug16 Billed-RETAIL'!$E138,'Fin Forecast'!$C$4:$C$545,'Mar16-Aug16 Billed-RETAIL'!BI$5))*1000</f>
        <v>0</v>
      </c>
      <c r="BJ138" s="43">
        <f>(SUMIFS('Fin Forecast'!$J$4:$J$545,'Fin Forecast'!$B$4:$B$545,'Mar16-Aug16 Billed-RETAIL'!$E138,'Fin Forecast'!$C$4:$C$545,'Mar16-Aug16 Billed-RETAIL'!BJ$5))*1000</f>
        <v>759247.7871785477</v>
      </c>
      <c r="BL138" s="51">
        <f t="shared" si="257"/>
        <v>5.1336567848920822E-3</v>
      </c>
      <c r="BN138" s="58">
        <f t="shared" si="258"/>
        <v>0</v>
      </c>
      <c r="BO138" s="58">
        <f t="shared" si="259"/>
        <v>3.8783811032772064E-4</v>
      </c>
      <c r="BP138" s="58">
        <f t="shared" si="260"/>
        <v>0</v>
      </c>
    </row>
    <row r="139" spans="1:68" ht="15" x14ac:dyDescent="0.25">
      <c r="C139" s="14">
        <f t="shared" si="266"/>
        <v>116</v>
      </c>
      <c r="D139" s="604">
        <f t="shared" si="267"/>
        <v>42767</v>
      </c>
      <c r="E139" s="604" t="str">
        <f>+'Retail Rates'!$B$16</f>
        <v>LGUMG861</v>
      </c>
      <c r="F139" s="14" t="str">
        <f t="shared" si="261"/>
        <v>861</v>
      </c>
      <c r="G139" s="14" t="str">
        <f>VLOOKUP(E139,'Retail Rates'!$B$7:$D$34,3,FALSE)</f>
        <v>CGS</v>
      </c>
      <c r="H139" s="546"/>
      <c r="I139" s="546"/>
      <c r="J139" s="546"/>
      <c r="K139" s="545"/>
      <c r="L139" s="545"/>
      <c r="N139" s="34">
        <f>VLOOKUP($E139,'Retail Rates'!$B$7:$L$34,5,FALSE)</f>
        <v>40</v>
      </c>
      <c r="O139" s="34">
        <f>VLOOKUP($E139,'Retail Rates'!$B$7:$L$34,6,FALSE)</f>
        <v>180</v>
      </c>
      <c r="P139" s="35">
        <f>VLOOKUP($E139,'Retail Rates'!$B$7:$L$34,7,FALSE)</f>
        <v>0.21504000000000001</v>
      </c>
      <c r="Q139" s="35">
        <f>VLOOKUP($E139,'Retail Rates'!$B$7:$L$34,8,FALSE)</f>
        <v>0.16504000000000002</v>
      </c>
      <c r="R139" s="35" t="e">
        <f>VLOOKUP($D139,'GSC-DSM-GLT Factors'!$A$1:$B$60,2,FALSE)</f>
        <v>#N/A</v>
      </c>
      <c r="S139" s="34">
        <f>VLOOKUP($E139,'Retail Rates'!$B$7:$L$34,9,FALSE)</f>
        <v>0</v>
      </c>
      <c r="T139" s="35">
        <f>VLOOKUP($E139,'Retail Rates'!$B$7:$L$34,10,FALSE)</f>
        <v>0</v>
      </c>
      <c r="U139" s="34">
        <f>VLOOKUP($E139,'Retail Rates'!$B$7:$L$34,11,FALSE)</f>
        <v>0</v>
      </c>
      <c r="V139" s="556" t="e">
        <f>VLOOKUP($D139,'GSC-DSM-GLT Factors'!$A$1:$O$60,12,FALSE)</f>
        <v>#N/A</v>
      </c>
      <c r="W139" s="36">
        <f t="shared" si="246"/>
        <v>0</v>
      </c>
      <c r="X139" s="36"/>
      <c r="Y139" s="36">
        <f>+J139*O139</f>
        <v>0</v>
      </c>
      <c r="Z139" s="36">
        <f t="shared" si="247"/>
        <v>0</v>
      </c>
      <c r="AA139" s="36">
        <f t="shared" si="248"/>
        <v>0</v>
      </c>
      <c r="AB139" s="36" t="e">
        <f t="shared" si="249"/>
        <v>#N/A</v>
      </c>
      <c r="AC139" s="36"/>
      <c r="AD139" s="36"/>
      <c r="AE139" s="36">
        <f t="shared" si="262"/>
        <v>0</v>
      </c>
      <c r="AF139" s="36" t="e">
        <f t="shared" si="250"/>
        <v>#N/A</v>
      </c>
      <c r="AG139" s="57">
        <f>SUMIFS(Adjustments!H$5:H$557,Adjustments!$B$5:$B$557,'Mar16-Aug16 Billed-RETAIL'!$D139,Adjustments!$C$5:$C$557,'Mar16-Aug16 Billed-RETAIL'!$E139)</f>
        <v>0</v>
      </c>
      <c r="AH139" s="57">
        <f>SUMIFS(Adjustments!I$5:I$557,Adjustments!$B$5:$B$557,'Mar16-Aug16 Billed-RETAIL'!$D139,Adjustments!$C$5:$C$557,'Mar16-Aug16 Billed-RETAIL'!$E139)</f>
        <v>0</v>
      </c>
      <c r="AI139" s="48">
        <f>SUMIFS(Adjustments!J$5:J$557,Adjustments!$B$5:$B$557,'Mar16-Aug16 Billed-RETAIL'!$D139,Adjustments!$C$5:$C$557,'Mar16-Aug16 Billed-RETAIL'!$E139)</f>
        <v>0</v>
      </c>
      <c r="AJ139" s="48">
        <f>SUMIFS(Adjustments!K$5:K$557,Adjustments!$B$5:$B$557,'Mar16-Aug16 Billed-RETAIL'!$D139,Adjustments!$C$5:$C$557,'Mar16-Aug16 Billed-RETAIL'!$E139)</f>
        <v>0</v>
      </c>
      <c r="AK139" s="48">
        <f>SUMIFS(Adjustments!L$5:L$557,Adjustments!$B$5:$B$557,'Mar16-Aug16 Billed-RETAIL'!$D139,Adjustments!$C$5:$C$557,'Mar16-Aug16 Billed-RETAIL'!$E139)</f>
        <v>0</v>
      </c>
      <c r="AL139" s="48">
        <f>SUMIFS(Adjustments!M$5:M$557,Adjustments!$B$5:$B$557,'Mar16-Aug16 Billed-RETAIL'!$D139,Adjustments!$C$5:$C$557,'Mar16-Aug16 Billed-RETAIL'!$E139)</f>
        <v>0</v>
      </c>
      <c r="AM139" s="48">
        <f>SUMIFS(Adjustments!N$5:N$557,Adjustments!$B$5:$B$557,'Mar16-Aug16 Billed-RETAIL'!$D139,Adjustments!$C$5:$C$557,'Mar16-Aug16 Billed-RETAIL'!$E139)</f>
        <v>0</v>
      </c>
      <c r="AN139" s="48">
        <f>SUMIFS(Adjustments!O$5:O$557,Adjustments!$B$5:$B$557,'Mar16-Aug16 Billed-RETAIL'!$D139,Adjustments!$C$5:$C$557,'Mar16-Aug16 Billed-RETAIL'!$E139)</f>
        <v>0</v>
      </c>
      <c r="AO139" s="48">
        <f>SUMIFS(Adjustments!P$5:P$557,Adjustments!$B$5:$B$557,'Mar16-Aug16 Billed-RETAIL'!$D139,Adjustments!$C$5:$C$557,'Mar16-Aug16 Billed-RETAIL'!$E139)</f>
        <v>0</v>
      </c>
      <c r="AP139" s="36">
        <f t="shared" si="251"/>
        <v>0</v>
      </c>
      <c r="AQ139" s="36">
        <f t="shared" si="252"/>
        <v>0</v>
      </c>
      <c r="AR139" s="36">
        <f t="shared" si="253"/>
        <v>0</v>
      </c>
      <c r="AS139" s="36">
        <f t="shared" si="254"/>
        <v>0</v>
      </c>
      <c r="AT139" s="43">
        <f t="shared" si="263"/>
        <v>0</v>
      </c>
      <c r="AU139" s="43">
        <f t="shared" si="264"/>
        <v>0</v>
      </c>
      <c r="AV139" s="43"/>
      <c r="AW139" s="43">
        <f t="shared" si="265"/>
        <v>0</v>
      </c>
      <c r="AX139" s="36">
        <f t="shared" si="255"/>
        <v>0</v>
      </c>
      <c r="AY139" s="36"/>
      <c r="AZ139" s="43">
        <f t="shared" si="268"/>
        <v>0</v>
      </c>
      <c r="BA139" s="43">
        <f>SUM(BC139:BJ139)-BF139</f>
        <v>0</v>
      </c>
      <c r="BB139" s="44">
        <f t="shared" si="256"/>
        <v>0</v>
      </c>
      <c r="BC139" s="43">
        <f>(SUMIFS('Fin Forecast'!$J$4:$J$545,'Fin Forecast'!$B$4:$B$545,'Mar16-Aug16 Billed-RETAIL'!$E139,'Fin Forecast'!$C$4:$C$545,'Mar16-Aug16 Billed-RETAIL'!BC$5))*1000</f>
        <v>0</v>
      </c>
      <c r="BD139" s="43">
        <f>(SUMIFS('Fin Forecast'!$J$4:$J$545,'Fin Forecast'!$B$4:$B$545,'Mar16-Aug16 Billed-RETAIL'!$E139,'Fin Forecast'!$C$4:$C$545,'Mar16-Aug16 Billed-RETAIL'!BD$5))*1000</f>
        <v>0</v>
      </c>
      <c r="BE139" s="43">
        <v>0</v>
      </c>
      <c r="BF139" s="43">
        <v>0</v>
      </c>
      <c r="BG139" s="43">
        <f>(SUMIFS('Fin Forecast'!$J$4:$J$545,'Fin Forecast'!$B$4:$B$545,'Mar16-Aug16 Billed-RETAIL'!$E139,'Fin Forecast'!$C$4:$C$545,'Mar16-Aug16 Billed-RETAIL'!BG$5))*1000</f>
        <v>0</v>
      </c>
      <c r="BH139" s="43">
        <f>(SUMIFS('Fin Forecast'!$J$4:$J$545,'Fin Forecast'!$B$4:$B$545,'Mar16-Aug16 Billed-RETAIL'!$E139,'Fin Forecast'!$C$4:$C$545,'Mar16-Aug16 Billed-RETAIL'!BH$5))*1000</f>
        <v>0</v>
      </c>
      <c r="BI139" s="43">
        <f>(SUMIFS('Fin Forecast'!$J$4:$J$545,'Fin Forecast'!$B$4:$B$545,'Mar16-Aug16 Billed-RETAIL'!$E139,'Fin Forecast'!$C$4:$C$545,'Mar16-Aug16 Billed-RETAIL'!BI$5))*1000</f>
        <v>0</v>
      </c>
      <c r="BJ139" s="43">
        <f>(SUMIFS('Fin Forecast'!$J$4:$J$545,'Fin Forecast'!$B$4:$B$545,'Mar16-Aug16 Billed-RETAIL'!$E139,'Fin Forecast'!$C$4:$C$545,'Mar16-Aug16 Billed-RETAIL'!BJ$5))*1000</f>
        <v>0</v>
      </c>
      <c r="BL139" s="51">
        <f t="shared" si="257"/>
        <v>0</v>
      </c>
      <c r="BN139" s="58">
        <f t="shared" si="258"/>
        <v>0</v>
      </c>
      <c r="BO139" s="58">
        <f t="shared" si="259"/>
        <v>0</v>
      </c>
      <c r="BP139" s="58">
        <f t="shared" si="260"/>
        <v>0</v>
      </c>
    </row>
    <row r="140" spans="1:68" ht="15" x14ac:dyDescent="0.25">
      <c r="A140" s="548" t="s">
        <v>799</v>
      </c>
      <c r="B140" s="548" t="s">
        <v>800</v>
      </c>
      <c r="C140" s="14">
        <f t="shared" si="266"/>
        <v>117</v>
      </c>
      <c r="D140" s="604">
        <f t="shared" si="267"/>
        <v>42767</v>
      </c>
      <c r="E140" s="604" t="str">
        <f>+'Retail Rates'!$B$20</f>
        <v>LGCMG875</v>
      </c>
      <c r="F140" s="14" t="str">
        <f t="shared" si="261"/>
        <v>875</v>
      </c>
      <c r="G140" s="14" t="str">
        <f>VLOOKUP(E140,'Retail Rates'!$B$7:$D$34,3,FALSE)</f>
        <v>DGGS-C</v>
      </c>
      <c r="H140" s="546">
        <v>1</v>
      </c>
      <c r="I140" s="546"/>
      <c r="J140" s="546"/>
      <c r="K140" s="546">
        <v>6</v>
      </c>
      <c r="L140" s="546"/>
      <c r="M140" s="21">
        <v>483</v>
      </c>
      <c r="N140" s="34">
        <f>VLOOKUP($E140,'Retail Rates'!$B$7:$L$34,5,FALSE)</f>
        <v>40</v>
      </c>
      <c r="O140" s="34">
        <f>VLOOKUP($E140,'Retail Rates'!$B$7:$L$34,6,FALSE)</f>
        <v>180</v>
      </c>
      <c r="P140" s="35">
        <f>VLOOKUP($E140,'Retail Rates'!$B$7:$L$34,7,FALSE)</f>
        <v>3.329E-2</v>
      </c>
      <c r="Q140" s="35">
        <f>VLOOKUP($E140,'Retail Rates'!$B$7:$L$34,8,FALSE)</f>
        <v>0</v>
      </c>
      <c r="R140" s="35" t="e">
        <f>VLOOKUP($D140,'GSC-DSM-GLT Factors'!$A$1:$B$60,2,FALSE)</f>
        <v>#N/A</v>
      </c>
      <c r="S140" s="34">
        <f>VLOOKUP($E140,'Retail Rates'!$B$7:$L$34,9,FALSE)</f>
        <v>0</v>
      </c>
      <c r="T140" s="35">
        <f>VLOOKUP($E140,'Retail Rates'!$B$7:$L$34,10,FALSE)</f>
        <v>0</v>
      </c>
      <c r="U140" s="699">
        <f>VLOOKUP($E140,'Retail Rates'!$B$7:$L$34,11,FALSE)</f>
        <v>1.1263000000000001</v>
      </c>
      <c r="V140" s="556" t="e">
        <f>VLOOKUP($D140,'GSC-DSM-GLT Factors'!$A$1:$O$60,15,FALSE)</f>
        <v>#N/A</v>
      </c>
      <c r="W140" s="36">
        <f t="shared" si="246"/>
        <v>40</v>
      </c>
      <c r="X140" s="36"/>
      <c r="Y140" s="36"/>
      <c r="Z140" s="36">
        <f t="shared" si="247"/>
        <v>0.19974</v>
      </c>
      <c r="AA140" s="36">
        <f t="shared" si="248"/>
        <v>0</v>
      </c>
      <c r="AB140" s="36" t="e">
        <f t="shared" si="249"/>
        <v>#N/A</v>
      </c>
      <c r="AC140" s="36"/>
      <c r="AD140" s="36"/>
      <c r="AE140" s="36">
        <f t="shared" si="262"/>
        <v>544.00290000000007</v>
      </c>
      <c r="AF140" s="36" t="e">
        <f t="shared" si="250"/>
        <v>#N/A</v>
      </c>
      <c r="AG140" s="57">
        <f>SUMIFS(Adjustments!H$5:H$557,Adjustments!$B$5:$B$557,'Mar16-Aug16 Billed-RETAIL'!$D140,Adjustments!$C$5:$C$557,'Mar16-Aug16 Billed-RETAIL'!$E140)</f>
        <v>0</v>
      </c>
      <c r="AH140" s="57">
        <f>SUMIFS(Adjustments!I$5:I$557,Adjustments!$B$5:$B$557,'Mar16-Aug16 Billed-RETAIL'!$D140,Adjustments!$C$5:$C$557,'Mar16-Aug16 Billed-RETAIL'!$E140)</f>
        <v>0</v>
      </c>
      <c r="AI140" s="48">
        <f>SUMIFS(Adjustments!J$5:J$557,Adjustments!$B$5:$B$557,'Mar16-Aug16 Billed-RETAIL'!$D140,Adjustments!$C$5:$C$557,'Mar16-Aug16 Billed-RETAIL'!$E140)</f>
        <v>0</v>
      </c>
      <c r="AJ140" s="48">
        <f>SUMIFS(Adjustments!K$5:K$557,Adjustments!$B$5:$B$557,'Mar16-Aug16 Billed-RETAIL'!$D140,Adjustments!$C$5:$C$557,'Mar16-Aug16 Billed-RETAIL'!$E140)</f>
        <v>0</v>
      </c>
      <c r="AK140" s="48">
        <f>SUMIFS(Adjustments!L$5:L$557,Adjustments!$B$5:$B$557,'Mar16-Aug16 Billed-RETAIL'!$D140,Adjustments!$C$5:$C$557,'Mar16-Aug16 Billed-RETAIL'!$E140)</f>
        <v>0</v>
      </c>
      <c r="AL140" s="48">
        <f>SUMIFS(Adjustments!M$5:M$557,Adjustments!$B$5:$B$557,'Mar16-Aug16 Billed-RETAIL'!$D140,Adjustments!$C$5:$C$557,'Mar16-Aug16 Billed-RETAIL'!$E140)</f>
        <v>0</v>
      </c>
      <c r="AM140" s="48">
        <f>SUMIFS(Adjustments!N$5:N$557,Adjustments!$B$5:$B$557,'Mar16-Aug16 Billed-RETAIL'!$D140,Adjustments!$C$5:$C$557,'Mar16-Aug16 Billed-RETAIL'!$E140)</f>
        <v>0</v>
      </c>
      <c r="AN140" s="48">
        <f>SUMIFS(Adjustments!O$5:O$557,Adjustments!$B$5:$B$557,'Mar16-Aug16 Billed-RETAIL'!$D140,Adjustments!$C$5:$C$557,'Mar16-Aug16 Billed-RETAIL'!$E140)</f>
        <v>0</v>
      </c>
      <c r="AO140" s="48">
        <f>SUMIFS(Adjustments!P$5:P$557,Adjustments!$B$5:$B$557,'Mar16-Aug16 Billed-RETAIL'!$D140,Adjustments!$C$5:$C$557,'Mar16-Aug16 Billed-RETAIL'!$E140)</f>
        <v>0</v>
      </c>
      <c r="AP140" s="36">
        <f t="shared" si="251"/>
        <v>40</v>
      </c>
      <c r="AQ140" s="36">
        <f t="shared" si="252"/>
        <v>0</v>
      </c>
      <c r="AR140" s="36">
        <f t="shared" si="253"/>
        <v>0.19974</v>
      </c>
      <c r="AS140" s="36">
        <f t="shared" si="254"/>
        <v>0</v>
      </c>
      <c r="AT140" s="43">
        <f t="shared" si="263"/>
        <v>2.7706490418749898</v>
      </c>
      <c r="AU140" s="43">
        <f t="shared" si="264"/>
        <v>3.2009117090746698E-2</v>
      </c>
      <c r="AV140" s="43"/>
      <c r="AW140" s="43">
        <f t="shared" si="265"/>
        <v>0</v>
      </c>
      <c r="AX140" s="36">
        <f t="shared" si="255"/>
        <v>544.00290000000007</v>
      </c>
      <c r="AY140" s="36"/>
      <c r="AZ140" s="43">
        <f t="shared" si="268"/>
        <v>587.01</v>
      </c>
      <c r="BA140" s="43">
        <f>ROUND(SUM(BC140:BJ140)-BF140,2)</f>
        <v>587.01</v>
      </c>
      <c r="BB140" s="44">
        <f t="shared" si="256"/>
        <v>1</v>
      </c>
      <c r="BC140" s="43">
        <f>(SUMIFS('Fin Forecast'!$J$4:$J$545,'Fin Forecast'!$B$4:$B$545,'Mar16-Aug16 Billed-RETAIL'!$E140,'Fin Forecast'!$C$4:$C$545,'Mar16-Aug16 Billed-RETAIL'!BC$5))*1000</f>
        <v>3.2009117090746698E-2</v>
      </c>
      <c r="BD140" s="43">
        <f>(SUMIFS('Fin Forecast'!$J$4:$J$545,'Fin Forecast'!$B$4:$B$545,'Mar16-Aug16 Billed-RETAIL'!$E140,'Fin Forecast'!$C$4:$C$545,'Mar16-Aug16 Billed-RETAIL'!BD$5))*1000</f>
        <v>2.7706490418749898</v>
      </c>
      <c r="BE140" s="43">
        <v>0</v>
      </c>
      <c r="BF140" s="43">
        <v>0</v>
      </c>
      <c r="BG140" s="43">
        <f>(SUMIFS('Fin Forecast'!$J$4:$J$545,'Fin Forecast'!$B$4:$B$545,'Mar16-Aug16 Billed-RETAIL'!$E140,'Fin Forecast'!$C$4:$C$545,'Mar16-Aug16 Billed-RETAIL'!BG$5))*1000</f>
        <v>40</v>
      </c>
      <c r="BH140" s="43">
        <f>(SUMIFS('Fin Forecast'!$J$4:$J$545,'Fin Forecast'!$B$4:$B$545,'Mar16-Aug16 Billed-RETAIL'!$E140,'Fin Forecast'!$C$4:$C$545,'Mar16-Aug16 Billed-RETAIL'!BH$5))*1000</f>
        <v>0.199739999999999</v>
      </c>
      <c r="BI140" s="43">
        <f>(SUMIFS('Fin Forecast'!$J$4:$J$545,'Fin Forecast'!$B$4:$B$545,'Mar16-Aug16 Billed-RETAIL'!$E140,'Fin Forecast'!$C$4:$C$545,'Mar16-Aug16 Billed-RETAIL'!BI$5))*1000</f>
        <v>544.00289999999995</v>
      </c>
      <c r="BJ140" s="43">
        <f>(SUMIFS('Fin Forecast'!$J$4:$J$545,'Fin Forecast'!$B$4:$B$545,'Mar16-Aug16 Billed-RETAIL'!$E140,'Fin Forecast'!$C$4:$C$545,'Mar16-Aug16 Billed-RETAIL'!BJ$5))*1000</f>
        <v>0</v>
      </c>
      <c r="BL140" s="51">
        <f t="shared" si="257"/>
        <v>0</v>
      </c>
      <c r="BN140" s="58">
        <f t="shared" si="258"/>
        <v>0</v>
      </c>
      <c r="BO140" s="58">
        <f t="shared" si="259"/>
        <v>9.9920072216264089E-16</v>
      </c>
      <c r="BP140" s="58">
        <f t="shared" si="260"/>
        <v>0</v>
      </c>
    </row>
    <row r="141" spans="1:68" ht="15" x14ac:dyDescent="0.25">
      <c r="A141" s="21" t="s">
        <v>801</v>
      </c>
      <c r="B141" s="21" t="s">
        <v>802</v>
      </c>
      <c r="C141" s="14">
        <f t="shared" si="266"/>
        <v>118</v>
      </c>
      <c r="D141" s="604">
        <f t="shared" si="267"/>
        <v>42767</v>
      </c>
      <c r="E141" s="604" t="str">
        <f>+'Retail Rates'!$B$26</f>
        <v>LGING855</v>
      </c>
      <c r="F141" s="14" t="str">
        <f t="shared" si="261"/>
        <v>855</v>
      </c>
      <c r="G141" s="14" t="s">
        <v>118</v>
      </c>
      <c r="H141" s="546"/>
      <c r="I141" s="546">
        <f>SUMIFS('Forecasted Customer Cts'!$S$5:$S$36,'Forecasted Customer Cts'!$D$5:$D$36,'Mar16-Aug16 Billed-RETAIL'!$E141,'Forecasted Customer Cts'!$C$5:$C$36,'Mar16-Aug16 Billed-RETAIL'!$A$78)</f>
        <v>144</v>
      </c>
      <c r="J141" s="546">
        <f>SUMIFS('Forecasted Customer Cts'!$S$5:$S$36,'Forecasted Customer Cts'!$D$5:$D$36,'Mar16-Aug16 Billed-RETAIL'!$E141,'Forecasted Customer Cts'!$C$5:$C$36,'Mar16-Aug16 Billed-RETAIL'!$B$78)</f>
        <v>113</v>
      </c>
      <c r="K141" s="546">
        <f>SUMIF('Forecasted Calendar Month Usage'!$D$5:$D$41,'Mar16-Aug16 Billed-RETAIL'!$E141,'Forecasted Calendar Month Usage'!$S$5:$S$41)*10</f>
        <v>1725747.0091364998</v>
      </c>
      <c r="L141" s="546"/>
      <c r="N141" s="34">
        <f>VLOOKUP($E141,'Retail Rates'!$B$7:$L$34,5,FALSE)</f>
        <v>40</v>
      </c>
      <c r="O141" s="34">
        <f>VLOOKUP($E141,'Retail Rates'!$B$7:$L$34,6,FALSE)</f>
        <v>180</v>
      </c>
      <c r="P141" s="35">
        <f>VLOOKUP($E141,'Retail Rates'!$B$7:$L$34,7,FALSE)</f>
        <v>0.22778999999999999</v>
      </c>
      <c r="Q141" s="35">
        <f>VLOOKUP($E141,'Retail Rates'!$B$7:$L$34,8,FALSE)</f>
        <v>0.17779</v>
      </c>
      <c r="R141" s="35" t="e">
        <f>VLOOKUP($D141,'GSC-DSM-GLT Factors'!$A$1:$B$60,2,FALSE)</f>
        <v>#N/A</v>
      </c>
      <c r="S141" s="34">
        <f>VLOOKUP($E141,'Retail Rates'!$B$7:$L$34,9,FALSE)</f>
        <v>0</v>
      </c>
      <c r="T141" s="35">
        <f>VLOOKUP($E141,'Retail Rates'!$B$7:$L$34,10,FALSE)</f>
        <v>0</v>
      </c>
      <c r="U141" s="34">
        <f>VLOOKUP($E141,'Retail Rates'!$B$7:$L$34,11,FALSE)</f>
        <v>0</v>
      </c>
      <c r="V141" s="556" t="e">
        <f>VLOOKUP($D141,'GSC-DSM-GLT Factors'!$A$1:$O$60,13,FALSE)</f>
        <v>#N/A</v>
      </c>
      <c r="W141" s="36">
        <f t="shared" si="246"/>
        <v>5760</v>
      </c>
      <c r="X141" s="36"/>
      <c r="Y141" s="36">
        <f>+J141*O141</f>
        <v>20340</v>
      </c>
      <c r="Z141" s="36">
        <f t="shared" si="247"/>
        <v>393107.91121120326</v>
      </c>
      <c r="AA141" s="36">
        <f t="shared" si="248"/>
        <v>0</v>
      </c>
      <c r="AB141" s="36" t="e">
        <f t="shared" si="249"/>
        <v>#N/A</v>
      </c>
      <c r="AC141" s="36"/>
      <c r="AD141" s="36"/>
      <c r="AE141" s="36">
        <f t="shared" si="262"/>
        <v>0</v>
      </c>
      <c r="AF141" s="36" t="e">
        <f>(+I141*V141)+(J141*V141)</f>
        <v>#N/A</v>
      </c>
      <c r="AG141" s="57">
        <f>SUMIFS(Adjustments!H$5:H$557,Adjustments!$B$5:$B$557,'Mar16-Aug16 Billed-RETAIL'!$D141,Adjustments!$C$5:$C$557,'Mar16-Aug16 Billed-RETAIL'!$E141)</f>
        <v>0</v>
      </c>
      <c r="AH141" s="57">
        <f>SUMIFS(Adjustments!I$5:I$557,Adjustments!$B$5:$B$557,'Mar16-Aug16 Billed-RETAIL'!$D141,Adjustments!$C$5:$C$557,'Mar16-Aug16 Billed-RETAIL'!$E141)</f>
        <v>0</v>
      </c>
      <c r="AI141" s="48">
        <f>SUMIFS(Adjustments!J$5:J$557,Adjustments!$B$5:$B$557,'Mar16-Aug16 Billed-RETAIL'!$D141,Adjustments!$C$5:$C$557,'Mar16-Aug16 Billed-RETAIL'!$E141)</f>
        <v>0</v>
      </c>
      <c r="AJ141" s="48">
        <f>SUMIFS(Adjustments!K$5:K$557,Adjustments!$B$5:$B$557,'Mar16-Aug16 Billed-RETAIL'!$D141,Adjustments!$C$5:$C$557,'Mar16-Aug16 Billed-RETAIL'!$E141)</f>
        <v>0</v>
      </c>
      <c r="AK141" s="48">
        <f>SUMIFS(Adjustments!L$5:L$557,Adjustments!$B$5:$B$557,'Mar16-Aug16 Billed-RETAIL'!$D141,Adjustments!$C$5:$C$557,'Mar16-Aug16 Billed-RETAIL'!$E141)</f>
        <v>0</v>
      </c>
      <c r="AL141" s="48">
        <f>SUMIFS(Adjustments!M$5:M$557,Adjustments!$B$5:$B$557,'Mar16-Aug16 Billed-RETAIL'!$D141,Adjustments!$C$5:$C$557,'Mar16-Aug16 Billed-RETAIL'!$E141)</f>
        <v>0</v>
      </c>
      <c r="AM141" s="48">
        <f>SUMIFS(Adjustments!N$5:N$557,Adjustments!$B$5:$B$557,'Mar16-Aug16 Billed-RETAIL'!$D141,Adjustments!$C$5:$C$557,'Mar16-Aug16 Billed-RETAIL'!$E141)</f>
        <v>0</v>
      </c>
      <c r="AN141" s="48">
        <f>SUMIFS(Adjustments!O$5:O$557,Adjustments!$B$5:$B$557,'Mar16-Aug16 Billed-RETAIL'!$D141,Adjustments!$C$5:$C$557,'Mar16-Aug16 Billed-RETAIL'!$E141)</f>
        <v>0</v>
      </c>
      <c r="AO141" s="48">
        <f>SUMIFS(Adjustments!P$5:P$557,Adjustments!$B$5:$B$557,'Mar16-Aug16 Billed-RETAIL'!$D141,Adjustments!$C$5:$C$557,'Mar16-Aug16 Billed-RETAIL'!$E141)</f>
        <v>0</v>
      </c>
      <c r="AP141" s="36">
        <f t="shared" si="251"/>
        <v>5760</v>
      </c>
      <c r="AQ141" s="36">
        <f t="shared" si="252"/>
        <v>20340</v>
      </c>
      <c r="AR141" s="36">
        <f t="shared" si="253"/>
        <v>393107.91121120326</v>
      </c>
      <c r="AS141" s="36">
        <f t="shared" si="254"/>
        <v>0</v>
      </c>
      <c r="AT141" s="43">
        <f t="shared" si="263"/>
        <v>796906.54949613125</v>
      </c>
      <c r="AU141" s="43">
        <f t="shared" si="264"/>
        <v>0</v>
      </c>
      <c r="AV141" s="43"/>
      <c r="AW141" s="43">
        <f t="shared" si="265"/>
        <v>74495.866515085159</v>
      </c>
      <c r="AX141" s="36">
        <f t="shared" si="255"/>
        <v>0</v>
      </c>
      <c r="AY141" s="36"/>
      <c r="AZ141" s="43">
        <f t="shared" si="268"/>
        <v>1290610.33</v>
      </c>
      <c r="BA141" s="43">
        <f>SUM(BC141:BJ141)-BF141</f>
        <v>1290610.3271890481</v>
      </c>
      <c r="BB141" s="44">
        <f t="shared" si="256"/>
        <v>1</v>
      </c>
      <c r="BC141" s="43">
        <f>(SUMIFS('Fin Forecast'!$J$4:$J$545,'Fin Forecast'!$B$4:$B$545,'Mar16-Aug16 Billed-RETAIL'!$E141,'Fin Forecast'!$C$4:$C$545,'Mar16-Aug16 Billed-RETAIL'!BC$5))*1000</f>
        <v>0</v>
      </c>
      <c r="BD141" s="43">
        <f>(SUMIFS('Fin Forecast'!$J$4:$J$545,'Fin Forecast'!$B$4:$B$545,'Mar16-Aug16 Billed-RETAIL'!$E141,'Fin Forecast'!$C$4:$C$545,'Mar16-Aug16 Billed-RETAIL'!BD$5))*1000</f>
        <v>796906.54949613125</v>
      </c>
      <c r="BE141" s="43">
        <v>0</v>
      </c>
      <c r="BF141" s="43">
        <v>0</v>
      </c>
      <c r="BG141" s="43">
        <f>(SUMIFS('Fin Forecast'!$J$4:$J$545,'Fin Forecast'!$B$4:$B$545,'Mar16-Aug16 Billed-RETAIL'!$E141,'Fin Forecast'!$C$4:$C$545,'Mar16-Aug16 Billed-RETAIL'!BG$5))*1000</f>
        <v>26100</v>
      </c>
      <c r="BH141" s="43">
        <f>(SUMIFS('Fin Forecast'!$J$4:$J$545,'Fin Forecast'!$B$4:$B$545,'Mar16-Aug16 Billed-RETAIL'!$E141,'Fin Forecast'!$C$4:$C$545,'Mar16-Aug16 Billed-RETAIL'!BH$5))*1000</f>
        <v>393107.91117783176</v>
      </c>
      <c r="BI141" s="43">
        <f>(SUMIFS('Fin Forecast'!$J$4:$J$545,'Fin Forecast'!$B$4:$B$545,'Mar16-Aug16 Billed-RETAIL'!$E141,'Fin Forecast'!$C$4:$C$545,'Mar16-Aug16 Billed-RETAIL'!BI$5))*1000</f>
        <v>0</v>
      </c>
      <c r="BJ141" s="43">
        <f>(SUMIFS('Fin Forecast'!$J$4:$J$545,'Fin Forecast'!$B$4:$B$545,'Mar16-Aug16 Billed-RETAIL'!$E141,'Fin Forecast'!$C$4:$C$545,'Mar16-Aug16 Billed-RETAIL'!BJ$5))*1000</f>
        <v>74495.866515085159</v>
      </c>
      <c r="BL141" s="51">
        <f t="shared" si="257"/>
        <v>2.8109520208090544E-3</v>
      </c>
      <c r="BN141" s="58">
        <f t="shared" si="258"/>
        <v>0</v>
      </c>
      <c r="BO141" s="58">
        <f t="shared" si="259"/>
        <v>3.3371499739587307E-5</v>
      </c>
      <c r="BP141" s="58">
        <f t="shared" si="260"/>
        <v>0</v>
      </c>
    </row>
    <row r="142" spans="1:68" ht="15" x14ac:dyDescent="0.25">
      <c r="C142" s="14">
        <f t="shared" si="266"/>
        <v>119</v>
      </c>
      <c r="D142" s="604">
        <f t="shared" si="267"/>
        <v>42767</v>
      </c>
      <c r="E142" s="604" t="str">
        <f>+'Retail Rates'!$B$27</f>
        <v>LGING855DS</v>
      </c>
      <c r="F142" s="14" t="str">
        <f t="shared" si="261"/>
        <v>855</v>
      </c>
      <c r="G142" s="14" t="str">
        <f>VLOOKUP(E142,'Retail Rates'!$B$7:$D$34,3,FALSE)</f>
        <v>IGS</v>
      </c>
      <c r="H142" s="546"/>
      <c r="I142" s="546"/>
      <c r="J142" s="546"/>
      <c r="K142" s="545"/>
      <c r="L142" s="545"/>
      <c r="N142" s="34">
        <f>VLOOKUP($E142,'Retail Rates'!$B$7:$L$34,5,FALSE)</f>
        <v>40</v>
      </c>
      <c r="O142" s="34">
        <f>VLOOKUP($E142,'Retail Rates'!$B$7:$L$34,6,FALSE)</f>
        <v>180</v>
      </c>
      <c r="P142" s="35">
        <f>VLOOKUP($E142,'Retail Rates'!$B$7:$L$34,7,FALSE)</f>
        <v>0.22778999999999999</v>
      </c>
      <c r="Q142" s="35">
        <f>VLOOKUP($E142,'Retail Rates'!$B$7:$L$34,8,FALSE)</f>
        <v>0.17779</v>
      </c>
      <c r="R142" s="35" t="e">
        <f>VLOOKUP($D142,'GSC-DSM-GLT Factors'!$A$1:$B$60,2,FALSE)</f>
        <v>#N/A</v>
      </c>
      <c r="S142" s="34">
        <f>VLOOKUP($E142,'Retail Rates'!$B$7:$L$34,9,FALSE)</f>
        <v>0</v>
      </c>
      <c r="T142" s="35">
        <f>VLOOKUP($E142,'Retail Rates'!$B$7:$L$34,10,FALSE)</f>
        <v>0</v>
      </c>
      <c r="U142" s="34">
        <f>VLOOKUP($E142,'Retail Rates'!$B$7:$L$34,11,FALSE)</f>
        <v>0</v>
      </c>
      <c r="V142" s="556" t="e">
        <f>VLOOKUP($D142,'GSC-DSM-GLT Factors'!$A$1:$O$60,13,FALSE)</f>
        <v>#N/A</v>
      </c>
      <c r="W142" s="36">
        <f t="shared" si="246"/>
        <v>0</v>
      </c>
      <c r="X142" s="36"/>
      <c r="Y142" s="36">
        <f>+J142*O142</f>
        <v>0</v>
      </c>
      <c r="Z142" s="36">
        <f t="shared" si="247"/>
        <v>0</v>
      </c>
      <c r="AA142" s="36">
        <f t="shared" si="248"/>
        <v>0</v>
      </c>
      <c r="AB142" s="36" t="e">
        <f t="shared" si="249"/>
        <v>#N/A</v>
      </c>
      <c r="AC142" s="36"/>
      <c r="AD142" s="36"/>
      <c r="AE142" s="36">
        <f t="shared" si="262"/>
        <v>0</v>
      </c>
      <c r="AF142" s="36" t="e">
        <f>(+I142*V142)+(J142*V142)</f>
        <v>#N/A</v>
      </c>
      <c r="AG142" s="57">
        <f>SUMIFS(Adjustments!H$5:H$557,Adjustments!$B$5:$B$557,'Mar16-Aug16 Billed-RETAIL'!$D142,Adjustments!$C$5:$C$557,'Mar16-Aug16 Billed-RETAIL'!$E142)</f>
        <v>0</v>
      </c>
      <c r="AH142" s="57">
        <f>SUMIFS(Adjustments!I$5:I$557,Adjustments!$B$5:$B$557,'Mar16-Aug16 Billed-RETAIL'!$D142,Adjustments!$C$5:$C$557,'Mar16-Aug16 Billed-RETAIL'!$E142)</f>
        <v>0</v>
      </c>
      <c r="AI142" s="48">
        <f>SUMIFS(Adjustments!J$5:J$557,Adjustments!$B$5:$B$557,'Mar16-Aug16 Billed-RETAIL'!$D142,Adjustments!$C$5:$C$557,'Mar16-Aug16 Billed-RETAIL'!$E142)</f>
        <v>0</v>
      </c>
      <c r="AJ142" s="48">
        <f>SUMIFS(Adjustments!K$5:K$557,Adjustments!$B$5:$B$557,'Mar16-Aug16 Billed-RETAIL'!$D142,Adjustments!$C$5:$C$557,'Mar16-Aug16 Billed-RETAIL'!$E142)</f>
        <v>0</v>
      </c>
      <c r="AK142" s="48">
        <f>SUMIFS(Adjustments!L$5:L$557,Adjustments!$B$5:$B$557,'Mar16-Aug16 Billed-RETAIL'!$D142,Adjustments!$C$5:$C$557,'Mar16-Aug16 Billed-RETAIL'!$E142)</f>
        <v>0</v>
      </c>
      <c r="AL142" s="48">
        <f>SUMIFS(Adjustments!M$5:M$557,Adjustments!$B$5:$B$557,'Mar16-Aug16 Billed-RETAIL'!$D142,Adjustments!$C$5:$C$557,'Mar16-Aug16 Billed-RETAIL'!$E142)</f>
        <v>0</v>
      </c>
      <c r="AM142" s="48">
        <f>SUMIFS(Adjustments!N$5:N$557,Adjustments!$B$5:$B$557,'Mar16-Aug16 Billed-RETAIL'!$D142,Adjustments!$C$5:$C$557,'Mar16-Aug16 Billed-RETAIL'!$E142)</f>
        <v>0</v>
      </c>
      <c r="AN142" s="48">
        <f>SUMIFS(Adjustments!O$5:O$557,Adjustments!$B$5:$B$557,'Mar16-Aug16 Billed-RETAIL'!$D142,Adjustments!$C$5:$C$557,'Mar16-Aug16 Billed-RETAIL'!$E142)</f>
        <v>0</v>
      </c>
      <c r="AO142" s="48">
        <f>SUMIFS(Adjustments!P$5:P$557,Adjustments!$B$5:$B$557,'Mar16-Aug16 Billed-RETAIL'!$D142,Adjustments!$C$5:$C$557,'Mar16-Aug16 Billed-RETAIL'!$E142)</f>
        <v>0</v>
      </c>
      <c r="AP142" s="36">
        <f>+W142+AI142+(AG142*N142)</f>
        <v>0</v>
      </c>
      <c r="AQ142" s="36">
        <f t="shared" si="252"/>
        <v>0</v>
      </c>
      <c r="AR142" s="36">
        <f t="shared" si="253"/>
        <v>0</v>
      </c>
      <c r="AS142" s="36">
        <f t="shared" si="254"/>
        <v>0</v>
      </c>
      <c r="AT142" s="43">
        <f t="shared" si="263"/>
        <v>0</v>
      </c>
      <c r="AU142" s="43">
        <f t="shared" si="264"/>
        <v>0</v>
      </c>
      <c r="AV142" s="43"/>
      <c r="AW142" s="43">
        <f t="shared" si="265"/>
        <v>0</v>
      </c>
      <c r="AX142" s="36">
        <f t="shared" si="255"/>
        <v>0</v>
      </c>
      <c r="AY142" s="36"/>
      <c r="AZ142" s="43">
        <f t="shared" si="268"/>
        <v>0</v>
      </c>
      <c r="BA142" s="43">
        <f>SUM(BC142:BJ142)-BF142</f>
        <v>0</v>
      </c>
      <c r="BB142" s="44">
        <f t="shared" si="256"/>
        <v>0</v>
      </c>
      <c r="BC142" s="43">
        <f>(SUMIFS('Fin Forecast'!$J$4:$J$545,'Fin Forecast'!$B$4:$B$545,'Mar16-Aug16 Billed-RETAIL'!$E142,'Fin Forecast'!$C$4:$C$545,'Mar16-Aug16 Billed-RETAIL'!BC$5))*1000</f>
        <v>0</v>
      </c>
      <c r="BD142" s="43">
        <f>(SUMIFS('Fin Forecast'!$J$4:$J$545,'Fin Forecast'!$B$4:$B$545,'Mar16-Aug16 Billed-RETAIL'!$E142,'Fin Forecast'!$C$4:$C$545,'Mar16-Aug16 Billed-RETAIL'!BD$5))*1000</f>
        <v>0</v>
      </c>
      <c r="BE142" s="43">
        <v>0</v>
      </c>
      <c r="BF142" s="43">
        <v>0</v>
      </c>
      <c r="BG142" s="43">
        <f>(SUMIFS('Fin Forecast'!$J$4:$J$545,'Fin Forecast'!$B$4:$B$545,'Mar16-Aug16 Billed-RETAIL'!$E142,'Fin Forecast'!$C$4:$C$545,'Mar16-Aug16 Billed-RETAIL'!BG$5))*1000</f>
        <v>0</v>
      </c>
      <c r="BH142" s="43">
        <f>(SUMIFS('Fin Forecast'!$J$4:$J$545,'Fin Forecast'!$B$4:$B$545,'Mar16-Aug16 Billed-RETAIL'!$E142,'Fin Forecast'!$C$4:$C$545,'Mar16-Aug16 Billed-RETAIL'!BH$5))*1000</f>
        <v>0</v>
      </c>
      <c r="BI142" s="43">
        <f>(SUMIFS('Fin Forecast'!$J$4:$J$545,'Fin Forecast'!$B$4:$B$545,'Mar16-Aug16 Billed-RETAIL'!$E142,'Fin Forecast'!$C$4:$C$545,'Mar16-Aug16 Billed-RETAIL'!BI$5))*1000</f>
        <v>0</v>
      </c>
      <c r="BJ142" s="43">
        <f>(SUMIFS('Fin Forecast'!$J$4:$J$545,'Fin Forecast'!$B$4:$B$545,'Mar16-Aug16 Billed-RETAIL'!$E142,'Fin Forecast'!$C$4:$C$545,'Mar16-Aug16 Billed-RETAIL'!BJ$5))*1000</f>
        <v>0</v>
      </c>
      <c r="BL142" s="51">
        <f t="shared" si="257"/>
        <v>0</v>
      </c>
      <c r="BN142" s="58">
        <f t="shared" si="258"/>
        <v>0</v>
      </c>
      <c r="BO142" s="58">
        <f t="shared" si="259"/>
        <v>0</v>
      </c>
      <c r="BP142" s="58">
        <f t="shared" si="260"/>
        <v>0</v>
      </c>
    </row>
    <row r="143" spans="1:68" ht="15" x14ac:dyDescent="0.25">
      <c r="C143" s="14">
        <f t="shared" si="266"/>
        <v>120</v>
      </c>
      <c r="D143" s="604">
        <f t="shared" si="267"/>
        <v>42767</v>
      </c>
      <c r="E143" s="604" t="str">
        <f>+'Retail Rates'!$B$31</f>
        <v>LGRSG811</v>
      </c>
      <c r="F143" s="14" t="str">
        <f t="shared" si="261"/>
        <v>811</v>
      </c>
      <c r="G143" s="14" t="str">
        <f>VLOOKUP(E143,'Retail Rates'!$B$7:$D$34,3,FALSE)</f>
        <v>RGS</v>
      </c>
      <c r="H143" s="546">
        <f>SUMIF('Forecasted Customer Cts'!$D$5:$D$36,'Mar16-Aug16 Billed-RETAIL'!$E143,'Forecasted Customer Cts'!$S$5:$S$36)</f>
        <v>296970</v>
      </c>
      <c r="I143" s="546"/>
      <c r="J143" s="546"/>
      <c r="K143" s="546">
        <f>SUMIF('Forecasted Calendar Month Usage'!$D$5:$D$41,'Mar16-Aug16 Billed-RETAIL'!$E143,'Forecasted Calendar Month Usage'!$S$5:$S$41)*10</f>
        <v>36541194.69929485</v>
      </c>
      <c r="L143" s="545"/>
      <c r="N143" s="34">
        <f>VLOOKUP($E143,'Retail Rates'!$B$7:$L$34,5,FALSE)</f>
        <v>13.5</v>
      </c>
      <c r="O143" s="34">
        <f>VLOOKUP($E143,'Retail Rates'!$B$7:$L$34,6,FALSE)</f>
        <v>0</v>
      </c>
      <c r="P143" s="35">
        <f>VLOOKUP($E143,'Retail Rates'!$B$7:$L$34,7,FALSE)</f>
        <v>0.28693000000000002</v>
      </c>
      <c r="Q143" s="35">
        <f>VLOOKUP($E143,'Retail Rates'!$B$7:$L$34,8,FALSE)</f>
        <v>0</v>
      </c>
      <c r="R143" s="35" t="e">
        <f>VLOOKUP($D143,'GSC-DSM-GLT Factors'!$A$1:$B$60,2,FALSE)</f>
        <v>#N/A</v>
      </c>
      <c r="S143" s="34">
        <f>VLOOKUP($E143,'Retail Rates'!$B$7:$L$34,9,FALSE)</f>
        <v>0</v>
      </c>
      <c r="T143" s="35">
        <f>VLOOKUP($E143,'Retail Rates'!$B$7:$L$34,10,FALSE)</f>
        <v>0</v>
      </c>
      <c r="U143" s="34">
        <f>VLOOKUP($E143,'Retail Rates'!$B$7:$L$34,11,FALSE)</f>
        <v>0</v>
      </c>
      <c r="V143" s="556" t="e">
        <f>VLOOKUP($D143,'GSC-DSM-GLT Factors'!$A$1:$O$60,10,FALSE)</f>
        <v>#N/A</v>
      </c>
      <c r="W143" s="36">
        <f t="shared" si="246"/>
        <v>4009095</v>
      </c>
      <c r="X143" s="36"/>
      <c r="Y143" s="36"/>
      <c r="Z143" s="36">
        <f t="shared" si="247"/>
        <v>10484764.995068671</v>
      </c>
      <c r="AA143" s="36">
        <f t="shared" si="248"/>
        <v>0</v>
      </c>
      <c r="AB143" s="36" t="e">
        <f t="shared" si="249"/>
        <v>#N/A</v>
      </c>
      <c r="AC143" s="36"/>
      <c r="AD143" s="36"/>
      <c r="AE143" s="36">
        <f t="shared" si="262"/>
        <v>0</v>
      </c>
      <c r="AF143" s="36" t="e">
        <f>(+H143*V143)+(I143*V143)</f>
        <v>#N/A</v>
      </c>
      <c r="AG143" s="57">
        <f>SUMIFS(Adjustments!H$5:H$557,Adjustments!$B$5:$B$557,'Mar16-Aug16 Billed-RETAIL'!$D143,Adjustments!$C$5:$C$557,'Mar16-Aug16 Billed-RETAIL'!$E143)</f>
        <v>0</v>
      </c>
      <c r="AH143" s="57">
        <f>SUMIFS(Adjustments!I$5:I$557,Adjustments!$B$5:$B$557,'Mar16-Aug16 Billed-RETAIL'!$D143,Adjustments!$C$5:$C$557,'Mar16-Aug16 Billed-RETAIL'!$E143)</f>
        <v>0</v>
      </c>
      <c r="AI143" s="48">
        <f>SUMIFS(Adjustments!J$5:J$557,Adjustments!$B$5:$B$557,'Mar16-Aug16 Billed-RETAIL'!$D143,Adjustments!$C$5:$C$557,'Mar16-Aug16 Billed-RETAIL'!$E143)</f>
        <v>0</v>
      </c>
      <c r="AJ143" s="48">
        <f>SUMIFS(Adjustments!K$5:K$557,Adjustments!$B$5:$B$557,'Mar16-Aug16 Billed-RETAIL'!$D143,Adjustments!$C$5:$C$557,'Mar16-Aug16 Billed-RETAIL'!$E143)</f>
        <v>0</v>
      </c>
      <c r="AK143" s="48">
        <f>SUMIFS(Adjustments!L$5:L$557,Adjustments!$B$5:$B$557,'Mar16-Aug16 Billed-RETAIL'!$D143,Adjustments!$C$5:$C$557,'Mar16-Aug16 Billed-RETAIL'!$E143)</f>
        <v>0</v>
      </c>
      <c r="AL143" s="48">
        <f>SUMIFS(Adjustments!M$5:M$557,Adjustments!$B$5:$B$557,'Mar16-Aug16 Billed-RETAIL'!$D143,Adjustments!$C$5:$C$557,'Mar16-Aug16 Billed-RETAIL'!$E143)</f>
        <v>0</v>
      </c>
      <c r="AM143" s="48">
        <f>SUMIFS(Adjustments!N$5:N$557,Adjustments!$B$5:$B$557,'Mar16-Aug16 Billed-RETAIL'!$D143,Adjustments!$C$5:$C$557,'Mar16-Aug16 Billed-RETAIL'!$E143)</f>
        <v>0</v>
      </c>
      <c r="AN143" s="48">
        <f>SUMIFS(Adjustments!O$5:O$557,Adjustments!$B$5:$B$557,'Mar16-Aug16 Billed-RETAIL'!$D143,Adjustments!$C$5:$C$557,'Mar16-Aug16 Billed-RETAIL'!$E143)</f>
        <v>0</v>
      </c>
      <c r="AO143" s="48">
        <f>SUMIFS(Adjustments!P$5:P$557,Adjustments!$B$5:$B$557,'Mar16-Aug16 Billed-RETAIL'!$D143,Adjustments!$C$5:$C$557,'Mar16-Aug16 Billed-RETAIL'!$E143)</f>
        <v>0</v>
      </c>
      <c r="AP143" s="36">
        <f>+W143+AI143+(AG143*N143)</f>
        <v>4009095</v>
      </c>
      <c r="AQ143" s="36">
        <f t="shared" si="252"/>
        <v>0</v>
      </c>
      <c r="AR143" s="36">
        <f t="shared" si="253"/>
        <v>10484764.995068671</v>
      </c>
      <c r="AS143" s="36">
        <f t="shared" si="254"/>
        <v>0</v>
      </c>
      <c r="AT143" s="43">
        <f t="shared" si="263"/>
        <v>16873804.345682804</v>
      </c>
      <c r="AU143" s="43">
        <f t="shared" si="264"/>
        <v>194941.89661127</v>
      </c>
      <c r="AV143" s="43"/>
      <c r="AW143" s="43">
        <f t="shared" si="265"/>
        <v>1770023.81107275</v>
      </c>
      <c r="AX143" s="36">
        <f t="shared" si="255"/>
        <v>0</v>
      </c>
      <c r="AY143" s="36"/>
      <c r="AZ143" s="43">
        <f t="shared" si="268"/>
        <v>33332630.050000001</v>
      </c>
      <c r="BA143" s="43">
        <f>SUM(BC143:BJ143)-BF143</f>
        <v>33332630.047558025</v>
      </c>
      <c r="BB143" s="44">
        <f t="shared" si="256"/>
        <v>1</v>
      </c>
      <c r="BC143" s="43">
        <f>(SUMIFS('Fin Forecast'!$J$4:$J$545,'Fin Forecast'!$B$4:$B$545,'Mar16-Aug16 Billed-RETAIL'!$E143,'Fin Forecast'!$C$4:$C$545,'Mar16-Aug16 Billed-RETAIL'!BC$5))*1000</f>
        <v>194941.89661127</v>
      </c>
      <c r="BD143" s="43">
        <f>(SUMIFS('Fin Forecast'!$J$4:$J$545,'Fin Forecast'!$B$4:$B$545,'Mar16-Aug16 Billed-RETAIL'!$E143,'Fin Forecast'!$C$4:$C$545,'Mar16-Aug16 Billed-RETAIL'!BD$5))*1000</f>
        <v>16873804.345682804</v>
      </c>
      <c r="BE143" s="43">
        <v>0</v>
      </c>
      <c r="BF143" s="43">
        <v>0</v>
      </c>
      <c r="BG143" s="43">
        <f>(SUMIFS('Fin Forecast'!$J$4:$J$545,'Fin Forecast'!$B$4:$B$545,'Mar16-Aug16 Billed-RETAIL'!$E143,'Fin Forecast'!$C$4:$C$545,'Mar16-Aug16 Billed-RETAIL'!BG$5))*1000</f>
        <v>4009095</v>
      </c>
      <c r="BH143" s="43">
        <f>(SUMIFS('Fin Forecast'!$J$4:$J$545,'Fin Forecast'!$B$4:$B$545,'Mar16-Aug16 Billed-RETAIL'!$E143,'Fin Forecast'!$C$4:$C$545,'Mar16-Aug16 Billed-RETAIL'!BH$5))*1000</f>
        <v>10484764.9941912</v>
      </c>
      <c r="BI143" s="43">
        <f>(SUMIFS('Fin Forecast'!$J$4:$J$545,'Fin Forecast'!$B$4:$B$545,'Mar16-Aug16 Billed-RETAIL'!$E143,'Fin Forecast'!$C$4:$C$545,'Mar16-Aug16 Billed-RETAIL'!BI$5))*1000</f>
        <v>0</v>
      </c>
      <c r="BJ143" s="43">
        <f>(SUMIFS('Fin Forecast'!$J$4:$J$545,'Fin Forecast'!$B$4:$B$545,'Mar16-Aug16 Billed-RETAIL'!$E143,'Fin Forecast'!$C$4:$C$545,'Mar16-Aug16 Billed-RETAIL'!BJ$5))*1000</f>
        <v>1770023.81107275</v>
      </c>
      <c r="BL143" s="51">
        <f t="shared" si="257"/>
        <v>2.4419762194156647E-3</v>
      </c>
      <c r="BN143" s="58">
        <f t="shared" si="258"/>
        <v>0</v>
      </c>
      <c r="BO143" s="58">
        <f t="shared" si="259"/>
        <v>8.7747164070606232E-4</v>
      </c>
      <c r="BP143" s="58">
        <f t="shared" si="260"/>
        <v>0</v>
      </c>
    </row>
    <row r="144" spans="1:68" ht="15" x14ac:dyDescent="0.25">
      <c r="C144" s="14">
        <f t="shared" si="266"/>
        <v>121</v>
      </c>
      <c r="D144" s="604">
        <f t="shared" si="267"/>
        <v>42767</v>
      </c>
      <c r="E144" s="604" t="str">
        <f>+'Retail Rates'!$B$19</f>
        <v>LGCMG851LT</v>
      </c>
      <c r="F144" s="14" t="str">
        <f t="shared" si="261"/>
        <v>851</v>
      </c>
      <c r="G144" s="14" t="str">
        <f>VLOOKUP(E144,'Retail Rates'!$B$7:$D$34,3,FALSE)</f>
        <v>CGS</v>
      </c>
      <c r="H144" s="546"/>
      <c r="I144" s="546"/>
      <c r="J144" s="546"/>
      <c r="K144" s="545"/>
      <c r="L144" s="545"/>
      <c r="N144" s="34">
        <f>VLOOKUP($E144,'Retail Rates'!$B$7:$L$34,5,FALSE)</f>
        <v>40</v>
      </c>
      <c r="O144" s="34">
        <f>VLOOKUP($E144,'Retail Rates'!$B$7:$L$34,6,FALSE)</f>
        <v>180</v>
      </c>
      <c r="P144" s="35">
        <f>VLOOKUP($E144,'Retail Rates'!$B$7:$L$34,7,FALSE)</f>
        <v>0.21504000000000001</v>
      </c>
      <c r="Q144" s="35">
        <f>VLOOKUP($E144,'Retail Rates'!$B$7:$L$34,8,FALSE)</f>
        <v>0.16504000000000002</v>
      </c>
      <c r="R144" s="35" t="e">
        <f>VLOOKUP($D144,'GSC-DSM-GLT Factors'!$A$1:$B$60,2,FALSE)</f>
        <v>#N/A</v>
      </c>
      <c r="S144" s="34">
        <f>VLOOKUP($E144,'Retail Rates'!$B$7:$L$34,9,FALSE)</f>
        <v>0</v>
      </c>
      <c r="T144" s="35">
        <f>VLOOKUP($E144,'Retail Rates'!$B$7:$L$34,10,FALSE)</f>
        <v>0</v>
      </c>
      <c r="U144" s="34">
        <f>VLOOKUP($E144,'Retail Rates'!$B$7:$L$34,11,FALSE)</f>
        <v>0</v>
      </c>
      <c r="V144" s="556" t="e">
        <f>VLOOKUP($D144,'GSC-DSM-GLT Factors'!$A$1:$O$60,12,FALSE)</f>
        <v>#N/A</v>
      </c>
      <c r="W144" s="36">
        <f t="shared" si="246"/>
        <v>0</v>
      </c>
      <c r="X144" s="36"/>
      <c r="Y144" s="36"/>
      <c r="Z144" s="36">
        <f t="shared" si="247"/>
        <v>0</v>
      </c>
      <c r="AA144" s="36">
        <f t="shared" si="248"/>
        <v>0</v>
      </c>
      <c r="AB144" s="36" t="e">
        <f t="shared" si="249"/>
        <v>#N/A</v>
      </c>
      <c r="AC144" s="36"/>
      <c r="AD144" s="36"/>
      <c r="AE144" s="36">
        <f t="shared" si="262"/>
        <v>0</v>
      </c>
      <c r="AF144" s="36" t="e">
        <f>(+H144*V144)+(I144*V144)</f>
        <v>#N/A</v>
      </c>
      <c r="AG144" s="57">
        <f>SUMIFS(Adjustments!H$5:H$557,Adjustments!$B$5:$B$557,'Mar16-Aug16 Billed-RETAIL'!$D144,Adjustments!$C$5:$C$557,'Mar16-Aug16 Billed-RETAIL'!$E144)</f>
        <v>0</v>
      </c>
      <c r="AH144" s="57">
        <f>SUMIFS(Adjustments!I$5:I$557,Adjustments!$B$5:$B$557,'Mar16-Aug16 Billed-RETAIL'!$D144,Adjustments!$C$5:$C$557,'Mar16-Aug16 Billed-RETAIL'!$E144)</f>
        <v>0</v>
      </c>
      <c r="AI144" s="48">
        <f>SUMIFS(Adjustments!J$5:J$557,Adjustments!$B$5:$B$557,'Mar16-Aug16 Billed-RETAIL'!$D144,Adjustments!$C$5:$C$557,'Mar16-Aug16 Billed-RETAIL'!$E144)</f>
        <v>0</v>
      </c>
      <c r="AJ144" s="48">
        <f>SUMIFS(Adjustments!K$5:K$557,Adjustments!$B$5:$B$557,'Mar16-Aug16 Billed-RETAIL'!$D144,Adjustments!$C$5:$C$557,'Mar16-Aug16 Billed-RETAIL'!$E144)</f>
        <v>0</v>
      </c>
      <c r="AK144" s="48">
        <f>SUMIFS(Adjustments!L$5:L$557,Adjustments!$B$5:$B$557,'Mar16-Aug16 Billed-RETAIL'!$D144,Adjustments!$C$5:$C$557,'Mar16-Aug16 Billed-RETAIL'!$E144)</f>
        <v>0</v>
      </c>
      <c r="AL144" s="48">
        <f>SUMIFS(Adjustments!M$5:M$557,Adjustments!$B$5:$B$557,'Mar16-Aug16 Billed-RETAIL'!$D144,Adjustments!$C$5:$C$557,'Mar16-Aug16 Billed-RETAIL'!$E144)</f>
        <v>0</v>
      </c>
      <c r="AM144" s="48">
        <f>SUMIFS(Adjustments!N$5:N$557,Adjustments!$B$5:$B$557,'Mar16-Aug16 Billed-RETAIL'!$D144,Adjustments!$C$5:$C$557,'Mar16-Aug16 Billed-RETAIL'!$E144)</f>
        <v>0</v>
      </c>
      <c r="AN144" s="48">
        <f>SUMIFS(Adjustments!O$5:O$557,Adjustments!$B$5:$B$557,'Mar16-Aug16 Billed-RETAIL'!$D144,Adjustments!$C$5:$C$557,'Mar16-Aug16 Billed-RETAIL'!$E144)</f>
        <v>0</v>
      </c>
      <c r="AO144" s="48">
        <f>SUMIFS(Adjustments!P$5:P$557,Adjustments!$B$5:$B$557,'Mar16-Aug16 Billed-RETAIL'!$D144,Adjustments!$C$5:$C$557,'Mar16-Aug16 Billed-RETAIL'!$E144)</f>
        <v>0</v>
      </c>
      <c r="AP144" s="36">
        <f>+W144+AI144+(AG144*N144)</f>
        <v>0</v>
      </c>
      <c r="AQ144" s="36">
        <f t="shared" si="252"/>
        <v>0</v>
      </c>
      <c r="AR144" s="36">
        <f t="shared" si="253"/>
        <v>0</v>
      </c>
      <c r="AS144" s="36">
        <f t="shared" si="254"/>
        <v>0</v>
      </c>
      <c r="AT144" s="43">
        <f t="shared" si="263"/>
        <v>0</v>
      </c>
      <c r="AU144" s="43">
        <f t="shared" si="264"/>
        <v>0</v>
      </c>
      <c r="AV144" s="43"/>
      <c r="AW144" s="43">
        <f t="shared" si="265"/>
        <v>0</v>
      </c>
      <c r="AX144" s="36">
        <f t="shared" si="255"/>
        <v>0</v>
      </c>
      <c r="AY144" s="36"/>
      <c r="AZ144" s="43">
        <f t="shared" si="268"/>
        <v>0</v>
      </c>
      <c r="BA144" s="43">
        <f>SUM(BC144:BJ144)-BF144</f>
        <v>0</v>
      </c>
      <c r="BB144" s="44">
        <f t="shared" si="256"/>
        <v>0</v>
      </c>
      <c r="BC144" s="43">
        <f>(SUMIFS('Fin Forecast'!$J$4:$J$545,'Fin Forecast'!$B$4:$B$545,'Mar16-Aug16 Billed-RETAIL'!$E144,'Fin Forecast'!$C$4:$C$545,'Mar16-Aug16 Billed-RETAIL'!BC$5))*1000</f>
        <v>0</v>
      </c>
      <c r="BD144" s="43">
        <f>(SUMIFS('Fin Forecast'!$J$4:$J$545,'Fin Forecast'!$B$4:$B$545,'Mar16-Aug16 Billed-RETAIL'!$E144,'Fin Forecast'!$C$4:$C$545,'Mar16-Aug16 Billed-RETAIL'!BD$5))*1000</f>
        <v>0</v>
      </c>
      <c r="BE144" s="43">
        <v>0</v>
      </c>
      <c r="BF144" s="43">
        <v>0</v>
      </c>
      <c r="BG144" s="43">
        <f>(SUMIFS('Fin Forecast'!$J$4:$J$545,'Fin Forecast'!$B$4:$B$545,'Mar16-Aug16 Billed-RETAIL'!$E144,'Fin Forecast'!$C$4:$C$545,'Mar16-Aug16 Billed-RETAIL'!BG$5))*1000</f>
        <v>0</v>
      </c>
      <c r="BH144" s="43">
        <f>(SUMIFS('Fin Forecast'!$J$4:$J$545,'Fin Forecast'!$B$4:$B$545,'Mar16-Aug16 Billed-RETAIL'!$E144,'Fin Forecast'!$C$4:$C$545,'Mar16-Aug16 Billed-RETAIL'!BH$5))*1000</f>
        <v>0</v>
      </c>
      <c r="BI144" s="43">
        <f>(SUMIFS('Fin Forecast'!$J$4:$J$545,'Fin Forecast'!$B$4:$B$545,'Mar16-Aug16 Billed-RETAIL'!$E144,'Fin Forecast'!$C$4:$C$545,'Mar16-Aug16 Billed-RETAIL'!BI$5))*1000</f>
        <v>0</v>
      </c>
      <c r="BJ144" s="43">
        <f>(SUMIFS('Fin Forecast'!$J$4:$J$545,'Fin Forecast'!$B$4:$B$545,'Mar16-Aug16 Billed-RETAIL'!$E144,'Fin Forecast'!$C$4:$C$545,'Mar16-Aug16 Billed-RETAIL'!BJ$5))*1000</f>
        <v>0</v>
      </c>
      <c r="BL144" s="51">
        <f t="shared" si="257"/>
        <v>0</v>
      </c>
      <c r="BN144" s="58">
        <f t="shared" si="258"/>
        <v>0</v>
      </c>
      <c r="BO144" s="58">
        <f t="shared" si="259"/>
        <v>0</v>
      </c>
      <c r="BP144" s="58">
        <f t="shared" si="260"/>
        <v>0</v>
      </c>
    </row>
    <row r="145" spans="3:68" ht="15" x14ac:dyDescent="0.25">
      <c r="C145" s="14">
        <f t="shared" si="266"/>
        <v>122</v>
      </c>
      <c r="D145" s="604">
        <f t="shared" si="267"/>
        <v>42767</v>
      </c>
      <c r="E145" s="604" t="str">
        <f>+'Retail Rates'!$B$32</f>
        <v>LGRSG840</v>
      </c>
      <c r="F145" s="14" t="str">
        <f t="shared" si="261"/>
        <v>840</v>
      </c>
      <c r="G145" s="14" t="str">
        <f>VLOOKUP(E145,'Retail Rates'!$B$7:$D$34,3,FALSE)</f>
        <v>RGS</v>
      </c>
      <c r="H145" s="546"/>
      <c r="I145" s="546"/>
      <c r="J145" s="546"/>
      <c r="K145" s="545"/>
      <c r="L145" s="545"/>
      <c r="N145" s="34">
        <f>VLOOKUP($E145,'Retail Rates'!$B$7:$L$34,5,FALSE)</f>
        <v>13.5</v>
      </c>
      <c r="O145" s="34">
        <f>VLOOKUP($E145,'Retail Rates'!$B$7:$L$34,6,FALSE)</f>
        <v>0</v>
      </c>
      <c r="P145" s="35">
        <f>VLOOKUP($E145,'Retail Rates'!$B$7:$L$34,7,FALSE)</f>
        <v>0.28693000000000002</v>
      </c>
      <c r="Q145" s="35">
        <f>VLOOKUP($E145,'Retail Rates'!$B$7:$L$34,8,FALSE)</f>
        <v>0</v>
      </c>
      <c r="R145" s="35" t="e">
        <f>VLOOKUP($D145,'GSC-DSM-GLT Factors'!$A$1:$B$60,2,FALSE)</f>
        <v>#N/A</v>
      </c>
      <c r="S145" s="34">
        <f>VLOOKUP($E145,'Retail Rates'!$B$7:$L$34,9,FALSE)</f>
        <v>0</v>
      </c>
      <c r="T145" s="35">
        <f>VLOOKUP($E145,'Retail Rates'!$B$7:$L$34,10,FALSE)</f>
        <v>0</v>
      </c>
      <c r="U145" s="34">
        <f>VLOOKUP($E145,'Retail Rates'!$B$7:$L$34,11,FALSE)</f>
        <v>0</v>
      </c>
      <c r="V145" s="556" t="e">
        <f>VLOOKUP($D145,'GSC-DSM-GLT Factors'!$A$1:$O$60,11,FALSE)</f>
        <v>#N/A</v>
      </c>
      <c r="W145" s="36">
        <f t="shared" si="246"/>
        <v>0</v>
      </c>
      <c r="X145" s="36"/>
      <c r="Y145" s="36"/>
      <c r="Z145" s="36">
        <f t="shared" si="247"/>
        <v>0</v>
      </c>
      <c r="AA145" s="36">
        <f t="shared" si="248"/>
        <v>0</v>
      </c>
      <c r="AB145" s="36" t="e">
        <f t="shared" si="249"/>
        <v>#N/A</v>
      </c>
      <c r="AC145" s="36"/>
      <c r="AD145" s="36"/>
      <c r="AE145" s="36">
        <f t="shared" si="262"/>
        <v>0</v>
      </c>
      <c r="AF145" s="36" t="e">
        <f>(+H145*V145)+(I145*V145)</f>
        <v>#N/A</v>
      </c>
      <c r="AG145" s="57">
        <f>SUMIFS(Adjustments!H$5:H$557,Adjustments!$B$5:$B$557,'Mar16-Aug16 Billed-RETAIL'!$D145,Adjustments!$C$5:$C$557,'Mar16-Aug16 Billed-RETAIL'!$E145)</f>
        <v>0</v>
      </c>
      <c r="AH145" s="57">
        <f>SUMIFS(Adjustments!I$5:I$557,Adjustments!$B$5:$B$557,'Mar16-Aug16 Billed-RETAIL'!$D145,Adjustments!$C$5:$C$557,'Mar16-Aug16 Billed-RETAIL'!$E145)</f>
        <v>0</v>
      </c>
      <c r="AI145" s="48">
        <f>SUMIFS(Adjustments!J$5:J$557,Adjustments!$B$5:$B$557,'Mar16-Aug16 Billed-RETAIL'!$D145,Adjustments!$C$5:$C$557,'Mar16-Aug16 Billed-RETAIL'!$E145)</f>
        <v>0</v>
      </c>
      <c r="AJ145" s="48">
        <f>SUMIFS(Adjustments!K$5:K$557,Adjustments!$B$5:$B$557,'Mar16-Aug16 Billed-RETAIL'!$D145,Adjustments!$C$5:$C$557,'Mar16-Aug16 Billed-RETAIL'!$E145)</f>
        <v>0</v>
      </c>
      <c r="AK145" s="48">
        <f>SUMIFS(Adjustments!L$5:L$557,Adjustments!$B$5:$B$557,'Mar16-Aug16 Billed-RETAIL'!$D145,Adjustments!$C$5:$C$557,'Mar16-Aug16 Billed-RETAIL'!$E145)</f>
        <v>0</v>
      </c>
      <c r="AL145" s="48">
        <f>SUMIFS(Adjustments!M$5:M$557,Adjustments!$B$5:$B$557,'Mar16-Aug16 Billed-RETAIL'!$D145,Adjustments!$C$5:$C$557,'Mar16-Aug16 Billed-RETAIL'!$E145)</f>
        <v>0</v>
      </c>
      <c r="AM145" s="48">
        <f>SUMIFS(Adjustments!N$5:N$557,Adjustments!$B$5:$B$557,'Mar16-Aug16 Billed-RETAIL'!$D145,Adjustments!$C$5:$C$557,'Mar16-Aug16 Billed-RETAIL'!$E145)</f>
        <v>0</v>
      </c>
      <c r="AN145" s="48">
        <f>SUMIFS(Adjustments!O$5:O$557,Adjustments!$B$5:$B$557,'Mar16-Aug16 Billed-RETAIL'!$D145,Adjustments!$C$5:$C$557,'Mar16-Aug16 Billed-RETAIL'!$E145)</f>
        <v>0</v>
      </c>
      <c r="AO145" s="48">
        <f>SUMIFS(Adjustments!P$5:P$557,Adjustments!$B$5:$B$557,'Mar16-Aug16 Billed-RETAIL'!$D145,Adjustments!$C$5:$C$557,'Mar16-Aug16 Billed-RETAIL'!$E145)</f>
        <v>0</v>
      </c>
      <c r="AP145" s="36">
        <f>+W145+AI145+(AG145*N145)</f>
        <v>0</v>
      </c>
      <c r="AQ145" s="36">
        <f t="shared" si="252"/>
        <v>0</v>
      </c>
      <c r="AR145" s="36">
        <f t="shared" si="253"/>
        <v>0</v>
      </c>
      <c r="AS145" s="36">
        <f t="shared" si="254"/>
        <v>0</v>
      </c>
      <c r="AT145" s="43">
        <f t="shared" si="263"/>
        <v>0</v>
      </c>
      <c r="AU145" s="43">
        <f t="shared" si="264"/>
        <v>0</v>
      </c>
      <c r="AV145" s="43"/>
      <c r="AW145" s="43">
        <f t="shared" si="265"/>
        <v>0</v>
      </c>
      <c r="AX145" s="36">
        <f t="shared" si="255"/>
        <v>0</v>
      </c>
      <c r="AY145" s="36"/>
      <c r="AZ145" s="43">
        <f t="shared" si="268"/>
        <v>0</v>
      </c>
      <c r="BA145" s="43">
        <f>SUM(BC145:BJ145)-BF145</f>
        <v>0</v>
      </c>
      <c r="BB145" s="44">
        <f t="shared" si="256"/>
        <v>0</v>
      </c>
      <c r="BC145" s="43">
        <f>(SUMIFS('Fin Forecast'!$J$4:$J$545,'Fin Forecast'!$B$4:$B$545,'Mar16-Aug16 Billed-RETAIL'!$E145,'Fin Forecast'!$C$4:$C$545,'Mar16-Aug16 Billed-RETAIL'!BC$5))*1000</f>
        <v>0</v>
      </c>
      <c r="BD145" s="43">
        <f>(SUMIFS('Fin Forecast'!$J$4:$J$545,'Fin Forecast'!$B$4:$B$545,'Mar16-Aug16 Billed-RETAIL'!$E145,'Fin Forecast'!$C$4:$C$545,'Mar16-Aug16 Billed-RETAIL'!BD$5))*1000</f>
        <v>0</v>
      </c>
      <c r="BE145" s="43">
        <v>0</v>
      </c>
      <c r="BF145" s="43">
        <v>0</v>
      </c>
      <c r="BG145" s="43">
        <f>(SUMIFS('Fin Forecast'!$J$4:$J$545,'Fin Forecast'!$B$4:$B$545,'Mar16-Aug16 Billed-RETAIL'!$E145,'Fin Forecast'!$C$4:$C$545,'Mar16-Aug16 Billed-RETAIL'!BG$5))*1000</f>
        <v>0</v>
      </c>
      <c r="BH145" s="43">
        <f>(SUMIFS('Fin Forecast'!$J$4:$J$545,'Fin Forecast'!$B$4:$B$545,'Mar16-Aug16 Billed-RETAIL'!$E145,'Fin Forecast'!$C$4:$C$545,'Mar16-Aug16 Billed-RETAIL'!BH$5))*1000</f>
        <v>0</v>
      </c>
      <c r="BI145" s="43">
        <f>(SUMIFS('Fin Forecast'!$J$4:$J$545,'Fin Forecast'!$B$4:$B$545,'Mar16-Aug16 Billed-RETAIL'!$E145,'Fin Forecast'!$C$4:$C$545,'Mar16-Aug16 Billed-RETAIL'!BI$5))*1000</f>
        <v>0</v>
      </c>
      <c r="BJ145" s="43">
        <f>(SUMIFS('Fin Forecast'!$J$4:$J$545,'Fin Forecast'!$B$4:$B$545,'Mar16-Aug16 Billed-RETAIL'!$E145,'Fin Forecast'!$C$4:$C$545,'Mar16-Aug16 Billed-RETAIL'!BJ$5))*1000</f>
        <v>0</v>
      </c>
      <c r="BL145" s="51">
        <f t="shared" si="257"/>
        <v>0</v>
      </c>
      <c r="BN145" s="58">
        <f t="shared" si="258"/>
        <v>0</v>
      </c>
      <c r="BO145" s="58">
        <f t="shared" si="259"/>
        <v>0</v>
      </c>
      <c r="BP145" s="58">
        <f t="shared" si="260"/>
        <v>0</v>
      </c>
    </row>
    <row r="146" spans="3:68" s="563" customFormat="1" ht="15" x14ac:dyDescent="0.25">
      <c r="C146" s="564"/>
      <c r="D146" s="606"/>
      <c r="E146" s="606"/>
      <c r="K146" s="999">
        <f>SUM(K75:K145)</f>
        <v>223994941.87733972</v>
      </c>
      <c r="L146" s="999">
        <f>SUM(L75:L145)</f>
        <v>830805.69368043821</v>
      </c>
      <c r="AT146" s="569">
        <f>SUM(AT7:AT145)</f>
        <v>133164281.23916696</v>
      </c>
      <c r="AU146" s="569">
        <f>SUM(AU7:AU145)</f>
        <v>2277519.1930088392</v>
      </c>
      <c r="AW146" s="569">
        <f>SUM(AW7:AW145)</f>
        <v>27421453.095940232</v>
      </c>
      <c r="AZ146" s="569">
        <f>SUM(AZ7:AZ145)</f>
        <v>311551938.37834394</v>
      </c>
      <c r="BA146" s="569">
        <f>SUM(BA7:BA145)</f>
        <v>311551938.36749673</v>
      </c>
      <c r="BC146" s="569">
        <f>SUM(BC7:BC145)</f>
        <v>2277519.1930088392</v>
      </c>
      <c r="BD146" s="569">
        <f>SUM(BD7:BD145)</f>
        <v>133164281.23916696</v>
      </c>
      <c r="BJ146" s="569">
        <f>SUM(BJ7:BJ145)</f>
        <v>27421453.095940232</v>
      </c>
    </row>
    <row r="147" spans="3:68" customFormat="1" ht="15" x14ac:dyDescent="0.25"/>
    <row r="148" spans="3:68" customFormat="1" ht="15" x14ac:dyDescent="0.25"/>
    <row r="149" spans="3:68" customFormat="1" ht="15" x14ac:dyDescent="0.25"/>
    <row r="150" spans="3:68" customFormat="1" ht="15" x14ac:dyDescent="0.25"/>
    <row r="151" spans="3:68" customFormat="1" ht="15" x14ac:dyDescent="0.25"/>
    <row r="152" spans="3:68" customFormat="1" ht="15" x14ac:dyDescent="0.25"/>
    <row r="153" spans="3:68" customFormat="1" ht="15" x14ac:dyDescent="0.25"/>
    <row r="154" spans="3:68" customFormat="1" ht="15" x14ac:dyDescent="0.25"/>
    <row r="155" spans="3:68" customFormat="1" ht="15" x14ac:dyDescent="0.25"/>
    <row r="156" spans="3:68" customFormat="1" ht="15" x14ac:dyDescent="0.25"/>
    <row r="157" spans="3:68" customFormat="1" ht="15" x14ac:dyDescent="0.25"/>
    <row r="158" spans="3:68" customFormat="1" ht="15" x14ac:dyDescent="0.25"/>
    <row r="159" spans="3:68" customFormat="1" ht="15" x14ac:dyDescent="0.25"/>
    <row r="160" spans="3:68" customFormat="1" ht="15" x14ac:dyDescent="0.25"/>
    <row r="161" customFormat="1" ht="15" x14ac:dyDescent="0.25"/>
    <row r="162" customFormat="1" ht="15" x14ac:dyDescent="0.25"/>
    <row r="163" customFormat="1" ht="15" x14ac:dyDescent="0.25"/>
    <row r="164" customFormat="1" ht="15" x14ac:dyDescent="0.25"/>
    <row r="165" customFormat="1" ht="15" x14ac:dyDescent="0.25"/>
    <row r="166" customFormat="1" ht="15" x14ac:dyDescent="0.25"/>
    <row r="167" customFormat="1" ht="15" x14ac:dyDescent="0.25"/>
    <row r="168" customFormat="1" ht="15" x14ac:dyDescent="0.25"/>
    <row r="169" customFormat="1" ht="15" x14ac:dyDescent="0.25"/>
    <row r="170" customFormat="1" ht="15" x14ac:dyDescent="0.25"/>
    <row r="171" customFormat="1" ht="15" x14ac:dyDescent="0.25"/>
    <row r="172" customFormat="1" ht="15" x14ac:dyDescent="0.25"/>
    <row r="173" customFormat="1" ht="15" x14ac:dyDescent="0.25"/>
    <row r="174" customFormat="1" ht="15" x14ac:dyDescent="0.25"/>
    <row r="175" customFormat="1" ht="15" x14ac:dyDescent="0.25"/>
    <row r="176" customFormat="1" ht="15" x14ac:dyDescent="0.25"/>
    <row r="177" customFormat="1" ht="15" x14ac:dyDescent="0.25"/>
    <row r="178" customFormat="1" ht="15" x14ac:dyDescent="0.25"/>
    <row r="179" customFormat="1" ht="15" x14ac:dyDescent="0.25"/>
    <row r="180" customFormat="1" ht="15" x14ac:dyDescent="0.25"/>
    <row r="181" customFormat="1" ht="15" x14ac:dyDescent="0.25"/>
    <row r="182" customFormat="1" ht="15" x14ac:dyDescent="0.25"/>
    <row r="183" customFormat="1" ht="15" x14ac:dyDescent="0.25"/>
    <row r="184" customFormat="1" ht="15" x14ac:dyDescent="0.25"/>
    <row r="185" customFormat="1" ht="15" x14ac:dyDescent="0.25"/>
    <row r="186" customFormat="1" ht="15" x14ac:dyDescent="0.25"/>
    <row r="187" customFormat="1" ht="15" x14ac:dyDescent="0.25"/>
    <row r="188" customFormat="1" ht="15" x14ac:dyDescent="0.25"/>
    <row r="189" customFormat="1" ht="15" x14ac:dyDescent="0.25"/>
    <row r="190" customFormat="1" ht="15" x14ac:dyDescent="0.25"/>
    <row r="191" customFormat="1" ht="15" x14ac:dyDescent="0.25"/>
    <row r="192" customFormat="1" ht="15" x14ac:dyDescent="0.25"/>
    <row r="193" customFormat="1" ht="15" x14ac:dyDescent="0.25"/>
    <row r="194" customFormat="1" ht="15" x14ac:dyDescent="0.25"/>
    <row r="195" customFormat="1" ht="15" x14ac:dyDescent="0.25"/>
    <row r="196" customFormat="1" ht="15" x14ac:dyDescent="0.25"/>
    <row r="197" customFormat="1" ht="15" x14ac:dyDescent="0.25"/>
    <row r="198" customFormat="1" ht="15" x14ac:dyDescent="0.25"/>
    <row r="199" customFormat="1" ht="15" x14ac:dyDescent="0.25"/>
    <row r="200" customFormat="1" ht="15" x14ac:dyDescent="0.25"/>
    <row r="201" customFormat="1" ht="15" x14ac:dyDescent="0.25"/>
    <row r="202" customFormat="1" ht="15" x14ac:dyDescent="0.25"/>
    <row r="203" customFormat="1" ht="15" x14ac:dyDescent="0.25"/>
    <row r="204" customFormat="1" ht="15" x14ac:dyDescent="0.25"/>
    <row r="205" customFormat="1" ht="15" x14ac:dyDescent="0.25"/>
    <row r="206" customFormat="1" ht="15" x14ac:dyDescent="0.25"/>
    <row r="207" customFormat="1" ht="15" x14ac:dyDescent="0.25"/>
    <row r="208" customFormat="1" ht="15" x14ac:dyDescent="0.25"/>
    <row r="209" customFormat="1" ht="15" x14ac:dyDescent="0.25"/>
    <row r="210" customFormat="1" ht="15" x14ac:dyDescent="0.25"/>
    <row r="211" customFormat="1" ht="15" x14ac:dyDescent="0.25"/>
    <row r="212" customFormat="1" ht="15" x14ac:dyDescent="0.25"/>
    <row r="213" customFormat="1" ht="15" x14ac:dyDescent="0.25"/>
    <row r="214" customFormat="1" ht="15" x14ac:dyDescent="0.25"/>
    <row r="215" customFormat="1" ht="15" x14ac:dyDescent="0.25"/>
    <row r="216" customFormat="1" ht="15" x14ac:dyDescent="0.25"/>
    <row r="217" customFormat="1" ht="15" x14ac:dyDescent="0.25"/>
    <row r="218" customFormat="1" ht="15" x14ac:dyDescent="0.25"/>
    <row r="219" customFormat="1" ht="15" x14ac:dyDescent="0.25"/>
    <row r="220" customFormat="1" ht="15" x14ac:dyDescent="0.25"/>
    <row r="221" customFormat="1" ht="15" x14ac:dyDescent="0.25"/>
    <row r="222" customFormat="1" ht="15" x14ac:dyDescent="0.25"/>
    <row r="223" customFormat="1" ht="15" x14ac:dyDescent="0.25"/>
    <row r="224" customFormat="1" ht="15" x14ac:dyDescent="0.25"/>
    <row r="225" customFormat="1" ht="15" x14ac:dyDescent="0.25"/>
    <row r="226" customFormat="1" ht="15" x14ac:dyDescent="0.25"/>
    <row r="227" customFormat="1" ht="15" x14ac:dyDescent="0.25"/>
    <row r="228" customFormat="1" ht="15" x14ac:dyDescent="0.25"/>
    <row r="229" customFormat="1" ht="15" x14ac:dyDescent="0.25"/>
    <row r="230" customFormat="1" ht="15" x14ac:dyDescent="0.25"/>
    <row r="231" customFormat="1" ht="15" x14ac:dyDescent="0.25"/>
    <row r="232" customFormat="1" ht="15" x14ac:dyDescent="0.25"/>
    <row r="233" customFormat="1" ht="15" x14ac:dyDescent="0.25"/>
    <row r="234" customFormat="1" ht="15" x14ac:dyDescent="0.25"/>
    <row r="235" customFormat="1" ht="15" x14ac:dyDescent="0.25"/>
    <row r="236" customFormat="1" ht="15" x14ac:dyDescent="0.25"/>
    <row r="237" customFormat="1" ht="15" x14ac:dyDescent="0.25"/>
    <row r="238" customFormat="1" ht="15" x14ac:dyDescent="0.25"/>
    <row r="239" customFormat="1" ht="15" x14ac:dyDescent="0.25"/>
    <row r="240" customFormat="1" ht="15" x14ac:dyDescent="0.25"/>
    <row r="241" customFormat="1" ht="15" x14ac:dyDescent="0.25"/>
    <row r="242" customFormat="1" ht="15" x14ac:dyDescent="0.25"/>
    <row r="243" customFormat="1" ht="15" x14ac:dyDescent="0.25"/>
    <row r="244" customFormat="1" ht="15" x14ac:dyDescent="0.25"/>
    <row r="245" customFormat="1" ht="15" x14ac:dyDescent="0.25"/>
    <row r="246" customFormat="1" ht="15" x14ac:dyDescent="0.25"/>
    <row r="247" customFormat="1" ht="15" x14ac:dyDescent="0.25"/>
    <row r="248" customFormat="1" ht="15" x14ac:dyDescent="0.25"/>
    <row r="249" customFormat="1" ht="15" x14ac:dyDescent="0.25"/>
    <row r="250" customFormat="1" ht="15" x14ac:dyDescent="0.25"/>
    <row r="251" customFormat="1" ht="15" x14ac:dyDescent="0.25"/>
    <row r="252" customFormat="1" ht="15" x14ac:dyDescent="0.25"/>
    <row r="253" customFormat="1" ht="15" x14ac:dyDescent="0.25"/>
    <row r="254" customFormat="1" ht="15" x14ac:dyDescent="0.25"/>
    <row r="255" customFormat="1" ht="15" x14ac:dyDescent="0.25"/>
    <row r="256" customFormat="1" ht="15" x14ac:dyDescent="0.25"/>
    <row r="257" spans="4:4" customFormat="1" ht="15" x14ac:dyDescent="0.25"/>
    <row r="258" spans="4:4" customFormat="1" ht="15" x14ac:dyDescent="0.25"/>
    <row r="259" spans="4:4" x14ac:dyDescent="0.2">
      <c r="D259" s="604"/>
    </row>
    <row r="260" spans="4:4" x14ac:dyDescent="0.2">
      <c r="D260" s="604"/>
    </row>
    <row r="261" spans="4:4" x14ac:dyDescent="0.2">
      <c r="D261" s="604"/>
    </row>
    <row r="262" spans="4:4" x14ac:dyDescent="0.2">
      <c r="D262" s="604"/>
    </row>
    <row r="263" spans="4:4" x14ac:dyDescent="0.2">
      <c r="D263" s="604"/>
    </row>
    <row r="264" spans="4:4" x14ac:dyDescent="0.2">
      <c r="D264" s="604"/>
    </row>
    <row r="265" spans="4:4" x14ac:dyDescent="0.2">
      <c r="D265" s="604"/>
    </row>
    <row r="266" spans="4:4" x14ac:dyDescent="0.2">
      <c r="D266" s="604"/>
    </row>
    <row r="267" spans="4:4" x14ac:dyDescent="0.2">
      <c r="D267" s="604"/>
    </row>
    <row r="268" spans="4:4" x14ac:dyDescent="0.2">
      <c r="D268" s="604"/>
    </row>
    <row r="269" spans="4:4" x14ac:dyDescent="0.2">
      <c r="D269" s="604"/>
    </row>
    <row r="270" spans="4:4" x14ac:dyDescent="0.2">
      <c r="D270" s="604"/>
    </row>
    <row r="271" spans="4:4" x14ac:dyDescent="0.2">
      <c r="D271" s="604"/>
    </row>
    <row r="272" spans="4:4" x14ac:dyDescent="0.2">
      <c r="D272" s="604"/>
    </row>
    <row r="273" spans="4:4" x14ac:dyDescent="0.2">
      <c r="D273" s="604"/>
    </row>
    <row r="274" spans="4:4" x14ac:dyDescent="0.2">
      <c r="D274" s="604"/>
    </row>
    <row r="275" spans="4:4" x14ac:dyDescent="0.2">
      <c r="D275" s="604"/>
    </row>
    <row r="276" spans="4:4" x14ac:dyDescent="0.2">
      <c r="D276" s="604"/>
    </row>
    <row r="277" spans="4:4" x14ac:dyDescent="0.2">
      <c r="D277" s="604"/>
    </row>
    <row r="278" spans="4:4" x14ac:dyDescent="0.2">
      <c r="D278" s="604"/>
    </row>
    <row r="279" spans="4:4" x14ac:dyDescent="0.2">
      <c r="D279" s="604"/>
    </row>
    <row r="280" spans="4:4" x14ac:dyDescent="0.2">
      <c r="D280" s="604"/>
    </row>
    <row r="281" spans="4:4" x14ac:dyDescent="0.2">
      <c r="D281" s="604"/>
    </row>
    <row r="282" spans="4:4" x14ac:dyDescent="0.2">
      <c r="D282" s="604"/>
    </row>
    <row r="283" spans="4:4" x14ac:dyDescent="0.2">
      <c r="D283" s="604"/>
    </row>
    <row r="284" spans="4:4" x14ac:dyDescent="0.2">
      <c r="D284" s="604"/>
    </row>
    <row r="285" spans="4:4" x14ac:dyDescent="0.2">
      <c r="D285" s="604"/>
    </row>
    <row r="286" spans="4:4" x14ac:dyDescent="0.2">
      <c r="D286" s="604"/>
    </row>
    <row r="287" spans="4:4" x14ac:dyDescent="0.2">
      <c r="D287" s="604"/>
    </row>
    <row r="288" spans="4:4" x14ac:dyDescent="0.2">
      <c r="D288" s="604"/>
    </row>
    <row r="289" spans="4:4" x14ac:dyDescent="0.2">
      <c r="D289" s="604"/>
    </row>
    <row r="290" spans="4:4" x14ac:dyDescent="0.2">
      <c r="D290" s="604"/>
    </row>
    <row r="291" spans="4:4" x14ac:dyDescent="0.2">
      <c r="D291" s="604"/>
    </row>
    <row r="292" spans="4:4" x14ac:dyDescent="0.2">
      <c r="D292" s="604"/>
    </row>
    <row r="293" spans="4:4" x14ac:dyDescent="0.2">
      <c r="D293" s="604"/>
    </row>
    <row r="294" spans="4:4" x14ac:dyDescent="0.2">
      <c r="D294" s="604"/>
    </row>
    <row r="295" spans="4:4" x14ac:dyDescent="0.2">
      <c r="D295" s="604"/>
    </row>
    <row r="296" spans="4:4" x14ac:dyDescent="0.2">
      <c r="D296" s="604"/>
    </row>
    <row r="297" spans="4:4" x14ac:dyDescent="0.2">
      <c r="D297" s="604"/>
    </row>
    <row r="298" spans="4:4" x14ac:dyDescent="0.2">
      <c r="D298" s="604"/>
    </row>
    <row r="299" spans="4:4" x14ac:dyDescent="0.2">
      <c r="D299" s="604"/>
    </row>
    <row r="300" spans="4:4" x14ac:dyDescent="0.2">
      <c r="D300" s="604"/>
    </row>
    <row r="301" spans="4:4" x14ac:dyDescent="0.2">
      <c r="D301" s="604"/>
    </row>
    <row r="302" spans="4:4" x14ac:dyDescent="0.2">
      <c r="D302" s="604"/>
    </row>
    <row r="303" spans="4:4" x14ac:dyDescent="0.2">
      <c r="D303" s="604"/>
    </row>
    <row r="304" spans="4:4" x14ac:dyDescent="0.2">
      <c r="D304" s="604"/>
    </row>
    <row r="305" spans="4:4" x14ac:dyDescent="0.2">
      <c r="D305" s="604"/>
    </row>
    <row r="306" spans="4:4" x14ac:dyDescent="0.2">
      <c r="D306" s="604"/>
    </row>
    <row r="307" spans="4:4" x14ac:dyDescent="0.2">
      <c r="D307" s="604"/>
    </row>
    <row r="308" spans="4:4" x14ac:dyDescent="0.2">
      <c r="D308" s="604"/>
    </row>
    <row r="309" spans="4:4" x14ac:dyDescent="0.2">
      <c r="D309" s="604"/>
    </row>
    <row r="310" spans="4:4" x14ac:dyDescent="0.2">
      <c r="D310" s="604"/>
    </row>
    <row r="311" spans="4:4" x14ac:dyDescent="0.2">
      <c r="D311" s="604"/>
    </row>
    <row r="312" spans="4:4" x14ac:dyDescent="0.2">
      <c r="D312" s="604"/>
    </row>
    <row r="313" spans="4:4" x14ac:dyDescent="0.2">
      <c r="D313" s="604"/>
    </row>
    <row r="314" spans="4:4" x14ac:dyDescent="0.2">
      <c r="D314" s="604"/>
    </row>
  </sheetData>
  <conditionalFormatting sqref="BB7:BB28 BB30:BB33 BB35:BB38 BB50 BB62 BB74 BB86 BB98 BB110 BB122 BB134">
    <cfRule type="cellIs" dxfId="36" priority="64" operator="notBetween">
      <formula>0.998</formula>
      <formula>1.002</formula>
    </cfRule>
  </conditionalFormatting>
  <conditionalFormatting sqref="BB34">
    <cfRule type="cellIs" dxfId="35" priority="32" operator="notBetween">
      <formula>0.998</formula>
      <formula>1.002</formula>
    </cfRule>
  </conditionalFormatting>
  <conditionalFormatting sqref="BB29">
    <cfRule type="cellIs" dxfId="34" priority="31" operator="notBetween">
      <formula>0.998</formula>
      <formula>1.002</formula>
    </cfRule>
  </conditionalFormatting>
  <conditionalFormatting sqref="BB39:BB40 BB42:BB45 BB47:BB49">
    <cfRule type="cellIs" dxfId="33" priority="30" operator="notBetween">
      <formula>0.998</formula>
      <formula>1.002</formula>
    </cfRule>
  </conditionalFormatting>
  <conditionalFormatting sqref="BB46">
    <cfRule type="cellIs" dxfId="32" priority="29" operator="notBetween">
      <formula>0.998</formula>
      <formula>1.002</formula>
    </cfRule>
  </conditionalFormatting>
  <conditionalFormatting sqref="BB41">
    <cfRule type="cellIs" dxfId="31" priority="28" operator="notBetween">
      <formula>0.998</formula>
      <formula>1.002</formula>
    </cfRule>
  </conditionalFormatting>
  <conditionalFormatting sqref="BB51:BB52 BB54:BB57 BB59:BB61">
    <cfRule type="cellIs" dxfId="30" priority="27" operator="notBetween">
      <formula>0.998</formula>
      <formula>1.002</formula>
    </cfRule>
  </conditionalFormatting>
  <conditionalFormatting sqref="BB58">
    <cfRule type="cellIs" dxfId="29" priority="26" operator="notBetween">
      <formula>0.998</formula>
      <formula>1.002</formula>
    </cfRule>
  </conditionalFormatting>
  <conditionalFormatting sqref="BB53">
    <cfRule type="cellIs" dxfId="28" priority="25" operator="notBetween">
      <formula>0.998</formula>
      <formula>1.002</formula>
    </cfRule>
  </conditionalFormatting>
  <conditionalFormatting sqref="BB63:BB64 BB66:BB69 BB71:BB73">
    <cfRule type="cellIs" dxfId="27" priority="24" operator="notBetween">
      <formula>0.998</formula>
      <formula>1.002</formula>
    </cfRule>
  </conditionalFormatting>
  <conditionalFormatting sqref="BB70">
    <cfRule type="cellIs" dxfId="26" priority="23" operator="notBetween">
      <formula>0.998</formula>
      <formula>1.002</formula>
    </cfRule>
  </conditionalFormatting>
  <conditionalFormatting sqref="BB65">
    <cfRule type="cellIs" dxfId="25" priority="22" operator="notBetween">
      <formula>0.998</formula>
      <formula>1.002</formula>
    </cfRule>
  </conditionalFormatting>
  <conditionalFormatting sqref="BB75:BB76 BB78:BB81 BB83:BB85">
    <cfRule type="cellIs" dxfId="24" priority="21" operator="notBetween">
      <formula>0.998</formula>
      <formula>1.002</formula>
    </cfRule>
  </conditionalFormatting>
  <conditionalFormatting sqref="BB82">
    <cfRule type="cellIs" dxfId="23" priority="20" operator="notBetween">
      <formula>0.998</formula>
      <formula>1.002</formula>
    </cfRule>
  </conditionalFormatting>
  <conditionalFormatting sqref="BB77">
    <cfRule type="cellIs" dxfId="22" priority="19" operator="notBetween">
      <formula>0.998</formula>
      <formula>1.002</formula>
    </cfRule>
  </conditionalFormatting>
  <conditionalFormatting sqref="BB87:BB88 BB90:BB93 BB95:BB97">
    <cfRule type="cellIs" dxfId="21" priority="18" operator="notBetween">
      <formula>0.998</formula>
      <formula>1.002</formula>
    </cfRule>
  </conditionalFormatting>
  <conditionalFormatting sqref="BB94">
    <cfRule type="cellIs" dxfId="20" priority="17" operator="notBetween">
      <formula>0.998</formula>
      <formula>1.002</formula>
    </cfRule>
  </conditionalFormatting>
  <conditionalFormatting sqref="BB89">
    <cfRule type="cellIs" dxfId="19" priority="16" operator="notBetween">
      <formula>0.998</formula>
      <formula>1.002</formula>
    </cfRule>
  </conditionalFormatting>
  <conditionalFormatting sqref="BB99:BB100 BB102:BB105 BB107:BB109">
    <cfRule type="cellIs" dxfId="18" priority="15" operator="notBetween">
      <formula>0.998</formula>
      <formula>1.002</formula>
    </cfRule>
  </conditionalFormatting>
  <conditionalFormatting sqref="BB106">
    <cfRule type="cellIs" dxfId="17" priority="14" operator="notBetween">
      <formula>0.998</formula>
      <formula>1.002</formula>
    </cfRule>
  </conditionalFormatting>
  <conditionalFormatting sqref="BB101">
    <cfRule type="cellIs" dxfId="16" priority="13" operator="notBetween">
      <formula>0.998</formula>
      <formula>1.002</formula>
    </cfRule>
  </conditionalFormatting>
  <conditionalFormatting sqref="BB137">
    <cfRule type="cellIs" dxfId="15" priority="1" operator="notBetween">
      <formula>0.998</formula>
      <formula>1.002</formula>
    </cfRule>
  </conditionalFormatting>
  <conditionalFormatting sqref="BB111:BB112 BB114:BB117 BB119:BB121">
    <cfRule type="cellIs" dxfId="14" priority="12" operator="notBetween">
      <formula>0.998</formula>
      <formula>1.002</formula>
    </cfRule>
  </conditionalFormatting>
  <conditionalFormatting sqref="BB118">
    <cfRule type="cellIs" dxfId="13" priority="11" operator="notBetween">
      <formula>0.998</formula>
      <formula>1.002</formula>
    </cfRule>
  </conditionalFormatting>
  <conditionalFormatting sqref="BB113">
    <cfRule type="cellIs" dxfId="12" priority="10" operator="notBetween">
      <formula>0.998</formula>
      <formula>1.002</formula>
    </cfRule>
  </conditionalFormatting>
  <conditionalFormatting sqref="BB123:BB124 BB126:BB129 BB131:BB133">
    <cfRule type="cellIs" dxfId="11" priority="9" operator="notBetween">
      <formula>0.998</formula>
      <formula>1.002</formula>
    </cfRule>
  </conditionalFormatting>
  <conditionalFormatting sqref="BB130">
    <cfRule type="cellIs" dxfId="10" priority="8" operator="notBetween">
      <formula>0.998</formula>
      <formula>1.002</formula>
    </cfRule>
  </conditionalFormatting>
  <conditionalFormatting sqref="BB125">
    <cfRule type="cellIs" dxfId="9" priority="7" operator="notBetween">
      <formula>0.998</formula>
      <formula>1.002</formula>
    </cfRule>
  </conditionalFormatting>
  <conditionalFormatting sqref="BB135:BB136 BB138:BB141 BB143:BB145">
    <cfRule type="cellIs" dxfId="8" priority="3" operator="notBetween">
      <formula>0.998</formula>
      <formula>1.002</formula>
    </cfRule>
  </conditionalFormatting>
  <conditionalFormatting sqref="BB142">
    <cfRule type="cellIs" dxfId="7" priority="2" operator="notBetween">
      <formula>0.998</formula>
      <formula>1.002</formula>
    </cfRule>
  </conditionalFormatting>
  <pageMargins left="0.7" right="0.7" top="0.75" bottom="0.75" header="0.3" footer="0.3"/>
  <pageSetup scale="1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T72"/>
  <sheetViews>
    <sheetView workbookViewId="0">
      <selection activeCell="A27" sqref="A27"/>
    </sheetView>
  </sheetViews>
  <sheetFormatPr defaultRowHeight="15" x14ac:dyDescent="0.25"/>
  <cols>
    <col min="7" max="7" width="10.140625" customWidth="1"/>
    <col min="8" max="8" width="15" bestFit="1" customWidth="1"/>
    <col min="9" max="10" width="9.140625" customWidth="1"/>
    <col min="11" max="11" width="11" customWidth="1"/>
    <col min="12" max="12" width="12.5703125" customWidth="1"/>
    <col min="13" max="13" width="12.140625" customWidth="1"/>
    <col min="14" max="17" width="9.140625" customWidth="1"/>
    <col min="18" max="19" width="9.5703125" customWidth="1"/>
    <col min="20" max="25" width="9.140625" customWidth="1"/>
    <col min="26" max="26" width="11" customWidth="1"/>
    <col min="27" max="28" width="12" customWidth="1"/>
    <col min="29" max="29" width="10" customWidth="1"/>
    <col min="30" max="30" width="5.7109375" customWidth="1"/>
    <col min="31" max="31" width="3" customWidth="1"/>
    <col min="32" max="32" width="12" customWidth="1"/>
    <col min="33" max="33" width="3" customWidth="1"/>
    <col min="34" max="36" width="9.140625" customWidth="1"/>
    <col min="37" max="37" width="10.28515625" customWidth="1"/>
    <col min="38" max="44" width="9.140625" customWidth="1"/>
    <col min="45" max="46" width="12" customWidth="1"/>
    <col min="47" max="47" width="11" customWidth="1"/>
    <col min="48" max="48" width="10" customWidth="1"/>
    <col min="49" max="49" width="14.28515625" bestFit="1" customWidth="1"/>
    <col min="50" max="50" width="12" customWidth="1"/>
    <col min="51" max="51" width="5.7109375" customWidth="1"/>
    <col min="52" max="52" width="14.28515625" bestFit="1" customWidth="1"/>
    <col min="53" max="53" width="12" customWidth="1"/>
    <col min="54" max="54" width="3" customWidth="1"/>
    <col min="55" max="55" width="13.5703125" bestFit="1" customWidth="1"/>
    <col min="56" max="56" width="12" bestFit="1" customWidth="1"/>
    <col min="57" max="57" width="10" bestFit="1" customWidth="1"/>
    <col min="58" max="59" width="12" bestFit="1" customWidth="1"/>
    <col min="60" max="60" width="14.42578125" customWidth="1"/>
    <col min="61" max="61" width="13.28515625" customWidth="1"/>
    <col min="62" max="62" width="11" bestFit="1" customWidth="1"/>
    <col min="63" max="63" width="8.5703125" bestFit="1" customWidth="1"/>
    <col min="64" max="65" width="12" bestFit="1" customWidth="1"/>
    <col min="66" max="66" width="11" bestFit="1" customWidth="1"/>
    <col min="68" max="68" width="10.140625" bestFit="1" customWidth="1"/>
    <col min="69" max="69" width="21.7109375" bestFit="1" customWidth="1"/>
    <col min="70" max="70" width="11" bestFit="1" customWidth="1"/>
    <col min="71" max="71" width="12.5703125" bestFit="1" customWidth="1"/>
    <col min="72" max="72" width="6.7109375" bestFit="1" customWidth="1"/>
  </cols>
  <sheetData>
    <row r="1" spans="1:72" ht="15.75" thickBot="1" x14ac:dyDescent="0.3">
      <c r="A1" s="21"/>
      <c r="B1" s="21"/>
      <c r="C1" s="14"/>
      <c r="D1" s="14"/>
      <c r="E1" s="14"/>
      <c r="F1" s="14"/>
      <c r="G1" s="14"/>
      <c r="H1" s="25"/>
      <c r="I1" s="25"/>
      <c r="J1" s="25"/>
      <c r="K1" s="25"/>
      <c r="L1" s="25"/>
      <c r="M1" s="25"/>
      <c r="N1" s="25"/>
      <c r="O1" s="28"/>
      <c r="P1" s="28"/>
      <c r="Q1" s="28"/>
      <c r="R1" s="28"/>
      <c r="S1" s="28"/>
      <c r="T1" s="28"/>
      <c r="U1" s="28"/>
      <c r="V1" s="28"/>
      <c r="W1" s="28"/>
      <c r="X1" s="25"/>
      <c r="Y1" s="25"/>
      <c r="Z1" s="36"/>
      <c r="AA1" s="36"/>
      <c r="AB1" s="25"/>
      <c r="AC1" s="25"/>
      <c r="AD1" s="25"/>
      <c r="AE1" s="25"/>
      <c r="AF1" s="25"/>
      <c r="AG1" s="25"/>
      <c r="AH1" s="45"/>
      <c r="AI1" s="45"/>
      <c r="AJ1" s="45"/>
      <c r="AK1" s="45"/>
      <c r="AL1" s="45"/>
      <c r="AM1" s="45"/>
      <c r="AN1" s="45"/>
      <c r="AO1" s="45"/>
      <c r="AP1" s="45"/>
      <c r="AQ1" s="25"/>
      <c r="AR1" s="36"/>
      <c r="AS1" s="36"/>
      <c r="AT1" s="25"/>
      <c r="AU1" s="25"/>
      <c r="AV1" s="25"/>
      <c r="AW1" s="25"/>
      <c r="AX1" s="25"/>
      <c r="AY1" s="25"/>
      <c r="AZ1" s="25"/>
      <c r="BA1" s="25"/>
      <c r="BB1" s="25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1"/>
      <c r="BP1" s="21"/>
      <c r="BQ1" s="21"/>
      <c r="BR1" s="21"/>
      <c r="BS1" s="21"/>
      <c r="BT1" s="21"/>
    </row>
    <row r="2" spans="1:72" ht="15.75" thickBot="1" x14ac:dyDescent="0.3">
      <c r="A2" s="21"/>
      <c r="B2" s="21"/>
      <c r="C2" s="14"/>
      <c r="D2" s="14"/>
      <c r="E2" s="14"/>
      <c r="F2" s="14"/>
      <c r="G2" s="14"/>
      <c r="H2" s="33"/>
      <c r="I2" s="33"/>
      <c r="J2" s="33"/>
      <c r="K2" s="33"/>
      <c r="L2" s="33"/>
      <c r="M2" s="33"/>
      <c r="N2" s="25"/>
      <c r="O2" s="28"/>
      <c r="P2" s="28"/>
      <c r="Q2" s="28"/>
      <c r="R2" s="28"/>
      <c r="S2" s="28"/>
      <c r="T2" s="28"/>
      <c r="U2" s="28"/>
      <c r="V2" s="28"/>
      <c r="W2" s="28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45"/>
      <c r="AI2" s="45"/>
      <c r="AJ2" s="45"/>
      <c r="AK2" s="45"/>
      <c r="AL2" s="45"/>
      <c r="AM2" s="45"/>
      <c r="AN2" s="45"/>
      <c r="AO2" s="45"/>
      <c r="AP2" s="4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1"/>
      <c r="BP2" s="21"/>
      <c r="BQ2" s="1166"/>
      <c r="BR2" s="21"/>
      <c r="BS2" s="21"/>
      <c r="BT2" s="21"/>
    </row>
    <row r="3" spans="1:72" ht="15.75" thickBot="1" x14ac:dyDescent="0.3">
      <c r="A3" s="21"/>
      <c r="B3" s="21"/>
      <c r="C3" s="14">
        <v>1</v>
      </c>
      <c r="D3" s="14">
        <f>1+C3</f>
        <v>2</v>
      </c>
      <c r="E3" s="14">
        <f>1+D3</f>
        <v>3</v>
      </c>
      <c r="F3" s="14">
        <f>1+E3</f>
        <v>4</v>
      </c>
      <c r="G3" s="14">
        <f>1+F3</f>
        <v>5</v>
      </c>
      <c r="H3" s="25">
        <f t="shared" ref="H3:BB3" si="0">+G3+1</f>
        <v>6</v>
      </c>
      <c r="I3" s="25">
        <f t="shared" si="0"/>
        <v>7</v>
      </c>
      <c r="J3" s="25">
        <f t="shared" si="0"/>
        <v>8</v>
      </c>
      <c r="K3" s="25">
        <f t="shared" si="0"/>
        <v>9</v>
      </c>
      <c r="L3" s="25">
        <f t="shared" si="0"/>
        <v>10</v>
      </c>
      <c r="M3" s="25"/>
      <c r="N3" s="25">
        <f>+L3+1</f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5">
        <f t="shared" si="0"/>
        <v>21</v>
      </c>
      <c r="Y3" s="25">
        <f t="shared" si="0"/>
        <v>22</v>
      </c>
      <c r="Z3" s="25">
        <f t="shared" si="0"/>
        <v>23</v>
      </c>
      <c r="AA3" s="25">
        <f t="shared" si="0"/>
        <v>24</v>
      </c>
      <c r="AB3" s="25">
        <f t="shared" si="0"/>
        <v>25</v>
      </c>
      <c r="AC3" s="25">
        <f>+AB3+1</f>
        <v>26</v>
      </c>
      <c r="AD3" s="25">
        <f>+AC3+1</f>
        <v>27</v>
      </c>
      <c r="AE3" s="25">
        <f>+AD3+1</f>
        <v>28</v>
      </c>
      <c r="AF3" s="25">
        <f t="shared" si="0"/>
        <v>29</v>
      </c>
      <c r="AG3" s="25">
        <f t="shared" si="0"/>
        <v>30</v>
      </c>
      <c r="AH3" s="45">
        <f t="shared" si="0"/>
        <v>31</v>
      </c>
      <c r="AI3" s="45">
        <f t="shared" si="0"/>
        <v>32</v>
      </c>
      <c r="AJ3" s="45">
        <f t="shared" si="0"/>
        <v>33</v>
      </c>
      <c r="AK3" s="45">
        <f t="shared" si="0"/>
        <v>34</v>
      </c>
      <c r="AL3" s="45">
        <f t="shared" si="0"/>
        <v>35</v>
      </c>
      <c r="AM3" s="45">
        <f t="shared" si="0"/>
        <v>36</v>
      </c>
      <c r="AN3" s="45">
        <f t="shared" si="0"/>
        <v>37</v>
      </c>
      <c r="AO3" s="45">
        <f t="shared" si="0"/>
        <v>38</v>
      </c>
      <c r="AP3" s="45">
        <f t="shared" si="0"/>
        <v>39</v>
      </c>
      <c r="AQ3" s="25">
        <f t="shared" si="0"/>
        <v>40</v>
      </c>
      <c r="AR3" s="25">
        <f t="shared" si="0"/>
        <v>41</v>
      </c>
      <c r="AS3" s="25">
        <f t="shared" si="0"/>
        <v>42</v>
      </c>
      <c r="AT3" s="25">
        <f t="shared" si="0"/>
        <v>43</v>
      </c>
      <c r="AU3" s="25"/>
      <c r="AV3" s="25"/>
      <c r="AW3" s="25">
        <f>+AT3+1</f>
        <v>44</v>
      </c>
      <c r="AX3" s="25">
        <f t="shared" si="0"/>
        <v>45</v>
      </c>
      <c r="AY3" s="25">
        <f t="shared" si="0"/>
        <v>46</v>
      </c>
      <c r="AZ3" s="25"/>
      <c r="BA3" s="25">
        <f>+AY3+1</f>
        <v>47</v>
      </c>
      <c r="BB3" s="25">
        <f t="shared" si="0"/>
        <v>48</v>
      </c>
      <c r="BC3" s="28">
        <f>1+BB3</f>
        <v>49</v>
      </c>
      <c r="BD3" s="28">
        <f t="shared" ref="BD3:BL3" si="1">1+BC3</f>
        <v>50</v>
      </c>
      <c r="BE3" s="28">
        <f t="shared" si="1"/>
        <v>51</v>
      </c>
      <c r="BF3" s="28">
        <f>1+BE3</f>
        <v>52</v>
      </c>
      <c r="BG3" s="28">
        <f t="shared" si="1"/>
        <v>53</v>
      </c>
      <c r="BH3" s="28">
        <f t="shared" si="1"/>
        <v>54</v>
      </c>
      <c r="BI3" s="28"/>
      <c r="BJ3" s="28">
        <f>1+BH3</f>
        <v>55</v>
      </c>
      <c r="BK3" s="28">
        <f t="shared" si="1"/>
        <v>56</v>
      </c>
      <c r="BL3" s="28">
        <f t="shared" si="1"/>
        <v>57</v>
      </c>
      <c r="BM3" s="28">
        <f>1+BL3</f>
        <v>58</v>
      </c>
      <c r="BN3" s="28">
        <v>59</v>
      </c>
      <c r="BO3" s="21"/>
      <c r="BP3" s="21"/>
      <c r="BQ3" s="1166"/>
      <c r="BR3" s="21"/>
      <c r="BS3" s="21"/>
      <c r="BT3" s="21"/>
    </row>
    <row r="4" spans="1:72" x14ac:dyDescent="0.25">
      <c r="A4" s="21"/>
      <c r="B4" s="21"/>
      <c r="C4" s="15"/>
      <c r="D4" s="16"/>
      <c r="E4" s="16"/>
      <c r="F4" s="16"/>
      <c r="G4" s="16"/>
      <c r="H4" s="26" t="s">
        <v>1173</v>
      </c>
      <c r="I4" s="26"/>
      <c r="J4" s="26"/>
      <c r="K4" s="27"/>
      <c r="L4" s="27"/>
      <c r="M4" s="27"/>
      <c r="N4" s="27"/>
      <c r="O4" s="29" t="s">
        <v>1174</v>
      </c>
      <c r="P4" s="30"/>
      <c r="Q4" s="30"/>
      <c r="R4" s="30"/>
      <c r="S4" s="30"/>
      <c r="T4" s="30"/>
      <c r="U4" s="30"/>
      <c r="V4" s="30"/>
      <c r="W4" s="30"/>
      <c r="X4" s="26" t="s">
        <v>1175</v>
      </c>
      <c r="Y4" s="26"/>
      <c r="Z4" s="27"/>
      <c r="AA4" s="27"/>
      <c r="AB4" s="27"/>
      <c r="AC4" s="27"/>
      <c r="AD4" s="37"/>
      <c r="AE4" s="37"/>
      <c r="AF4" s="27"/>
      <c r="AG4" s="27"/>
      <c r="AH4" s="49" t="s">
        <v>191</v>
      </c>
      <c r="AI4" s="49"/>
      <c r="AJ4" s="49"/>
      <c r="AK4" s="46"/>
      <c r="AL4" s="46"/>
      <c r="AM4" s="46"/>
      <c r="AN4" s="46"/>
      <c r="AO4" s="46"/>
      <c r="AP4" s="46"/>
      <c r="AQ4" s="26" t="s">
        <v>1175</v>
      </c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9" t="s">
        <v>176</v>
      </c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8"/>
      <c r="BP4" s="21"/>
      <c r="BQ4" s="21"/>
      <c r="BR4" s="21"/>
      <c r="BS4" s="21"/>
      <c r="BT4" s="21"/>
    </row>
    <row r="5" spans="1:72" ht="77.25" x14ac:dyDescent="0.25">
      <c r="A5" s="21"/>
      <c r="B5" s="21"/>
      <c r="C5" s="17" t="s">
        <v>166</v>
      </c>
      <c r="D5" s="18" t="s">
        <v>164</v>
      </c>
      <c r="E5" s="18" t="s">
        <v>12</v>
      </c>
      <c r="F5" s="17" t="s">
        <v>167</v>
      </c>
      <c r="G5" s="17" t="s">
        <v>168</v>
      </c>
      <c r="H5" s="23" t="s">
        <v>173</v>
      </c>
      <c r="I5" s="23" t="s">
        <v>215</v>
      </c>
      <c r="J5" s="23" t="s">
        <v>216</v>
      </c>
      <c r="K5" s="24" t="s">
        <v>177</v>
      </c>
      <c r="L5" s="24" t="s">
        <v>178</v>
      </c>
      <c r="M5" s="24" t="s">
        <v>1176</v>
      </c>
      <c r="N5" s="24" t="s">
        <v>264</v>
      </c>
      <c r="O5" s="31" t="s">
        <v>175</v>
      </c>
      <c r="P5" s="31" t="s">
        <v>179</v>
      </c>
      <c r="Q5" s="31" t="s">
        <v>170</v>
      </c>
      <c r="R5" s="31" t="s">
        <v>182</v>
      </c>
      <c r="S5" s="31" t="s">
        <v>183</v>
      </c>
      <c r="T5" s="31" t="s">
        <v>1177</v>
      </c>
      <c r="U5" s="31" t="s">
        <v>172</v>
      </c>
      <c r="V5" s="31" t="s">
        <v>670</v>
      </c>
      <c r="W5" s="31"/>
      <c r="X5" s="24" t="s">
        <v>514</v>
      </c>
      <c r="Y5" s="24" t="s">
        <v>184</v>
      </c>
      <c r="Z5" s="24" t="s">
        <v>1178</v>
      </c>
      <c r="AA5" s="24" t="s">
        <v>182</v>
      </c>
      <c r="AB5" s="24" t="s">
        <v>183</v>
      </c>
      <c r="AC5" s="24" t="s">
        <v>1179</v>
      </c>
      <c r="AD5" s="24" t="s">
        <v>670</v>
      </c>
      <c r="AE5" s="23"/>
      <c r="AF5" s="24" t="s">
        <v>172</v>
      </c>
      <c r="AG5" s="24"/>
      <c r="AH5" s="52" t="s">
        <v>217</v>
      </c>
      <c r="AI5" s="52" t="s">
        <v>218</v>
      </c>
      <c r="AJ5" s="47" t="s">
        <v>192</v>
      </c>
      <c r="AK5" s="47" t="s">
        <v>184</v>
      </c>
      <c r="AL5" s="47" t="s">
        <v>182</v>
      </c>
      <c r="AM5" s="52" t="s">
        <v>183</v>
      </c>
      <c r="AN5" s="47" t="s">
        <v>397</v>
      </c>
      <c r="AO5" s="47" t="s">
        <v>198</v>
      </c>
      <c r="AP5" s="47" t="s">
        <v>172</v>
      </c>
      <c r="AQ5" s="24" t="s">
        <v>180</v>
      </c>
      <c r="AR5" s="24" t="s">
        <v>184</v>
      </c>
      <c r="AS5" s="24" t="s">
        <v>182</v>
      </c>
      <c r="AT5" s="24" t="s">
        <v>183</v>
      </c>
      <c r="AU5" s="24" t="s">
        <v>1178</v>
      </c>
      <c r="AV5" s="24" t="s">
        <v>1179</v>
      </c>
      <c r="AW5" s="24" t="s">
        <v>196</v>
      </c>
      <c r="AX5" s="24" t="s">
        <v>198</v>
      </c>
      <c r="AY5" s="24" t="s">
        <v>294</v>
      </c>
      <c r="AZ5" s="24" t="s">
        <v>670</v>
      </c>
      <c r="BA5" s="24" t="s">
        <v>172</v>
      </c>
      <c r="BB5" s="72"/>
      <c r="BC5" s="32" t="s">
        <v>185</v>
      </c>
      <c r="BD5" s="32" t="s">
        <v>1180</v>
      </c>
      <c r="BE5" s="31" t="s">
        <v>187</v>
      </c>
      <c r="BF5" s="32" t="s">
        <v>198</v>
      </c>
      <c r="BG5" s="32" t="s">
        <v>196</v>
      </c>
      <c r="BH5" s="32" t="s">
        <v>294</v>
      </c>
      <c r="BI5" s="32" t="s">
        <v>1157</v>
      </c>
      <c r="BJ5" s="39" t="s">
        <v>1148</v>
      </c>
      <c r="BK5" s="40" t="s">
        <v>169</v>
      </c>
      <c r="BL5" s="41" t="s">
        <v>778</v>
      </c>
      <c r="BM5" s="41" t="s">
        <v>264</v>
      </c>
      <c r="BN5" s="41" t="s">
        <v>670</v>
      </c>
      <c r="BO5" s="42"/>
      <c r="BP5" s="21"/>
      <c r="BQ5" s="21"/>
      <c r="BR5" s="59" t="s">
        <v>192</v>
      </c>
      <c r="BS5" s="59" t="s">
        <v>232</v>
      </c>
      <c r="BT5" s="59" t="s">
        <v>233</v>
      </c>
    </row>
    <row r="6" spans="1:72" x14ac:dyDescent="0.25">
      <c r="A6" s="594"/>
      <c r="B6" s="594"/>
      <c r="C6" s="595"/>
      <c r="D6" s="596"/>
      <c r="E6" s="596"/>
      <c r="F6" s="595"/>
      <c r="G6" s="595"/>
      <c r="H6" s="597"/>
      <c r="I6" s="597"/>
      <c r="J6" s="597"/>
      <c r="K6" s="598"/>
      <c r="L6" s="598"/>
      <c r="M6" s="598"/>
      <c r="N6" s="598"/>
      <c r="O6" s="598"/>
      <c r="P6" s="594"/>
      <c r="Q6" s="598"/>
      <c r="R6" s="598"/>
      <c r="S6" s="594"/>
      <c r="T6" s="598"/>
      <c r="U6" s="598"/>
      <c r="V6" s="598"/>
      <c r="W6" s="598"/>
      <c r="X6" s="598"/>
      <c r="Y6" s="597"/>
      <c r="Z6" s="598"/>
      <c r="AA6" s="598"/>
      <c r="AB6" s="598"/>
      <c r="AC6" s="598"/>
      <c r="AD6" s="598"/>
      <c r="AE6" s="597"/>
      <c r="AF6" s="598"/>
      <c r="AG6" s="598"/>
      <c r="AH6" s="597"/>
      <c r="AI6" s="597"/>
      <c r="AJ6" s="598"/>
      <c r="AK6" s="598"/>
      <c r="AL6" s="598"/>
      <c r="AM6" s="597"/>
      <c r="AN6" s="598"/>
      <c r="AO6" s="598"/>
      <c r="AP6" s="598"/>
      <c r="AQ6" s="598"/>
      <c r="AR6" s="598"/>
      <c r="AS6" s="598"/>
      <c r="AT6" s="598"/>
      <c r="AU6" s="598"/>
      <c r="AV6" s="598"/>
      <c r="AW6" s="598"/>
      <c r="AX6" s="598"/>
      <c r="AY6" s="598"/>
      <c r="AZ6" s="598"/>
      <c r="BA6" s="598"/>
      <c r="BB6" s="599"/>
      <c r="BC6" s="597"/>
      <c r="BD6" s="597"/>
      <c r="BE6" s="598"/>
      <c r="BF6" s="597"/>
      <c r="BG6" s="597"/>
      <c r="BH6" s="597"/>
      <c r="BI6" s="597"/>
      <c r="BJ6" s="600"/>
      <c r="BK6" s="601"/>
      <c r="BL6" s="602"/>
      <c r="BM6" s="602"/>
      <c r="BN6" s="602"/>
      <c r="BO6" s="602"/>
      <c r="BP6" s="594"/>
      <c r="BQ6" s="594"/>
      <c r="BR6" s="603"/>
      <c r="BS6" s="603"/>
      <c r="BT6" s="603"/>
    </row>
    <row r="7" spans="1:72" x14ac:dyDescent="0.25">
      <c r="A7" s="21"/>
      <c r="B7" s="21"/>
      <c r="C7" s="14">
        <v>1</v>
      </c>
      <c r="D7" s="604">
        <v>42614</v>
      </c>
      <c r="E7" s="604" t="s">
        <v>50</v>
      </c>
      <c r="F7" s="14" t="str">
        <f t="shared" ref="F7:F12" si="2">MID(E7,6,3)</f>
        <v>895</v>
      </c>
      <c r="G7" s="14" t="str">
        <f>VLOOKUP(E7,'Retail Rates'!$B$7:$D$34,3,FALSE)</f>
        <v>FT-C</v>
      </c>
      <c r="H7" s="33">
        <f>SUMIF('Forecasted Customer Cts'!$D$5:$D$36,'Sept16-Feb17 Transport'!$E7,'Forecasted Customer Cts'!$N$5:$N$36)</f>
        <v>10</v>
      </c>
      <c r="I7" s="33"/>
      <c r="J7" s="33"/>
      <c r="K7" s="33">
        <f>SUMIF('Forecasted Calendar Month Usage'!$D$5:$D$41,'Sept16-Feb17 Transport'!$E7,'Forecasted Calendar Month Usage'!$N$5:$N$41)*10</f>
        <v>451647.89085551875</v>
      </c>
      <c r="L7" s="33"/>
      <c r="M7" s="33">
        <v>69</v>
      </c>
      <c r="N7" s="33"/>
      <c r="O7" s="34">
        <f>VLOOKUP($E7,'Retail Rates'!$B$7:$L$34,5,FALSE)</f>
        <v>0</v>
      </c>
      <c r="P7" s="34">
        <f>VLOOKUP($E7,'Retail Rates'!$B$7:$L$34,6,FALSE)</f>
        <v>0</v>
      </c>
      <c r="Q7" s="34">
        <f>VLOOKUP($E7,'Retail Rates'!$B$7:$L$34,9,FALSE)</f>
        <v>550</v>
      </c>
      <c r="R7" s="35">
        <f>VLOOKUP($E7,'Retail Rates'!$B$7:$L$34,7,FALSE)</f>
        <v>4.3020000000000003E-2</v>
      </c>
      <c r="S7" s="35">
        <f>VLOOKUP($E7,'Retail Rates'!$B$7:$L$34,8,FALSE)</f>
        <v>0</v>
      </c>
      <c r="T7" s="556">
        <v>75</v>
      </c>
      <c r="U7" s="34">
        <f>VLOOKUP($E7,'Retail Rates'!$B$7:$L$34,11,FALSE)</f>
        <v>0</v>
      </c>
      <c r="V7" s="35"/>
      <c r="W7" s="556"/>
      <c r="X7" s="36">
        <f t="shared" ref="X7:X12" si="3">(+H7*O7)+(I7*O7)</f>
        <v>0</v>
      </c>
      <c r="Y7" s="36">
        <f t="shared" ref="Y7:Y12" si="4">J7*P7</f>
        <v>0</v>
      </c>
      <c r="Z7" s="36">
        <f>H7*Q7</f>
        <v>5500</v>
      </c>
      <c r="AA7" s="36">
        <f t="shared" ref="AA7:AB12" si="5">+K7*R7</f>
        <v>19429.892264604419</v>
      </c>
      <c r="AB7" s="36">
        <f>+L7*S7</f>
        <v>0</v>
      </c>
      <c r="AC7" s="36">
        <f t="shared" ref="AC7:AC12" si="6">M7*T7</f>
        <v>5175</v>
      </c>
      <c r="AD7" s="36">
        <f>H7*V7</f>
        <v>0</v>
      </c>
      <c r="AE7" s="36"/>
      <c r="AF7" s="36">
        <f t="shared" ref="AF7:AF12" si="7">N7*U7</f>
        <v>0</v>
      </c>
      <c r="AG7" s="36"/>
      <c r="AH7" s="57"/>
      <c r="AI7" s="57"/>
      <c r="AJ7" s="48"/>
      <c r="AK7" s="48"/>
      <c r="AL7" s="48"/>
      <c r="AM7" s="48"/>
      <c r="AN7" s="48"/>
      <c r="AO7" s="48"/>
      <c r="AP7" s="48"/>
      <c r="AQ7" s="36">
        <f t="shared" ref="AQ7:AQ12" si="8">+X7+AJ7+(AH7*O7)</f>
        <v>0</v>
      </c>
      <c r="AR7" s="36">
        <f t="shared" ref="AR7:AR12" si="9">+Y7+AK7</f>
        <v>0</v>
      </c>
      <c r="AS7" s="36">
        <f t="shared" ref="AS7:AT12" si="10">+AA7+AL7</f>
        <v>19429.892264604419</v>
      </c>
      <c r="AT7" s="36">
        <f t="shared" si="10"/>
        <v>0</v>
      </c>
      <c r="AU7" s="36">
        <f t="shared" ref="AU7:AU12" si="11">Z7</f>
        <v>5500</v>
      </c>
      <c r="AV7" s="36">
        <f t="shared" ref="AV7:AV12" si="12">AC7</f>
        <v>5175</v>
      </c>
      <c r="AW7" s="43">
        <f t="shared" ref="AW7:AW12" si="13">BG7</f>
        <v>0</v>
      </c>
      <c r="AX7" s="43">
        <f t="shared" ref="AX7:AX12" si="14">BF7</f>
        <v>271324.35344690783</v>
      </c>
      <c r="AY7" s="43">
        <f t="shared" ref="AY7:AY12" si="15">BH7</f>
        <v>0</v>
      </c>
      <c r="AZ7" s="43">
        <f t="shared" ref="AZ7:AZ12" si="16">BN7</f>
        <v>0</v>
      </c>
      <c r="BA7" s="36">
        <f t="shared" ref="BA7:BA12" si="17">+AF7+AP7</f>
        <v>0</v>
      </c>
      <c r="BB7" s="36"/>
      <c r="BC7" s="43">
        <f>ROUND(SUM(AQ7:BB7),2)+SUM(AQ8:BB8)</f>
        <v>651035.7567146956</v>
      </c>
      <c r="BD7" s="43">
        <f t="shared" ref="BD7:BD12" si="18">SUM(BF7:BN7)</f>
        <v>651035.7524255577</v>
      </c>
      <c r="BE7" s="44">
        <f t="shared" ref="BE7:BE12" si="19">IF(BD7=0,0,ROUND(BD7/BC7,6))</f>
        <v>1</v>
      </c>
      <c r="BF7" s="43">
        <f>SUMIFS('Fin Forecast'!$E$4:$E$545,'Fin Forecast'!$B$4:$B$545,'Sept16-Feb17 Transport'!$E7,'Fin Forecast'!$C$4:$C$545,'Sept16-Feb17 Transport'!$BF$5)*1000</f>
        <v>271324.35344690783</v>
      </c>
      <c r="BG7" s="43">
        <f>SUMIFS('Fin Forecast'!$E$4:$E$545,'Fin Forecast'!$B$4:$B$545,'Sept16-Feb17 Transport'!$E7,'Fin Forecast'!$C$4:$C$545,'Sept16-Feb17 Transport'!BG$5)*1000</f>
        <v>0</v>
      </c>
      <c r="BH7" s="43">
        <f>SUMIFS('Fin Forecast'!$E$4:$E$545,'Fin Forecast'!$B$4:$B$545,'Sept16-Feb17 Transport'!$E7,'Fin Forecast'!$C$4:$C$545,'Sept16-Feb17 Transport'!BH$5)*1000</f>
        <v>0</v>
      </c>
      <c r="BI7" s="43">
        <f>SUMIFS('Fin Forecast'!$E$4:$E$545,'Fin Forecast'!$B$4:$B$545,'Sept16-Feb17 Transport'!$E7,'Fin Forecast'!$C$4:$C$545,'Sept16-Feb17 Transport'!BI$5)*1000</f>
        <v>5175</v>
      </c>
      <c r="BJ7" s="43">
        <f>SUMIFS('Fin Forecast'!$E$4:$E$545,'Fin Forecast'!$B$4:$B$545,'Sept16-Feb17 Transport'!$E7,'Fin Forecast'!$C$4:$C$545,'Sept16-Feb17 Transport'!BJ$5)*1000</f>
        <v>40150</v>
      </c>
      <c r="BK7" s="43">
        <f>SUMIFS('Fin Forecast'!$E$4:$E$545,'Fin Forecast'!$B$4:$B$545,'Sept16-Feb17 Transport'!$E7,'Fin Forecast'!$C$4:$C$545,'Sept16-Feb17 Transport'!BK$5)*1000</f>
        <v>0</v>
      </c>
      <c r="BL7" s="43">
        <f>SUMIFS('Fin Forecast'!$E$4:$E$545,'Fin Forecast'!$B$4:$B$545,'Sept16-Feb17 Transport'!$E7,'Fin Forecast'!$C$4:$C$545,'Sept16-Feb17 Transport'!BL$5)*1000</f>
        <v>334386.39897864987</v>
      </c>
      <c r="BM7" s="43">
        <f>SUMIFS('Fin Forecast'!$E$4:$E$545,'Fin Forecast'!$B$4:$B$545,'Sept16-Feb17 Transport'!$E7,'Fin Forecast'!$C$4:$C$545,'Sept16-Feb17 Transport'!BM$5)*1000</f>
        <v>0</v>
      </c>
      <c r="BN7" s="43">
        <f>SUMIFS('Fin Forecast'!$E$4:$E$545,'Fin Forecast'!$B$4:$B$545,'Sept16-Feb17 Transport'!$E7,'Fin Forecast'!$C$4:$C$545,'Sept16-Feb17 Transport'!BN$5)*1000</f>
        <v>0</v>
      </c>
      <c r="BO7" s="21"/>
      <c r="BP7" s="51">
        <f t="shared" ref="BP7:BP12" si="20">+BC7-BD7</f>
        <v>4.2891378980129957E-3</v>
      </c>
      <c r="BQ7" s="21"/>
      <c r="BR7" s="58">
        <f>BJ7-AU7</f>
        <v>34650</v>
      </c>
      <c r="BS7" s="58">
        <f t="shared" ref="BS7:BS12" si="21">+AS7+AT7-BL7</f>
        <v>-314956.50671404548</v>
      </c>
      <c r="BT7" s="58">
        <f t="shared" ref="BT7:BT12" si="22">+AW7-BG7</f>
        <v>0</v>
      </c>
    </row>
    <row r="8" spans="1:72" x14ac:dyDescent="0.25">
      <c r="A8" s="21"/>
      <c r="B8" s="21"/>
      <c r="C8" s="14">
        <f>C7+1</f>
        <v>2</v>
      </c>
      <c r="D8" s="604">
        <f>$D$7</f>
        <v>42614</v>
      </c>
      <c r="E8" s="604" t="s">
        <v>52</v>
      </c>
      <c r="F8" s="14" t="str">
        <f t="shared" si="2"/>
        <v>896</v>
      </c>
      <c r="G8" s="14" t="str">
        <f>VLOOKUP(E8,'Retail Rates'!$B$7:$D$34,3,FALSE)</f>
        <v>FT-I</v>
      </c>
      <c r="H8" s="33">
        <f>SUMIF('Forecasted Customer Cts'!$D$5:$D$36,'Sept16-Feb17 Transport'!$E8,'Forecasted Customer Cts'!$N$5:$N$36)</f>
        <v>63</v>
      </c>
      <c r="I8" s="33"/>
      <c r="J8" s="33"/>
      <c r="K8" s="33">
        <f>SUMIF('Forecasted Calendar Month Usage'!$D$5:$D$41,'Sept16-Feb17 Transport'!$E8,'Forecasted Calendar Month Usage'!$N$5:$N$41)*10</f>
        <v>7321164.7306995736</v>
      </c>
      <c r="L8" s="33"/>
      <c r="M8" s="33"/>
      <c r="N8" s="33"/>
      <c r="O8" s="34">
        <f>VLOOKUP($E8,'Retail Rates'!$B$7:$L$34,5,FALSE)</f>
        <v>0</v>
      </c>
      <c r="P8" s="34">
        <f>VLOOKUP($E8,'Retail Rates'!$B$7:$L$34,6,FALSE)</f>
        <v>0</v>
      </c>
      <c r="Q8" s="34">
        <f>VLOOKUP($E8,'Retail Rates'!$B$7:$L$34,9,FALSE)</f>
        <v>550</v>
      </c>
      <c r="R8" s="35">
        <f>VLOOKUP($E8,'Retail Rates'!$B$7:$L$34,7,FALSE)</f>
        <v>4.3020000000000003E-2</v>
      </c>
      <c r="S8" s="35">
        <f>VLOOKUP($E8,'Retail Rates'!$B$7:$L$34,8,FALSE)</f>
        <v>0</v>
      </c>
      <c r="T8" s="556">
        <v>75</v>
      </c>
      <c r="U8" s="34">
        <f>VLOOKUP($E8,'Retail Rates'!$B$7:$L$34,11,FALSE)</f>
        <v>0</v>
      </c>
      <c r="V8" s="35"/>
      <c r="W8" s="556"/>
      <c r="X8" s="36">
        <f t="shared" si="3"/>
        <v>0</v>
      </c>
      <c r="Y8" s="36">
        <f t="shared" si="4"/>
        <v>0</v>
      </c>
      <c r="Z8" s="36">
        <f>H8*Q8</f>
        <v>34650</v>
      </c>
      <c r="AA8" s="36">
        <f t="shared" si="5"/>
        <v>314956.50671469566</v>
      </c>
      <c r="AB8" s="36">
        <f t="shared" si="5"/>
        <v>0</v>
      </c>
      <c r="AC8" s="36">
        <f t="shared" si="6"/>
        <v>0</v>
      </c>
      <c r="AD8" s="36">
        <f>H8*V8</f>
        <v>0</v>
      </c>
      <c r="AE8" s="36"/>
      <c r="AF8" s="36">
        <f t="shared" si="7"/>
        <v>0</v>
      </c>
      <c r="AG8" s="36"/>
      <c r="AH8" s="57"/>
      <c r="AI8" s="57"/>
      <c r="AJ8" s="48"/>
      <c r="AK8" s="48"/>
      <c r="AL8" s="48"/>
      <c r="AM8" s="48"/>
      <c r="AN8" s="48"/>
      <c r="AO8" s="48"/>
      <c r="AP8" s="48"/>
      <c r="AQ8" s="36">
        <f t="shared" si="8"/>
        <v>0</v>
      </c>
      <c r="AR8" s="36">
        <f t="shared" si="9"/>
        <v>0</v>
      </c>
      <c r="AS8" s="36">
        <f t="shared" si="10"/>
        <v>314956.50671469566</v>
      </c>
      <c r="AT8" s="36">
        <f t="shared" si="10"/>
        <v>0</v>
      </c>
      <c r="AU8" s="36">
        <f t="shared" si="11"/>
        <v>34650</v>
      </c>
      <c r="AV8" s="36">
        <f t="shared" si="12"/>
        <v>0</v>
      </c>
      <c r="AW8" s="43">
        <f t="shared" si="13"/>
        <v>0</v>
      </c>
      <c r="AX8" s="43">
        <f t="shared" si="14"/>
        <v>0</v>
      </c>
      <c r="AY8" s="43">
        <f t="shared" si="15"/>
        <v>0</v>
      </c>
      <c r="AZ8" s="43">
        <f t="shared" si="16"/>
        <v>0</v>
      </c>
      <c r="BA8" s="36">
        <f t="shared" si="17"/>
        <v>0</v>
      </c>
      <c r="BB8" s="36"/>
      <c r="BC8" s="43"/>
      <c r="BD8" s="43">
        <f t="shared" si="18"/>
        <v>0</v>
      </c>
      <c r="BE8" s="44">
        <f t="shared" si="19"/>
        <v>0</v>
      </c>
      <c r="BF8" s="43">
        <f>SUMIFS('Fin Forecast'!$E$4:$E$545,'Fin Forecast'!$B$4:$B$545,'Sept16-Feb17 Transport'!$E8,'Fin Forecast'!$C$4:$C$545,'Sept16-Feb17 Transport'!$BF$5)*1000</f>
        <v>0</v>
      </c>
      <c r="BG8" s="43">
        <f>SUMIFS('Fin Forecast'!$E$4:$E$545,'Fin Forecast'!$B$4:$B$545,'Sept16-Feb17 Transport'!$E8,'Fin Forecast'!$C$4:$C$545,'Sept16-Feb17 Transport'!BG$5)*1000</f>
        <v>0</v>
      </c>
      <c r="BH8" s="43">
        <f>SUMIFS('Fin Forecast'!$E$4:$E$545,'Fin Forecast'!$B$4:$B$545,'Sept16-Feb17 Transport'!$E8,'Fin Forecast'!$C$4:$C$545,'Sept16-Feb17 Transport'!BH$5)*1000</f>
        <v>0</v>
      </c>
      <c r="BI8" s="43">
        <f>SUMIFS('Fin Forecast'!$E$4:$E$545,'Fin Forecast'!$B$4:$B$545,'Sept16-Feb17 Transport'!$E8,'Fin Forecast'!$C$4:$C$545,'Sept16-Feb17 Transport'!BI$5)*1000</f>
        <v>0</v>
      </c>
      <c r="BJ8" s="43">
        <f>SUMIFS('Fin Forecast'!$E$4:$E$545,'Fin Forecast'!$B$4:$B$545,'Sept16-Feb17 Transport'!$E8,'Fin Forecast'!$C$4:$C$545,'Sept16-Feb17 Transport'!BJ$5)*1000</f>
        <v>0</v>
      </c>
      <c r="BK8" s="43">
        <f>SUMIFS('Fin Forecast'!$E$4:$E$545,'Fin Forecast'!$B$4:$B$545,'Sept16-Feb17 Transport'!$E8,'Fin Forecast'!$C$4:$C$545,'Sept16-Feb17 Transport'!BK$5)*1000</f>
        <v>0</v>
      </c>
      <c r="BL8" s="43">
        <f>SUMIFS('Fin Forecast'!$E$4:$E$545,'Fin Forecast'!$B$4:$B$545,'Sept16-Feb17 Transport'!$E8,'Fin Forecast'!$C$4:$C$545,'Sept16-Feb17 Transport'!BL$5)*1000</f>
        <v>0</v>
      </c>
      <c r="BM8" s="43">
        <f>SUMIFS('Fin Forecast'!$E$4:$E$545,'Fin Forecast'!$B$4:$B$545,'Sept16-Feb17 Transport'!$E8,'Fin Forecast'!$C$4:$C$545,'Sept16-Feb17 Transport'!BM$5)*1000</f>
        <v>0</v>
      </c>
      <c r="BN8" s="43">
        <f>SUMIFS('Fin Forecast'!$E$4:$E$545,'Fin Forecast'!$B$4:$B$545,'Sept16-Feb17 Transport'!$E8,'Fin Forecast'!$C$4:$C$545,'Sept16-Feb17 Transport'!BN$5)*1000</f>
        <v>0</v>
      </c>
      <c r="BO8" s="21"/>
      <c r="BP8" s="51">
        <f t="shared" si="20"/>
        <v>0</v>
      </c>
      <c r="BQ8" s="21"/>
      <c r="BR8" s="58">
        <f>+AQ8+AR8-BK8</f>
        <v>0</v>
      </c>
      <c r="BS8" s="58">
        <f t="shared" si="21"/>
        <v>314956.50671469566</v>
      </c>
      <c r="BT8" s="58">
        <f t="shared" si="22"/>
        <v>0</v>
      </c>
    </row>
    <row r="9" spans="1:72" x14ac:dyDescent="0.25">
      <c r="A9" s="21"/>
      <c r="B9" s="21" t="s">
        <v>800</v>
      </c>
      <c r="C9" s="14">
        <f>C8+1</f>
        <v>3</v>
      </c>
      <c r="D9" s="604">
        <f>$D$7</f>
        <v>42614</v>
      </c>
      <c r="E9" s="604" t="s">
        <v>42</v>
      </c>
      <c r="F9" s="14" t="str">
        <f t="shared" si="2"/>
        <v>882</v>
      </c>
      <c r="G9" s="14" t="str">
        <f>VLOOKUP(E9,'Retail Rates'!$B$7:$D$34,3,FALSE)</f>
        <v>IGS-TS-2</v>
      </c>
      <c r="H9" s="33"/>
      <c r="I9" s="33"/>
      <c r="J9" s="33">
        <f>SUMIFS('Forecasted Customer Cts'!$N$5:$N$36,'Forecasted Customer Cts'!$D$5:$D$36,'Sept16-Feb17 Transport'!$E9,'Forecasted Customer Cts'!$C$5:$C$36,'Sept16-Feb17 Transport'!$B9)</f>
        <v>5</v>
      </c>
      <c r="K9" s="33">
        <v>5000</v>
      </c>
      <c r="L9" s="33">
        <f>(SUMIFS('Forecasted Calendar Month Usage'!$N$5:$N$41,'Forecasted Calendar Month Usage'!$D$5:$D$41,'Sept16-Feb17 Transport'!$E9,'Forecasted Calendar Month Usage'!$C$5:$C$41,'Sept16-Feb17 Transport'!$A11)*10)-K9</f>
        <v>425512.82079423103</v>
      </c>
      <c r="M9" s="33">
        <v>2</v>
      </c>
      <c r="N9" s="33"/>
      <c r="O9" s="34">
        <f>VLOOKUP($E9,'Retail Rates'!$B$7:$L$34,5,FALSE)</f>
        <v>40</v>
      </c>
      <c r="P9" s="34">
        <f>VLOOKUP($E9,'Retail Rates'!$B$7:$L$34,6,FALSE)</f>
        <v>180</v>
      </c>
      <c r="Q9" s="34">
        <f>VLOOKUP($E9,'Retail Rates'!$B$7:$L$34,9,FALSE)</f>
        <v>550</v>
      </c>
      <c r="R9" s="35">
        <f>VLOOKUP($E9,'Retail Rates'!$B$7:$L$34,7,FALSE)</f>
        <v>0.22778999999999999</v>
      </c>
      <c r="S9" s="35">
        <f>VLOOKUP($E9,'Retail Rates'!$B$7:$L$34,8,FALSE)</f>
        <v>0.17779</v>
      </c>
      <c r="T9" s="556">
        <v>75</v>
      </c>
      <c r="U9" s="34">
        <f>VLOOKUP($E9,'Retail Rates'!$B$7:$L$34,11,FALSE)</f>
        <v>0</v>
      </c>
      <c r="V9" s="35"/>
      <c r="W9" s="556"/>
      <c r="X9" s="36">
        <f>(+H9*O9)+(I9*O9)</f>
        <v>0</v>
      </c>
      <c r="Y9" s="36">
        <f t="shared" si="4"/>
        <v>900</v>
      </c>
      <c r="Z9" s="36">
        <f>(I9+J9)*Q9</f>
        <v>2750</v>
      </c>
      <c r="AA9" s="36">
        <f t="shared" si="5"/>
        <v>1138.95</v>
      </c>
      <c r="AB9" s="36">
        <f t="shared" si="5"/>
        <v>75651.924409006329</v>
      </c>
      <c r="AC9" s="36">
        <f t="shared" si="6"/>
        <v>150</v>
      </c>
      <c r="AD9" s="36">
        <f>(I9+J9)*V9</f>
        <v>0</v>
      </c>
      <c r="AE9" s="36"/>
      <c r="AF9" s="36">
        <f t="shared" si="7"/>
        <v>0</v>
      </c>
      <c r="AG9" s="36"/>
      <c r="AH9" s="57"/>
      <c r="AI9" s="57"/>
      <c r="AJ9" s="48"/>
      <c r="AK9" s="48"/>
      <c r="AL9" s="48"/>
      <c r="AM9" s="48"/>
      <c r="AN9" s="48"/>
      <c r="AO9" s="48"/>
      <c r="AP9" s="48"/>
      <c r="AQ9" s="36">
        <f t="shared" si="8"/>
        <v>0</v>
      </c>
      <c r="AR9" s="36">
        <f t="shared" si="9"/>
        <v>900</v>
      </c>
      <c r="AS9" s="36">
        <f t="shared" si="10"/>
        <v>1138.95</v>
      </c>
      <c r="AT9" s="36">
        <f t="shared" si="10"/>
        <v>75651.924409006329</v>
      </c>
      <c r="AU9" s="36">
        <f t="shared" si="11"/>
        <v>2750</v>
      </c>
      <c r="AV9" s="36">
        <f t="shared" si="12"/>
        <v>150</v>
      </c>
      <c r="AW9" s="43">
        <f t="shared" si="13"/>
        <v>0</v>
      </c>
      <c r="AX9" s="43">
        <f t="shared" si="14"/>
        <v>0</v>
      </c>
      <c r="AY9" s="43">
        <f t="shared" si="15"/>
        <v>0</v>
      </c>
      <c r="AZ9" s="43">
        <f t="shared" si="16"/>
        <v>8610.3098119020815</v>
      </c>
      <c r="BA9" s="36">
        <f t="shared" si="17"/>
        <v>0</v>
      </c>
      <c r="BB9" s="36"/>
      <c r="BC9" s="43">
        <f>ROUND(SUM(AQ9:BB9),2)</f>
        <v>89201.18</v>
      </c>
      <c r="BD9" s="43">
        <f t="shared" si="18"/>
        <v>89201.184225489895</v>
      </c>
      <c r="BE9" s="44">
        <f t="shared" si="19"/>
        <v>1</v>
      </c>
      <c r="BF9" s="43">
        <f>SUMIFS('Fin Forecast'!$E$4:$E$545,'Fin Forecast'!$B$4:$B$545,'Sept16-Feb17 Transport'!$E9,'Fin Forecast'!$C$4:$C$545,'Sept16-Feb17 Transport'!$BF$5)*1000</f>
        <v>0</v>
      </c>
      <c r="BG9" s="43">
        <f>SUMIFS('Fin Forecast'!$E$4:$E$545,'Fin Forecast'!$B$4:$B$545,'Sept16-Feb17 Transport'!$E9,'Fin Forecast'!$C$4:$C$545,'Sept16-Feb17 Transport'!BG$5)*1000</f>
        <v>0</v>
      </c>
      <c r="BH9" s="43">
        <f>SUMIFS('Fin Forecast'!$E$4:$E$545,'Fin Forecast'!$B$4:$B$545,'Sept16-Feb17 Transport'!$E9,'Fin Forecast'!$C$4:$C$545,'Sept16-Feb17 Transport'!BH$5)*1000</f>
        <v>0</v>
      </c>
      <c r="BI9" s="43">
        <f>SUMIFS('Fin Forecast'!$E$4:$E$545,'Fin Forecast'!$B$4:$B$545,'Sept16-Feb17 Transport'!$E9,'Fin Forecast'!$C$4:$C$545,'Sept16-Feb17 Transport'!BI$5)*1000</f>
        <v>150</v>
      </c>
      <c r="BJ9" s="43">
        <f>SUMIFS('Fin Forecast'!$E$4:$E$545,'Fin Forecast'!$B$4:$B$545,'Sept16-Feb17 Transport'!$E9,'Fin Forecast'!$C$4:$C$545,'Sept16-Feb17 Transport'!BJ$5)*1000</f>
        <v>2750</v>
      </c>
      <c r="BK9" s="43">
        <f>SUMIFS('Fin Forecast'!$E$4:$E$545,'Fin Forecast'!$B$4:$B$545,'Sept16-Feb17 Transport'!$E9,'Fin Forecast'!$C$4:$C$545,'Sept16-Feb17 Transport'!BK$5)*1000</f>
        <v>900</v>
      </c>
      <c r="BL9" s="43">
        <f>SUMIFS('Fin Forecast'!$E$4:$E$545,'Fin Forecast'!$B$4:$B$545,'Sept16-Feb17 Transport'!$E9,'Fin Forecast'!$C$4:$C$545,'Sept16-Feb17 Transport'!BL$5)*1000</f>
        <v>76790.874413587808</v>
      </c>
      <c r="BM9" s="43">
        <f>SUMIFS('Fin Forecast'!$E$4:$E$545,'Fin Forecast'!$B$4:$B$545,'Sept16-Feb17 Transport'!$E9,'Fin Forecast'!$C$4:$C$545,'Sept16-Feb17 Transport'!BM$5)*1000</f>
        <v>0</v>
      </c>
      <c r="BN9" s="43">
        <f>SUMIFS('Fin Forecast'!$E$4:$E$545,'Fin Forecast'!$B$4:$B$545,'Sept16-Feb17 Transport'!$E9,'Fin Forecast'!$C$4:$C$545,'Sept16-Feb17 Transport'!BN$5)*1000</f>
        <v>8610.3098119020815</v>
      </c>
      <c r="BO9" s="21"/>
      <c r="BP9" s="51">
        <f t="shared" si="20"/>
        <v>-4.2254899017279968E-3</v>
      </c>
      <c r="BQ9" s="21"/>
      <c r="BR9" s="58">
        <f>+AQ9+AR9-BK9</f>
        <v>0</v>
      </c>
      <c r="BS9" s="58">
        <f t="shared" si="21"/>
        <v>-4.5814813347533345E-6</v>
      </c>
      <c r="BT9" s="58">
        <f t="shared" si="22"/>
        <v>0</v>
      </c>
    </row>
    <row r="10" spans="1:72" x14ac:dyDescent="0.25">
      <c r="A10" s="21" t="s">
        <v>801</v>
      </c>
      <c r="B10" s="21"/>
      <c r="C10" s="14">
        <f>C9+1</f>
        <v>4</v>
      </c>
      <c r="D10" s="604">
        <f>$D$7</f>
        <v>42614</v>
      </c>
      <c r="E10" s="604" t="s">
        <v>96</v>
      </c>
      <c r="F10" s="14" t="str">
        <f t="shared" si="2"/>
        <v>892</v>
      </c>
      <c r="G10" s="14" t="str">
        <f>VLOOKUP(E10,'Retail Rates'!$B$7:$D$34,3,FALSE)</f>
        <v>AAGS-I-TS-2</v>
      </c>
      <c r="H10" s="33">
        <f>SUMIF('Forecasted Customer Cts'!$D$5:$D$36,'Sept16-Feb17 Transport'!$E10,'Forecasted Customer Cts'!$N$5:$N$36)</f>
        <v>2</v>
      </c>
      <c r="I10" s="33"/>
      <c r="J10" s="33"/>
      <c r="K10" s="33">
        <f>SUMIF('Forecasted Calendar Month Usage'!$D$5:$D$41,'Sept16-Feb17 Transport'!$E10,'Forecasted Calendar Month Usage'!$N$5:$N$41)*10</f>
        <v>253347.63577055503</v>
      </c>
      <c r="L10" s="33"/>
      <c r="M10" s="33"/>
      <c r="N10" s="33"/>
      <c r="O10" s="34">
        <f>VLOOKUP($E10,'Retail Rates'!$B$7:$L$34,5,FALSE)</f>
        <v>400</v>
      </c>
      <c r="P10" s="34">
        <f>VLOOKUP($E10,'Retail Rates'!$B$7:$L$34,6,FALSE)</f>
        <v>0</v>
      </c>
      <c r="Q10" s="34">
        <f>VLOOKUP($E10,'Retail Rates'!$B$7:$L$34,9,FALSE)</f>
        <v>550</v>
      </c>
      <c r="R10" s="35">
        <f>VLOOKUP($E10,'Retail Rates'!$B$7:$L$34,7,FALSE)</f>
        <v>7.009E-2</v>
      </c>
      <c r="S10" s="35">
        <f>VLOOKUP($E10,'Retail Rates'!$B$7:$L$34,8,FALSE)</f>
        <v>0</v>
      </c>
      <c r="T10" s="556">
        <v>75</v>
      </c>
      <c r="U10" s="34">
        <f>VLOOKUP($E10,'Retail Rates'!$B$7:$L$34,11,FALSE)</f>
        <v>0</v>
      </c>
      <c r="V10" s="35"/>
      <c r="W10" s="556"/>
      <c r="X10" s="36">
        <f t="shared" si="3"/>
        <v>800</v>
      </c>
      <c r="Y10" s="36">
        <f t="shared" si="4"/>
        <v>0</v>
      </c>
      <c r="Z10" s="36">
        <f>H10*Q10</f>
        <v>1100</v>
      </c>
      <c r="AA10" s="36">
        <f t="shared" si="5"/>
        <v>17757.135791158202</v>
      </c>
      <c r="AB10" s="36">
        <f t="shared" si="5"/>
        <v>0</v>
      </c>
      <c r="AC10" s="36">
        <f t="shared" si="6"/>
        <v>0</v>
      </c>
      <c r="AD10" s="36">
        <f>H10*V10</f>
        <v>0</v>
      </c>
      <c r="AE10" s="36"/>
      <c r="AF10" s="36">
        <f t="shared" si="7"/>
        <v>0</v>
      </c>
      <c r="AG10" s="36"/>
      <c r="AH10" s="57"/>
      <c r="AI10" s="57"/>
      <c r="AJ10" s="48"/>
      <c r="AK10" s="48"/>
      <c r="AL10" s="48"/>
      <c r="AM10" s="48"/>
      <c r="AN10" s="48"/>
      <c r="AO10" s="48"/>
      <c r="AP10" s="48"/>
      <c r="AQ10" s="36">
        <f t="shared" si="8"/>
        <v>800</v>
      </c>
      <c r="AR10" s="36">
        <f t="shared" si="9"/>
        <v>0</v>
      </c>
      <c r="AS10" s="36">
        <f t="shared" si="10"/>
        <v>17757.135791158202</v>
      </c>
      <c r="AT10" s="36">
        <f t="shared" si="10"/>
        <v>0</v>
      </c>
      <c r="AU10" s="36">
        <f t="shared" si="11"/>
        <v>1100</v>
      </c>
      <c r="AV10" s="36">
        <f t="shared" si="12"/>
        <v>0</v>
      </c>
      <c r="AW10" s="43">
        <f t="shared" si="13"/>
        <v>0</v>
      </c>
      <c r="AX10" s="43">
        <f t="shared" si="14"/>
        <v>0</v>
      </c>
      <c r="AY10" s="43">
        <f t="shared" si="15"/>
        <v>0</v>
      </c>
      <c r="AZ10" s="43">
        <f t="shared" si="16"/>
        <v>3899.6594748695502</v>
      </c>
      <c r="BA10" s="36">
        <f t="shared" si="17"/>
        <v>0</v>
      </c>
      <c r="BB10" s="36"/>
      <c r="BC10" s="43">
        <f>ROUND(SUM(AQ10:BB10),2)</f>
        <v>23556.799999999999</v>
      </c>
      <c r="BD10" s="43">
        <f t="shared" si="18"/>
        <v>23556.795266027748</v>
      </c>
      <c r="BE10" s="44">
        <f t="shared" si="19"/>
        <v>1</v>
      </c>
      <c r="BF10" s="43">
        <f>SUMIFS('Fin Forecast'!$E$4:$E$545,'Fin Forecast'!$B$4:$B$545,'Sept16-Feb17 Transport'!$E10,'Fin Forecast'!$C$4:$C$545,'Sept16-Feb17 Transport'!$BF$5)*1000</f>
        <v>0</v>
      </c>
      <c r="BG10" s="43">
        <f>SUMIFS('Fin Forecast'!$E$4:$E$545,'Fin Forecast'!$B$4:$B$545,'Sept16-Feb17 Transport'!$E10,'Fin Forecast'!$C$4:$C$545,'Sept16-Feb17 Transport'!BG$5)*1000</f>
        <v>0</v>
      </c>
      <c r="BH10" s="43">
        <f>SUMIFS('Fin Forecast'!$E$4:$E$545,'Fin Forecast'!$B$4:$B$545,'Sept16-Feb17 Transport'!$E10,'Fin Forecast'!$C$4:$C$545,'Sept16-Feb17 Transport'!BH$5)*1000</f>
        <v>0</v>
      </c>
      <c r="BI10" s="43">
        <f>SUMIFS('Fin Forecast'!$E$4:$E$545,'Fin Forecast'!$B$4:$B$545,'Sept16-Feb17 Transport'!$E10,'Fin Forecast'!$C$4:$C$545,'Sept16-Feb17 Transport'!BI$5)*1000</f>
        <v>0</v>
      </c>
      <c r="BJ10" s="43">
        <f>SUMIFS('Fin Forecast'!$E$4:$E$545,'Fin Forecast'!$B$4:$B$545,'Sept16-Feb17 Transport'!$E10,'Fin Forecast'!$C$4:$C$545,'Sept16-Feb17 Transport'!BJ$5)*1000</f>
        <v>1100</v>
      </c>
      <c r="BK10" s="43">
        <f>SUMIFS('Fin Forecast'!$E$4:$E$545,'Fin Forecast'!$B$4:$B$545,'Sept16-Feb17 Transport'!$E10,'Fin Forecast'!$C$4:$C$545,'Sept16-Feb17 Transport'!BK$5)*1000</f>
        <v>800</v>
      </c>
      <c r="BL10" s="43">
        <f>SUMIFS('Fin Forecast'!$E$4:$E$545,'Fin Forecast'!$B$4:$B$545,'Sept16-Feb17 Transport'!$E10,'Fin Forecast'!$C$4:$C$545,'Sept16-Feb17 Transport'!BL$5)*1000</f>
        <v>17757.135791158198</v>
      </c>
      <c r="BM10" s="43">
        <f>SUMIFS('Fin Forecast'!$E$4:$E$545,'Fin Forecast'!$B$4:$B$545,'Sept16-Feb17 Transport'!$E10,'Fin Forecast'!$C$4:$C$545,'Sept16-Feb17 Transport'!BM$5)*1000</f>
        <v>0</v>
      </c>
      <c r="BN10" s="43">
        <f>SUMIFS('Fin Forecast'!$E$4:$E$545,'Fin Forecast'!$B$4:$B$545,'Sept16-Feb17 Transport'!$E10,'Fin Forecast'!$C$4:$C$545,'Sept16-Feb17 Transport'!BN$5)*1000</f>
        <v>3899.6594748695502</v>
      </c>
      <c r="BO10" s="21"/>
      <c r="BP10" s="51">
        <f t="shared" si="20"/>
        <v>4.7339722514152527E-3</v>
      </c>
      <c r="BQ10" s="21"/>
      <c r="BR10" s="58">
        <f>+AQ10+AR10-BK10</f>
        <v>0</v>
      </c>
      <c r="BS10" s="58">
        <f t="shared" si="21"/>
        <v>0</v>
      </c>
      <c r="BT10" s="58">
        <f t="shared" si="22"/>
        <v>0</v>
      </c>
    </row>
    <row r="11" spans="1:72" x14ac:dyDescent="0.25">
      <c r="A11" s="21" t="s">
        <v>802</v>
      </c>
      <c r="B11" s="21"/>
      <c r="C11" s="14">
        <f>C10+1</f>
        <v>5</v>
      </c>
      <c r="D11" s="604">
        <f>$D$7</f>
        <v>42614</v>
      </c>
      <c r="E11" s="604" t="s">
        <v>57</v>
      </c>
      <c r="F11" s="14" t="str">
        <f t="shared" si="2"/>
        <v>997</v>
      </c>
      <c r="G11" s="14" t="str">
        <f>VLOOKUP(E11,'Retail Rates'!$B$7:$D$34,3,FALSE)</f>
        <v>SPC-P</v>
      </c>
      <c r="H11" s="33">
        <f>SUMIF('Forecasted Customer Cts'!$D$5:$D$36,'Sept16-Feb17 Transport'!$E11,'Forecasted Customer Cts'!$N$5:$N$36)</f>
        <v>1</v>
      </c>
      <c r="I11" s="33"/>
      <c r="J11" s="33"/>
      <c r="K11" s="33">
        <f>SUMIF('Forecasted Calendar Month Usage'!$D$5:$D$41,'Sept16-Feb17 Transport'!$E11,'Forecasted Calendar Month Usage'!$N$5:$N$41)*10</f>
        <v>587748.99999999988</v>
      </c>
      <c r="L11" s="33"/>
      <c r="M11" s="33"/>
      <c r="N11" s="33">
        <f>43200*10</f>
        <v>432000</v>
      </c>
      <c r="O11" s="34">
        <f>VLOOKUP($E11,'Retail Rates'!$B$7:$L$34,5,FALSE)</f>
        <v>800</v>
      </c>
      <c r="P11" s="34">
        <f>VLOOKUP($E11,'Retail Rates'!$B$7:$L$34,6,FALSE)</f>
        <v>0</v>
      </c>
      <c r="Q11" s="34">
        <f>VLOOKUP($E11,'Retail Rates'!$B$7:$L$34,9,FALSE)</f>
        <v>0</v>
      </c>
      <c r="R11" s="35">
        <f>VLOOKUP($E11,'Retail Rates'!$B$7:$L$34,7,FALSE)</f>
        <v>4.9699999999999996E-3</v>
      </c>
      <c r="S11" s="35">
        <f>VLOOKUP($E11,'Retail Rates'!$B$7:$L$34,8,FALSE)</f>
        <v>0</v>
      </c>
      <c r="T11" s="556">
        <v>75</v>
      </c>
      <c r="U11" s="699">
        <f>VLOOKUP($E11,'Retail Rates'!$B$7:$L$34,11,FALSE)</f>
        <v>0.24801000000000001</v>
      </c>
      <c r="V11" s="35"/>
      <c r="W11" s="556"/>
      <c r="X11" s="36">
        <f t="shared" si="3"/>
        <v>800</v>
      </c>
      <c r="Y11" s="36">
        <f t="shared" si="4"/>
        <v>0</v>
      </c>
      <c r="Z11" s="36">
        <f>H11*Q11</f>
        <v>0</v>
      </c>
      <c r="AA11" s="36">
        <f t="shared" si="5"/>
        <v>2921.112529999999</v>
      </c>
      <c r="AB11" s="36">
        <f t="shared" si="5"/>
        <v>0</v>
      </c>
      <c r="AC11" s="36">
        <f t="shared" si="6"/>
        <v>0</v>
      </c>
      <c r="AD11" s="36">
        <f>H11*V11</f>
        <v>0</v>
      </c>
      <c r="AE11" s="36"/>
      <c r="AF11" s="36">
        <f t="shared" si="7"/>
        <v>107140.32</v>
      </c>
      <c r="AG11" s="36"/>
      <c r="AH11" s="57"/>
      <c r="AI11" s="57"/>
      <c r="AJ11" s="48"/>
      <c r="AK11" s="48"/>
      <c r="AL11" s="48"/>
      <c r="AM11" s="48"/>
      <c r="AN11" s="48"/>
      <c r="AO11" s="48"/>
      <c r="AP11" s="48"/>
      <c r="AQ11" s="36">
        <f t="shared" si="8"/>
        <v>800</v>
      </c>
      <c r="AR11" s="36">
        <f t="shared" si="9"/>
        <v>0</v>
      </c>
      <c r="AS11" s="36">
        <f t="shared" si="10"/>
        <v>2921.112529999999</v>
      </c>
      <c r="AT11" s="36">
        <f t="shared" si="10"/>
        <v>0</v>
      </c>
      <c r="AU11" s="36">
        <f t="shared" si="11"/>
        <v>0</v>
      </c>
      <c r="AV11" s="36">
        <f t="shared" si="12"/>
        <v>0</v>
      </c>
      <c r="AW11" s="43">
        <f t="shared" si="13"/>
        <v>0</v>
      </c>
      <c r="AX11" s="43">
        <f t="shared" si="14"/>
        <v>0</v>
      </c>
      <c r="AY11" s="43">
        <f t="shared" si="15"/>
        <v>0</v>
      </c>
      <c r="AZ11" s="43">
        <f t="shared" si="16"/>
        <v>0</v>
      </c>
      <c r="BA11" s="36">
        <f t="shared" si="17"/>
        <v>107140.32</v>
      </c>
      <c r="BB11" s="36"/>
      <c r="BC11" s="43">
        <f>ROUND(SUM(AQ11:BB11),2)</f>
        <v>110861.43</v>
      </c>
      <c r="BD11" s="43">
        <f t="shared" si="18"/>
        <v>110861.43253000001</v>
      </c>
      <c r="BE11" s="44">
        <f t="shared" si="19"/>
        <v>1</v>
      </c>
      <c r="BF11" s="43">
        <f>SUMIFS('Fin Forecast'!$E$4:$E$545,'Fin Forecast'!$B$4:$B$545,'Sept16-Feb17 Transport'!$E11,'Fin Forecast'!$C$4:$C$545,'Sept16-Feb17 Transport'!$BF$5)*1000</f>
        <v>0</v>
      </c>
      <c r="BG11" s="43">
        <f>SUMIFS('Fin Forecast'!$E$4:$E$545,'Fin Forecast'!$B$4:$B$545,'Sept16-Feb17 Transport'!$E11,'Fin Forecast'!$C$4:$C$545,'Sept16-Feb17 Transport'!BG$5)*1000</f>
        <v>0</v>
      </c>
      <c r="BH11" s="43">
        <f>SUMIFS('Fin Forecast'!$E$4:$E$545,'Fin Forecast'!$B$4:$B$545,'Sept16-Feb17 Transport'!$E11,'Fin Forecast'!$C$4:$C$545,'Sept16-Feb17 Transport'!BH$5)*1000</f>
        <v>0</v>
      </c>
      <c r="BI11" s="43">
        <f>SUMIFS('Fin Forecast'!$E$4:$E$545,'Fin Forecast'!$B$4:$B$545,'Sept16-Feb17 Transport'!$E11,'Fin Forecast'!$C$4:$C$545,'Sept16-Feb17 Transport'!BI$5)*1000</f>
        <v>0</v>
      </c>
      <c r="BJ11" s="43">
        <f>SUMIFS('Fin Forecast'!$E$4:$E$545,'Fin Forecast'!$B$4:$B$545,'Sept16-Feb17 Transport'!$E11,'Fin Forecast'!$C$4:$C$545,'Sept16-Feb17 Transport'!BJ$5)*1000</f>
        <v>0</v>
      </c>
      <c r="BK11" s="43">
        <f>SUMIFS('Fin Forecast'!$E$4:$E$545,'Fin Forecast'!$B$4:$B$545,'Sept16-Feb17 Transport'!$E11,'Fin Forecast'!$C$4:$C$545,'Sept16-Feb17 Transport'!BK$5)*1000</f>
        <v>800</v>
      </c>
      <c r="BL11" s="43">
        <f>SUMIFS('Fin Forecast'!$E$4:$E$545,'Fin Forecast'!$B$4:$B$545,'Sept16-Feb17 Transport'!$E11,'Fin Forecast'!$C$4:$C$545,'Sept16-Feb17 Transport'!BL$5)*1000</f>
        <v>2921.1125299999999</v>
      </c>
      <c r="BM11" s="43">
        <f>SUMIFS('Fin Forecast'!$E$4:$E$545,'Fin Forecast'!$B$4:$B$545,'Sept16-Feb17 Transport'!$E11,'Fin Forecast'!$C$4:$C$545,'Sept16-Feb17 Transport'!BM$5)*1000</f>
        <v>107140.32</v>
      </c>
      <c r="BN11" s="43">
        <f>SUMIFS('Fin Forecast'!$E$4:$E$545,'Fin Forecast'!$B$4:$B$545,'Sept16-Feb17 Transport'!$E11,'Fin Forecast'!$C$4:$C$545,'Sept16-Feb17 Transport'!BN$5)*1000</f>
        <v>0</v>
      </c>
      <c r="BO11" s="21"/>
      <c r="BP11" s="51">
        <f t="shared" si="20"/>
        <v>-2.5300000124843791E-3</v>
      </c>
      <c r="BQ11" s="21"/>
      <c r="BR11" s="58">
        <f>+AQ11+AR11-BK11</f>
        <v>0</v>
      </c>
      <c r="BS11" s="58">
        <f t="shared" si="21"/>
        <v>0</v>
      </c>
      <c r="BT11" s="58">
        <f t="shared" si="22"/>
        <v>0</v>
      </c>
    </row>
    <row r="12" spans="1:72" x14ac:dyDescent="0.25">
      <c r="A12" s="21"/>
      <c r="B12" s="21"/>
      <c r="C12" s="14">
        <f>C11+1</f>
        <v>6</v>
      </c>
      <c r="D12" s="604">
        <f>$D$7</f>
        <v>42614</v>
      </c>
      <c r="E12" s="604" t="s">
        <v>45</v>
      </c>
      <c r="F12" s="14" t="str">
        <f t="shared" si="2"/>
        <v>996</v>
      </c>
      <c r="G12" s="14" t="str">
        <f>VLOOKUP(E12,'Retail Rates'!$B$7:$D$34,3,FALSE)</f>
        <v>SPC-LGE</v>
      </c>
      <c r="H12" s="33">
        <f>SUMIF('Forecasted Customer Cts'!$D$5:$D$36,'Sept16-Feb17 Transport'!$E12,'Forecasted Customer Cts'!$N$5:$N$36)</f>
        <v>1</v>
      </c>
      <c r="I12" s="33"/>
      <c r="J12" s="33"/>
      <c r="K12" s="33">
        <f>SUMIF('Forecasted Calendar Month Usage'!$D$5:$D$41,'Sept16-Feb17 Transport'!$E12,'Forecasted Calendar Month Usage'!$N$5:$N$41)*10</f>
        <v>123242.99999999996</v>
      </c>
      <c r="L12" s="33"/>
      <c r="M12" s="33"/>
      <c r="N12" s="33">
        <f>16560*10</f>
        <v>165600</v>
      </c>
      <c r="O12" s="34">
        <f>VLOOKUP($E12,'Retail Rates'!$B$7:$L$34,5,FALSE)</f>
        <v>180</v>
      </c>
      <c r="P12" s="34">
        <f>VLOOKUP($E12,'Retail Rates'!$B$7:$L$34,6,FALSE)</f>
        <v>0</v>
      </c>
      <c r="Q12" s="34">
        <f>VLOOKUP($E12,'Retail Rates'!$B$7:$L$34,9,FALSE)</f>
        <v>0</v>
      </c>
      <c r="R12" s="35">
        <f>VLOOKUP($E12,'Retail Rates'!$B$7:$L$34,7,FALSE)</f>
        <v>3.329E-2</v>
      </c>
      <c r="S12" s="35">
        <f>VLOOKUP($E12,'Retail Rates'!$B$7:$L$34,8,FALSE)</f>
        <v>0</v>
      </c>
      <c r="T12" s="556">
        <v>75</v>
      </c>
      <c r="U12" s="699">
        <f>VLOOKUP($E12,'Retail Rates'!$B$7:$L$34,11,FALSE)</f>
        <v>1.12629</v>
      </c>
      <c r="V12" s="35"/>
      <c r="W12" s="556"/>
      <c r="X12" s="36">
        <f t="shared" si="3"/>
        <v>180</v>
      </c>
      <c r="Y12" s="36">
        <f t="shared" si="4"/>
        <v>0</v>
      </c>
      <c r="Z12" s="36">
        <f>H12*Q12</f>
        <v>0</v>
      </c>
      <c r="AA12" s="36">
        <f t="shared" si="5"/>
        <v>4102.7594699999981</v>
      </c>
      <c r="AB12" s="36">
        <f t="shared" si="5"/>
        <v>0</v>
      </c>
      <c r="AC12" s="36">
        <f t="shared" si="6"/>
        <v>0</v>
      </c>
      <c r="AD12" s="36">
        <f>H12*V12</f>
        <v>0</v>
      </c>
      <c r="AE12" s="36"/>
      <c r="AF12" s="36">
        <f t="shared" si="7"/>
        <v>186513.62400000001</v>
      </c>
      <c r="AG12" s="36"/>
      <c r="AH12" s="57"/>
      <c r="AI12" s="57"/>
      <c r="AJ12" s="48"/>
      <c r="AK12" s="48"/>
      <c r="AL12" s="48"/>
      <c r="AM12" s="48"/>
      <c r="AN12" s="48"/>
      <c r="AO12" s="48"/>
      <c r="AP12" s="48"/>
      <c r="AQ12" s="36">
        <f t="shared" si="8"/>
        <v>180</v>
      </c>
      <c r="AR12" s="36">
        <f t="shared" si="9"/>
        <v>0</v>
      </c>
      <c r="AS12" s="36">
        <f t="shared" si="10"/>
        <v>4102.7594699999981</v>
      </c>
      <c r="AT12" s="36">
        <f t="shared" si="10"/>
        <v>0</v>
      </c>
      <c r="AU12" s="36">
        <f t="shared" si="11"/>
        <v>0</v>
      </c>
      <c r="AV12" s="36">
        <f t="shared" si="12"/>
        <v>0</v>
      </c>
      <c r="AW12" s="43">
        <f t="shared" si="13"/>
        <v>43644.330565700999</v>
      </c>
      <c r="AX12" s="43">
        <f t="shared" si="14"/>
        <v>0</v>
      </c>
      <c r="AY12" s="43">
        <f t="shared" si="15"/>
        <v>0</v>
      </c>
      <c r="AZ12" s="43">
        <f t="shared" si="16"/>
        <v>0</v>
      </c>
      <c r="BA12" s="36">
        <f t="shared" si="17"/>
        <v>186513.62400000001</v>
      </c>
      <c r="BB12" s="36"/>
      <c r="BC12" s="43">
        <f>ROUND(SUM(AQ12:BB12),2)</f>
        <v>234440.71</v>
      </c>
      <c r="BD12" s="43">
        <f t="shared" si="18"/>
        <v>234440.71403570098</v>
      </c>
      <c r="BE12" s="44">
        <f t="shared" si="19"/>
        <v>1</v>
      </c>
      <c r="BF12" s="43">
        <f>SUMIFS('Fin Forecast'!$E$4:$E$545,'Fin Forecast'!$B$4:$B$545,'Sept16-Feb17 Transport'!$E12,'Fin Forecast'!$C$4:$C$545,'Sept16-Feb17 Transport'!$BF$5)*1000</f>
        <v>0</v>
      </c>
      <c r="BG12" s="43">
        <f>SUMIFS('Fin Forecast'!$E$4:$E$545,'Fin Forecast'!$B$4:$B$545,'Sept16-Feb17 Transport'!$E12,'Fin Forecast'!$C$4:$C$545,'Sept16-Feb17 Transport'!BG$5)*1000</f>
        <v>43644.330565700999</v>
      </c>
      <c r="BH12" s="43">
        <f>SUMIFS('Fin Forecast'!$E$4:$E$545,'Fin Forecast'!$B$4:$B$545,'Sept16-Feb17 Transport'!$E12,'Fin Forecast'!$C$4:$C$545,'Sept16-Feb17 Transport'!BH$5)*1000</f>
        <v>0</v>
      </c>
      <c r="BI12" s="43">
        <f>SUMIFS('Fin Forecast'!$E$4:$E$545,'Fin Forecast'!$B$4:$B$545,'Sept16-Feb17 Transport'!$E12,'Fin Forecast'!$C$4:$C$545,'Sept16-Feb17 Transport'!BI$5)*1000</f>
        <v>0</v>
      </c>
      <c r="BJ12" s="43">
        <f>SUMIFS('Fin Forecast'!$E$4:$E$545,'Fin Forecast'!$B$4:$B$545,'Sept16-Feb17 Transport'!$E12,'Fin Forecast'!$C$4:$C$545,'Sept16-Feb17 Transport'!BJ$5)*1000</f>
        <v>0</v>
      </c>
      <c r="BK12" s="43">
        <f>SUMIFS('Fin Forecast'!$E$4:$E$545,'Fin Forecast'!$B$4:$B$545,'Sept16-Feb17 Transport'!$E12,'Fin Forecast'!$C$4:$C$545,'Sept16-Feb17 Transport'!BK$5)*1000</f>
        <v>180</v>
      </c>
      <c r="BL12" s="43">
        <f>SUMIFS('Fin Forecast'!$E$4:$E$545,'Fin Forecast'!$B$4:$B$545,'Sept16-Feb17 Transport'!$E12,'Fin Forecast'!$C$4:$C$545,'Sept16-Feb17 Transport'!BL$5)*1000</f>
        <v>4102.75946999999</v>
      </c>
      <c r="BM12" s="43">
        <f>SUMIFS('Fin Forecast'!$E$4:$E$545,'Fin Forecast'!$B$4:$B$545,'Sept16-Feb17 Transport'!$E12,'Fin Forecast'!$C$4:$C$545,'Sept16-Feb17 Transport'!BM$5)*1000</f>
        <v>186513.62399999998</v>
      </c>
      <c r="BN12" s="43">
        <f>SUMIFS('Fin Forecast'!$E$4:$E$545,'Fin Forecast'!$B$4:$B$545,'Sept16-Feb17 Transport'!$E12,'Fin Forecast'!$C$4:$C$545,'Sept16-Feb17 Transport'!BN$5)*1000</f>
        <v>0</v>
      </c>
      <c r="BO12" s="21"/>
      <c r="BP12" s="51">
        <f t="shared" si="20"/>
        <v>-4.0357009856961668E-3</v>
      </c>
      <c r="BQ12" s="21"/>
      <c r="BR12" s="58">
        <f>+AQ12+AR12-BK12</f>
        <v>0</v>
      </c>
      <c r="BS12" s="58">
        <f t="shared" si="21"/>
        <v>8.1854523159563541E-12</v>
      </c>
      <c r="BT12" s="58">
        <f t="shared" si="22"/>
        <v>0</v>
      </c>
    </row>
    <row r="13" spans="1:72" x14ac:dyDescent="0.25">
      <c r="A13" s="563"/>
      <c r="B13" s="563"/>
      <c r="C13" s="564"/>
      <c r="D13" s="605"/>
      <c r="E13" s="605"/>
      <c r="F13" s="564"/>
      <c r="G13" s="564"/>
      <c r="H13" s="565"/>
      <c r="I13" s="565"/>
      <c r="J13" s="565"/>
      <c r="K13" s="565"/>
      <c r="L13" s="565"/>
      <c r="M13" s="565"/>
      <c r="N13" s="565"/>
      <c r="O13" s="566"/>
      <c r="P13" s="566"/>
      <c r="Q13" s="567"/>
      <c r="R13" s="567"/>
      <c r="S13" s="567"/>
      <c r="T13" s="566"/>
      <c r="U13" s="567"/>
      <c r="V13" s="566"/>
      <c r="W13" s="568"/>
      <c r="X13" s="569"/>
      <c r="Y13" s="569"/>
      <c r="Z13" s="569"/>
      <c r="AA13" s="569"/>
      <c r="AB13" s="569"/>
      <c r="AC13" s="569"/>
      <c r="AD13" s="569"/>
      <c r="AE13" s="569"/>
      <c r="AF13" s="569"/>
      <c r="AG13" s="569"/>
      <c r="AH13" s="570"/>
      <c r="AI13" s="570"/>
      <c r="AJ13" s="569"/>
      <c r="AK13" s="569"/>
      <c r="AL13" s="569"/>
      <c r="AM13" s="569"/>
      <c r="AN13" s="569"/>
      <c r="AO13" s="569"/>
      <c r="AP13" s="569"/>
      <c r="AQ13" s="569"/>
      <c r="AR13" s="569"/>
      <c r="AS13" s="569"/>
      <c r="AT13" s="569"/>
      <c r="AU13" s="569"/>
      <c r="AV13" s="569"/>
      <c r="AW13" s="569"/>
      <c r="AX13" s="569"/>
      <c r="AY13" s="569"/>
      <c r="AZ13" s="569"/>
      <c r="BA13" s="569"/>
      <c r="BB13" s="569"/>
      <c r="BC13" s="569"/>
      <c r="BD13" s="569"/>
      <c r="BE13" s="571"/>
      <c r="BF13" s="569"/>
      <c r="BG13" s="569"/>
      <c r="BH13" s="569"/>
      <c r="BI13" s="569"/>
      <c r="BJ13" s="569"/>
      <c r="BK13" s="569"/>
      <c r="BL13" s="569"/>
      <c r="BM13" s="569"/>
      <c r="BN13" s="569"/>
      <c r="BO13" s="563"/>
      <c r="BP13" s="569"/>
      <c r="BQ13" s="563"/>
      <c r="BR13" s="569"/>
      <c r="BS13" s="569"/>
      <c r="BT13" s="569"/>
    </row>
    <row r="14" spans="1:72" x14ac:dyDescent="0.25">
      <c r="A14" s="21"/>
      <c r="B14" s="21"/>
      <c r="C14" s="14">
        <f>C12+1</f>
        <v>7</v>
      </c>
      <c r="D14" s="604">
        <f>EDATE(D7,1)</f>
        <v>42644</v>
      </c>
      <c r="E14" s="604" t="s">
        <v>50</v>
      </c>
      <c r="F14" s="14" t="str">
        <f t="shared" ref="F14:F19" si="23">MID(E14,6,3)</f>
        <v>895</v>
      </c>
      <c r="G14" s="14" t="str">
        <f>VLOOKUP(E14,'Retail Rates'!$B$7:$D$34,3,FALSE)</f>
        <v>FT-C</v>
      </c>
      <c r="H14" s="33">
        <f>SUMIF('Forecasted Customer Cts'!$D$5:$D$36,'Sept16-Feb17 Transport'!$E14,'Forecasted Customer Cts'!$O$5:$O$36)</f>
        <v>10</v>
      </c>
      <c r="I14" s="33"/>
      <c r="J14" s="33"/>
      <c r="K14" s="33">
        <f>SUMIF('Forecasted Calendar Month Usage'!$D$5:$D$41,'Sept16-Feb17 Transport'!$E14,'Forecasted Calendar Month Usage'!$O$5:$O$41)*10</f>
        <v>620489.64535752847</v>
      </c>
      <c r="L14" s="33"/>
      <c r="M14" s="33">
        <v>69</v>
      </c>
      <c r="N14" s="33"/>
      <c r="O14" s="34">
        <f>VLOOKUP($E14,'Retail Rates'!$B$7:$L$34,5,FALSE)</f>
        <v>0</v>
      </c>
      <c r="P14" s="34">
        <f>VLOOKUP($E14,'Retail Rates'!$B$7:$L$34,6,FALSE)</f>
        <v>0</v>
      </c>
      <c r="Q14" s="34">
        <f>VLOOKUP($E14,'Retail Rates'!$B$7:$L$34,9,FALSE)</f>
        <v>550</v>
      </c>
      <c r="R14" s="35">
        <f>VLOOKUP($E14,'Retail Rates'!$B$7:$L$34,7,FALSE)</f>
        <v>4.3020000000000003E-2</v>
      </c>
      <c r="S14" s="35">
        <f>VLOOKUP($E14,'Retail Rates'!$B$7:$L$34,8,FALSE)</f>
        <v>0</v>
      </c>
      <c r="T14" s="556">
        <v>75</v>
      </c>
      <c r="U14" s="34">
        <f>VLOOKUP($E14,'Retail Rates'!$B$7:$L$34,11,FALSE)</f>
        <v>0</v>
      </c>
      <c r="V14" s="35"/>
      <c r="W14" s="556"/>
      <c r="X14" s="36">
        <f t="shared" ref="X14:X19" si="24">(+H14*O14)+(I14*O14)</f>
        <v>0</v>
      </c>
      <c r="Y14" s="36">
        <f t="shared" ref="Y14:Y19" si="25">J14*P14</f>
        <v>0</v>
      </c>
      <c r="Z14" s="36">
        <f>H14*Q14</f>
        <v>5500</v>
      </c>
      <c r="AA14" s="36">
        <f t="shared" ref="AA14:AB19" si="26">+K14*R14</f>
        <v>26693.464543280876</v>
      </c>
      <c r="AB14" s="36">
        <f>+L14*S14</f>
        <v>0</v>
      </c>
      <c r="AC14" s="36">
        <f t="shared" ref="AC14:AC19" si="27">M14*T14</f>
        <v>5175</v>
      </c>
      <c r="AD14" s="36">
        <f>H14*V14</f>
        <v>0</v>
      </c>
      <c r="AE14" s="36"/>
      <c r="AF14" s="36">
        <f t="shared" ref="AF14:AF19" si="28">N14*U14</f>
        <v>0</v>
      </c>
      <c r="AG14" s="36"/>
      <c r="AH14" s="57"/>
      <c r="AI14" s="57"/>
      <c r="AJ14" s="48"/>
      <c r="AK14" s="48"/>
      <c r="AL14" s="48"/>
      <c r="AM14" s="48"/>
      <c r="AN14" s="48"/>
      <c r="AO14" s="48"/>
      <c r="AP14" s="48"/>
      <c r="AQ14" s="36">
        <f t="shared" ref="AQ14:AQ19" si="29">+X14+AJ14+(AH14*O14)</f>
        <v>0</v>
      </c>
      <c r="AR14" s="36">
        <f t="shared" ref="AR14:AR19" si="30">+Y14+AK14</f>
        <v>0</v>
      </c>
      <c r="AS14" s="36">
        <f t="shared" ref="AS14:AT19" si="31">+AA14+AL14</f>
        <v>26693.464543280876</v>
      </c>
      <c r="AT14" s="36">
        <f t="shared" si="31"/>
        <v>0</v>
      </c>
      <c r="AU14" s="36">
        <f t="shared" ref="AU14:AU19" si="32">Z14</f>
        <v>5500</v>
      </c>
      <c r="AV14" s="36">
        <f t="shared" ref="AV14:AV19" si="33">AC14</f>
        <v>5175</v>
      </c>
      <c r="AW14" s="43">
        <f t="shared" ref="AW14:AW19" si="34">BG14</f>
        <v>0</v>
      </c>
      <c r="AX14" s="43">
        <f t="shared" ref="AX14:AX19" si="35">BF14</f>
        <v>194488.24969573269</v>
      </c>
      <c r="AY14" s="43">
        <f t="shared" ref="AY14:AY19" si="36">BH14</f>
        <v>0</v>
      </c>
      <c r="AZ14" s="43">
        <f t="shared" ref="AZ14:AZ19" si="37">BN14</f>
        <v>0</v>
      </c>
      <c r="BA14" s="36">
        <f t="shared" ref="BA14:BA19" si="38">+AF14+AP14</f>
        <v>0</v>
      </c>
      <c r="BB14" s="36"/>
      <c r="BC14" s="43">
        <f>ROUND(SUM(AQ14:BB14),2)+SUM(AQ15:BB15)</f>
        <v>733755.08297965419</v>
      </c>
      <c r="BD14" s="43">
        <f t="shared" ref="BD14:BD19" si="39">SUM(BF14:BN14)</f>
        <v>733755.08720238262</v>
      </c>
      <c r="BE14" s="44">
        <f t="shared" ref="BE14:BE19" si="40">IF(BD14=0,0,ROUND(BD14/BC14,6))</f>
        <v>1</v>
      </c>
      <c r="BF14" s="43">
        <f>SUMIFS('Fin Forecast'!$F$4:$F$545,'Fin Forecast'!$B$4:$B$545,'Sept16-Feb17 Transport'!$E14,'Fin Forecast'!$C$4:$C$545,'Sept16-Feb17 Transport'!$BF$5)*1000</f>
        <v>194488.24969573269</v>
      </c>
      <c r="BG14" s="43">
        <f>SUMIFS('Fin Forecast'!$F$4:$F$545,'Fin Forecast'!$B$4:$B$545,'Sept16-Feb17 Transport'!$E14,'Fin Forecast'!$C$4:$C$545,'Sept16-Feb17 Transport'!BG$5)*1000</f>
        <v>0</v>
      </c>
      <c r="BH14" s="43">
        <f>SUMIFS('Fin Forecast'!$F$4:$F$545,'Fin Forecast'!$B$4:$B$545,'Sept16-Feb17 Transport'!$E14,'Fin Forecast'!$C$4:$C$545,'Sept16-Feb17 Transport'!BH$5)*1000</f>
        <v>0</v>
      </c>
      <c r="BI14" s="43">
        <f>SUMIFS('Fin Forecast'!$F$4:$F$545,'Fin Forecast'!$B$4:$B$545,'Sept16-Feb17 Transport'!$E14,'Fin Forecast'!$C$4:$C$545,'Sept16-Feb17 Transport'!BI$5)*1000</f>
        <v>5175</v>
      </c>
      <c r="BJ14" s="43">
        <f>SUMIFS('Fin Forecast'!$F$4:$F$545,'Fin Forecast'!$B$4:$B$545,'Sept16-Feb17 Transport'!$E14,'Fin Forecast'!$C$4:$C$545,'Sept16-Feb17 Transport'!BJ$5)*1000</f>
        <v>40150</v>
      </c>
      <c r="BK14" s="43">
        <f>SUMIFS('Fin Forecast'!$F$4:$F$545,'Fin Forecast'!$B$4:$B$545,'Sept16-Feb17 Transport'!$E14,'Fin Forecast'!$C$4:$C$545,'Sept16-Feb17 Transport'!BK$5)*1000</f>
        <v>0</v>
      </c>
      <c r="BL14" s="43">
        <f>SUMIFS('Fin Forecast'!$F$4:$F$545,'Fin Forecast'!$B$4:$B$545,'Sept16-Feb17 Transport'!$E14,'Fin Forecast'!$C$4:$C$545,'Sept16-Feb17 Transport'!BL$5)*1000</f>
        <v>493941.83750664996</v>
      </c>
      <c r="BM14" s="43">
        <f>SUMIFS('Fin Forecast'!$F$4:$F$545,'Fin Forecast'!$B$4:$B$545,'Sept16-Feb17 Transport'!$E14,'Fin Forecast'!$C$4:$C$545,'Sept16-Feb17 Transport'!BM$5)*1000</f>
        <v>0</v>
      </c>
      <c r="BN14" s="43">
        <f>SUMIFS('Fin Forecast'!$F$4:$F$545,'Fin Forecast'!$B$4:$B$545,'Sept16-Feb17 Transport'!$E14,'Fin Forecast'!$C$4:$C$545,'Sept16-Feb17 Transport'!BN$5)*1000</f>
        <v>0</v>
      </c>
      <c r="BO14" s="21"/>
      <c r="BP14" s="51">
        <f t="shared" ref="BP14:BP19" si="41">+BC14-BD14</f>
        <v>-4.2227284284308553E-3</v>
      </c>
      <c r="BQ14" s="21"/>
      <c r="BR14" s="58">
        <f t="shared" ref="BR14:BR19" si="42">+AQ14+AR14-BK14</f>
        <v>0</v>
      </c>
      <c r="BS14" s="58">
        <f t="shared" ref="BS14:BS19" si="43">+AS14+AT14-BL14</f>
        <v>-467248.37296336907</v>
      </c>
      <c r="BT14" s="58">
        <f t="shared" ref="BT14:BT19" si="44">+AW14-BG14</f>
        <v>0</v>
      </c>
    </row>
    <row r="15" spans="1:72" x14ac:dyDescent="0.25">
      <c r="A15" s="21"/>
      <c r="B15" s="21"/>
      <c r="C15" s="14">
        <f>C14+1</f>
        <v>8</v>
      </c>
      <c r="D15" s="604">
        <f>D14</f>
        <v>42644</v>
      </c>
      <c r="E15" s="604" t="s">
        <v>52</v>
      </c>
      <c r="F15" s="14" t="str">
        <f t="shared" si="23"/>
        <v>896</v>
      </c>
      <c r="G15" s="14" t="str">
        <f>VLOOKUP(E15,'Retail Rates'!$B$7:$D$34,3,FALSE)</f>
        <v>FT-I</v>
      </c>
      <c r="H15" s="33">
        <f>SUMIF('Forecasted Customer Cts'!$D$5:$D$36,'Sept16-Feb17 Transport'!$E15,'Forecasted Customer Cts'!$O$5:$O$36)</f>
        <v>63</v>
      </c>
      <c r="I15" s="33"/>
      <c r="J15" s="33"/>
      <c r="K15" s="33">
        <f>SUMIF('Forecasted Calendar Month Usage'!$D$5:$D$41,'Sept16-Feb17 Transport'!$E15,'Forecasted Calendar Month Usage'!$O$5:$O$41)*10</f>
        <v>10861189.516031014</v>
      </c>
      <c r="L15" s="33"/>
      <c r="M15" s="33"/>
      <c r="N15" s="33"/>
      <c r="O15" s="34">
        <f>VLOOKUP($E15,'Retail Rates'!$B$7:$L$34,5,FALSE)</f>
        <v>0</v>
      </c>
      <c r="P15" s="34">
        <f>VLOOKUP($E15,'Retail Rates'!$B$7:$L$34,6,FALSE)</f>
        <v>0</v>
      </c>
      <c r="Q15" s="34">
        <f>VLOOKUP($E15,'Retail Rates'!$B$7:$L$34,9,FALSE)</f>
        <v>550</v>
      </c>
      <c r="R15" s="35">
        <f>VLOOKUP($E15,'Retail Rates'!$B$7:$L$34,7,FALSE)</f>
        <v>4.3020000000000003E-2</v>
      </c>
      <c r="S15" s="35">
        <f>VLOOKUP($E15,'Retail Rates'!$B$7:$L$34,8,FALSE)</f>
        <v>0</v>
      </c>
      <c r="T15" s="556">
        <v>75</v>
      </c>
      <c r="U15" s="34">
        <f>VLOOKUP($E15,'Retail Rates'!$B$7:$L$34,11,FALSE)</f>
        <v>0</v>
      </c>
      <c r="V15" s="35"/>
      <c r="W15" s="556"/>
      <c r="X15" s="36">
        <f t="shared" si="24"/>
        <v>0</v>
      </c>
      <c r="Y15" s="36">
        <f t="shared" si="25"/>
        <v>0</v>
      </c>
      <c r="Z15" s="36">
        <f>H15*Q15</f>
        <v>34650</v>
      </c>
      <c r="AA15" s="36">
        <f t="shared" si="26"/>
        <v>467248.37297965423</v>
      </c>
      <c r="AB15" s="36">
        <f t="shared" si="26"/>
        <v>0</v>
      </c>
      <c r="AC15" s="36">
        <f t="shared" si="27"/>
        <v>0</v>
      </c>
      <c r="AD15" s="36">
        <f>H15*V15</f>
        <v>0</v>
      </c>
      <c r="AE15" s="36"/>
      <c r="AF15" s="36">
        <f t="shared" si="28"/>
        <v>0</v>
      </c>
      <c r="AG15" s="36"/>
      <c r="AH15" s="57"/>
      <c r="AI15" s="57"/>
      <c r="AJ15" s="48"/>
      <c r="AK15" s="48"/>
      <c r="AL15" s="48"/>
      <c r="AM15" s="48"/>
      <c r="AN15" s="48"/>
      <c r="AO15" s="48"/>
      <c r="AP15" s="48"/>
      <c r="AQ15" s="36">
        <f t="shared" si="29"/>
        <v>0</v>
      </c>
      <c r="AR15" s="36">
        <f t="shared" si="30"/>
        <v>0</v>
      </c>
      <c r="AS15" s="36">
        <f t="shared" si="31"/>
        <v>467248.37297965423</v>
      </c>
      <c r="AT15" s="36">
        <f t="shared" si="31"/>
        <v>0</v>
      </c>
      <c r="AU15" s="36">
        <f t="shared" si="32"/>
        <v>34650</v>
      </c>
      <c r="AV15" s="36">
        <f t="shared" si="33"/>
        <v>0</v>
      </c>
      <c r="AW15" s="43">
        <f t="shared" si="34"/>
        <v>0</v>
      </c>
      <c r="AX15" s="43">
        <f t="shared" si="35"/>
        <v>0</v>
      </c>
      <c r="AY15" s="43">
        <f t="shared" si="36"/>
        <v>0</v>
      </c>
      <c r="AZ15" s="43">
        <f t="shared" si="37"/>
        <v>0</v>
      </c>
      <c r="BA15" s="36">
        <f t="shared" si="38"/>
        <v>0</v>
      </c>
      <c r="BB15" s="36"/>
      <c r="BC15" s="43"/>
      <c r="BD15" s="43">
        <f t="shared" si="39"/>
        <v>0</v>
      </c>
      <c r="BE15" s="44">
        <f t="shared" si="40"/>
        <v>0</v>
      </c>
      <c r="BF15" s="43">
        <f>SUMIFS('Fin Forecast'!$F$4:$F$545,'Fin Forecast'!$B$4:$B$545,'Sept16-Feb17 Transport'!$E15,'Fin Forecast'!$C$4:$C$545,'Sept16-Feb17 Transport'!$BF$5)*1000</f>
        <v>0</v>
      </c>
      <c r="BG15" s="43">
        <f>SUMIFS('Fin Forecast'!$F$4:$F$545,'Fin Forecast'!$B$4:$B$545,'Sept16-Feb17 Transport'!$E15,'Fin Forecast'!$C$4:$C$545,'Sept16-Feb17 Transport'!BG$5)*1000</f>
        <v>0</v>
      </c>
      <c r="BH15" s="43">
        <f>SUMIFS('Fin Forecast'!$F$4:$F$545,'Fin Forecast'!$B$4:$B$545,'Sept16-Feb17 Transport'!$E15,'Fin Forecast'!$C$4:$C$545,'Sept16-Feb17 Transport'!BH$5)*1000</f>
        <v>0</v>
      </c>
      <c r="BI15" s="43">
        <f>SUMIFS('Fin Forecast'!$F$4:$F$545,'Fin Forecast'!$B$4:$B$545,'Sept16-Feb17 Transport'!$E15,'Fin Forecast'!$C$4:$C$545,'Sept16-Feb17 Transport'!BI$5)*1000</f>
        <v>0</v>
      </c>
      <c r="BJ15" s="43">
        <f>SUMIFS('Fin Forecast'!$F$4:$F$545,'Fin Forecast'!$B$4:$B$545,'Sept16-Feb17 Transport'!$E15,'Fin Forecast'!$C$4:$C$545,'Sept16-Feb17 Transport'!BJ$5)*1000</f>
        <v>0</v>
      </c>
      <c r="BK15" s="43">
        <f>SUMIFS('Fin Forecast'!$F$4:$F$545,'Fin Forecast'!$B$4:$B$545,'Sept16-Feb17 Transport'!$E15,'Fin Forecast'!$C$4:$C$545,'Sept16-Feb17 Transport'!BK$5)*1000</f>
        <v>0</v>
      </c>
      <c r="BL15" s="43">
        <f>SUMIFS('Fin Forecast'!$F$4:$F$545,'Fin Forecast'!$B$4:$B$545,'Sept16-Feb17 Transport'!$E15,'Fin Forecast'!$C$4:$C$545,'Sept16-Feb17 Transport'!BL$5)*1000</f>
        <v>0</v>
      </c>
      <c r="BM15" s="43">
        <f>SUMIFS('Fin Forecast'!$F$4:$F$545,'Fin Forecast'!$B$4:$B$545,'Sept16-Feb17 Transport'!$E15,'Fin Forecast'!$C$4:$C$545,'Sept16-Feb17 Transport'!BM$5)*1000</f>
        <v>0</v>
      </c>
      <c r="BN15" s="43">
        <f>SUMIFS('Fin Forecast'!$F$4:$F$545,'Fin Forecast'!$B$4:$B$545,'Sept16-Feb17 Transport'!$E15,'Fin Forecast'!$C$4:$C$545,'Sept16-Feb17 Transport'!BN$5)*1000</f>
        <v>0</v>
      </c>
      <c r="BO15" s="21"/>
      <c r="BP15" s="51">
        <f t="shared" si="41"/>
        <v>0</v>
      </c>
      <c r="BQ15" s="21"/>
      <c r="BR15" s="58">
        <f t="shared" si="42"/>
        <v>0</v>
      </c>
      <c r="BS15" s="58">
        <f t="shared" si="43"/>
        <v>467248.37297965423</v>
      </c>
      <c r="BT15" s="58">
        <f t="shared" si="44"/>
        <v>0</v>
      </c>
    </row>
    <row r="16" spans="1:72" x14ac:dyDescent="0.25">
      <c r="A16" s="21"/>
      <c r="B16" s="21" t="s">
        <v>800</v>
      </c>
      <c r="C16" s="14">
        <f>C15+1</f>
        <v>9</v>
      </c>
      <c r="D16" s="604">
        <f>D15</f>
        <v>42644</v>
      </c>
      <c r="E16" s="604" t="s">
        <v>42</v>
      </c>
      <c r="F16" s="14" t="str">
        <f t="shared" si="23"/>
        <v>882</v>
      </c>
      <c r="G16" s="14" t="str">
        <f>VLOOKUP(E16,'Retail Rates'!$B$7:$D$34,3,FALSE)</f>
        <v>IGS-TS-2</v>
      </c>
      <c r="H16" s="33"/>
      <c r="I16" s="33"/>
      <c r="J16" s="33">
        <f>SUMIFS('Forecasted Customer Cts'!$N$5:$N$36,'Forecasted Customer Cts'!$D$5:$D$36,'Sept16-Feb17 Transport'!$E16,'Forecasted Customer Cts'!$C$5:$C$36,'Sept16-Feb17 Transport'!$B16)</f>
        <v>5</v>
      </c>
      <c r="K16" s="33">
        <v>5000</v>
      </c>
      <c r="L16" s="33">
        <f>(SUMIFS('Forecasted Calendar Month Usage'!$O$5:$O$41,'Forecasted Calendar Month Usage'!$D$5:$D$41,'Sept16-Feb17 Transport'!$E16,'Forecasted Calendar Month Usage'!$C$5:$C$41,'Sept16-Feb17 Transport'!$A18)*10)-K16</f>
        <v>631882.31711269077</v>
      </c>
      <c r="M16" s="33">
        <v>2</v>
      </c>
      <c r="N16" s="33"/>
      <c r="O16" s="34">
        <f>VLOOKUP($E16,'Retail Rates'!$B$7:$L$34,5,FALSE)</f>
        <v>40</v>
      </c>
      <c r="P16" s="34">
        <f>VLOOKUP($E16,'Retail Rates'!$B$7:$L$34,6,FALSE)</f>
        <v>180</v>
      </c>
      <c r="Q16" s="34">
        <f>VLOOKUP($E16,'Retail Rates'!$B$7:$L$34,9,FALSE)</f>
        <v>550</v>
      </c>
      <c r="R16" s="35">
        <f>VLOOKUP($E16,'Retail Rates'!$B$7:$L$34,7,FALSE)</f>
        <v>0.22778999999999999</v>
      </c>
      <c r="S16" s="35">
        <f>VLOOKUP($E16,'Retail Rates'!$B$7:$L$34,8,FALSE)</f>
        <v>0.17779</v>
      </c>
      <c r="T16" s="556">
        <v>75</v>
      </c>
      <c r="U16" s="34">
        <f>VLOOKUP($E16,'Retail Rates'!$B$7:$L$34,11,FALSE)</f>
        <v>0</v>
      </c>
      <c r="V16" s="556"/>
      <c r="W16" s="556"/>
      <c r="X16" s="36">
        <f t="shared" si="24"/>
        <v>0</v>
      </c>
      <c r="Y16" s="36">
        <f t="shared" si="25"/>
        <v>900</v>
      </c>
      <c r="Z16" s="36">
        <f>(I16+J16)*Q16</f>
        <v>2750</v>
      </c>
      <c r="AA16" s="36">
        <f t="shared" si="26"/>
        <v>1138.95</v>
      </c>
      <c r="AB16" s="36">
        <f t="shared" si="26"/>
        <v>112342.35715946529</v>
      </c>
      <c r="AC16" s="36">
        <f t="shared" si="27"/>
        <v>150</v>
      </c>
      <c r="AD16" s="36">
        <f>(I16+J16)*V16</f>
        <v>0</v>
      </c>
      <c r="AE16" s="36"/>
      <c r="AF16" s="36">
        <f t="shared" si="28"/>
        <v>0</v>
      </c>
      <c r="AG16" s="36"/>
      <c r="AH16" s="57"/>
      <c r="AI16" s="57"/>
      <c r="AJ16" s="48"/>
      <c r="AK16" s="48"/>
      <c r="AL16" s="48"/>
      <c r="AM16" s="48"/>
      <c r="AN16" s="48"/>
      <c r="AO16" s="48"/>
      <c r="AP16" s="48"/>
      <c r="AQ16" s="36">
        <f t="shared" si="29"/>
        <v>0</v>
      </c>
      <c r="AR16" s="36">
        <f t="shared" si="30"/>
        <v>900</v>
      </c>
      <c r="AS16" s="36">
        <f t="shared" si="31"/>
        <v>1138.95</v>
      </c>
      <c r="AT16" s="36">
        <f t="shared" si="31"/>
        <v>112342.35715946529</v>
      </c>
      <c r="AU16" s="36">
        <f t="shared" si="32"/>
        <v>2750</v>
      </c>
      <c r="AV16" s="36">
        <f t="shared" si="33"/>
        <v>150</v>
      </c>
      <c r="AW16" s="43">
        <f t="shared" si="34"/>
        <v>0</v>
      </c>
      <c r="AX16" s="43">
        <f t="shared" si="35"/>
        <v>0</v>
      </c>
      <c r="AY16" s="43">
        <f t="shared" si="36"/>
        <v>0</v>
      </c>
      <c r="AZ16" s="43">
        <f t="shared" si="37"/>
        <v>7969.4662024940399</v>
      </c>
      <c r="BA16" s="36">
        <f t="shared" si="38"/>
        <v>0</v>
      </c>
      <c r="BB16" s="36"/>
      <c r="BC16" s="43">
        <f>ROUND(SUM(AQ16:BB16),2)</f>
        <v>125250.77</v>
      </c>
      <c r="BD16" s="43">
        <f t="shared" si="39"/>
        <v>125250.77336859204</v>
      </c>
      <c r="BE16" s="44">
        <f t="shared" si="40"/>
        <v>1</v>
      </c>
      <c r="BF16" s="43">
        <f>SUMIFS('Fin Forecast'!$F$4:$F$545,'Fin Forecast'!$B$4:$B$545,'Sept16-Feb17 Transport'!$E16,'Fin Forecast'!$C$4:$C$545,'Sept16-Feb17 Transport'!$BF$5)*1000</f>
        <v>0</v>
      </c>
      <c r="BG16" s="43">
        <f>SUMIFS('Fin Forecast'!$F$4:$F$545,'Fin Forecast'!$B$4:$B$545,'Sept16-Feb17 Transport'!$E16,'Fin Forecast'!$C$4:$C$545,'Sept16-Feb17 Transport'!BG$5)*1000</f>
        <v>0</v>
      </c>
      <c r="BH16" s="43">
        <f>SUMIFS('Fin Forecast'!$F$4:$F$545,'Fin Forecast'!$B$4:$B$545,'Sept16-Feb17 Transport'!$E16,'Fin Forecast'!$C$4:$C$545,'Sept16-Feb17 Transport'!BH$5)*1000</f>
        <v>0</v>
      </c>
      <c r="BI16" s="43">
        <f>SUMIFS('Fin Forecast'!$F$4:$F$545,'Fin Forecast'!$B$4:$B$545,'Sept16-Feb17 Transport'!$E16,'Fin Forecast'!$C$4:$C$545,'Sept16-Feb17 Transport'!BI$5)*1000</f>
        <v>150</v>
      </c>
      <c r="BJ16" s="43">
        <f>SUMIFS('Fin Forecast'!$F$4:$F$545,'Fin Forecast'!$B$4:$B$545,'Sept16-Feb17 Transport'!$E16,'Fin Forecast'!$C$4:$C$545,'Sept16-Feb17 Transport'!BJ$5)*1000</f>
        <v>2750</v>
      </c>
      <c r="BK16" s="43">
        <f>SUMIFS('Fin Forecast'!$F$4:$F$545,'Fin Forecast'!$B$4:$B$545,'Sept16-Feb17 Transport'!$E16,'Fin Forecast'!$C$4:$C$545,'Sept16-Feb17 Transport'!BK$5)*1000</f>
        <v>900</v>
      </c>
      <c r="BL16" s="43">
        <f>SUMIFS('Fin Forecast'!$F$4:$F$545,'Fin Forecast'!$B$4:$B$545,'Sept16-Feb17 Transport'!$E16,'Fin Forecast'!$C$4:$C$545,'Sept16-Feb17 Transport'!BL$5)*1000</f>
        <v>113481.30716609801</v>
      </c>
      <c r="BM16" s="43">
        <f>SUMIFS('Fin Forecast'!$F$4:$F$545,'Fin Forecast'!$B$4:$B$545,'Sept16-Feb17 Transport'!$E16,'Fin Forecast'!$C$4:$C$545,'Sept16-Feb17 Transport'!BM$5)*1000</f>
        <v>0</v>
      </c>
      <c r="BN16" s="43">
        <f>SUMIFS('Fin Forecast'!$F$4:$F$545,'Fin Forecast'!$B$4:$B$545,'Sept16-Feb17 Transport'!$E16,'Fin Forecast'!$C$4:$C$545,'Sept16-Feb17 Transport'!BN$5)*1000</f>
        <v>7969.4662024940399</v>
      </c>
      <c r="BO16" s="21"/>
      <c r="BP16" s="51">
        <f t="shared" si="41"/>
        <v>-3.3685920352581888E-3</v>
      </c>
      <c r="BQ16" s="21"/>
      <c r="BR16" s="58">
        <f t="shared" si="42"/>
        <v>0</v>
      </c>
      <c r="BS16" s="58">
        <f t="shared" si="43"/>
        <v>-6.632719305343926E-6</v>
      </c>
      <c r="BT16" s="58">
        <f t="shared" si="44"/>
        <v>0</v>
      </c>
    </row>
    <row r="17" spans="1:72" x14ac:dyDescent="0.25">
      <c r="A17" s="21" t="s">
        <v>801</v>
      </c>
      <c r="B17" s="21"/>
      <c r="C17" s="14">
        <f>C16+1</f>
        <v>10</v>
      </c>
      <c r="D17" s="604">
        <f>D16</f>
        <v>42644</v>
      </c>
      <c r="E17" s="604" t="s">
        <v>96</v>
      </c>
      <c r="F17" s="14" t="str">
        <f t="shared" si="23"/>
        <v>892</v>
      </c>
      <c r="G17" s="14" t="str">
        <f>VLOOKUP(E17,'Retail Rates'!$B$7:$D$34,3,FALSE)</f>
        <v>AAGS-I-TS-2</v>
      </c>
      <c r="H17" s="33">
        <f>SUMIF('Forecasted Customer Cts'!$D$5:$D$36,'Sept16-Feb17 Transport'!$E17,'Forecasted Customer Cts'!$O$5:$O$36)</f>
        <v>2</v>
      </c>
      <c r="I17" s="33"/>
      <c r="J17" s="33"/>
      <c r="K17" s="33">
        <f>SUMIF('Forecasted Calendar Month Usage'!$D$5:$D$41,'Sept16-Feb17 Transport'!$E17,'Forecasted Calendar Month Usage'!$O$5:$O$41)*10</f>
        <v>411405.1396498885</v>
      </c>
      <c r="L17" s="33"/>
      <c r="M17" s="33"/>
      <c r="N17" s="33"/>
      <c r="O17" s="34">
        <f>VLOOKUP($E17,'Retail Rates'!$B$7:$L$34,5,FALSE)</f>
        <v>400</v>
      </c>
      <c r="P17" s="34">
        <f>VLOOKUP($E17,'Retail Rates'!$B$7:$L$34,6,FALSE)</f>
        <v>0</v>
      </c>
      <c r="Q17" s="34">
        <f>VLOOKUP($E17,'Retail Rates'!$B$7:$L$34,9,FALSE)</f>
        <v>550</v>
      </c>
      <c r="R17" s="35">
        <f>VLOOKUP($E17,'Retail Rates'!$B$7:$L$34,7,FALSE)</f>
        <v>7.009E-2</v>
      </c>
      <c r="S17" s="35">
        <f>VLOOKUP($E17,'Retail Rates'!$B$7:$L$34,8,FALSE)</f>
        <v>0</v>
      </c>
      <c r="T17" s="556">
        <v>75</v>
      </c>
      <c r="U17" s="34">
        <f>VLOOKUP($E17,'Retail Rates'!$B$7:$L$34,11,FALSE)</f>
        <v>0</v>
      </c>
      <c r="V17" s="556"/>
      <c r="W17" s="556"/>
      <c r="X17" s="36">
        <f t="shared" si="24"/>
        <v>800</v>
      </c>
      <c r="Y17" s="36">
        <f t="shared" si="25"/>
        <v>0</v>
      </c>
      <c r="Z17" s="36">
        <f>H17*Q17</f>
        <v>1100</v>
      </c>
      <c r="AA17" s="36">
        <f t="shared" si="26"/>
        <v>28835.386238060684</v>
      </c>
      <c r="AB17" s="36">
        <f t="shared" si="26"/>
        <v>0</v>
      </c>
      <c r="AC17" s="36">
        <f t="shared" si="27"/>
        <v>0</v>
      </c>
      <c r="AD17" s="36">
        <f>H17*V17</f>
        <v>0</v>
      </c>
      <c r="AE17" s="36"/>
      <c r="AF17" s="36">
        <f t="shared" si="28"/>
        <v>0</v>
      </c>
      <c r="AG17" s="36"/>
      <c r="AH17" s="57"/>
      <c r="AI17" s="57"/>
      <c r="AJ17" s="48"/>
      <c r="AK17" s="48"/>
      <c r="AL17" s="48"/>
      <c r="AM17" s="48"/>
      <c r="AN17" s="48"/>
      <c r="AO17" s="48"/>
      <c r="AP17" s="48"/>
      <c r="AQ17" s="36">
        <f t="shared" si="29"/>
        <v>800</v>
      </c>
      <c r="AR17" s="36">
        <f t="shared" si="30"/>
        <v>0</v>
      </c>
      <c r="AS17" s="36">
        <f t="shared" si="31"/>
        <v>28835.386238060684</v>
      </c>
      <c r="AT17" s="36">
        <f t="shared" si="31"/>
        <v>0</v>
      </c>
      <c r="AU17" s="36">
        <f t="shared" si="32"/>
        <v>1100</v>
      </c>
      <c r="AV17" s="36">
        <f t="shared" si="33"/>
        <v>0</v>
      </c>
      <c r="AW17" s="43">
        <f t="shared" si="34"/>
        <v>0</v>
      </c>
      <c r="AX17" s="43">
        <f t="shared" si="35"/>
        <v>0</v>
      </c>
      <c r="AY17" s="43">
        <f t="shared" si="36"/>
        <v>0</v>
      </c>
      <c r="AZ17" s="43">
        <f t="shared" si="37"/>
        <v>4496.5033439952304</v>
      </c>
      <c r="BA17" s="36">
        <f t="shared" si="38"/>
        <v>0</v>
      </c>
      <c r="BB17" s="36"/>
      <c r="BC17" s="43">
        <f>ROUND(SUM(AQ17:BB17),2)</f>
        <v>35231.89</v>
      </c>
      <c r="BD17" s="43">
        <f t="shared" si="39"/>
        <v>35231.889582055926</v>
      </c>
      <c r="BE17" s="44">
        <f t="shared" si="40"/>
        <v>1</v>
      </c>
      <c r="BF17" s="43">
        <f>SUMIFS('Fin Forecast'!$F$4:$F$545,'Fin Forecast'!$B$4:$B$545,'Sept16-Feb17 Transport'!$E17,'Fin Forecast'!$C$4:$C$545,'Sept16-Feb17 Transport'!$BF$5)*1000</f>
        <v>0</v>
      </c>
      <c r="BG17" s="43">
        <f>SUMIFS('Fin Forecast'!$F$4:$F$545,'Fin Forecast'!$B$4:$B$545,'Sept16-Feb17 Transport'!$E17,'Fin Forecast'!$C$4:$C$545,'Sept16-Feb17 Transport'!BG$5)*1000</f>
        <v>0</v>
      </c>
      <c r="BH17" s="43">
        <f>SUMIFS('Fin Forecast'!$F$4:$F$545,'Fin Forecast'!$B$4:$B$545,'Sept16-Feb17 Transport'!$E17,'Fin Forecast'!$C$4:$C$545,'Sept16-Feb17 Transport'!BH$5)*1000</f>
        <v>0</v>
      </c>
      <c r="BI17" s="43">
        <f>SUMIFS('Fin Forecast'!$F$4:$F$545,'Fin Forecast'!$B$4:$B$545,'Sept16-Feb17 Transport'!$E17,'Fin Forecast'!$C$4:$C$545,'Sept16-Feb17 Transport'!BI$5)*1000</f>
        <v>0</v>
      </c>
      <c r="BJ17" s="43">
        <f>SUMIFS('Fin Forecast'!$F$4:$F$545,'Fin Forecast'!$B$4:$B$545,'Sept16-Feb17 Transport'!$E17,'Fin Forecast'!$C$4:$C$545,'Sept16-Feb17 Transport'!BJ$5)*1000</f>
        <v>1100</v>
      </c>
      <c r="BK17" s="43">
        <f>SUMIFS('Fin Forecast'!$F$4:$F$545,'Fin Forecast'!$B$4:$B$545,'Sept16-Feb17 Transport'!$E17,'Fin Forecast'!$C$4:$C$545,'Sept16-Feb17 Transport'!BK$5)*1000</f>
        <v>800</v>
      </c>
      <c r="BL17" s="43">
        <f>SUMIFS('Fin Forecast'!$F$4:$F$545,'Fin Forecast'!$B$4:$B$545,'Sept16-Feb17 Transport'!$E17,'Fin Forecast'!$C$4:$C$545,'Sept16-Feb17 Transport'!BL$5)*1000</f>
        <v>28835.386238060699</v>
      </c>
      <c r="BM17" s="43">
        <f>SUMIFS('Fin Forecast'!$F$4:$F$545,'Fin Forecast'!$B$4:$B$545,'Sept16-Feb17 Transport'!$E17,'Fin Forecast'!$C$4:$C$545,'Sept16-Feb17 Transport'!BM$5)*1000</f>
        <v>0</v>
      </c>
      <c r="BN17" s="43">
        <f>SUMIFS('Fin Forecast'!$F$4:$F$545,'Fin Forecast'!$B$4:$B$545,'Sept16-Feb17 Transport'!$E17,'Fin Forecast'!$C$4:$C$545,'Sept16-Feb17 Transport'!BN$5)*1000</f>
        <v>4496.5033439952304</v>
      </c>
      <c r="BO17" s="21"/>
      <c r="BP17" s="51">
        <f t="shared" si="41"/>
        <v>4.1794407297857106E-4</v>
      </c>
      <c r="BQ17" s="21"/>
      <c r="BR17" s="58">
        <f t="shared" si="42"/>
        <v>0</v>
      </c>
      <c r="BS17" s="58">
        <f t="shared" si="43"/>
        <v>0</v>
      </c>
      <c r="BT17" s="58">
        <f t="shared" si="44"/>
        <v>0</v>
      </c>
    </row>
    <row r="18" spans="1:72" x14ac:dyDescent="0.25">
      <c r="A18" s="21" t="s">
        <v>802</v>
      </c>
      <c r="B18" s="21"/>
      <c r="C18" s="14">
        <f>C17+1</f>
        <v>11</v>
      </c>
      <c r="D18" s="604">
        <f>D17</f>
        <v>42644</v>
      </c>
      <c r="E18" s="604" t="s">
        <v>57</v>
      </c>
      <c r="F18" s="14" t="str">
        <f t="shared" si="23"/>
        <v>997</v>
      </c>
      <c r="G18" s="14" t="str">
        <f>VLOOKUP(E18,'Retail Rates'!$B$7:$D$34,3,FALSE)</f>
        <v>SPC-P</v>
      </c>
      <c r="H18" s="33">
        <f>SUMIF('Forecasted Customer Cts'!$D$5:$D$36,'Sept16-Feb17 Transport'!$E18,'Forecasted Customer Cts'!$O$5:$O$36)</f>
        <v>0</v>
      </c>
      <c r="I18" s="33"/>
      <c r="J18" s="33"/>
      <c r="K18" s="33">
        <f>SUMIF('Forecasted Calendar Month Usage'!$D$5:$D$41,'Sept16-Feb17 Transport'!$E18,'Forecasted Calendar Month Usage'!$O$5:$O$41)*10</f>
        <v>0</v>
      </c>
      <c r="L18" s="33"/>
      <c r="M18" s="33"/>
      <c r="N18" s="33">
        <f>43200*10</f>
        <v>432000</v>
      </c>
      <c r="O18" s="34">
        <f>VLOOKUP($E18,'Retail Rates'!$B$7:$L$34,5,FALSE)</f>
        <v>800</v>
      </c>
      <c r="P18" s="34">
        <f>VLOOKUP($E18,'Retail Rates'!$B$7:$L$34,6,FALSE)</f>
        <v>0</v>
      </c>
      <c r="Q18" s="34">
        <f>VLOOKUP($E18,'Retail Rates'!$B$7:$L$34,9,FALSE)</f>
        <v>0</v>
      </c>
      <c r="R18" s="35">
        <f>VLOOKUP($E18,'Retail Rates'!$B$7:$L$34,7,FALSE)</f>
        <v>4.9699999999999996E-3</v>
      </c>
      <c r="S18" s="35">
        <f>VLOOKUP($E18,'Retail Rates'!$B$7:$L$34,8,FALSE)</f>
        <v>0</v>
      </c>
      <c r="T18" s="556">
        <v>75</v>
      </c>
      <c r="U18" s="699">
        <f>VLOOKUP($E18,'Retail Rates'!$B$7:$L$34,11,FALSE)</f>
        <v>0.24801000000000001</v>
      </c>
      <c r="V18" s="35"/>
      <c r="W18" s="556"/>
      <c r="X18" s="36">
        <f t="shared" si="24"/>
        <v>0</v>
      </c>
      <c r="Y18" s="36">
        <f t="shared" si="25"/>
        <v>0</v>
      </c>
      <c r="Z18" s="36">
        <f>H18*Q18</f>
        <v>0</v>
      </c>
      <c r="AA18" s="36">
        <f t="shared" si="26"/>
        <v>0</v>
      </c>
      <c r="AB18" s="36">
        <f t="shared" si="26"/>
        <v>0</v>
      </c>
      <c r="AC18" s="36">
        <f t="shared" si="27"/>
        <v>0</v>
      </c>
      <c r="AD18" s="36">
        <f>H18*V18</f>
        <v>0</v>
      </c>
      <c r="AE18" s="36"/>
      <c r="AF18" s="36">
        <f t="shared" si="28"/>
        <v>107140.32</v>
      </c>
      <c r="AG18" s="36"/>
      <c r="AH18" s="57"/>
      <c r="AI18" s="57"/>
      <c r="AJ18" s="48"/>
      <c r="AK18" s="48"/>
      <c r="AL18" s="48"/>
      <c r="AM18" s="48"/>
      <c r="AN18" s="48"/>
      <c r="AO18" s="48"/>
      <c r="AP18" s="48"/>
      <c r="AQ18" s="36">
        <f t="shared" si="29"/>
        <v>0</v>
      </c>
      <c r="AR18" s="36">
        <f t="shared" si="30"/>
        <v>0</v>
      </c>
      <c r="AS18" s="36">
        <f t="shared" si="31"/>
        <v>0</v>
      </c>
      <c r="AT18" s="36">
        <f t="shared" si="31"/>
        <v>0</v>
      </c>
      <c r="AU18" s="36">
        <f t="shared" si="32"/>
        <v>0</v>
      </c>
      <c r="AV18" s="36">
        <f t="shared" si="33"/>
        <v>0</v>
      </c>
      <c r="AW18" s="43">
        <f t="shared" si="34"/>
        <v>0</v>
      </c>
      <c r="AX18" s="43">
        <f t="shared" si="35"/>
        <v>0</v>
      </c>
      <c r="AY18" s="43">
        <f t="shared" si="36"/>
        <v>0</v>
      </c>
      <c r="AZ18" s="43">
        <f t="shared" si="37"/>
        <v>0</v>
      </c>
      <c r="BA18" s="36">
        <f t="shared" si="38"/>
        <v>107140.32</v>
      </c>
      <c r="BB18" s="36"/>
      <c r="BC18" s="43">
        <f>ROUND(SUM(AQ18:BB18),2)</f>
        <v>107140.32</v>
      </c>
      <c r="BD18" s="43">
        <f t="shared" si="39"/>
        <v>107140.32</v>
      </c>
      <c r="BE18" s="44">
        <f t="shared" si="40"/>
        <v>1</v>
      </c>
      <c r="BF18" s="43">
        <f>SUMIFS('Fin Forecast'!$F$4:$F$545,'Fin Forecast'!$B$4:$B$545,'Sept16-Feb17 Transport'!$E18,'Fin Forecast'!$C$4:$C$545,'Sept16-Feb17 Transport'!$BF$5)*1000</f>
        <v>0</v>
      </c>
      <c r="BG18" s="43">
        <f>SUMIFS('Fin Forecast'!$F$4:$F$545,'Fin Forecast'!$B$4:$B$545,'Sept16-Feb17 Transport'!$E18,'Fin Forecast'!$C$4:$C$545,'Sept16-Feb17 Transport'!BG$5)*1000</f>
        <v>0</v>
      </c>
      <c r="BH18" s="43">
        <f>SUMIFS('Fin Forecast'!$F$4:$F$545,'Fin Forecast'!$B$4:$B$545,'Sept16-Feb17 Transport'!$E18,'Fin Forecast'!$C$4:$C$545,'Sept16-Feb17 Transport'!BH$5)*1000</f>
        <v>0</v>
      </c>
      <c r="BI18" s="43">
        <f>SUMIFS('Fin Forecast'!$F$4:$F$545,'Fin Forecast'!$B$4:$B$545,'Sept16-Feb17 Transport'!$E18,'Fin Forecast'!$C$4:$C$545,'Sept16-Feb17 Transport'!BI$5)*1000</f>
        <v>0</v>
      </c>
      <c r="BJ18" s="43">
        <f>SUMIFS('Fin Forecast'!$F$4:$F$545,'Fin Forecast'!$B$4:$B$545,'Sept16-Feb17 Transport'!$E18,'Fin Forecast'!$C$4:$C$545,'Sept16-Feb17 Transport'!BJ$5)*1000</f>
        <v>0</v>
      </c>
      <c r="BK18" s="43">
        <f>SUMIFS('Fin Forecast'!$F$4:$F$545,'Fin Forecast'!$B$4:$B$545,'Sept16-Feb17 Transport'!$E18,'Fin Forecast'!$C$4:$C$545,'Sept16-Feb17 Transport'!BK$5)*1000</f>
        <v>0</v>
      </c>
      <c r="BL18" s="43">
        <f>SUMIFS('Fin Forecast'!$F$4:$F$545,'Fin Forecast'!$B$4:$B$545,'Sept16-Feb17 Transport'!$E18,'Fin Forecast'!$C$4:$C$545,'Sept16-Feb17 Transport'!BL$5)*1000</f>
        <v>0</v>
      </c>
      <c r="BM18" s="43">
        <f>SUMIFS('Fin Forecast'!$F$4:$F$545,'Fin Forecast'!$B$4:$B$545,'Sept16-Feb17 Transport'!$E18,'Fin Forecast'!$C$4:$C$545,'Sept16-Feb17 Transport'!BM$5)*1000</f>
        <v>107140.32</v>
      </c>
      <c r="BN18" s="43">
        <f>SUMIFS('Fin Forecast'!$F$4:$F$545,'Fin Forecast'!$B$4:$B$545,'Sept16-Feb17 Transport'!$E18,'Fin Forecast'!$C$4:$C$545,'Sept16-Feb17 Transport'!BN$5)*1000</f>
        <v>0</v>
      </c>
      <c r="BO18" s="21"/>
      <c r="BP18" s="51">
        <f t="shared" si="41"/>
        <v>0</v>
      </c>
      <c r="BQ18" s="21"/>
      <c r="BR18" s="58">
        <f t="shared" si="42"/>
        <v>0</v>
      </c>
      <c r="BS18" s="58">
        <f t="shared" si="43"/>
        <v>0</v>
      </c>
      <c r="BT18" s="58">
        <f t="shared" si="44"/>
        <v>0</v>
      </c>
    </row>
    <row r="19" spans="1:72" x14ac:dyDescent="0.25">
      <c r="A19" s="21"/>
      <c r="B19" s="21"/>
      <c r="C19" s="14">
        <f>C18+1</f>
        <v>12</v>
      </c>
      <c r="D19" s="604">
        <f>D18</f>
        <v>42644</v>
      </c>
      <c r="E19" s="604" t="s">
        <v>45</v>
      </c>
      <c r="F19" s="14" t="str">
        <f t="shared" si="23"/>
        <v>996</v>
      </c>
      <c r="G19" s="14" t="str">
        <f>VLOOKUP(E19,'Retail Rates'!$B$7:$D$34,3,FALSE)</f>
        <v>SPC-LGE</v>
      </c>
      <c r="H19" s="33">
        <f>SUMIF('Forecasted Customer Cts'!$D$5:$D$36,'Sept16-Feb17 Transport'!$E19,'Forecasted Customer Cts'!$O$5:$O$36)</f>
        <v>1</v>
      </c>
      <c r="I19" s="33"/>
      <c r="J19" s="33"/>
      <c r="K19" s="33">
        <f>SUMIF('Forecasted Calendar Month Usage'!$D$5:$D$41,'Sept16-Feb17 Transport'!$E19,'Forecasted Calendar Month Usage'!$O$5:$O$41)*10</f>
        <v>82405.999999999985</v>
      </c>
      <c r="L19" s="33"/>
      <c r="M19" s="33"/>
      <c r="N19" s="33">
        <f>16560*10</f>
        <v>165600</v>
      </c>
      <c r="O19" s="34">
        <f>VLOOKUP($E19,'Retail Rates'!$B$7:$L$34,5,FALSE)</f>
        <v>180</v>
      </c>
      <c r="P19" s="34">
        <f>VLOOKUP($E19,'Retail Rates'!$B$7:$L$34,6,FALSE)</f>
        <v>0</v>
      </c>
      <c r="Q19" s="34">
        <f>VLOOKUP($E19,'Retail Rates'!$B$7:$L$34,9,FALSE)</f>
        <v>0</v>
      </c>
      <c r="R19" s="35">
        <f>VLOOKUP($E19,'Retail Rates'!$B$7:$L$34,7,FALSE)</f>
        <v>3.329E-2</v>
      </c>
      <c r="S19" s="35">
        <f>VLOOKUP($E19,'Retail Rates'!$B$7:$L$34,8,FALSE)</f>
        <v>0</v>
      </c>
      <c r="T19" s="556">
        <v>75</v>
      </c>
      <c r="U19" s="699">
        <f>VLOOKUP($E19,'Retail Rates'!$B$7:$L$34,11,FALSE)</f>
        <v>1.12629</v>
      </c>
      <c r="V19" s="35"/>
      <c r="W19" s="556"/>
      <c r="X19" s="36">
        <f t="shared" si="24"/>
        <v>180</v>
      </c>
      <c r="Y19" s="36">
        <f t="shared" si="25"/>
        <v>0</v>
      </c>
      <c r="Z19" s="36">
        <f>H19*Q19</f>
        <v>0</v>
      </c>
      <c r="AA19" s="36">
        <f t="shared" si="26"/>
        <v>2743.2957399999996</v>
      </c>
      <c r="AB19" s="36">
        <f t="shared" si="26"/>
        <v>0</v>
      </c>
      <c r="AC19" s="36">
        <f t="shared" si="27"/>
        <v>0</v>
      </c>
      <c r="AD19" s="36">
        <f>H19*V19</f>
        <v>0</v>
      </c>
      <c r="AE19" s="36"/>
      <c r="AF19" s="36">
        <f t="shared" si="28"/>
        <v>186513.62400000001</v>
      </c>
      <c r="AG19" s="36"/>
      <c r="AH19" s="57"/>
      <c r="AI19" s="57"/>
      <c r="AJ19" s="48"/>
      <c r="AK19" s="48"/>
      <c r="AL19" s="48"/>
      <c r="AM19" s="48"/>
      <c r="AN19" s="48"/>
      <c r="AO19" s="48"/>
      <c r="AP19" s="48"/>
      <c r="AQ19" s="36">
        <f t="shared" si="29"/>
        <v>180</v>
      </c>
      <c r="AR19" s="36">
        <f t="shared" si="30"/>
        <v>0</v>
      </c>
      <c r="AS19" s="36">
        <f t="shared" si="31"/>
        <v>2743.2957399999996</v>
      </c>
      <c r="AT19" s="36">
        <f t="shared" si="31"/>
        <v>0</v>
      </c>
      <c r="AU19" s="36">
        <f t="shared" si="32"/>
        <v>0</v>
      </c>
      <c r="AV19" s="36">
        <f t="shared" si="33"/>
        <v>0</v>
      </c>
      <c r="AW19" s="43">
        <f t="shared" si="34"/>
        <v>33642.691632251597</v>
      </c>
      <c r="AX19" s="43">
        <f t="shared" si="35"/>
        <v>0</v>
      </c>
      <c r="AY19" s="43">
        <f t="shared" si="36"/>
        <v>0</v>
      </c>
      <c r="AZ19" s="43">
        <f t="shared" si="37"/>
        <v>0</v>
      </c>
      <c r="BA19" s="36">
        <f t="shared" si="38"/>
        <v>186513.62400000001</v>
      </c>
      <c r="BB19" s="36"/>
      <c r="BC19" s="43">
        <f>ROUND(SUM(AQ19:BB19),2)</f>
        <v>223079.61</v>
      </c>
      <c r="BD19" s="43">
        <f t="shared" si="39"/>
        <v>223079.61137225159</v>
      </c>
      <c r="BE19" s="44">
        <f t="shared" si="40"/>
        <v>1</v>
      </c>
      <c r="BF19" s="43">
        <f>SUMIFS('Fin Forecast'!$F$4:$F$545,'Fin Forecast'!$B$4:$B$545,'Sept16-Feb17 Transport'!$E19,'Fin Forecast'!$C$4:$C$545,'Sept16-Feb17 Transport'!$BF$5)*1000</f>
        <v>0</v>
      </c>
      <c r="BG19" s="43">
        <f>SUMIFS('Fin Forecast'!$F$4:$F$545,'Fin Forecast'!$B$4:$B$545,'Sept16-Feb17 Transport'!$E19,'Fin Forecast'!$C$4:$C$545,'Sept16-Feb17 Transport'!BG$5)*1000</f>
        <v>33642.691632251597</v>
      </c>
      <c r="BH19" s="43">
        <f>SUMIFS('Fin Forecast'!$F$4:$F$545,'Fin Forecast'!$B$4:$B$545,'Sept16-Feb17 Transport'!$E19,'Fin Forecast'!$C$4:$C$545,'Sept16-Feb17 Transport'!BH$5)*1000</f>
        <v>0</v>
      </c>
      <c r="BI19" s="43">
        <f>SUMIFS('Fin Forecast'!$F$4:$F$545,'Fin Forecast'!$B$4:$B$545,'Sept16-Feb17 Transport'!$E19,'Fin Forecast'!$C$4:$C$545,'Sept16-Feb17 Transport'!BI$5)*1000</f>
        <v>0</v>
      </c>
      <c r="BJ19" s="43">
        <f>SUMIFS('Fin Forecast'!$F$4:$F$545,'Fin Forecast'!$B$4:$B$545,'Sept16-Feb17 Transport'!$E19,'Fin Forecast'!$C$4:$C$545,'Sept16-Feb17 Transport'!BJ$5)*1000</f>
        <v>0</v>
      </c>
      <c r="BK19" s="43">
        <f>SUMIFS('Fin Forecast'!$F$4:$F$545,'Fin Forecast'!$B$4:$B$545,'Sept16-Feb17 Transport'!$E19,'Fin Forecast'!$C$4:$C$545,'Sept16-Feb17 Transport'!BK$5)*1000</f>
        <v>180</v>
      </c>
      <c r="BL19" s="43">
        <f>SUMIFS('Fin Forecast'!$F$4:$F$545,'Fin Forecast'!$B$4:$B$545,'Sept16-Feb17 Transport'!$E19,'Fin Forecast'!$C$4:$C$545,'Sept16-Feb17 Transport'!BL$5)*1000</f>
        <v>2743.29574</v>
      </c>
      <c r="BM19" s="43">
        <f>SUMIFS('Fin Forecast'!$F$4:$F$545,'Fin Forecast'!$B$4:$B$545,'Sept16-Feb17 Transport'!$E19,'Fin Forecast'!$C$4:$C$545,'Sept16-Feb17 Transport'!BM$5)*1000</f>
        <v>186513.62399999998</v>
      </c>
      <c r="BN19" s="43">
        <f>SUMIFS('Fin Forecast'!$F$4:$F$545,'Fin Forecast'!$B$4:$B$545,'Sept16-Feb17 Transport'!$E19,'Fin Forecast'!$C$4:$C$545,'Sept16-Feb17 Transport'!BN$5)*1000</f>
        <v>0</v>
      </c>
      <c r="BO19" s="21"/>
      <c r="BP19" s="51">
        <f t="shared" si="41"/>
        <v>-1.3722516014240682E-3</v>
      </c>
      <c r="BQ19" s="21"/>
      <c r="BR19" s="58">
        <f t="shared" si="42"/>
        <v>0</v>
      </c>
      <c r="BS19" s="58">
        <f t="shared" si="43"/>
        <v>0</v>
      </c>
      <c r="BT19" s="58">
        <f t="shared" si="44"/>
        <v>0</v>
      </c>
    </row>
    <row r="20" spans="1:72" x14ac:dyDescent="0.25">
      <c r="A20" s="563"/>
      <c r="B20" s="563"/>
      <c r="C20" s="564"/>
      <c r="D20" s="605"/>
      <c r="E20" s="605"/>
      <c r="F20" s="564"/>
      <c r="G20" s="564"/>
      <c r="H20" s="565"/>
      <c r="I20" s="565"/>
      <c r="J20" s="565"/>
      <c r="K20" s="565"/>
      <c r="L20" s="565"/>
      <c r="M20" s="565"/>
      <c r="N20" s="565"/>
      <c r="O20" s="566"/>
      <c r="P20" s="566"/>
      <c r="Q20" s="567"/>
      <c r="R20" s="567"/>
      <c r="S20" s="567"/>
      <c r="T20" s="566"/>
      <c r="U20" s="567"/>
      <c r="V20" s="566"/>
      <c r="W20" s="568"/>
      <c r="X20" s="569"/>
      <c r="Y20" s="569"/>
      <c r="Z20" s="569"/>
      <c r="AA20" s="569"/>
      <c r="AB20" s="569"/>
      <c r="AC20" s="569"/>
      <c r="AD20" s="569"/>
      <c r="AE20" s="569"/>
      <c r="AF20" s="569"/>
      <c r="AG20" s="569"/>
      <c r="AH20" s="570"/>
      <c r="AI20" s="570"/>
      <c r="AJ20" s="569"/>
      <c r="AK20" s="569"/>
      <c r="AL20" s="569"/>
      <c r="AM20" s="569"/>
      <c r="AN20" s="569"/>
      <c r="AO20" s="569"/>
      <c r="AP20" s="569"/>
      <c r="AQ20" s="569"/>
      <c r="AR20" s="569"/>
      <c r="AS20" s="569"/>
      <c r="AT20" s="569"/>
      <c r="AU20" s="569"/>
      <c r="AV20" s="569"/>
      <c r="AW20" s="569"/>
      <c r="AX20" s="569"/>
      <c r="AY20" s="569"/>
      <c r="AZ20" s="569"/>
      <c r="BA20" s="569"/>
      <c r="BB20" s="569"/>
      <c r="BC20" s="569"/>
      <c r="BD20" s="569"/>
      <c r="BE20" s="571"/>
      <c r="BF20" s="569"/>
      <c r="BG20" s="569"/>
      <c r="BH20" s="569"/>
      <c r="BI20" s="569"/>
      <c r="BJ20" s="569"/>
      <c r="BK20" s="569"/>
      <c r="BL20" s="569"/>
      <c r="BM20" s="569"/>
      <c r="BN20" s="569"/>
      <c r="BO20" s="563"/>
      <c r="BP20" s="569"/>
      <c r="BQ20" s="563"/>
      <c r="BR20" s="569"/>
      <c r="BS20" s="569"/>
      <c r="BT20" s="569"/>
    </row>
    <row r="21" spans="1:72" x14ac:dyDescent="0.25">
      <c r="A21" s="21"/>
      <c r="B21" s="21"/>
      <c r="C21" s="14">
        <f>C19+1</f>
        <v>13</v>
      </c>
      <c r="D21" s="604">
        <f>EDATE(D14,1)</f>
        <v>42675</v>
      </c>
      <c r="E21" s="604" t="s">
        <v>50</v>
      </c>
      <c r="F21" s="14" t="str">
        <f t="shared" ref="F21:F26" si="45">MID(E21,6,3)</f>
        <v>895</v>
      </c>
      <c r="G21" s="14" t="str">
        <f>VLOOKUP(E21,'Retail Rates'!$B$7:$D$34,3,FALSE)</f>
        <v>FT-C</v>
      </c>
      <c r="H21" s="33">
        <f>SUMIF('Forecasted Customer Cts'!$D$5:$D$36,'Sept16-Feb17 Transport'!$E21,'Forecasted Customer Cts'!$P$5:$P$36)</f>
        <v>10</v>
      </c>
      <c r="I21" s="33"/>
      <c r="J21" s="33"/>
      <c r="K21" s="33">
        <f>SUMIF('Forecasted Calendar Month Usage'!$D$5:$D$41,'Sept16-Feb17 Transport'!$E21,'Forecasted Calendar Month Usage'!$P$5:$P$41)*10</f>
        <v>849342.33075654088</v>
      </c>
      <c r="L21" s="33"/>
      <c r="M21" s="33">
        <v>69</v>
      </c>
      <c r="N21" s="33"/>
      <c r="O21" s="34">
        <f>VLOOKUP($E21,'Retail Rates'!$B$7:$L$34,5,FALSE)</f>
        <v>0</v>
      </c>
      <c r="P21" s="34">
        <f>VLOOKUP($E21,'Retail Rates'!$B$7:$L$34,6,FALSE)</f>
        <v>0</v>
      </c>
      <c r="Q21" s="34">
        <f>VLOOKUP($E21,'Retail Rates'!$B$7:$L$34,9,FALSE)</f>
        <v>550</v>
      </c>
      <c r="R21" s="35">
        <f>VLOOKUP($E21,'Retail Rates'!$B$7:$L$34,7,FALSE)</f>
        <v>4.3020000000000003E-2</v>
      </c>
      <c r="S21" s="35">
        <f>VLOOKUP($E21,'Retail Rates'!$B$7:$L$34,8,FALSE)</f>
        <v>0</v>
      </c>
      <c r="T21" s="556">
        <v>75</v>
      </c>
      <c r="U21" s="34">
        <f>VLOOKUP($E21,'Retail Rates'!$B$7:$L$34,11,FALSE)</f>
        <v>0</v>
      </c>
      <c r="V21" s="35"/>
      <c r="W21" s="556"/>
      <c r="X21" s="36">
        <f t="shared" ref="X21:X26" si="46">(+H21*O21)+(I21*O21)</f>
        <v>0</v>
      </c>
      <c r="Y21" s="36">
        <f t="shared" ref="Y21:Y26" si="47">J21*P21</f>
        <v>0</v>
      </c>
      <c r="Z21" s="36">
        <f>H21*Q21</f>
        <v>5500</v>
      </c>
      <c r="AA21" s="36">
        <f t="shared" ref="AA21:AB26" si="48">+K21*R21</f>
        <v>36538.707069146389</v>
      </c>
      <c r="AB21" s="36">
        <f>+L21*S21</f>
        <v>0</v>
      </c>
      <c r="AC21" s="36">
        <f t="shared" ref="AC21:AC26" si="49">M21*T21</f>
        <v>5175</v>
      </c>
      <c r="AD21" s="36">
        <f>H21*V21</f>
        <v>0</v>
      </c>
      <c r="AE21" s="36"/>
      <c r="AF21" s="36">
        <f t="shared" ref="AF21:AF26" si="50">N21*U21</f>
        <v>0</v>
      </c>
      <c r="AG21" s="36"/>
      <c r="AH21" s="57"/>
      <c r="AI21" s="57"/>
      <c r="AJ21" s="48"/>
      <c r="AK21" s="48"/>
      <c r="AL21" s="48"/>
      <c r="AM21" s="48"/>
      <c r="AN21" s="48"/>
      <c r="AO21" s="48"/>
      <c r="AP21" s="48"/>
      <c r="AQ21" s="36">
        <f t="shared" ref="AQ21:AQ26" si="51">+X21+AJ21+(AH21*O21)</f>
        <v>0</v>
      </c>
      <c r="AR21" s="36">
        <f t="shared" ref="AR21:AR26" si="52">+Y21+AK21</f>
        <v>0</v>
      </c>
      <c r="AS21" s="36">
        <f t="shared" ref="AS21:AT26" si="53">+AA21+AL21</f>
        <v>36538.707069146389</v>
      </c>
      <c r="AT21" s="36">
        <f t="shared" si="53"/>
        <v>0</v>
      </c>
      <c r="AU21" s="36">
        <f t="shared" ref="AU21:AU26" si="54">Z21</f>
        <v>5500</v>
      </c>
      <c r="AV21" s="36">
        <f t="shared" ref="AV21:AV26" si="55">AC21</f>
        <v>5175</v>
      </c>
      <c r="AW21" s="43">
        <f t="shared" ref="AW21:AW26" si="56">BG21</f>
        <v>0</v>
      </c>
      <c r="AX21" s="43">
        <f t="shared" ref="AX21:AX26" si="57">BF21</f>
        <v>134289.39114628875</v>
      </c>
      <c r="AY21" s="43">
        <f t="shared" ref="AY21:AY26" si="58">BH21</f>
        <v>0</v>
      </c>
      <c r="AZ21" s="43">
        <f t="shared" ref="AZ21:AZ26" si="59">BN21</f>
        <v>0</v>
      </c>
      <c r="BA21" s="36">
        <f t="shared" ref="BA21:BA26" si="60">+AF21+AP21</f>
        <v>0</v>
      </c>
      <c r="BB21" s="36"/>
      <c r="BC21" s="43">
        <f>ROUND(SUM(AQ21:BB21),2)+SUM(AQ22:BB22)</f>
        <v>794043.17206312681</v>
      </c>
      <c r="BD21" s="43">
        <f t="shared" ref="BD21:BD26" si="61">SUM(BF21:BN21)</f>
        <v>794043.17016371875</v>
      </c>
      <c r="BE21" s="44">
        <f t="shared" ref="BE21:BE26" si="62">IF(BD21=0,0,ROUND(BD21/BC21,6))</f>
        <v>1</v>
      </c>
      <c r="BF21" s="43">
        <f>SUMIFS('Fin Forecast'!$G$4:$G$545,'Fin Forecast'!$B$4:$B$545,'Sept16-Feb17 Transport'!$E21,'Fin Forecast'!$C$4:$C$545,'Sept16-Feb17 Transport'!$BF$5)*1000</f>
        <v>134289.39114628875</v>
      </c>
      <c r="BG21" s="43">
        <f>SUMIFS('Fin Forecast'!$G$4:$G$545,'Fin Forecast'!$B$4:$B$545,'Sept16-Feb17 Transport'!$E21,'Fin Forecast'!$C$4:$C$545,'Sept16-Feb17 Transport'!BG$5)*1000</f>
        <v>0</v>
      </c>
      <c r="BH21" s="43">
        <f>SUMIFS('Fin Forecast'!$F$4:$F$545,'Fin Forecast'!$B$4:$B$545,'Sept16-Feb17 Transport'!$E21,'Fin Forecast'!$C$4:$C$545,'Sept16-Feb17 Transport'!BH$5)*1000</f>
        <v>0</v>
      </c>
      <c r="BI21" s="43">
        <f>SUMIFS('Fin Forecast'!$G$4:$G$545,'Fin Forecast'!$B$4:$B$545,'Sept16-Feb17 Transport'!$E21,'Fin Forecast'!$C$4:$C$545,'Sept16-Feb17 Transport'!BI$5)*1000</f>
        <v>5175</v>
      </c>
      <c r="BJ21" s="43">
        <f>SUMIFS('Fin Forecast'!$F$4:$F$545,'Fin Forecast'!$B$4:$B$545,'Sept16-Feb17 Transport'!$E21,'Fin Forecast'!$C$4:$C$545,'Sept16-Feb17 Transport'!BJ$5)*1000</f>
        <v>40150</v>
      </c>
      <c r="BK21" s="43">
        <f>SUMIFS('Fin Forecast'!$G$4:$G$545,'Fin Forecast'!$B$4:$B$545,'Sept16-Feb17 Transport'!$E21,'Fin Forecast'!$C$4:$C$545,'Sept16-Feb17 Transport'!BK$5)*1000</f>
        <v>0</v>
      </c>
      <c r="BL21" s="43">
        <f>SUMIFS('Fin Forecast'!$G$4:$G$545,'Fin Forecast'!$B$4:$B$545,'Sept16-Feb17 Transport'!$E21,'Fin Forecast'!$C$4:$C$545,'Sept16-Feb17 Transport'!BL$5)*1000</f>
        <v>614428.77901743003</v>
      </c>
      <c r="BM21" s="43">
        <f>SUMIFS('Fin Forecast'!$G$4:$G$545,'Fin Forecast'!$B$4:$B$545,'Sept16-Feb17 Transport'!$E21,'Fin Forecast'!$C$4:$C$545,'Sept16-Feb17 Transport'!BM$5)*1000</f>
        <v>0</v>
      </c>
      <c r="BN21" s="43">
        <f>SUMIFS('Fin Forecast'!$G$4:$G$545,'Fin Forecast'!$B$4:$B$545,'Sept16-Feb17 Transport'!$E21,'Fin Forecast'!$C$4:$C$545,'Sept16-Feb17 Transport'!BN$5)*1000</f>
        <v>0</v>
      </c>
      <c r="BO21" s="21"/>
      <c r="BP21" s="51">
        <f t="shared" ref="BP21:BP26" si="63">+BC21-BD21</f>
        <v>1.8994080601260066E-3</v>
      </c>
      <c r="BQ21" s="21"/>
      <c r="BR21" s="58">
        <f t="shared" ref="BR21:BR26" si="64">+AQ21+AR21-BK21</f>
        <v>0</v>
      </c>
      <c r="BS21" s="58">
        <f t="shared" ref="BS21:BS26" si="65">+AS21+AT21-BL21</f>
        <v>-577890.07194828358</v>
      </c>
      <c r="BT21" s="58">
        <f t="shared" ref="BT21:BT26" si="66">+AW21-BG21</f>
        <v>0</v>
      </c>
    </row>
    <row r="22" spans="1:72" x14ac:dyDescent="0.25">
      <c r="A22" s="21"/>
      <c r="B22" s="21"/>
      <c r="C22" s="14">
        <f>C21+1</f>
        <v>14</v>
      </c>
      <c r="D22" s="604">
        <f>$D$21</f>
        <v>42675</v>
      </c>
      <c r="E22" s="604" t="s">
        <v>52</v>
      </c>
      <c r="F22" s="14" t="str">
        <f t="shared" si="45"/>
        <v>896</v>
      </c>
      <c r="G22" s="14" t="str">
        <f>VLOOKUP(E22,'Retail Rates'!$B$7:$D$34,3,FALSE)</f>
        <v>FT-I</v>
      </c>
      <c r="H22" s="33">
        <f>SUMIF('Forecasted Customer Cts'!$D$5:$D$36,'Sept16-Feb17 Transport'!$E22,'Forecasted Customer Cts'!$P$5:$P$36)</f>
        <v>63</v>
      </c>
      <c r="I22" s="33"/>
      <c r="J22" s="33"/>
      <c r="K22" s="33">
        <f>SUMIF('Forecasted Calendar Month Usage'!$D$5:$D$41,'Sept16-Feb17 Transport'!$E22,'Forecasted Calendar Month Usage'!$P$5:$P$41)*10</f>
        <v>13433056.068412989</v>
      </c>
      <c r="L22" s="33"/>
      <c r="M22" s="33"/>
      <c r="N22" s="33"/>
      <c r="O22" s="34">
        <f>VLOOKUP($E22,'Retail Rates'!$B$7:$L$34,5,FALSE)</f>
        <v>0</v>
      </c>
      <c r="P22" s="34">
        <f>VLOOKUP($E22,'Retail Rates'!$B$7:$L$34,6,FALSE)</f>
        <v>0</v>
      </c>
      <c r="Q22" s="34">
        <f>VLOOKUP($E22,'Retail Rates'!$B$7:$L$34,9,FALSE)</f>
        <v>550</v>
      </c>
      <c r="R22" s="35">
        <f>VLOOKUP($E22,'Retail Rates'!$B$7:$L$34,7,FALSE)</f>
        <v>4.3020000000000003E-2</v>
      </c>
      <c r="S22" s="35">
        <f>VLOOKUP($E22,'Retail Rates'!$B$7:$L$34,8,FALSE)</f>
        <v>0</v>
      </c>
      <c r="T22" s="556">
        <v>75</v>
      </c>
      <c r="U22" s="34">
        <f>VLOOKUP($E22,'Retail Rates'!$B$7:$L$34,11,FALSE)</f>
        <v>0</v>
      </c>
      <c r="V22" s="35"/>
      <c r="W22" s="556"/>
      <c r="X22" s="36">
        <f t="shared" si="46"/>
        <v>0</v>
      </c>
      <c r="Y22" s="36">
        <f t="shared" si="47"/>
        <v>0</v>
      </c>
      <c r="Z22" s="36">
        <f>H22*Q22</f>
        <v>34650</v>
      </c>
      <c r="AA22" s="36">
        <f t="shared" si="48"/>
        <v>577890.07206312683</v>
      </c>
      <c r="AB22" s="36">
        <f t="shared" si="48"/>
        <v>0</v>
      </c>
      <c r="AC22" s="36">
        <f t="shared" si="49"/>
        <v>0</v>
      </c>
      <c r="AD22" s="36">
        <f>H22*V22</f>
        <v>0</v>
      </c>
      <c r="AE22" s="36"/>
      <c r="AF22" s="36">
        <f t="shared" si="50"/>
        <v>0</v>
      </c>
      <c r="AG22" s="36"/>
      <c r="AH22" s="57"/>
      <c r="AI22" s="57"/>
      <c r="AJ22" s="48"/>
      <c r="AK22" s="48"/>
      <c r="AL22" s="48"/>
      <c r="AM22" s="48"/>
      <c r="AN22" s="48"/>
      <c r="AO22" s="48"/>
      <c r="AP22" s="48"/>
      <c r="AQ22" s="36">
        <f t="shared" si="51"/>
        <v>0</v>
      </c>
      <c r="AR22" s="36">
        <f t="shared" si="52"/>
        <v>0</v>
      </c>
      <c r="AS22" s="36">
        <f t="shared" si="53"/>
        <v>577890.07206312683</v>
      </c>
      <c r="AT22" s="36">
        <f t="shared" si="53"/>
        <v>0</v>
      </c>
      <c r="AU22" s="36">
        <f t="shared" si="54"/>
        <v>34650</v>
      </c>
      <c r="AV22" s="36">
        <f t="shared" si="55"/>
        <v>0</v>
      </c>
      <c r="AW22" s="43">
        <f t="shared" si="56"/>
        <v>0</v>
      </c>
      <c r="AX22" s="43">
        <f t="shared" si="57"/>
        <v>0</v>
      </c>
      <c r="AY22" s="43">
        <f t="shared" si="58"/>
        <v>0</v>
      </c>
      <c r="AZ22" s="43">
        <f t="shared" si="59"/>
        <v>0</v>
      </c>
      <c r="BA22" s="36">
        <f t="shared" si="60"/>
        <v>0</v>
      </c>
      <c r="BB22" s="36"/>
      <c r="BC22" s="43"/>
      <c r="BD22" s="43">
        <f t="shared" si="61"/>
        <v>0</v>
      </c>
      <c r="BE22" s="44">
        <f t="shared" si="62"/>
        <v>0</v>
      </c>
      <c r="BF22" s="43">
        <f>SUMIFS('Fin Forecast'!$G$4:$G$545,'Fin Forecast'!$B$4:$B$545,'Sept16-Feb17 Transport'!$E22,'Fin Forecast'!$C$4:$C$545,'Sept16-Feb17 Transport'!$BF$5)*1000</f>
        <v>0</v>
      </c>
      <c r="BG22" s="43">
        <f>SUMIFS('Fin Forecast'!$G$4:$G$545,'Fin Forecast'!$B$4:$B$545,'Sept16-Feb17 Transport'!$E22,'Fin Forecast'!$C$4:$C$545,'Sept16-Feb17 Transport'!BG$5)*1000</f>
        <v>0</v>
      </c>
      <c r="BH22" s="43">
        <f>SUMIFS('Fin Forecast'!$F$4:$F$545,'Fin Forecast'!$B$4:$B$545,'Sept16-Feb17 Transport'!$E22,'Fin Forecast'!$C$4:$C$545,'Sept16-Feb17 Transport'!BH$5)*1000</f>
        <v>0</v>
      </c>
      <c r="BI22" s="43">
        <f>SUMIFS('Fin Forecast'!$G$4:$G$545,'Fin Forecast'!$B$4:$B$545,'Sept16-Feb17 Transport'!$E22,'Fin Forecast'!$C$4:$C$545,'Sept16-Feb17 Transport'!BI$5)*1000</f>
        <v>0</v>
      </c>
      <c r="BJ22" s="43">
        <f>SUMIFS('Fin Forecast'!$F$4:$F$545,'Fin Forecast'!$B$4:$B$545,'Sept16-Feb17 Transport'!$E22,'Fin Forecast'!$C$4:$C$545,'Sept16-Feb17 Transport'!BJ$5)*1000</f>
        <v>0</v>
      </c>
      <c r="BK22" s="43">
        <f>SUMIFS('Fin Forecast'!$G$4:$G$545,'Fin Forecast'!$B$4:$B$545,'Sept16-Feb17 Transport'!$E22,'Fin Forecast'!$C$4:$C$545,'Sept16-Feb17 Transport'!BK$5)*1000</f>
        <v>0</v>
      </c>
      <c r="BL22" s="43">
        <f>SUMIFS('Fin Forecast'!$G$4:$G$545,'Fin Forecast'!$B$4:$B$545,'Sept16-Feb17 Transport'!$E22,'Fin Forecast'!$C$4:$C$545,'Sept16-Feb17 Transport'!BL$5)*1000</f>
        <v>0</v>
      </c>
      <c r="BM22" s="43">
        <f>SUMIFS('Fin Forecast'!$G$4:$G$545,'Fin Forecast'!$B$4:$B$545,'Sept16-Feb17 Transport'!$E22,'Fin Forecast'!$C$4:$C$545,'Sept16-Feb17 Transport'!BM$5)*1000</f>
        <v>0</v>
      </c>
      <c r="BN22" s="43">
        <f>SUMIFS('Fin Forecast'!$G$4:$G$545,'Fin Forecast'!$B$4:$B$545,'Sept16-Feb17 Transport'!$E22,'Fin Forecast'!$C$4:$C$545,'Sept16-Feb17 Transport'!BN$5)*1000</f>
        <v>0</v>
      </c>
      <c r="BO22" s="21"/>
      <c r="BP22" s="51">
        <f t="shared" si="63"/>
        <v>0</v>
      </c>
      <c r="BQ22" s="21"/>
      <c r="BR22" s="58">
        <f t="shared" si="64"/>
        <v>0</v>
      </c>
      <c r="BS22" s="58">
        <f t="shared" si="65"/>
        <v>577890.07206312683</v>
      </c>
      <c r="BT22" s="58">
        <f t="shared" si="66"/>
        <v>0</v>
      </c>
    </row>
    <row r="23" spans="1:72" x14ac:dyDescent="0.25">
      <c r="A23" s="21"/>
      <c r="B23" s="21" t="s">
        <v>800</v>
      </c>
      <c r="C23" s="14">
        <f>C22+1</f>
        <v>15</v>
      </c>
      <c r="D23" s="604">
        <f>$D$21</f>
        <v>42675</v>
      </c>
      <c r="E23" s="604" t="s">
        <v>42</v>
      </c>
      <c r="F23" s="14" t="str">
        <f t="shared" si="45"/>
        <v>882</v>
      </c>
      <c r="G23" s="14" t="str">
        <f>VLOOKUP(E23,'Retail Rates'!$B$7:$D$34,3,FALSE)</f>
        <v>IGS-TS-2</v>
      </c>
      <c r="H23" s="33"/>
      <c r="I23" s="33"/>
      <c r="J23" s="33">
        <f>SUMIFS('Forecasted Customer Cts'!$N$5:$N$36,'Forecasted Customer Cts'!$D$5:$D$36,'Sept16-Feb17 Transport'!$E23,'Forecasted Customer Cts'!$C$5:$C$36,'Sept16-Feb17 Transport'!$B23)</f>
        <v>5</v>
      </c>
      <c r="K23" s="33">
        <f>SUMIF('Forecasted Calendar Month Usage'!$D$5:$D$41,'Sept16-Feb17 Transport'!$E23,'Forecasted Calendar Month Usage'!$P$5:$P$41)*10</f>
        <v>503280.04329424002</v>
      </c>
      <c r="L23" s="33"/>
      <c r="M23" s="33">
        <v>2</v>
      </c>
      <c r="N23" s="33"/>
      <c r="O23" s="34">
        <f>VLOOKUP($E23,'Retail Rates'!$B$7:$L$34,5,FALSE)</f>
        <v>40</v>
      </c>
      <c r="P23" s="34">
        <f>VLOOKUP($E23,'Retail Rates'!$B$7:$L$34,6,FALSE)</f>
        <v>180</v>
      </c>
      <c r="Q23" s="34">
        <f>VLOOKUP($E23,'Retail Rates'!$B$7:$L$34,9,FALSE)</f>
        <v>550</v>
      </c>
      <c r="R23" s="35">
        <f>VLOOKUP($E23,'Retail Rates'!$B$7:$L$34,7,FALSE)</f>
        <v>0.22778999999999999</v>
      </c>
      <c r="S23" s="35">
        <f>VLOOKUP($E23,'Retail Rates'!$B$7:$L$34,8,FALSE)</f>
        <v>0.17779</v>
      </c>
      <c r="T23" s="556">
        <v>75</v>
      </c>
      <c r="U23" s="34">
        <f>VLOOKUP($E23,'Retail Rates'!$B$7:$L$34,11,FALSE)</f>
        <v>0</v>
      </c>
      <c r="V23" s="556"/>
      <c r="W23" s="556"/>
      <c r="X23" s="36">
        <f t="shared" si="46"/>
        <v>0</v>
      </c>
      <c r="Y23" s="36">
        <f t="shared" si="47"/>
        <v>900</v>
      </c>
      <c r="Z23" s="36">
        <f>(I23+J23)*Q23</f>
        <v>2750</v>
      </c>
      <c r="AA23" s="36">
        <f t="shared" si="48"/>
        <v>114642.16106199494</v>
      </c>
      <c r="AB23" s="36">
        <f t="shared" si="48"/>
        <v>0</v>
      </c>
      <c r="AC23" s="36">
        <f t="shared" si="49"/>
        <v>150</v>
      </c>
      <c r="AD23" s="36">
        <f>(I23+J23)*V23</f>
        <v>0</v>
      </c>
      <c r="AE23" s="36"/>
      <c r="AF23" s="36">
        <f t="shared" si="50"/>
        <v>0</v>
      </c>
      <c r="AG23" s="36"/>
      <c r="AH23" s="57"/>
      <c r="AI23" s="57"/>
      <c r="AJ23" s="48"/>
      <c r="AK23" s="48"/>
      <c r="AL23" s="48"/>
      <c r="AM23" s="48"/>
      <c r="AN23" s="48"/>
      <c r="AO23" s="48"/>
      <c r="AP23" s="48"/>
      <c r="AQ23" s="36">
        <f t="shared" si="51"/>
        <v>0</v>
      </c>
      <c r="AR23" s="36">
        <f t="shared" si="52"/>
        <v>900</v>
      </c>
      <c r="AS23" s="36">
        <f t="shared" si="53"/>
        <v>114642.16106199494</v>
      </c>
      <c r="AT23" s="36">
        <f t="shared" si="53"/>
        <v>0</v>
      </c>
      <c r="AU23" s="36">
        <f t="shared" si="54"/>
        <v>2750</v>
      </c>
      <c r="AV23" s="36">
        <f t="shared" si="55"/>
        <v>150</v>
      </c>
      <c r="AW23" s="43">
        <f t="shared" si="56"/>
        <v>0</v>
      </c>
      <c r="AX23" s="43">
        <f t="shared" si="57"/>
        <v>0</v>
      </c>
      <c r="AY23" s="43">
        <f t="shared" si="58"/>
        <v>0</v>
      </c>
      <c r="AZ23" s="43">
        <f t="shared" si="59"/>
        <v>6384.2958470891608</v>
      </c>
      <c r="BA23" s="36">
        <f t="shared" si="60"/>
        <v>0</v>
      </c>
      <c r="BB23" s="36"/>
      <c r="BC23" s="43">
        <f>ROUND(SUM(AQ23:BB23),2)</f>
        <v>124826.46</v>
      </c>
      <c r="BD23" s="43">
        <f t="shared" si="61"/>
        <v>124826.45690584015</v>
      </c>
      <c r="BE23" s="44">
        <f t="shared" si="62"/>
        <v>1</v>
      </c>
      <c r="BF23" s="43">
        <f>SUMIFS('Fin Forecast'!$G$4:$G$545,'Fin Forecast'!$B$4:$B$545,'Sept16-Feb17 Transport'!$E23,'Fin Forecast'!$C$4:$C$545,'Sept16-Feb17 Transport'!$BF$5)*1000</f>
        <v>0</v>
      </c>
      <c r="BG23" s="43">
        <f>SUMIFS('Fin Forecast'!$G$4:$G$545,'Fin Forecast'!$B$4:$B$545,'Sept16-Feb17 Transport'!$E23,'Fin Forecast'!$C$4:$C$545,'Sept16-Feb17 Transport'!BG$5)*1000</f>
        <v>0</v>
      </c>
      <c r="BH23" s="43">
        <f>SUMIFS('Fin Forecast'!$F$4:$F$545,'Fin Forecast'!$B$4:$B$545,'Sept16-Feb17 Transport'!$E23,'Fin Forecast'!$C$4:$C$545,'Sept16-Feb17 Transport'!BH$5)*1000</f>
        <v>0</v>
      </c>
      <c r="BI23" s="43">
        <f>SUMIFS('Fin Forecast'!$G$4:$G$545,'Fin Forecast'!$B$4:$B$545,'Sept16-Feb17 Transport'!$E23,'Fin Forecast'!$C$4:$C$545,'Sept16-Feb17 Transport'!BI$5)*1000</f>
        <v>150</v>
      </c>
      <c r="BJ23" s="43">
        <f>SUMIFS('Fin Forecast'!$F$4:$F$545,'Fin Forecast'!$B$4:$B$545,'Sept16-Feb17 Transport'!$E23,'Fin Forecast'!$C$4:$C$545,'Sept16-Feb17 Transport'!BJ$5)*1000</f>
        <v>2750</v>
      </c>
      <c r="BK23" s="43">
        <f>SUMIFS('Fin Forecast'!$G$4:$G$545,'Fin Forecast'!$B$4:$B$545,'Sept16-Feb17 Transport'!$E23,'Fin Forecast'!$C$4:$C$545,'Sept16-Feb17 Transport'!BK$5)*1000</f>
        <v>900</v>
      </c>
      <c r="BL23" s="43">
        <f>SUMIFS('Fin Forecast'!$G$4:$G$545,'Fin Forecast'!$B$4:$B$545,'Sept16-Feb17 Transport'!$E23,'Fin Forecast'!$C$4:$C$545,'Sept16-Feb17 Transport'!BL$5)*1000</f>
        <v>114642.16105875099</v>
      </c>
      <c r="BM23" s="43">
        <f>SUMIFS('Fin Forecast'!$G$4:$G$545,'Fin Forecast'!$B$4:$B$545,'Sept16-Feb17 Transport'!$E23,'Fin Forecast'!$C$4:$C$545,'Sept16-Feb17 Transport'!BM$5)*1000</f>
        <v>0</v>
      </c>
      <c r="BN23" s="43">
        <f>SUMIFS('Fin Forecast'!$G$4:$G$545,'Fin Forecast'!$B$4:$B$545,'Sept16-Feb17 Transport'!$E23,'Fin Forecast'!$C$4:$C$545,'Sept16-Feb17 Transport'!BN$5)*1000</f>
        <v>6384.2958470891608</v>
      </c>
      <c r="BO23" s="21"/>
      <c r="BP23" s="51">
        <f t="shared" si="63"/>
        <v>3.0941598524805158E-3</v>
      </c>
      <c r="BQ23" s="21"/>
      <c r="BR23" s="58">
        <f t="shared" si="64"/>
        <v>0</v>
      </c>
      <c r="BS23" s="58">
        <f t="shared" si="65"/>
        <v>3.2439420465379953E-6</v>
      </c>
      <c r="BT23" s="58">
        <f t="shared" si="66"/>
        <v>0</v>
      </c>
    </row>
    <row r="24" spans="1:72" x14ac:dyDescent="0.25">
      <c r="A24" s="21" t="s">
        <v>801</v>
      </c>
      <c r="B24" s="21"/>
      <c r="C24" s="14">
        <f>C23+1</f>
        <v>16</v>
      </c>
      <c r="D24" s="604">
        <f>$D$21</f>
        <v>42675</v>
      </c>
      <c r="E24" s="604" t="s">
        <v>96</v>
      </c>
      <c r="F24" s="14" t="str">
        <f t="shared" si="45"/>
        <v>892</v>
      </c>
      <c r="G24" s="14" t="str">
        <f>VLOOKUP(E24,'Retail Rates'!$B$7:$D$34,3,FALSE)</f>
        <v>AAGS-I-TS-2</v>
      </c>
      <c r="H24" s="33">
        <f>SUMIF('Forecasted Customer Cts'!$D$5:$D$36,'Sept16-Feb17 Transport'!$E24,'Forecasted Customer Cts'!$P$5:$P$36)</f>
        <v>2</v>
      </c>
      <c r="I24" s="33"/>
      <c r="J24" s="33"/>
      <c r="K24" s="33">
        <f>SUMIF('Forecasted Calendar Month Usage'!$D$5:$D$41,'Sept16-Feb17 Transport'!$E24,'Forecasted Calendar Month Usage'!$P$5:$P$41)*10</f>
        <v>283184.14948726917</v>
      </c>
      <c r="L24" s="33"/>
      <c r="M24" s="33"/>
      <c r="N24" s="33"/>
      <c r="O24" s="34">
        <f>VLOOKUP($E24,'Retail Rates'!$B$7:$L$34,5,FALSE)</f>
        <v>400</v>
      </c>
      <c r="P24" s="34">
        <f>VLOOKUP($E24,'Retail Rates'!$B$7:$L$34,6,FALSE)</f>
        <v>0</v>
      </c>
      <c r="Q24" s="34">
        <f>VLOOKUP($E24,'Retail Rates'!$B$7:$L$34,9,FALSE)</f>
        <v>550</v>
      </c>
      <c r="R24" s="35">
        <f>VLOOKUP($E24,'Retail Rates'!$B$7:$L$34,7,FALSE)</f>
        <v>7.009E-2</v>
      </c>
      <c r="S24" s="35">
        <f>VLOOKUP($E24,'Retail Rates'!$B$7:$L$34,8,FALSE)</f>
        <v>0</v>
      </c>
      <c r="T24" s="556">
        <v>75</v>
      </c>
      <c r="U24" s="34">
        <f>VLOOKUP($E24,'Retail Rates'!$B$7:$L$34,11,FALSE)</f>
        <v>0</v>
      </c>
      <c r="V24" s="556"/>
      <c r="W24" s="556"/>
      <c r="X24" s="36">
        <f t="shared" si="46"/>
        <v>800</v>
      </c>
      <c r="Y24" s="36">
        <f t="shared" si="47"/>
        <v>0</v>
      </c>
      <c r="Z24" s="36">
        <f>H24*Q24</f>
        <v>1100</v>
      </c>
      <c r="AA24" s="36">
        <f t="shared" si="48"/>
        <v>19848.377037562695</v>
      </c>
      <c r="AB24" s="36">
        <f t="shared" si="48"/>
        <v>0</v>
      </c>
      <c r="AC24" s="36">
        <f t="shared" si="49"/>
        <v>0</v>
      </c>
      <c r="AD24" s="36">
        <f>H24*V24</f>
        <v>0</v>
      </c>
      <c r="AE24" s="36"/>
      <c r="AF24" s="36">
        <f t="shared" si="50"/>
        <v>0</v>
      </c>
      <c r="AG24" s="36"/>
      <c r="AH24" s="57"/>
      <c r="AI24" s="57"/>
      <c r="AJ24" s="48"/>
      <c r="AK24" s="48"/>
      <c r="AL24" s="48"/>
      <c r="AM24" s="48"/>
      <c r="AN24" s="48"/>
      <c r="AO24" s="48"/>
      <c r="AP24" s="48"/>
      <c r="AQ24" s="36">
        <f t="shared" si="51"/>
        <v>800</v>
      </c>
      <c r="AR24" s="36">
        <f t="shared" si="52"/>
        <v>0</v>
      </c>
      <c r="AS24" s="36">
        <f t="shared" si="53"/>
        <v>19848.377037562695</v>
      </c>
      <c r="AT24" s="36">
        <f t="shared" si="53"/>
        <v>0</v>
      </c>
      <c r="AU24" s="36">
        <f t="shared" si="54"/>
        <v>1100</v>
      </c>
      <c r="AV24" s="36">
        <f t="shared" si="55"/>
        <v>0</v>
      </c>
      <c r="AW24" s="43">
        <f t="shared" si="56"/>
        <v>0</v>
      </c>
      <c r="AX24" s="43">
        <f t="shared" si="57"/>
        <v>0</v>
      </c>
      <c r="AY24" s="43">
        <f t="shared" si="58"/>
        <v>0</v>
      </c>
      <c r="AZ24" s="43">
        <f t="shared" si="59"/>
        <v>3082.5459535457899</v>
      </c>
      <c r="BA24" s="36">
        <f t="shared" si="60"/>
        <v>0</v>
      </c>
      <c r="BB24" s="36"/>
      <c r="BC24" s="43">
        <f>ROUND(SUM(AQ24:BB24),2)</f>
        <v>24830.92</v>
      </c>
      <c r="BD24" s="43">
        <f t="shared" si="61"/>
        <v>24830.922991108389</v>
      </c>
      <c r="BE24" s="44">
        <f t="shared" si="62"/>
        <v>1</v>
      </c>
      <c r="BF24" s="43">
        <f>SUMIFS('Fin Forecast'!$G$4:$G$545,'Fin Forecast'!$B$4:$B$545,'Sept16-Feb17 Transport'!$E24,'Fin Forecast'!$C$4:$C$545,'Sept16-Feb17 Transport'!$BF$5)*1000</f>
        <v>0</v>
      </c>
      <c r="BG24" s="43">
        <f>SUMIFS('Fin Forecast'!$G$4:$G$545,'Fin Forecast'!$B$4:$B$545,'Sept16-Feb17 Transport'!$E24,'Fin Forecast'!$C$4:$C$545,'Sept16-Feb17 Transport'!BG$5)*1000</f>
        <v>0</v>
      </c>
      <c r="BH24" s="43">
        <f>SUMIFS('Fin Forecast'!$F$4:$F$545,'Fin Forecast'!$B$4:$B$545,'Sept16-Feb17 Transport'!$E24,'Fin Forecast'!$C$4:$C$545,'Sept16-Feb17 Transport'!BH$5)*1000</f>
        <v>0</v>
      </c>
      <c r="BI24" s="43">
        <f>SUMIFS('Fin Forecast'!$G$4:$G$545,'Fin Forecast'!$B$4:$B$545,'Sept16-Feb17 Transport'!$E24,'Fin Forecast'!$C$4:$C$545,'Sept16-Feb17 Transport'!BI$5)*1000</f>
        <v>0</v>
      </c>
      <c r="BJ24" s="43">
        <f>SUMIFS('Fin Forecast'!$F$4:$F$545,'Fin Forecast'!$B$4:$B$545,'Sept16-Feb17 Transport'!$E24,'Fin Forecast'!$C$4:$C$545,'Sept16-Feb17 Transport'!BJ$5)*1000</f>
        <v>1100</v>
      </c>
      <c r="BK24" s="43">
        <f>SUMIFS('Fin Forecast'!$G$4:$G$545,'Fin Forecast'!$B$4:$B$545,'Sept16-Feb17 Transport'!$E24,'Fin Forecast'!$C$4:$C$545,'Sept16-Feb17 Transport'!BK$5)*1000</f>
        <v>800</v>
      </c>
      <c r="BL24" s="43">
        <f>SUMIFS('Fin Forecast'!$G$4:$G$545,'Fin Forecast'!$B$4:$B$545,'Sept16-Feb17 Transport'!$E24,'Fin Forecast'!$C$4:$C$545,'Sept16-Feb17 Transport'!BL$5)*1000</f>
        <v>19848.377037562601</v>
      </c>
      <c r="BM24" s="43">
        <f>SUMIFS('Fin Forecast'!$G$4:$G$545,'Fin Forecast'!$B$4:$B$545,'Sept16-Feb17 Transport'!$E24,'Fin Forecast'!$C$4:$C$545,'Sept16-Feb17 Transport'!BM$5)*1000</f>
        <v>0</v>
      </c>
      <c r="BN24" s="43">
        <f>SUMIFS('Fin Forecast'!$G$4:$G$545,'Fin Forecast'!$B$4:$B$545,'Sept16-Feb17 Transport'!$E24,'Fin Forecast'!$C$4:$C$545,'Sept16-Feb17 Transport'!BN$5)*1000</f>
        <v>3082.5459535457899</v>
      </c>
      <c r="BO24" s="21"/>
      <c r="BP24" s="51">
        <f t="shared" si="63"/>
        <v>-2.9911083911429159E-3</v>
      </c>
      <c r="BQ24" s="21"/>
      <c r="BR24" s="58">
        <f t="shared" si="64"/>
        <v>0</v>
      </c>
      <c r="BS24" s="58">
        <f t="shared" si="65"/>
        <v>9.4587448984384537E-11</v>
      </c>
      <c r="BT24" s="58">
        <f t="shared" si="66"/>
        <v>0</v>
      </c>
    </row>
    <row r="25" spans="1:72" x14ac:dyDescent="0.25">
      <c r="A25" s="21" t="s">
        <v>802</v>
      </c>
      <c r="B25" s="21"/>
      <c r="C25" s="14">
        <f>C24+1</f>
        <v>17</v>
      </c>
      <c r="D25" s="604">
        <f>$D$21</f>
        <v>42675</v>
      </c>
      <c r="E25" s="604" t="s">
        <v>57</v>
      </c>
      <c r="F25" s="14" t="str">
        <f t="shared" si="45"/>
        <v>997</v>
      </c>
      <c r="G25" s="14" t="str">
        <f>VLOOKUP(E25,'Retail Rates'!$B$7:$D$34,3,FALSE)</f>
        <v>SPC-P</v>
      </c>
      <c r="H25" s="33">
        <f>SUMIF('Forecasted Customer Cts'!$D$5:$D$36,'Sept16-Feb17 Transport'!$E25,'Forecasted Customer Cts'!$P$5:$P$36)</f>
        <v>0</v>
      </c>
      <c r="I25" s="33"/>
      <c r="J25" s="33"/>
      <c r="K25" s="33">
        <f>SUMIF('Forecasted Calendar Month Usage'!$D$5:$D$41,'Sept16-Feb17 Transport'!$E25,'Forecasted Calendar Month Usage'!$P$5:$P$41)*10</f>
        <v>0</v>
      </c>
      <c r="L25" s="33"/>
      <c r="M25" s="33"/>
      <c r="N25" s="33"/>
      <c r="O25" s="34">
        <f>VLOOKUP($E25,'Retail Rates'!$B$7:$L$34,5,FALSE)</f>
        <v>800</v>
      </c>
      <c r="P25" s="34">
        <f>VLOOKUP($E25,'Retail Rates'!$B$7:$L$34,6,FALSE)</f>
        <v>0</v>
      </c>
      <c r="Q25" s="34">
        <f>VLOOKUP($E25,'Retail Rates'!$B$7:$L$34,9,FALSE)</f>
        <v>0</v>
      </c>
      <c r="R25" s="35">
        <f>VLOOKUP($E25,'Retail Rates'!$B$7:$L$34,7,FALSE)</f>
        <v>4.9699999999999996E-3</v>
      </c>
      <c r="S25" s="35">
        <f>VLOOKUP($E25,'Retail Rates'!$B$7:$L$34,8,FALSE)</f>
        <v>0</v>
      </c>
      <c r="T25" s="556">
        <v>75</v>
      </c>
      <c r="U25" s="699">
        <f>VLOOKUP($E25,'Retail Rates'!$B$7:$L$34,11,FALSE)</f>
        <v>0.24801000000000001</v>
      </c>
      <c r="V25" s="35"/>
      <c r="W25" s="556"/>
      <c r="X25" s="36">
        <f t="shared" si="46"/>
        <v>0</v>
      </c>
      <c r="Y25" s="36">
        <f t="shared" si="47"/>
        <v>0</v>
      </c>
      <c r="Z25" s="36">
        <f>H25*Q25</f>
        <v>0</v>
      </c>
      <c r="AA25" s="36">
        <f t="shared" si="48"/>
        <v>0</v>
      </c>
      <c r="AB25" s="36">
        <f t="shared" si="48"/>
        <v>0</v>
      </c>
      <c r="AC25" s="36">
        <f t="shared" si="49"/>
        <v>0</v>
      </c>
      <c r="AD25" s="36">
        <f>H25*V25</f>
        <v>0</v>
      </c>
      <c r="AE25" s="36"/>
      <c r="AF25" s="36">
        <f t="shared" si="50"/>
        <v>0</v>
      </c>
      <c r="AG25" s="36"/>
      <c r="AH25" s="57"/>
      <c r="AI25" s="57"/>
      <c r="AJ25" s="48"/>
      <c r="AK25" s="48"/>
      <c r="AL25" s="48"/>
      <c r="AM25" s="48"/>
      <c r="AN25" s="48"/>
      <c r="AO25" s="48"/>
      <c r="AP25" s="48"/>
      <c r="AQ25" s="36">
        <f t="shared" si="51"/>
        <v>0</v>
      </c>
      <c r="AR25" s="36">
        <f t="shared" si="52"/>
        <v>0</v>
      </c>
      <c r="AS25" s="36">
        <f t="shared" si="53"/>
        <v>0</v>
      </c>
      <c r="AT25" s="36">
        <f t="shared" si="53"/>
        <v>0</v>
      </c>
      <c r="AU25" s="36">
        <f t="shared" si="54"/>
        <v>0</v>
      </c>
      <c r="AV25" s="36">
        <f t="shared" si="55"/>
        <v>0</v>
      </c>
      <c r="AW25" s="43">
        <f t="shared" si="56"/>
        <v>0</v>
      </c>
      <c r="AX25" s="43">
        <f t="shared" si="57"/>
        <v>0</v>
      </c>
      <c r="AY25" s="43">
        <f t="shared" si="58"/>
        <v>0</v>
      </c>
      <c r="AZ25" s="43">
        <f t="shared" si="59"/>
        <v>0</v>
      </c>
      <c r="BA25" s="36">
        <f t="shared" si="60"/>
        <v>0</v>
      </c>
      <c r="BB25" s="36"/>
      <c r="BC25" s="43">
        <f>ROUND(SUM(AQ25:BB25),2)</f>
        <v>0</v>
      </c>
      <c r="BD25" s="43">
        <f t="shared" si="61"/>
        <v>0</v>
      </c>
      <c r="BE25" s="44">
        <f t="shared" si="62"/>
        <v>0</v>
      </c>
      <c r="BF25" s="43">
        <f>SUMIFS('Fin Forecast'!$G$4:$G$545,'Fin Forecast'!$B$4:$B$545,'Sept16-Feb17 Transport'!$E25,'Fin Forecast'!$C$4:$C$545,'Sept16-Feb17 Transport'!$BF$5)*1000</f>
        <v>0</v>
      </c>
      <c r="BG25" s="43">
        <f>SUMIFS('Fin Forecast'!$G$4:$G$545,'Fin Forecast'!$B$4:$B$545,'Sept16-Feb17 Transport'!$E25,'Fin Forecast'!$C$4:$C$545,'Sept16-Feb17 Transport'!BG$5)*1000</f>
        <v>0</v>
      </c>
      <c r="BH25" s="43">
        <f>SUMIFS('Fin Forecast'!$F$4:$F$545,'Fin Forecast'!$B$4:$B$545,'Sept16-Feb17 Transport'!$E25,'Fin Forecast'!$C$4:$C$545,'Sept16-Feb17 Transport'!BH$5)*1000</f>
        <v>0</v>
      </c>
      <c r="BI25" s="43">
        <f>SUMIFS('Fin Forecast'!$G$4:$G$545,'Fin Forecast'!$B$4:$B$545,'Sept16-Feb17 Transport'!$E25,'Fin Forecast'!$C$4:$C$545,'Sept16-Feb17 Transport'!BI$5)*1000</f>
        <v>0</v>
      </c>
      <c r="BJ25" s="43">
        <f>SUMIFS('Fin Forecast'!$F$4:$F$545,'Fin Forecast'!$B$4:$B$545,'Sept16-Feb17 Transport'!$E25,'Fin Forecast'!$C$4:$C$545,'Sept16-Feb17 Transport'!BJ$5)*1000</f>
        <v>0</v>
      </c>
      <c r="BK25" s="43">
        <f>SUMIFS('Fin Forecast'!$G$4:$G$545,'Fin Forecast'!$B$4:$B$545,'Sept16-Feb17 Transport'!$E25,'Fin Forecast'!$C$4:$C$545,'Sept16-Feb17 Transport'!BK$5)*1000</f>
        <v>0</v>
      </c>
      <c r="BL25" s="43">
        <f>SUMIFS('Fin Forecast'!$G$4:$G$545,'Fin Forecast'!$B$4:$B$545,'Sept16-Feb17 Transport'!$E25,'Fin Forecast'!$C$4:$C$545,'Sept16-Feb17 Transport'!BL$5)*1000</f>
        <v>0</v>
      </c>
      <c r="BM25" s="43">
        <f>SUMIFS('Fin Forecast'!$G$4:$G$545,'Fin Forecast'!$B$4:$B$545,'Sept16-Feb17 Transport'!$E25,'Fin Forecast'!$C$4:$C$545,'Sept16-Feb17 Transport'!BM$5)*1000</f>
        <v>0</v>
      </c>
      <c r="BN25" s="43">
        <f>SUMIFS('Fin Forecast'!$G$4:$G$545,'Fin Forecast'!$B$4:$B$545,'Sept16-Feb17 Transport'!$E25,'Fin Forecast'!$C$4:$C$545,'Sept16-Feb17 Transport'!BN$5)*1000</f>
        <v>0</v>
      </c>
      <c r="BO25" s="21"/>
      <c r="BP25" s="51">
        <f t="shared" si="63"/>
        <v>0</v>
      </c>
      <c r="BQ25" s="21"/>
      <c r="BR25" s="58">
        <f t="shared" si="64"/>
        <v>0</v>
      </c>
      <c r="BS25" s="58">
        <f t="shared" si="65"/>
        <v>0</v>
      </c>
      <c r="BT25" s="58">
        <f t="shared" si="66"/>
        <v>0</v>
      </c>
    </row>
    <row r="26" spans="1:72" x14ac:dyDescent="0.25">
      <c r="A26" s="21"/>
      <c r="B26" s="21"/>
      <c r="C26" s="14">
        <f>C25+1</f>
        <v>18</v>
      </c>
      <c r="D26" s="604">
        <f>$D$21</f>
        <v>42675</v>
      </c>
      <c r="E26" s="604" t="s">
        <v>45</v>
      </c>
      <c r="F26" s="14" t="str">
        <f t="shared" si="45"/>
        <v>996</v>
      </c>
      <c r="G26" s="14" t="str">
        <f>VLOOKUP(E26,'Retail Rates'!$B$7:$D$34,3,FALSE)</f>
        <v>SPC-LGE</v>
      </c>
      <c r="H26" s="33">
        <f>SUMIF('Forecasted Customer Cts'!$D$5:$D$36,'Sept16-Feb17 Transport'!$E26,'Forecasted Customer Cts'!$P$5:$P$36)</f>
        <v>1</v>
      </c>
      <c r="I26" s="33"/>
      <c r="J26" s="33"/>
      <c r="K26" s="33">
        <f>SUMIF('Forecasted Calendar Month Usage'!$D$5:$D$41,'Sept16-Feb17 Transport'!$E26,'Forecasted Calendar Month Usage'!$P$5:$P$41)*10</f>
        <v>145641</v>
      </c>
      <c r="L26" s="33"/>
      <c r="M26" s="33"/>
      <c r="N26" s="33">
        <f>16560*10</f>
        <v>165600</v>
      </c>
      <c r="O26" s="34">
        <f>VLOOKUP($E26,'Retail Rates'!$B$7:$L$34,5,FALSE)</f>
        <v>180</v>
      </c>
      <c r="P26" s="34">
        <f>VLOOKUP($E26,'Retail Rates'!$B$7:$L$34,6,FALSE)</f>
        <v>0</v>
      </c>
      <c r="Q26" s="34">
        <f>VLOOKUP($E26,'Retail Rates'!$B$7:$L$34,9,FALSE)</f>
        <v>0</v>
      </c>
      <c r="R26" s="35">
        <f>VLOOKUP($E26,'Retail Rates'!$B$7:$L$34,7,FALSE)</f>
        <v>3.329E-2</v>
      </c>
      <c r="S26" s="35">
        <f>VLOOKUP($E26,'Retail Rates'!$B$7:$L$34,8,FALSE)</f>
        <v>0</v>
      </c>
      <c r="T26" s="556">
        <v>75</v>
      </c>
      <c r="U26" s="699">
        <f>VLOOKUP($E26,'Retail Rates'!$B$7:$L$34,11,FALSE)</f>
        <v>1.12629</v>
      </c>
      <c r="V26" s="35"/>
      <c r="W26" s="556"/>
      <c r="X26" s="36">
        <f t="shared" si="46"/>
        <v>180</v>
      </c>
      <c r="Y26" s="36">
        <f t="shared" si="47"/>
        <v>0</v>
      </c>
      <c r="Z26" s="36">
        <f>H26*Q26</f>
        <v>0</v>
      </c>
      <c r="AA26" s="36">
        <f t="shared" si="48"/>
        <v>4848.3888900000002</v>
      </c>
      <c r="AB26" s="36">
        <f t="shared" si="48"/>
        <v>0</v>
      </c>
      <c r="AC26" s="36">
        <f t="shared" si="49"/>
        <v>0</v>
      </c>
      <c r="AD26" s="36">
        <f>H26*V26</f>
        <v>0</v>
      </c>
      <c r="AE26" s="36"/>
      <c r="AF26" s="36">
        <f t="shared" si="50"/>
        <v>186513.62400000001</v>
      </c>
      <c r="AG26" s="36"/>
      <c r="AH26" s="57"/>
      <c r="AI26" s="57"/>
      <c r="AJ26" s="48"/>
      <c r="AK26" s="48"/>
      <c r="AL26" s="48"/>
      <c r="AM26" s="48"/>
      <c r="AN26" s="48"/>
      <c r="AO26" s="48"/>
      <c r="AP26" s="48"/>
      <c r="AQ26" s="36">
        <f t="shared" si="51"/>
        <v>180</v>
      </c>
      <c r="AR26" s="36">
        <f t="shared" si="52"/>
        <v>0</v>
      </c>
      <c r="AS26" s="36">
        <f t="shared" si="53"/>
        <v>4848.3888900000002</v>
      </c>
      <c r="AT26" s="36">
        <f t="shared" si="53"/>
        <v>0</v>
      </c>
      <c r="AU26" s="36">
        <f t="shared" si="54"/>
        <v>0</v>
      </c>
      <c r="AV26" s="36">
        <f t="shared" si="55"/>
        <v>0</v>
      </c>
      <c r="AW26" s="43">
        <f t="shared" si="56"/>
        <v>67215.317554038294</v>
      </c>
      <c r="AX26" s="43">
        <f t="shared" si="57"/>
        <v>0</v>
      </c>
      <c r="AY26" s="43">
        <f t="shared" si="58"/>
        <v>0</v>
      </c>
      <c r="AZ26" s="43">
        <f t="shared" si="59"/>
        <v>0</v>
      </c>
      <c r="BA26" s="36">
        <f t="shared" si="60"/>
        <v>186513.62400000001</v>
      </c>
      <c r="BB26" s="36"/>
      <c r="BC26" s="43">
        <f>ROUND(SUM(AQ26:BB26),2)</f>
        <v>258757.33</v>
      </c>
      <c r="BD26" s="43">
        <f t="shared" si="61"/>
        <v>258757.33044403826</v>
      </c>
      <c r="BE26" s="44">
        <f t="shared" si="62"/>
        <v>1</v>
      </c>
      <c r="BF26" s="43">
        <f>SUMIFS('Fin Forecast'!$G$4:$G$545,'Fin Forecast'!$B$4:$B$545,'Sept16-Feb17 Transport'!$E26,'Fin Forecast'!$C$4:$C$545,'Sept16-Feb17 Transport'!$BF$5)*1000</f>
        <v>0</v>
      </c>
      <c r="BG26" s="43">
        <f>SUMIFS('Fin Forecast'!$G$4:$G$545,'Fin Forecast'!$B$4:$B$545,'Sept16-Feb17 Transport'!$E26,'Fin Forecast'!$C$4:$C$545,'Sept16-Feb17 Transport'!BG$5)*1000</f>
        <v>67215.317554038294</v>
      </c>
      <c r="BH26" s="43">
        <f>SUMIFS('Fin Forecast'!$F$4:$F$545,'Fin Forecast'!$B$4:$B$545,'Sept16-Feb17 Transport'!$E26,'Fin Forecast'!$C$4:$C$545,'Sept16-Feb17 Transport'!BH$5)*1000</f>
        <v>0</v>
      </c>
      <c r="BI26" s="43">
        <f>SUMIFS('Fin Forecast'!$G$4:$G$545,'Fin Forecast'!$B$4:$B$545,'Sept16-Feb17 Transport'!$E26,'Fin Forecast'!$C$4:$C$545,'Sept16-Feb17 Transport'!BI$5)*1000</f>
        <v>0</v>
      </c>
      <c r="BJ26" s="43">
        <f>SUMIFS('Fin Forecast'!$F$4:$F$545,'Fin Forecast'!$B$4:$B$545,'Sept16-Feb17 Transport'!$E26,'Fin Forecast'!$C$4:$C$545,'Sept16-Feb17 Transport'!BJ$5)*1000</f>
        <v>0</v>
      </c>
      <c r="BK26" s="43">
        <f>SUMIFS('Fin Forecast'!$G$4:$G$545,'Fin Forecast'!$B$4:$B$545,'Sept16-Feb17 Transport'!$E26,'Fin Forecast'!$C$4:$C$545,'Sept16-Feb17 Transport'!BK$5)*1000</f>
        <v>180</v>
      </c>
      <c r="BL26" s="43">
        <f>SUMIFS('Fin Forecast'!$G$4:$G$545,'Fin Forecast'!$B$4:$B$545,'Sept16-Feb17 Transport'!$E26,'Fin Forecast'!$C$4:$C$545,'Sept16-Feb17 Transport'!BL$5)*1000</f>
        <v>4848.3888900000002</v>
      </c>
      <c r="BM26" s="43">
        <f>SUMIFS('Fin Forecast'!$G$4:$G$545,'Fin Forecast'!$B$4:$B$545,'Sept16-Feb17 Transport'!$E26,'Fin Forecast'!$C$4:$C$545,'Sept16-Feb17 Transport'!BM$5)*1000</f>
        <v>186513.62399999998</v>
      </c>
      <c r="BN26" s="43">
        <f>SUMIFS('Fin Forecast'!$G$4:$G$545,'Fin Forecast'!$B$4:$B$545,'Sept16-Feb17 Transport'!$E26,'Fin Forecast'!$C$4:$C$545,'Sept16-Feb17 Transport'!BN$5)*1000</f>
        <v>0</v>
      </c>
      <c r="BO26" s="21"/>
      <c r="BP26" s="51">
        <f t="shared" si="63"/>
        <v>-4.4403827632777393E-4</v>
      </c>
      <c r="BQ26" s="21"/>
      <c r="BR26" s="58">
        <f t="shared" si="64"/>
        <v>0</v>
      </c>
      <c r="BS26" s="58">
        <f t="shared" si="65"/>
        <v>0</v>
      </c>
      <c r="BT26" s="58">
        <f t="shared" si="66"/>
        <v>0</v>
      </c>
    </row>
    <row r="27" spans="1:72" x14ac:dyDescent="0.25">
      <c r="A27" s="563"/>
      <c r="B27" s="563"/>
      <c r="C27" s="564"/>
      <c r="D27" s="605"/>
      <c r="E27" s="605"/>
      <c r="F27" s="564"/>
      <c r="G27" s="564"/>
      <c r="H27" s="565"/>
      <c r="I27" s="565"/>
      <c r="J27" s="565"/>
      <c r="K27" s="565"/>
      <c r="L27" s="565"/>
      <c r="M27" s="565"/>
      <c r="N27" s="565"/>
      <c r="O27" s="566"/>
      <c r="P27" s="566"/>
      <c r="Q27" s="567"/>
      <c r="R27" s="567"/>
      <c r="S27" s="567"/>
      <c r="T27" s="566"/>
      <c r="U27" s="567"/>
      <c r="V27" s="566"/>
      <c r="W27" s="568"/>
      <c r="X27" s="569"/>
      <c r="Y27" s="569"/>
      <c r="Z27" s="569"/>
      <c r="AA27" s="569"/>
      <c r="AB27" s="569"/>
      <c r="AC27" s="569"/>
      <c r="AD27" s="569"/>
      <c r="AE27" s="569"/>
      <c r="AF27" s="569"/>
      <c r="AG27" s="569"/>
      <c r="AH27" s="570"/>
      <c r="AI27" s="570"/>
      <c r="AJ27" s="569"/>
      <c r="AK27" s="569"/>
      <c r="AL27" s="569"/>
      <c r="AM27" s="569"/>
      <c r="AN27" s="569"/>
      <c r="AO27" s="569"/>
      <c r="AP27" s="569"/>
      <c r="AQ27" s="569"/>
      <c r="AR27" s="569"/>
      <c r="AS27" s="569"/>
      <c r="AT27" s="569"/>
      <c r="AU27" s="569"/>
      <c r="AV27" s="569"/>
      <c r="AW27" s="569"/>
      <c r="AX27" s="569"/>
      <c r="AY27" s="569"/>
      <c r="AZ27" s="569"/>
      <c r="BA27" s="569"/>
      <c r="BB27" s="569"/>
      <c r="BC27" s="569"/>
      <c r="BD27" s="569"/>
      <c r="BE27" s="571"/>
      <c r="BF27" s="569"/>
      <c r="BG27" s="569"/>
      <c r="BH27" s="569"/>
      <c r="BI27" s="569"/>
      <c r="BJ27" s="569"/>
      <c r="BK27" s="569"/>
      <c r="BL27" s="569"/>
      <c r="BM27" s="569"/>
      <c r="BN27" s="569"/>
      <c r="BO27" s="563"/>
      <c r="BP27" s="569"/>
      <c r="BQ27" s="563"/>
      <c r="BR27" s="569"/>
      <c r="BS27" s="569"/>
      <c r="BT27" s="569"/>
    </row>
    <row r="28" spans="1:72" x14ac:dyDescent="0.25">
      <c r="A28" s="21"/>
      <c r="B28" s="21"/>
      <c r="C28" s="14">
        <f>C26+1</f>
        <v>19</v>
      </c>
      <c r="D28" s="604">
        <f>EDATE(D21,1)</f>
        <v>42705</v>
      </c>
      <c r="E28" s="604" t="s">
        <v>50</v>
      </c>
      <c r="F28" s="14" t="str">
        <f t="shared" ref="F28:F33" si="67">MID(E28,6,3)</f>
        <v>895</v>
      </c>
      <c r="G28" s="14" t="str">
        <f>VLOOKUP(E28,'Retail Rates'!$B$7:$D$34,3,FALSE)</f>
        <v>FT-C</v>
      </c>
      <c r="H28" s="33">
        <f>SUMIF('Forecasted Customer Cts'!$D$5:$D$36,'Sept16-Feb17 Transport'!$E28,'Forecasted Customer Cts'!$Q$5:$Q$36)</f>
        <v>10</v>
      </c>
      <c r="I28" s="33"/>
      <c r="J28" s="33"/>
      <c r="K28" s="33">
        <f>SUMIF('Forecasted Calendar Month Usage'!$D$5:$D$41,'Sept16-Feb17 Transport'!$E28,'Forecasted Calendar Month Usage'!$Q$5:$Q$41)*10</f>
        <v>864406.95101508161</v>
      </c>
      <c r="L28" s="33"/>
      <c r="M28" s="33">
        <v>69</v>
      </c>
      <c r="N28" s="33"/>
      <c r="O28" s="34">
        <f>VLOOKUP($E28,'Retail Rates'!$B$7:$L$34,5,FALSE)</f>
        <v>0</v>
      </c>
      <c r="P28" s="34">
        <f>VLOOKUP($E28,'Retail Rates'!$B$7:$L$34,6,FALSE)</f>
        <v>0</v>
      </c>
      <c r="Q28" s="34">
        <f>VLOOKUP($E28,'Retail Rates'!$B$7:$L$34,9,FALSE)</f>
        <v>550</v>
      </c>
      <c r="R28" s="35">
        <f>VLOOKUP($E28,'Retail Rates'!$B$7:$L$34,7,FALSE)</f>
        <v>4.3020000000000003E-2</v>
      </c>
      <c r="S28" s="35">
        <f>VLOOKUP($E28,'Retail Rates'!$B$7:$L$34,8,FALSE)</f>
        <v>0</v>
      </c>
      <c r="T28" s="556">
        <v>75</v>
      </c>
      <c r="U28" s="34">
        <f>VLOOKUP($E28,'Retail Rates'!$B$7:$L$34,11,FALSE)</f>
        <v>0</v>
      </c>
      <c r="V28" s="35"/>
      <c r="W28" s="556"/>
      <c r="X28" s="36">
        <f t="shared" ref="X28:X33" si="68">(+H28*O28)+(I28*O28)</f>
        <v>0</v>
      </c>
      <c r="Y28" s="36">
        <f t="shared" ref="Y28:Y33" si="69">J28*P28</f>
        <v>0</v>
      </c>
      <c r="Z28" s="36">
        <f>H28*Q28</f>
        <v>5500</v>
      </c>
      <c r="AA28" s="36">
        <f t="shared" ref="AA28:AB33" si="70">+K28*R28</f>
        <v>37186.787032668813</v>
      </c>
      <c r="AB28" s="36">
        <f>+L28*S28</f>
        <v>0</v>
      </c>
      <c r="AC28" s="36">
        <f t="shared" ref="AC28:AC33" si="71">M28*T28</f>
        <v>5175</v>
      </c>
      <c r="AD28" s="36">
        <f>H28*V28</f>
        <v>0</v>
      </c>
      <c r="AE28" s="36"/>
      <c r="AF28" s="36">
        <f t="shared" ref="AF28:AF33" si="72">N28*U28</f>
        <v>0</v>
      </c>
      <c r="AG28" s="36"/>
      <c r="AH28" s="57"/>
      <c r="AI28" s="57"/>
      <c r="AJ28" s="48"/>
      <c r="AK28" s="48"/>
      <c r="AL28" s="48"/>
      <c r="AM28" s="48"/>
      <c r="AN28" s="48"/>
      <c r="AO28" s="48"/>
      <c r="AP28" s="48"/>
      <c r="AQ28" s="36">
        <f t="shared" ref="AQ28:AQ33" si="73">+X28+AJ28+(AH28*O28)</f>
        <v>0</v>
      </c>
      <c r="AR28" s="36">
        <f t="shared" ref="AR28:AR33" si="74">+Y28+AK28</f>
        <v>0</v>
      </c>
      <c r="AS28" s="36">
        <f t="shared" ref="AS28:AT33" si="75">+AA28+AL28</f>
        <v>37186.787032668813</v>
      </c>
      <c r="AT28" s="36">
        <f t="shared" si="75"/>
        <v>0</v>
      </c>
      <c r="AU28" s="36">
        <f t="shared" ref="AU28:AU33" si="76">Z28</f>
        <v>5500</v>
      </c>
      <c r="AV28" s="36">
        <f t="shared" ref="AV28:AV33" si="77">AC28</f>
        <v>5175</v>
      </c>
      <c r="AW28" s="43">
        <f t="shared" ref="AW28:AW33" si="78">BG28</f>
        <v>0</v>
      </c>
      <c r="AX28" s="43">
        <f t="shared" ref="AX28:AX33" si="79">BF28</f>
        <v>117626.73341382125</v>
      </c>
      <c r="AY28" s="43">
        <f t="shared" ref="AY28:AY33" si="80">BH28</f>
        <v>0</v>
      </c>
      <c r="AZ28" s="43">
        <f t="shared" ref="AZ28:AZ33" si="81">BN28</f>
        <v>0</v>
      </c>
      <c r="BA28" s="36">
        <f t="shared" ref="BA28:BA33" si="82">+AF28+AP28</f>
        <v>0</v>
      </c>
      <c r="BB28" s="36"/>
      <c r="BC28" s="43">
        <f>ROUND(SUM(AQ28:BB28),2)+SUM(AQ29:BB29)</f>
        <v>803448.57971151138</v>
      </c>
      <c r="BD28" s="43">
        <f t="shared" ref="BD28:BD33" si="83">SUM(BF28:BN28)</f>
        <v>803448.58008213318</v>
      </c>
      <c r="BE28" s="44">
        <f t="shared" ref="BE28:BE33" si="84">IF(BD28=0,0,ROUND(BD28/BC28,6))</f>
        <v>1</v>
      </c>
      <c r="BF28" s="43">
        <f>SUMIFS('Fin Forecast'!$H$4:$H$545,'Fin Forecast'!$B$4:$B$545,'Sept16-Feb17 Transport'!$E28,'Fin Forecast'!$C$4:$C$545,'Sept16-Feb17 Transport'!$BF$5)*1000</f>
        <v>117626.73341382125</v>
      </c>
      <c r="BG28" s="43">
        <f>SUMIFS('Fin Forecast'!$H$4:$H$545,'Fin Forecast'!$B$4:$B$545,'Sept16-Feb17 Transport'!$E28,'Fin Forecast'!$C$4:$C$545,'Sept16-Feb17 Transport'!BG$5)*1000</f>
        <v>0</v>
      </c>
      <c r="BH28" s="43">
        <f>SUMIFS('Fin Forecast'!$F$4:$F$545,'Fin Forecast'!$B$4:$B$545,'Sept16-Feb17 Transport'!$E28,'Fin Forecast'!$C$4:$C$545,'Sept16-Feb17 Transport'!BH$5)*1000</f>
        <v>0</v>
      </c>
      <c r="BI28" s="43">
        <f>SUMIFS('Fin Forecast'!$H$4:$H$545,'Fin Forecast'!$B$4:$B$545,'Sept16-Feb17 Transport'!$E28,'Fin Forecast'!$C$4:$C$545,'Sept16-Feb17 Transport'!BI$5)*1000</f>
        <v>5175</v>
      </c>
      <c r="BJ28" s="43">
        <f>SUMIFS('Fin Forecast'!$H$4:$H$545,'Fin Forecast'!$B$4:$B$545,'Sept16-Feb17 Transport'!$E28,'Fin Forecast'!$C$4:$C$545,'Sept16-Feb17 Transport'!BJ$5)*1000</f>
        <v>40150</v>
      </c>
      <c r="BK28" s="43">
        <f>SUMIFS('Fin Forecast'!$H$4:$H$545,'Fin Forecast'!$B$4:$B$545,'Sept16-Feb17 Transport'!$E28,'Fin Forecast'!$C$4:$C$545,'Sept16-Feb17 Transport'!BK$5)*1000</f>
        <v>0</v>
      </c>
      <c r="BL28" s="43">
        <f>SUMIFS('Fin Forecast'!$H$4:$H$545,'Fin Forecast'!$B$4:$B$545,'Sept16-Feb17 Transport'!$E28,'Fin Forecast'!$C$4:$C$545,'Sept16-Feb17 Transport'!BL$5)*1000</f>
        <v>640496.84666831198</v>
      </c>
      <c r="BM28" s="43">
        <f>SUMIFS('Fin Forecast'!$H$4:$H$545,'Fin Forecast'!$B$4:$B$545,'Sept16-Feb17 Transport'!$E28,'Fin Forecast'!$C$4:$C$545,'Sept16-Feb17 Transport'!BM$5)*1000</f>
        <v>0</v>
      </c>
      <c r="BN28" s="43">
        <f>SUMIFS('Fin Forecast'!$H$4:$H$545,'Fin Forecast'!$B$4:$B$545,'Sept16-Feb17 Transport'!$E28,'Fin Forecast'!$C$4:$C$545,'Sept16-Feb17 Transport'!BN$5)*1000</f>
        <v>0</v>
      </c>
      <c r="BO28" s="21"/>
      <c r="BP28" s="51">
        <f t="shared" ref="BP28:BP33" si="85">+BC28-BD28</f>
        <v>-3.7062179762870073E-4</v>
      </c>
      <c r="BQ28" s="21"/>
      <c r="BR28" s="58">
        <f t="shared" ref="BR28:BR33" si="86">+AQ28+AR28-BK28</f>
        <v>0</v>
      </c>
      <c r="BS28" s="58">
        <f t="shared" ref="BS28:BS33" si="87">+AS28+AT28-BL28</f>
        <v>-603310.05963564315</v>
      </c>
      <c r="BT28" s="58">
        <f t="shared" ref="BT28:BT33" si="88">+AW28-BG28</f>
        <v>0</v>
      </c>
    </row>
    <row r="29" spans="1:72" x14ac:dyDescent="0.25">
      <c r="A29" s="21"/>
      <c r="B29" s="21"/>
      <c r="C29" s="14">
        <f>C28+1</f>
        <v>20</v>
      </c>
      <c r="D29" s="604">
        <f>$D$28</f>
        <v>42705</v>
      </c>
      <c r="E29" s="604" t="s">
        <v>52</v>
      </c>
      <c r="F29" s="14" t="str">
        <f t="shared" si="67"/>
        <v>896</v>
      </c>
      <c r="G29" s="14" t="str">
        <f>VLOOKUP(E29,'Retail Rates'!$B$7:$D$34,3,FALSE)</f>
        <v>FT-I</v>
      </c>
      <c r="H29" s="33">
        <f>SUMIF('Forecasted Customer Cts'!$D$5:$D$36,'Sept16-Feb17 Transport'!$E29,'Forecasted Customer Cts'!$Q$5:$Q$36)</f>
        <v>63</v>
      </c>
      <c r="I29" s="33"/>
      <c r="J29" s="33"/>
      <c r="K29" s="33">
        <f>SUMIF('Forecasted Calendar Month Usage'!$D$5:$D$41,'Sept16-Feb17 Transport'!$E29,'Forecasted Calendar Month Usage'!$Q$5:$Q$41)*10</f>
        <v>14023943.740388455</v>
      </c>
      <c r="L29" s="33"/>
      <c r="M29" s="33"/>
      <c r="N29" s="33"/>
      <c r="O29" s="34">
        <f>VLOOKUP($E29,'Retail Rates'!$B$7:$L$34,5,FALSE)</f>
        <v>0</v>
      </c>
      <c r="P29" s="34">
        <f>VLOOKUP($E29,'Retail Rates'!$B$7:$L$34,6,FALSE)</f>
        <v>0</v>
      </c>
      <c r="Q29" s="34">
        <f>VLOOKUP($E29,'Retail Rates'!$B$7:$L$34,9,FALSE)</f>
        <v>550</v>
      </c>
      <c r="R29" s="35">
        <f>VLOOKUP($E29,'Retail Rates'!$B$7:$L$34,7,FALSE)</f>
        <v>4.3020000000000003E-2</v>
      </c>
      <c r="S29" s="35">
        <f>VLOOKUP($E29,'Retail Rates'!$B$7:$L$34,8,FALSE)</f>
        <v>0</v>
      </c>
      <c r="T29" s="556">
        <v>75</v>
      </c>
      <c r="U29" s="34">
        <f>VLOOKUP($E29,'Retail Rates'!$B$7:$L$34,11,FALSE)</f>
        <v>0</v>
      </c>
      <c r="V29" s="35"/>
      <c r="W29" s="556"/>
      <c r="X29" s="36">
        <f t="shared" si="68"/>
        <v>0</v>
      </c>
      <c r="Y29" s="36">
        <f t="shared" si="69"/>
        <v>0</v>
      </c>
      <c r="Z29" s="36">
        <f>H29*Q29</f>
        <v>34650</v>
      </c>
      <c r="AA29" s="36">
        <f t="shared" si="70"/>
        <v>603310.05971151136</v>
      </c>
      <c r="AB29" s="36">
        <f t="shared" si="70"/>
        <v>0</v>
      </c>
      <c r="AC29" s="36">
        <f t="shared" si="71"/>
        <v>0</v>
      </c>
      <c r="AD29" s="36">
        <f>H29*V29</f>
        <v>0</v>
      </c>
      <c r="AE29" s="36"/>
      <c r="AF29" s="36">
        <f t="shared" si="72"/>
        <v>0</v>
      </c>
      <c r="AG29" s="36"/>
      <c r="AH29" s="57"/>
      <c r="AI29" s="57"/>
      <c r="AJ29" s="48"/>
      <c r="AK29" s="48"/>
      <c r="AL29" s="48"/>
      <c r="AM29" s="48"/>
      <c r="AN29" s="48"/>
      <c r="AO29" s="48"/>
      <c r="AP29" s="48"/>
      <c r="AQ29" s="36">
        <f t="shared" si="73"/>
        <v>0</v>
      </c>
      <c r="AR29" s="36">
        <f t="shared" si="74"/>
        <v>0</v>
      </c>
      <c r="AS29" s="36">
        <f t="shared" si="75"/>
        <v>603310.05971151136</v>
      </c>
      <c r="AT29" s="36">
        <f t="shared" si="75"/>
        <v>0</v>
      </c>
      <c r="AU29" s="36">
        <f t="shared" si="76"/>
        <v>34650</v>
      </c>
      <c r="AV29" s="36">
        <f t="shared" si="77"/>
        <v>0</v>
      </c>
      <c r="AW29" s="43">
        <f t="shared" si="78"/>
        <v>0</v>
      </c>
      <c r="AX29" s="43">
        <f t="shared" si="79"/>
        <v>0</v>
      </c>
      <c r="AY29" s="43">
        <f t="shared" si="80"/>
        <v>0</v>
      </c>
      <c r="AZ29" s="43">
        <f t="shared" si="81"/>
        <v>0</v>
      </c>
      <c r="BA29" s="36">
        <f t="shared" si="82"/>
        <v>0</v>
      </c>
      <c r="BB29" s="36"/>
      <c r="BC29" s="43"/>
      <c r="BD29" s="43">
        <f t="shared" si="83"/>
        <v>0</v>
      </c>
      <c r="BE29" s="44">
        <f t="shared" si="84"/>
        <v>0</v>
      </c>
      <c r="BF29" s="43">
        <f>SUMIFS('Fin Forecast'!$H$4:$H$545,'Fin Forecast'!$B$4:$B$545,'Sept16-Feb17 Transport'!$E29,'Fin Forecast'!$C$4:$C$545,'Sept16-Feb17 Transport'!$BF$5)*1000</f>
        <v>0</v>
      </c>
      <c r="BG29" s="43">
        <f>SUMIFS('Fin Forecast'!$H$4:$H$545,'Fin Forecast'!$B$4:$B$545,'Sept16-Feb17 Transport'!$E29,'Fin Forecast'!$C$4:$C$545,'Sept16-Feb17 Transport'!BG$5)*1000</f>
        <v>0</v>
      </c>
      <c r="BH29" s="43">
        <f>SUMIFS('Fin Forecast'!$F$4:$F$545,'Fin Forecast'!$B$4:$B$545,'Sept16-Feb17 Transport'!$E29,'Fin Forecast'!$C$4:$C$545,'Sept16-Feb17 Transport'!BH$5)*1000</f>
        <v>0</v>
      </c>
      <c r="BI29" s="43">
        <f>SUMIFS('Fin Forecast'!$H$4:$H$545,'Fin Forecast'!$B$4:$B$545,'Sept16-Feb17 Transport'!$E29,'Fin Forecast'!$C$4:$C$545,'Sept16-Feb17 Transport'!BI$5)*1000</f>
        <v>0</v>
      </c>
      <c r="BJ29" s="43">
        <f>SUMIFS('Fin Forecast'!$H$4:$H$545,'Fin Forecast'!$B$4:$B$545,'Sept16-Feb17 Transport'!$E29,'Fin Forecast'!$C$4:$C$545,'Sept16-Feb17 Transport'!BJ$5)*1000</f>
        <v>0</v>
      </c>
      <c r="BK29" s="43">
        <f>SUMIFS('Fin Forecast'!$H$4:$H$545,'Fin Forecast'!$B$4:$B$545,'Sept16-Feb17 Transport'!$E29,'Fin Forecast'!$C$4:$C$545,'Sept16-Feb17 Transport'!BK$5)*1000</f>
        <v>0</v>
      </c>
      <c r="BL29" s="43">
        <f>SUMIFS('Fin Forecast'!$H$4:$H$545,'Fin Forecast'!$B$4:$B$545,'Sept16-Feb17 Transport'!$E29,'Fin Forecast'!$C$4:$C$545,'Sept16-Feb17 Transport'!BL$5)*1000</f>
        <v>0</v>
      </c>
      <c r="BM29" s="43">
        <f>SUMIFS('Fin Forecast'!$H$4:$H$545,'Fin Forecast'!$B$4:$B$545,'Sept16-Feb17 Transport'!$E29,'Fin Forecast'!$C$4:$C$545,'Sept16-Feb17 Transport'!BM$5)*1000</f>
        <v>0</v>
      </c>
      <c r="BN29" s="43">
        <f>SUMIFS('Fin Forecast'!$H$4:$H$545,'Fin Forecast'!$B$4:$B$545,'Sept16-Feb17 Transport'!$E29,'Fin Forecast'!$C$4:$C$545,'Sept16-Feb17 Transport'!BN$5)*1000</f>
        <v>0</v>
      </c>
      <c r="BO29" s="21"/>
      <c r="BP29" s="51">
        <f t="shared" si="85"/>
        <v>0</v>
      </c>
      <c r="BQ29" s="21"/>
      <c r="BR29" s="58">
        <f t="shared" si="86"/>
        <v>0</v>
      </c>
      <c r="BS29" s="58">
        <f t="shared" si="87"/>
        <v>603310.05971151136</v>
      </c>
      <c r="BT29" s="58">
        <f t="shared" si="88"/>
        <v>0</v>
      </c>
    </row>
    <row r="30" spans="1:72" x14ac:dyDescent="0.25">
      <c r="A30" s="21"/>
      <c r="B30" s="21" t="s">
        <v>800</v>
      </c>
      <c r="C30" s="14">
        <f t="shared" ref="C30:C40" si="89">C29+1</f>
        <v>21</v>
      </c>
      <c r="D30" s="604">
        <f>$D$28</f>
        <v>42705</v>
      </c>
      <c r="E30" s="604" t="s">
        <v>42</v>
      </c>
      <c r="F30" s="14" t="str">
        <f t="shared" si="67"/>
        <v>882</v>
      </c>
      <c r="G30" s="14" t="str">
        <f>VLOOKUP(E30,'Retail Rates'!$B$7:$D$34,3,FALSE)</f>
        <v>IGS-TS-2</v>
      </c>
      <c r="H30" s="33"/>
      <c r="I30" s="33"/>
      <c r="J30" s="33">
        <f>SUMIFS('Forecasted Customer Cts'!$N$5:$N$36,'Forecasted Customer Cts'!$D$5:$D$36,'Sept16-Feb17 Transport'!$E30,'Forecasted Customer Cts'!$C$5:$C$36,'Sept16-Feb17 Transport'!$B30)</f>
        <v>5</v>
      </c>
      <c r="K30" s="33">
        <f>SUMIF('Forecasted Calendar Month Usage'!$D$5:$D$41,'Sept16-Feb17 Transport'!$E30,'Forecasted Calendar Month Usage'!$Q$5:$Q$41)*10</f>
        <v>395306.1277949611</v>
      </c>
      <c r="L30" s="33">
        <f>(SUMIFS('Forecasted Calendar Month Usage'!$Q$5:$Q$41,'Forecasted Calendar Month Usage'!$D$5:$D$41,'Sept16-Feb17 Transport'!$E30,'Forecasted Calendar Month Usage'!$C$5:$C$41,'Sept16-Feb17 Transport'!$A32)*10)-K30</f>
        <v>0</v>
      </c>
      <c r="M30" s="33">
        <v>2</v>
      </c>
      <c r="N30" s="33"/>
      <c r="O30" s="34">
        <f>VLOOKUP($E30,'Retail Rates'!$B$7:$L$34,5,FALSE)</f>
        <v>40</v>
      </c>
      <c r="P30" s="34">
        <f>VLOOKUP($E30,'Retail Rates'!$B$7:$L$34,6,FALSE)</f>
        <v>180</v>
      </c>
      <c r="Q30" s="34">
        <f>VLOOKUP($E30,'Retail Rates'!$B$7:$L$34,9,FALSE)</f>
        <v>550</v>
      </c>
      <c r="R30" s="35">
        <f>VLOOKUP($E30,'Retail Rates'!$B$7:$L$34,7,FALSE)</f>
        <v>0.22778999999999999</v>
      </c>
      <c r="S30" s="35">
        <f>VLOOKUP($E30,'Retail Rates'!$B$7:$L$34,8,FALSE)</f>
        <v>0.17779</v>
      </c>
      <c r="T30" s="556">
        <v>75</v>
      </c>
      <c r="U30" s="34">
        <f>VLOOKUP($E30,'Retail Rates'!$B$7:$L$34,11,FALSE)</f>
        <v>0</v>
      </c>
      <c r="V30" s="556"/>
      <c r="W30" s="556"/>
      <c r="X30" s="36">
        <f t="shared" si="68"/>
        <v>0</v>
      </c>
      <c r="Y30" s="36">
        <f t="shared" si="69"/>
        <v>900</v>
      </c>
      <c r="Z30" s="36">
        <f>(I30+J30)*Q30</f>
        <v>2750</v>
      </c>
      <c r="AA30" s="36">
        <f t="shared" si="70"/>
        <v>90046.78285041418</v>
      </c>
      <c r="AB30" s="36">
        <f t="shared" si="70"/>
        <v>0</v>
      </c>
      <c r="AC30" s="36">
        <f t="shared" si="71"/>
        <v>150</v>
      </c>
      <c r="AD30" s="36">
        <f>(I30+J30)*V30</f>
        <v>0</v>
      </c>
      <c r="AE30" s="36"/>
      <c r="AF30" s="36">
        <f t="shared" si="72"/>
        <v>0</v>
      </c>
      <c r="AG30" s="36"/>
      <c r="AH30" s="57"/>
      <c r="AI30" s="57"/>
      <c r="AJ30" s="48"/>
      <c r="AK30" s="48"/>
      <c r="AL30" s="48"/>
      <c r="AM30" s="48"/>
      <c r="AN30" s="48"/>
      <c r="AO30" s="48"/>
      <c r="AP30" s="48"/>
      <c r="AQ30" s="36">
        <f t="shared" si="73"/>
        <v>0</v>
      </c>
      <c r="AR30" s="36">
        <f t="shared" si="74"/>
        <v>900</v>
      </c>
      <c r="AS30" s="36">
        <f t="shared" si="75"/>
        <v>90046.78285041418</v>
      </c>
      <c r="AT30" s="36">
        <f t="shared" si="75"/>
        <v>0</v>
      </c>
      <c r="AU30" s="36">
        <f t="shared" si="76"/>
        <v>2750</v>
      </c>
      <c r="AV30" s="36">
        <f t="shared" si="77"/>
        <v>150</v>
      </c>
      <c r="AW30" s="43">
        <f t="shared" si="78"/>
        <v>0</v>
      </c>
      <c r="AX30" s="43">
        <f t="shared" si="79"/>
        <v>0</v>
      </c>
      <c r="AY30" s="43">
        <f t="shared" si="80"/>
        <v>0</v>
      </c>
      <c r="AZ30" s="43">
        <f t="shared" si="81"/>
        <v>4404.7580736538794</v>
      </c>
      <c r="BA30" s="36">
        <f t="shared" si="82"/>
        <v>0</v>
      </c>
      <c r="BB30" s="36"/>
      <c r="BC30" s="43">
        <f>ROUND(SUM(AQ30:BB30),2)</f>
        <v>98251.54</v>
      </c>
      <c r="BD30" s="43">
        <f t="shared" si="83"/>
        <v>98251.540913826379</v>
      </c>
      <c r="BE30" s="44">
        <f t="shared" si="84"/>
        <v>1</v>
      </c>
      <c r="BF30" s="43">
        <f>SUMIFS('Fin Forecast'!$H$4:$H$545,'Fin Forecast'!$B$4:$B$545,'Sept16-Feb17 Transport'!$E30,'Fin Forecast'!$C$4:$C$545,'Sept16-Feb17 Transport'!$BF$5)*1000</f>
        <v>0</v>
      </c>
      <c r="BG30" s="43">
        <f>SUMIFS('Fin Forecast'!$H$4:$H$545,'Fin Forecast'!$B$4:$B$545,'Sept16-Feb17 Transport'!$E30,'Fin Forecast'!$C$4:$C$545,'Sept16-Feb17 Transport'!BG$5)*1000</f>
        <v>0</v>
      </c>
      <c r="BH30" s="43">
        <f>SUMIFS('Fin Forecast'!$F$4:$F$545,'Fin Forecast'!$B$4:$B$545,'Sept16-Feb17 Transport'!$E30,'Fin Forecast'!$C$4:$C$545,'Sept16-Feb17 Transport'!BH$5)*1000</f>
        <v>0</v>
      </c>
      <c r="BI30" s="43">
        <f>SUMIFS('Fin Forecast'!$H$4:$H$545,'Fin Forecast'!$B$4:$B$545,'Sept16-Feb17 Transport'!$E30,'Fin Forecast'!$C$4:$C$545,'Sept16-Feb17 Transport'!BI$5)*1000</f>
        <v>150</v>
      </c>
      <c r="BJ30" s="43">
        <f>SUMIFS('Fin Forecast'!$H$4:$H$545,'Fin Forecast'!$B$4:$B$545,'Sept16-Feb17 Transport'!$E30,'Fin Forecast'!$C$4:$C$545,'Sept16-Feb17 Transport'!BJ$5)*1000</f>
        <v>2750</v>
      </c>
      <c r="BK30" s="43">
        <f>SUMIFS('Fin Forecast'!$H$4:$H$545,'Fin Forecast'!$B$4:$B$545,'Sept16-Feb17 Transport'!$E30,'Fin Forecast'!$C$4:$C$545,'Sept16-Feb17 Transport'!BK$5)*1000</f>
        <v>900</v>
      </c>
      <c r="BL30" s="43">
        <f>SUMIFS('Fin Forecast'!$H$4:$H$545,'Fin Forecast'!$B$4:$B$545,'Sept16-Feb17 Transport'!$E30,'Fin Forecast'!$C$4:$C$545,'Sept16-Feb17 Transport'!BL$5)*1000</f>
        <v>90046.782840172498</v>
      </c>
      <c r="BM30" s="43">
        <f>SUMIFS('Fin Forecast'!$H$4:$H$545,'Fin Forecast'!$B$4:$B$545,'Sept16-Feb17 Transport'!$E30,'Fin Forecast'!$C$4:$C$545,'Sept16-Feb17 Transport'!BM$5)*1000</f>
        <v>0</v>
      </c>
      <c r="BN30" s="43">
        <f>SUMIFS('Fin Forecast'!$H$4:$H$545,'Fin Forecast'!$B$4:$B$545,'Sept16-Feb17 Transport'!$E30,'Fin Forecast'!$C$4:$C$545,'Sept16-Feb17 Transport'!BN$5)*1000</f>
        <v>4404.7580736538794</v>
      </c>
      <c r="BO30" s="21"/>
      <c r="BP30" s="51">
        <f t="shared" si="85"/>
        <v>-9.1382638493087143E-4</v>
      </c>
      <c r="BQ30" s="21"/>
      <c r="BR30" s="58">
        <f t="shared" si="86"/>
        <v>0</v>
      </c>
      <c r="BS30" s="58">
        <f t="shared" si="87"/>
        <v>1.0241681593470275E-5</v>
      </c>
      <c r="BT30" s="58">
        <f t="shared" si="88"/>
        <v>0</v>
      </c>
    </row>
    <row r="31" spans="1:72" x14ac:dyDescent="0.25">
      <c r="A31" s="21" t="s">
        <v>801</v>
      </c>
      <c r="B31" s="21"/>
      <c r="C31" s="14">
        <f t="shared" si="89"/>
        <v>22</v>
      </c>
      <c r="D31" s="604">
        <f>$D$28</f>
        <v>42705</v>
      </c>
      <c r="E31" s="604" t="s">
        <v>96</v>
      </c>
      <c r="F31" s="14" t="str">
        <f t="shared" si="67"/>
        <v>892</v>
      </c>
      <c r="G31" s="14" t="str">
        <f>VLOOKUP(E31,'Retail Rates'!$B$7:$D$34,3,FALSE)</f>
        <v>AAGS-I-TS-2</v>
      </c>
      <c r="H31" s="33">
        <f>SUMIF('Forecasted Customer Cts'!$D$5:$D$36,'Sept16-Feb17 Transport'!$E31,'Forecasted Customer Cts'!$Q$5:$Q$36)</f>
        <v>2</v>
      </c>
      <c r="I31" s="33"/>
      <c r="J31" s="33"/>
      <c r="K31" s="33">
        <f>SUMIF('Forecasted Calendar Month Usage'!$D$5:$D$41,'Sept16-Feb17 Transport'!$E31,'Forecasted Calendar Month Usage'!$Q$5:$Q$41)*10</f>
        <v>254750.84264502575</v>
      </c>
      <c r="L31" s="33"/>
      <c r="M31" s="33"/>
      <c r="N31" s="33"/>
      <c r="O31" s="34">
        <f>VLOOKUP($E31,'Retail Rates'!$B$7:$L$34,5,FALSE)</f>
        <v>400</v>
      </c>
      <c r="P31" s="34">
        <f>VLOOKUP($E31,'Retail Rates'!$B$7:$L$34,6,FALSE)</f>
        <v>0</v>
      </c>
      <c r="Q31" s="34">
        <f>VLOOKUP($E31,'Retail Rates'!$B$7:$L$34,9,FALSE)</f>
        <v>550</v>
      </c>
      <c r="R31" s="35">
        <f>VLOOKUP($E31,'Retail Rates'!$B$7:$L$34,7,FALSE)</f>
        <v>7.009E-2</v>
      </c>
      <c r="S31" s="35">
        <f>VLOOKUP($E31,'Retail Rates'!$B$7:$L$34,8,FALSE)</f>
        <v>0</v>
      </c>
      <c r="T31" s="556">
        <v>75</v>
      </c>
      <c r="U31" s="34">
        <f>VLOOKUP($E31,'Retail Rates'!$B$7:$L$34,11,FALSE)</f>
        <v>0</v>
      </c>
      <c r="V31" s="556"/>
      <c r="W31" s="556"/>
      <c r="X31" s="36">
        <f t="shared" si="68"/>
        <v>800</v>
      </c>
      <c r="Y31" s="36">
        <f t="shared" si="69"/>
        <v>0</v>
      </c>
      <c r="Z31" s="36">
        <f>H31*Q31</f>
        <v>1100</v>
      </c>
      <c r="AA31" s="36">
        <f t="shared" si="70"/>
        <v>17855.486560989855</v>
      </c>
      <c r="AB31" s="36">
        <f t="shared" si="70"/>
        <v>0</v>
      </c>
      <c r="AC31" s="36">
        <f t="shared" si="71"/>
        <v>0</v>
      </c>
      <c r="AD31" s="36">
        <f>H31*V31</f>
        <v>0</v>
      </c>
      <c r="AE31" s="36"/>
      <c r="AF31" s="36">
        <f t="shared" si="72"/>
        <v>0</v>
      </c>
      <c r="AG31" s="36"/>
      <c r="AH31" s="57"/>
      <c r="AI31" s="57"/>
      <c r="AJ31" s="48"/>
      <c r="AK31" s="48"/>
      <c r="AL31" s="48"/>
      <c r="AM31" s="48"/>
      <c r="AN31" s="48"/>
      <c r="AO31" s="48"/>
      <c r="AP31" s="48"/>
      <c r="AQ31" s="36">
        <f t="shared" si="73"/>
        <v>800</v>
      </c>
      <c r="AR31" s="36">
        <f t="shared" si="74"/>
        <v>0</v>
      </c>
      <c r="AS31" s="36">
        <f t="shared" si="75"/>
        <v>17855.486560989855</v>
      </c>
      <c r="AT31" s="36">
        <f t="shared" si="75"/>
        <v>0</v>
      </c>
      <c r="AU31" s="36">
        <f t="shared" si="76"/>
        <v>1100</v>
      </c>
      <c r="AV31" s="36">
        <f t="shared" si="77"/>
        <v>0</v>
      </c>
      <c r="AW31" s="43">
        <f t="shared" si="78"/>
        <v>0</v>
      </c>
      <c r="AX31" s="43">
        <f t="shared" si="79"/>
        <v>0</v>
      </c>
      <c r="AY31" s="43">
        <f t="shared" si="80"/>
        <v>0</v>
      </c>
      <c r="AZ31" s="43">
        <f t="shared" si="81"/>
        <v>3534.8555857271799</v>
      </c>
      <c r="BA31" s="36">
        <f t="shared" si="82"/>
        <v>0</v>
      </c>
      <c r="BB31" s="36"/>
      <c r="BC31" s="43">
        <f>ROUND(SUM(AQ31:BB31),2)</f>
        <v>23290.34</v>
      </c>
      <c r="BD31" s="43">
        <f t="shared" si="83"/>
        <v>23290.342146716979</v>
      </c>
      <c r="BE31" s="44">
        <f t="shared" si="84"/>
        <v>1</v>
      </c>
      <c r="BF31" s="43">
        <f>SUMIFS('Fin Forecast'!$H$4:$H$545,'Fin Forecast'!$B$4:$B$545,'Sept16-Feb17 Transport'!$E31,'Fin Forecast'!$C$4:$C$545,'Sept16-Feb17 Transport'!$BF$5)*1000</f>
        <v>0</v>
      </c>
      <c r="BG31" s="43">
        <f>SUMIFS('Fin Forecast'!$H$4:$H$545,'Fin Forecast'!$B$4:$B$545,'Sept16-Feb17 Transport'!$E31,'Fin Forecast'!$C$4:$C$545,'Sept16-Feb17 Transport'!BG$5)*1000</f>
        <v>0</v>
      </c>
      <c r="BH31" s="43">
        <f>SUMIFS('Fin Forecast'!$F$4:$F$545,'Fin Forecast'!$B$4:$B$545,'Sept16-Feb17 Transport'!$E31,'Fin Forecast'!$C$4:$C$545,'Sept16-Feb17 Transport'!BH$5)*1000</f>
        <v>0</v>
      </c>
      <c r="BI31" s="43">
        <f>SUMIFS('Fin Forecast'!$H$4:$H$545,'Fin Forecast'!$B$4:$B$545,'Sept16-Feb17 Transport'!$E31,'Fin Forecast'!$C$4:$C$545,'Sept16-Feb17 Transport'!BI$5)*1000</f>
        <v>0</v>
      </c>
      <c r="BJ31" s="43">
        <f>SUMIFS('Fin Forecast'!$H$4:$H$545,'Fin Forecast'!$B$4:$B$545,'Sept16-Feb17 Transport'!$E31,'Fin Forecast'!$C$4:$C$545,'Sept16-Feb17 Transport'!BJ$5)*1000</f>
        <v>1100</v>
      </c>
      <c r="BK31" s="43">
        <f>SUMIFS('Fin Forecast'!$H$4:$H$545,'Fin Forecast'!$B$4:$B$545,'Sept16-Feb17 Transport'!$E31,'Fin Forecast'!$C$4:$C$545,'Sept16-Feb17 Transport'!BK$5)*1000</f>
        <v>800</v>
      </c>
      <c r="BL31" s="43">
        <f>SUMIFS('Fin Forecast'!$H$4:$H$545,'Fin Forecast'!$B$4:$B$545,'Sept16-Feb17 Transport'!$E31,'Fin Forecast'!$C$4:$C$545,'Sept16-Feb17 Transport'!BL$5)*1000</f>
        <v>17855.486560989801</v>
      </c>
      <c r="BM31" s="43">
        <f>SUMIFS('Fin Forecast'!$H$4:$H$545,'Fin Forecast'!$B$4:$B$545,'Sept16-Feb17 Transport'!$E31,'Fin Forecast'!$C$4:$C$545,'Sept16-Feb17 Transport'!BM$5)*1000</f>
        <v>0</v>
      </c>
      <c r="BN31" s="43">
        <f>SUMIFS('Fin Forecast'!$H$4:$H$545,'Fin Forecast'!$B$4:$B$545,'Sept16-Feb17 Transport'!$E31,'Fin Forecast'!$C$4:$C$545,'Sept16-Feb17 Transport'!BN$5)*1000</f>
        <v>3534.8555857271799</v>
      </c>
      <c r="BO31" s="21"/>
      <c r="BP31" s="51">
        <f t="shared" si="85"/>
        <v>-2.1467169790412299E-3</v>
      </c>
      <c r="BQ31" s="21"/>
      <c r="BR31" s="58">
        <f t="shared" si="86"/>
        <v>0</v>
      </c>
      <c r="BS31" s="58">
        <f t="shared" si="87"/>
        <v>5.4569682106375694E-11</v>
      </c>
      <c r="BT31" s="58">
        <f t="shared" si="88"/>
        <v>0</v>
      </c>
    </row>
    <row r="32" spans="1:72" x14ac:dyDescent="0.25">
      <c r="A32" s="21" t="s">
        <v>802</v>
      </c>
      <c r="B32" s="21"/>
      <c r="C32" s="14">
        <f t="shared" si="89"/>
        <v>23</v>
      </c>
      <c r="D32" s="604">
        <f>$D$28</f>
        <v>42705</v>
      </c>
      <c r="E32" s="604" t="s">
        <v>57</v>
      </c>
      <c r="F32" s="14" t="str">
        <f t="shared" si="67"/>
        <v>997</v>
      </c>
      <c r="G32" s="14" t="str">
        <f>VLOOKUP(E32,'Retail Rates'!$B$7:$D$34,3,FALSE)</f>
        <v>SPC-P</v>
      </c>
      <c r="H32" s="33">
        <f>SUMIF('Forecasted Customer Cts'!$D$5:$D$36,'Sept16-Feb17 Transport'!$E32,'Forecasted Customer Cts'!$Q$5:$Q$36)</f>
        <v>0</v>
      </c>
      <c r="I32" s="33"/>
      <c r="J32" s="33"/>
      <c r="K32" s="33">
        <f>SUMIF('Forecasted Calendar Month Usage'!$D$5:$D$41,'Sept16-Feb17 Transport'!$E32,'Forecasted Calendar Month Usage'!$Q$5:$Q$41)*10</f>
        <v>0</v>
      </c>
      <c r="L32" s="33"/>
      <c r="M32" s="33"/>
      <c r="N32" s="33"/>
      <c r="O32" s="34">
        <f>VLOOKUP($E32,'Retail Rates'!$B$7:$L$34,5,FALSE)</f>
        <v>800</v>
      </c>
      <c r="P32" s="34">
        <f>VLOOKUP($E32,'Retail Rates'!$B$7:$L$34,6,FALSE)</f>
        <v>0</v>
      </c>
      <c r="Q32" s="34">
        <f>VLOOKUP($E32,'Retail Rates'!$B$7:$L$34,9,FALSE)</f>
        <v>0</v>
      </c>
      <c r="R32" s="35">
        <f>VLOOKUP($E32,'Retail Rates'!$B$7:$L$34,7,FALSE)</f>
        <v>4.9699999999999996E-3</v>
      </c>
      <c r="S32" s="35">
        <f>VLOOKUP($E32,'Retail Rates'!$B$7:$L$34,8,FALSE)</f>
        <v>0</v>
      </c>
      <c r="T32" s="556">
        <v>75</v>
      </c>
      <c r="U32" s="699">
        <f>VLOOKUP($E32,'Retail Rates'!$B$7:$L$34,11,FALSE)</f>
        <v>0.24801000000000001</v>
      </c>
      <c r="V32" s="35"/>
      <c r="W32" s="556"/>
      <c r="X32" s="36">
        <f t="shared" si="68"/>
        <v>0</v>
      </c>
      <c r="Y32" s="36">
        <f t="shared" si="69"/>
        <v>0</v>
      </c>
      <c r="Z32" s="36">
        <f>H32*Q32</f>
        <v>0</v>
      </c>
      <c r="AA32" s="36">
        <f t="shared" si="70"/>
        <v>0</v>
      </c>
      <c r="AB32" s="36">
        <f t="shared" si="70"/>
        <v>0</v>
      </c>
      <c r="AC32" s="36">
        <f t="shared" si="71"/>
        <v>0</v>
      </c>
      <c r="AD32" s="36">
        <f>H32*V32</f>
        <v>0</v>
      </c>
      <c r="AE32" s="36"/>
      <c r="AF32" s="36">
        <f t="shared" si="72"/>
        <v>0</v>
      </c>
      <c r="AG32" s="36"/>
      <c r="AH32" s="57"/>
      <c r="AI32" s="57"/>
      <c r="AJ32" s="48"/>
      <c r="AK32" s="48"/>
      <c r="AL32" s="48"/>
      <c r="AM32" s="48"/>
      <c r="AN32" s="48"/>
      <c r="AO32" s="48"/>
      <c r="AP32" s="48"/>
      <c r="AQ32" s="36">
        <f t="shared" si="73"/>
        <v>0</v>
      </c>
      <c r="AR32" s="36">
        <f t="shared" si="74"/>
        <v>0</v>
      </c>
      <c r="AS32" s="36">
        <f t="shared" si="75"/>
        <v>0</v>
      </c>
      <c r="AT32" s="36">
        <f t="shared" si="75"/>
        <v>0</v>
      </c>
      <c r="AU32" s="36">
        <f t="shared" si="76"/>
        <v>0</v>
      </c>
      <c r="AV32" s="36">
        <f t="shared" si="77"/>
        <v>0</v>
      </c>
      <c r="AW32" s="43">
        <f t="shared" si="78"/>
        <v>0</v>
      </c>
      <c r="AX32" s="43">
        <f t="shared" si="79"/>
        <v>0</v>
      </c>
      <c r="AY32" s="43">
        <f t="shared" si="80"/>
        <v>0</v>
      </c>
      <c r="AZ32" s="43">
        <f t="shared" si="81"/>
        <v>0</v>
      </c>
      <c r="BA32" s="36">
        <f t="shared" si="82"/>
        <v>0</v>
      </c>
      <c r="BB32" s="36"/>
      <c r="BC32" s="43">
        <f>ROUND(SUM(AQ32:BB32),2)</f>
        <v>0</v>
      </c>
      <c r="BD32" s="43">
        <f t="shared" si="83"/>
        <v>0</v>
      </c>
      <c r="BE32" s="44">
        <f t="shared" si="84"/>
        <v>0</v>
      </c>
      <c r="BF32" s="43">
        <f>SUMIFS('Fin Forecast'!$H$4:$H$545,'Fin Forecast'!$B$4:$B$545,'Sept16-Feb17 Transport'!$E32,'Fin Forecast'!$C$4:$C$545,'Sept16-Feb17 Transport'!$BF$5)*1000</f>
        <v>0</v>
      </c>
      <c r="BG32" s="43">
        <f>SUMIFS('Fin Forecast'!$H$4:$H$545,'Fin Forecast'!$B$4:$B$545,'Sept16-Feb17 Transport'!$E32,'Fin Forecast'!$C$4:$C$545,'Sept16-Feb17 Transport'!BG$5)*1000</f>
        <v>0</v>
      </c>
      <c r="BH32" s="43">
        <f>SUMIFS('Fin Forecast'!$F$4:$F$545,'Fin Forecast'!$B$4:$B$545,'Sept16-Feb17 Transport'!$E32,'Fin Forecast'!$C$4:$C$545,'Sept16-Feb17 Transport'!BH$5)*1000</f>
        <v>0</v>
      </c>
      <c r="BI32" s="43">
        <f>SUMIFS('Fin Forecast'!$H$4:$H$545,'Fin Forecast'!$B$4:$B$545,'Sept16-Feb17 Transport'!$E32,'Fin Forecast'!$C$4:$C$545,'Sept16-Feb17 Transport'!BI$5)*1000</f>
        <v>0</v>
      </c>
      <c r="BJ32" s="43">
        <f>SUMIFS('Fin Forecast'!$H$4:$H$545,'Fin Forecast'!$B$4:$B$545,'Sept16-Feb17 Transport'!$E32,'Fin Forecast'!$C$4:$C$545,'Sept16-Feb17 Transport'!BJ$5)*1000</f>
        <v>0</v>
      </c>
      <c r="BK32" s="43">
        <f>SUMIFS('Fin Forecast'!$H$4:$H$545,'Fin Forecast'!$B$4:$B$545,'Sept16-Feb17 Transport'!$E32,'Fin Forecast'!$C$4:$C$545,'Sept16-Feb17 Transport'!BK$5)*1000</f>
        <v>0</v>
      </c>
      <c r="BL32" s="43">
        <f>SUMIFS('Fin Forecast'!$H$4:$H$545,'Fin Forecast'!$B$4:$B$545,'Sept16-Feb17 Transport'!$E32,'Fin Forecast'!$C$4:$C$545,'Sept16-Feb17 Transport'!BL$5)*1000</f>
        <v>0</v>
      </c>
      <c r="BM32" s="43">
        <f>SUMIFS('Fin Forecast'!$H$4:$H$545,'Fin Forecast'!$B$4:$B$545,'Sept16-Feb17 Transport'!$E32,'Fin Forecast'!$C$4:$C$545,'Sept16-Feb17 Transport'!BM$5)*1000</f>
        <v>0</v>
      </c>
      <c r="BN32" s="43">
        <f>SUMIFS('Fin Forecast'!$H$4:$H$545,'Fin Forecast'!$B$4:$B$545,'Sept16-Feb17 Transport'!$E32,'Fin Forecast'!$C$4:$C$545,'Sept16-Feb17 Transport'!BN$5)*1000</f>
        <v>0</v>
      </c>
      <c r="BO32" s="21"/>
      <c r="BP32" s="51">
        <f t="shared" si="85"/>
        <v>0</v>
      </c>
      <c r="BQ32" s="21"/>
      <c r="BR32" s="58">
        <f t="shared" si="86"/>
        <v>0</v>
      </c>
      <c r="BS32" s="58">
        <f t="shared" si="87"/>
        <v>0</v>
      </c>
      <c r="BT32" s="58">
        <f t="shared" si="88"/>
        <v>0</v>
      </c>
    </row>
    <row r="33" spans="1:72" x14ac:dyDescent="0.25">
      <c r="A33" s="21"/>
      <c r="B33" s="21"/>
      <c r="C33" s="14">
        <f t="shared" si="89"/>
        <v>24</v>
      </c>
      <c r="D33" s="604">
        <f>$D$28</f>
        <v>42705</v>
      </c>
      <c r="E33" s="604" t="s">
        <v>45</v>
      </c>
      <c r="F33" s="14" t="str">
        <f t="shared" si="67"/>
        <v>996</v>
      </c>
      <c r="G33" s="14" t="str">
        <f>VLOOKUP(E33,'Retail Rates'!$B$7:$D$34,3,FALSE)</f>
        <v>SPC-LGE</v>
      </c>
      <c r="H33" s="33">
        <f>SUMIF('Forecasted Customer Cts'!$D$5:$D$36,'Sept16-Feb17 Transport'!$E33,'Forecasted Customer Cts'!$Q$5:$Q$36)</f>
        <v>1</v>
      </c>
      <c r="I33" s="33"/>
      <c r="J33" s="33"/>
      <c r="K33" s="33">
        <f>SUMIF('Forecasted Calendar Month Usage'!$D$5:$D$41,'Sept16-Feb17 Transport'!$E33,'Forecasted Calendar Month Usage'!$Q$5:$Q$41)*10</f>
        <v>121917.99999999996</v>
      </c>
      <c r="L33" s="33"/>
      <c r="M33" s="33"/>
      <c r="N33" s="33">
        <f>16560*10</f>
        <v>165600</v>
      </c>
      <c r="O33" s="34">
        <f>VLOOKUP($E33,'Retail Rates'!$B$7:$L$34,5,FALSE)</f>
        <v>180</v>
      </c>
      <c r="P33" s="34">
        <f>VLOOKUP($E33,'Retail Rates'!$B$7:$L$34,6,FALSE)</f>
        <v>0</v>
      </c>
      <c r="Q33" s="34">
        <f>VLOOKUP($E33,'Retail Rates'!$B$7:$L$34,9,FALSE)</f>
        <v>0</v>
      </c>
      <c r="R33" s="35">
        <f>VLOOKUP($E33,'Retail Rates'!$B$7:$L$34,7,FALSE)</f>
        <v>3.329E-2</v>
      </c>
      <c r="S33" s="35">
        <f>VLOOKUP($E33,'Retail Rates'!$B$7:$L$34,8,FALSE)</f>
        <v>0</v>
      </c>
      <c r="T33" s="556">
        <v>75</v>
      </c>
      <c r="U33" s="699">
        <f>VLOOKUP($E33,'Retail Rates'!$B$7:$L$34,11,FALSE)</f>
        <v>1.12629</v>
      </c>
      <c r="V33" s="35"/>
      <c r="W33" s="556"/>
      <c r="X33" s="36">
        <f t="shared" si="68"/>
        <v>180</v>
      </c>
      <c r="Y33" s="36">
        <f t="shared" si="69"/>
        <v>0</v>
      </c>
      <c r="Z33" s="36">
        <f>H33*Q33</f>
        <v>0</v>
      </c>
      <c r="AA33" s="36">
        <f t="shared" si="70"/>
        <v>4058.6502199999986</v>
      </c>
      <c r="AB33" s="36">
        <f t="shared" si="70"/>
        <v>0</v>
      </c>
      <c r="AC33" s="36">
        <f t="shared" si="71"/>
        <v>0</v>
      </c>
      <c r="AD33" s="36">
        <f>H33*V33</f>
        <v>0</v>
      </c>
      <c r="AE33" s="36"/>
      <c r="AF33" s="36">
        <f t="shared" si="72"/>
        <v>186513.62400000001</v>
      </c>
      <c r="AG33" s="36"/>
      <c r="AH33" s="57"/>
      <c r="AI33" s="57"/>
      <c r="AJ33" s="48"/>
      <c r="AK33" s="48"/>
      <c r="AL33" s="48"/>
      <c r="AM33" s="48"/>
      <c r="AN33" s="48"/>
      <c r="AO33" s="48"/>
      <c r="AP33" s="48"/>
      <c r="AQ33" s="36">
        <f t="shared" si="73"/>
        <v>180</v>
      </c>
      <c r="AR33" s="36">
        <f t="shared" si="74"/>
        <v>0</v>
      </c>
      <c r="AS33" s="36">
        <f t="shared" si="75"/>
        <v>4058.6502199999986</v>
      </c>
      <c r="AT33" s="36">
        <f t="shared" si="75"/>
        <v>0</v>
      </c>
      <c r="AU33" s="36">
        <f t="shared" si="76"/>
        <v>0</v>
      </c>
      <c r="AV33" s="36">
        <f t="shared" si="77"/>
        <v>0</v>
      </c>
      <c r="AW33" s="43">
        <f t="shared" si="78"/>
        <v>57551.302346519304</v>
      </c>
      <c r="AX33" s="43">
        <f t="shared" si="79"/>
        <v>0</v>
      </c>
      <c r="AY33" s="43">
        <f t="shared" si="80"/>
        <v>0</v>
      </c>
      <c r="AZ33" s="43">
        <f t="shared" si="81"/>
        <v>0</v>
      </c>
      <c r="BA33" s="36">
        <f t="shared" si="82"/>
        <v>186513.62400000001</v>
      </c>
      <c r="BB33" s="36"/>
      <c r="BC33" s="43">
        <f>ROUND(SUM(AQ33:BB33),2)</f>
        <v>248303.58</v>
      </c>
      <c r="BD33" s="43">
        <f t="shared" si="83"/>
        <v>248303.57656651927</v>
      </c>
      <c r="BE33" s="44">
        <f t="shared" si="84"/>
        <v>1</v>
      </c>
      <c r="BF33" s="43">
        <f>SUMIFS('Fin Forecast'!$H$4:$H$545,'Fin Forecast'!$B$4:$B$545,'Sept16-Feb17 Transport'!$E33,'Fin Forecast'!$C$4:$C$545,'Sept16-Feb17 Transport'!$BF$5)*1000</f>
        <v>0</v>
      </c>
      <c r="BG33" s="43">
        <f>SUMIFS('Fin Forecast'!$H$4:$H$545,'Fin Forecast'!$B$4:$B$545,'Sept16-Feb17 Transport'!$E33,'Fin Forecast'!$C$4:$C$545,'Sept16-Feb17 Transport'!BG$5)*1000</f>
        <v>57551.302346519304</v>
      </c>
      <c r="BH33" s="43">
        <f>SUMIFS('Fin Forecast'!$F$4:$F$545,'Fin Forecast'!$B$4:$B$545,'Sept16-Feb17 Transport'!$E33,'Fin Forecast'!$C$4:$C$545,'Sept16-Feb17 Transport'!BH$5)*1000</f>
        <v>0</v>
      </c>
      <c r="BI33" s="43">
        <f>SUMIFS('Fin Forecast'!$H$4:$H$545,'Fin Forecast'!$B$4:$B$545,'Sept16-Feb17 Transport'!$E33,'Fin Forecast'!$C$4:$C$545,'Sept16-Feb17 Transport'!BI$5)*1000</f>
        <v>0</v>
      </c>
      <c r="BJ33" s="43">
        <f>SUMIFS('Fin Forecast'!$H$4:$H$545,'Fin Forecast'!$B$4:$B$545,'Sept16-Feb17 Transport'!$E33,'Fin Forecast'!$C$4:$C$545,'Sept16-Feb17 Transport'!BJ$5)*1000</f>
        <v>0</v>
      </c>
      <c r="BK33" s="43">
        <f>SUMIFS('Fin Forecast'!$H$4:$H$545,'Fin Forecast'!$B$4:$B$545,'Sept16-Feb17 Transport'!$E33,'Fin Forecast'!$C$4:$C$545,'Sept16-Feb17 Transport'!BK$5)*1000</f>
        <v>180</v>
      </c>
      <c r="BL33" s="43">
        <f>SUMIFS('Fin Forecast'!$H$4:$H$545,'Fin Forecast'!$B$4:$B$545,'Sept16-Feb17 Transport'!$E33,'Fin Forecast'!$C$4:$C$545,'Sept16-Feb17 Transport'!BL$5)*1000</f>
        <v>4058.6502199999995</v>
      </c>
      <c r="BM33" s="43">
        <f>SUMIFS('Fin Forecast'!$H$4:$H$545,'Fin Forecast'!$B$4:$B$545,'Sept16-Feb17 Transport'!$E33,'Fin Forecast'!$C$4:$C$545,'Sept16-Feb17 Transport'!BM$5)*1000</f>
        <v>186513.62399999998</v>
      </c>
      <c r="BN33" s="43">
        <f>SUMIFS('Fin Forecast'!$H$4:$H$545,'Fin Forecast'!$B$4:$B$545,'Sept16-Feb17 Transport'!$E33,'Fin Forecast'!$C$4:$C$545,'Sept16-Feb17 Transport'!BN$5)*1000</f>
        <v>0</v>
      </c>
      <c r="BO33" s="21"/>
      <c r="BP33" s="51">
        <f t="shared" si="85"/>
        <v>3.4334807132836431E-3</v>
      </c>
      <c r="BQ33" s="21"/>
      <c r="BR33" s="58">
        <f t="shared" si="86"/>
        <v>0</v>
      </c>
      <c r="BS33" s="58">
        <f t="shared" si="87"/>
        <v>0</v>
      </c>
      <c r="BT33" s="58">
        <f t="shared" si="88"/>
        <v>0</v>
      </c>
    </row>
    <row r="34" spans="1:72" x14ac:dyDescent="0.25">
      <c r="A34" s="563"/>
      <c r="B34" s="563"/>
      <c r="C34" s="564"/>
      <c r="D34" s="605"/>
      <c r="E34" s="605"/>
      <c r="F34" s="564"/>
      <c r="G34" s="564"/>
      <c r="H34" s="565"/>
      <c r="I34" s="565"/>
      <c r="J34" s="565"/>
      <c r="K34" s="565"/>
      <c r="L34" s="565"/>
      <c r="M34" s="565"/>
      <c r="N34" s="565"/>
      <c r="O34" s="566"/>
      <c r="P34" s="566"/>
      <c r="Q34" s="567"/>
      <c r="R34" s="567"/>
      <c r="S34" s="567"/>
      <c r="T34" s="566"/>
      <c r="U34" s="567"/>
      <c r="V34" s="566"/>
      <c r="W34" s="568"/>
      <c r="X34" s="569"/>
      <c r="Y34" s="569"/>
      <c r="Z34" s="569"/>
      <c r="AA34" s="569"/>
      <c r="AB34" s="569"/>
      <c r="AC34" s="569"/>
      <c r="AD34" s="569"/>
      <c r="AE34" s="569"/>
      <c r="AF34" s="569"/>
      <c r="AG34" s="569"/>
      <c r="AH34" s="570"/>
      <c r="AI34" s="570"/>
      <c r="AJ34" s="569"/>
      <c r="AK34" s="569"/>
      <c r="AL34" s="569"/>
      <c r="AM34" s="569"/>
      <c r="AN34" s="569"/>
      <c r="AO34" s="569"/>
      <c r="AP34" s="569"/>
      <c r="AQ34" s="569"/>
      <c r="AR34" s="569"/>
      <c r="AS34" s="569"/>
      <c r="AT34" s="569"/>
      <c r="AU34" s="569"/>
      <c r="AV34" s="569"/>
      <c r="AW34" s="569"/>
      <c r="AX34" s="569"/>
      <c r="AY34" s="569"/>
      <c r="AZ34" s="569"/>
      <c r="BA34" s="569"/>
      <c r="BB34" s="569"/>
      <c r="BC34" s="569"/>
      <c r="BD34" s="569"/>
      <c r="BE34" s="571"/>
      <c r="BF34" s="569"/>
      <c r="BG34" s="569"/>
      <c r="BH34" s="569"/>
      <c r="BI34" s="569"/>
      <c r="BJ34" s="569"/>
      <c r="BK34" s="569"/>
      <c r="BL34" s="569"/>
      <c r="BM34" s="569"/>
      <c r="BN34" s="569"/>
      <c r="BO34" s="563"/>
      <c r="BP34" s="569"/>
      <c r="BQ34" s="563"/>
      <c r="BR34" s="569"/>
      <c r="BS34" s="569"/>
      <c r="BT34" s="569"/>
    </row>
    <row r="35" spans="1:72" x14ac:dyDescent="0.25">
      <c r="A35" s="21"/>
      <c r="B35" s="21"/>
      <c r="C35" s="14">
        <f>C33+1</f>
        <v>25</v>
      </c>
      <c r="D35" s="604">
        <f>EDATE(D28,1)</f>
        <v>42736</v>
      </c>
      <c r="E35" s="604" t="s">
        <v>50</v>
      </c>
      <c r="F35" s="14" t="str">
        <f t="shared" ref="F35:F40" si="90">MID(E35,6,3)</f>
        <v>895</v>
      </c>
      <c r="G35" s="14" t="str">
        <f>VLOOKUP(E35,'Retail Rates'!$B$7:$D$34,3,FALSE)</f>
        <v>FT-C</v>
      </c>
      <c r="H35" s="33">
        <f>SUMIF('Forecasted Customer Cts'!$D$5:$D$36,'Sept16-Feb17 Transport'!$E35,'Forecasted Customer Cts'!$R$5:$R$36)</f>
        <v>10</v>
      </c>
      <c r="I35" s="33"/>
      <c r="J35" s="33"/>
      <c r="K35" s="33">
        <f>SUMIF('Forecasted Calendar Month Usage'!$D$5:$D$41,'Sept16-Feb17 Transport'!$E35,'Forecasted Calendar Month Usage'!$R$5:$R$41)*10</f>
        <v>914278.0486062835</v>
      </c>
      <c r="L35" s="33"/>
      <c r="M35" s="33">
        <v>69</v>
      </c>
      <c r="N35" s="33"/>
      <c r="O35" s="34">
        <f>VLOOKUP($E35,'Retail Rates'!$B$7:$L$34,5,FALSE)</f>
        <v>0</v>
      </c>
      <c r="P35" s="34">
        <f>VLOOKUP($E35,'Retail Rates'!$B$7:$L$34,6,FALSE)</f>
        <v>0</v>
      </c>
      <c r="Q35" s="34">
        <f>VLOOKUP($E35,'Retail Rates'!$B$7:$L$34,9,FALSE)</f>
        <v>550</v>
      </c>
      <c r="R35" s="35">
        <f>VLOOKUP($E35,'Retail Rates'!$B$7:$L$34,7,FALSE)</f>
        <v>4.3020000000000003E-2</v>
      </c>
      <c r="S35" s="35">
        <f>VLOOKUP($E35,'Retail Rates'!$B$7:$L$34,8,FALSE)</f>
        <v>0</v>
      </c>
      <c r="T35" s="556">
        <v>75</v>
      </c>
      <c r="U35" s="34">
        <f>VLOOKUP($E35,'Retail Rates'!$B$7:$L$34,11,FALSE)</f>
        <v>0</v>
      </c>
      <c r="V35" s="35"/>
      <c r="W35" s="556"/>
      <c r="X35" s="36">
        <f t="shared" ref="X35:X40" si="91">(+H35*O35)+(I35*O35)</f>
        <v>0</v>
      </c>
      <c r="Y35" s="36">
        <f t="shared" ref="Y35:Y40" si="92">J35*P35</f>
        <v>0</v>
      </c>
      <c r="Z35" s="36">
        <f>H35*Q35</f>
        <v>5500</v>
      </c>
      <c r="AA35" s="36">
        <f t="shared" ref="AA35:AB40" si="93">+K35*R35</f>
        <v>39332.241651042321</v>
      </c>
      <c r="AB35" s="36">
        <f>+L35*S35</f>
        <v>0</v>
      </c>
      <c r="AC35" s="36">
        <f t="shared" ref="AC35:AC40" si="94">M35*T35</f>
        <v>5175</v>
      </c>
      <c r="AD35" s="36">
        <f>H35*V35</f>
        <v>0</v>
      </c>
      <c r="AE35" s="36"/>
      <c r="AF35" s="36">
        <f t="shared" ref="AF35:AF40" si="95">N35*U35</f>
        <v>0</v>
      </c>
      <c r="AG35" s="36"/>
      <c r="AH35" s="57"/>
      <c r="AI35" s="57"/>
      <c r="AJ35" s="48"/>
      <c r="AK35" s="48"/>
      <c r="AL35" s="48"/>
      <c r="AM35" s="48"/>
      <c r="AN35" s="48"/>
      <c r="AO35" s="48"/>
      <c r="AP35" s="48"/>
      <c r="AQ35" s="36">
        <f t="shared" ref="AQ35:AQ40" si="96">+X35+AJ35+(AH35*O35)</f>
        <v>0</v>
      </c>
      <c r="AR35" s="36">
        <f t="shared" ref="AR35:AR40" si="97">+Y35+AK35</f>
        <v>0</v>
      </c>
      <c r="AS35" s="36">
        <f t="shared" ref="AS35:AT40" si="98">+AA35+AL35</f>
        <v>39332.241651042321</v>
      </c>
      <c r="AT35" s="36">
        <f t="shared" si="98"/>
        <v>0</v>
      </c>
      <c r="AU35" s="36">
        <f t="shared" ref="AU35:AU40" si="99">Z35</f>
        <v>5500</v>
      </c>
      <c r="AV35" s="36">
        <f t="shared" ref="AV35:AV40" si="100">AC35</f>
        <v>5175</v>
      </c>
      <c r="AW35" s="43">
        <f t="shared" ref="AW35:AW40" si="101">BG35</f>
        <v>0</v>
      </c>
      <c r="AX35" s="43">
        <f t="shared" ref="AX35:AX40" si="102">BF35</f>
        <v>64939.829152007762</v>
      </c>
      <c r="AY35" s="43">
        <f t="shared" ref="AY35:AY40" si="103">BH35</f>
        <v>0</v>
      </c>
      <c r="AZ35" s="43">
        <f t="shared" ref="AZ35:AZ40" si="104">BN35</f>
        <v>0</v>
      </c>
      <c r="BA35" s="36">
        <f t="shared" ref="BA35:BA40" si="105">+AF35+AP35</f>
        <v>0</v>
      </c>
      <c r="BB35" s="36"/>
      <c r="BC35" s="43">
        <f>ROUND(SUM(AQ35:BB35),2)+SUM(AQ36:BB36)</f>
        <v>762723.07558784331</v>
      </c>
      <c r="BD35" s="43">
        <f t="shared" ref="BD35:BD40" si="106">SUM(BF35:BN35)</f>
        <v>762723.0765901939</v>
      </c>
      <c r="BE35" s="44">
        <f t="shared" ref="BE35:BE40" si="107">IF(BD35=0,0,ROUND(BD35/BC35,6))</f>
        <v>1</v>
      </c>
      <c r="BF35" s="43">
        <f>SUMIFS('Fin Forecast'!$I$4:$I$545,'Fin Forecast'!$B$4:$B$545,'Sept16-Feb17 Transport'!$E35,'Fin Forecast'!$C$4:$C$545,'Sept16-Feb17 Transport'!$BF$5)*1000</f>
        <v>64939.829152007762</v>
      </c>
      <c r="BG35" s="43">
        <f>SUMIFS('Fin Forecast'!$I$4:$I$545,'Fin Forecast'!$B$4:$B$545,'Sept16-Feb17 Transport'!$E35,'Fin Forecast'!$C$4:$C$545,'Sept16-Feb17 Transport'!BG$5)*1000</f>
        <v>0</v>
      </c>
      <c r="BH35" s="43">
        <f>SUMIFS('Fin Forecast'!$I$4:$I$545,'Fin Forecast'!$B$4:$B$545,'Sept16-Feb17 Transport'!$E35,'Fin Forecast'!$C$4:$C$545,'Sept16-Feb17 Transport'!BH$5)*1000</f>
        <v>0</v>
      </c>
      <c r="BI35" s="43">
        <f>SUMIFS('Fin Forecast'!$I$4:$I$545,'Fin Forecast'!$B$4:$B$545,'Sept16-Feb17 Transport'!$E35,'Fin Forecast'!$C$4:$C$545,'Sept16-Feb17 Transport'!BI$5)*1000</f>
        <v>5175</v>
      </c>
      <c r="BJ35" s="43">
        <f>SUMIFS('Fin Forecast'!$I$4:$I$545,'Fin Forecast'!$B$4:$B$545,'Sept16-Feb17 Transport'!$E35,'Fin Forecast'!$C$4:$C$545,'Sept16-Feb17 Transport'!BJ$5)*1000</f>
        <v>40150</v>
      </c>
      <c r="BK35" s="43">
        <f>SUMIFS('Fin Forecast'!$I$4:$I$545,'Fin Forecast'!$B$4:$B$545,'Sept16-Feb17 Transport'!$E35,'Fin Forecast'!$C$4:$C$545,'Sept16-Feb17 Transport'!BK$5)*1000</f>
        <v>0</v>
      </c>
      <c r="BL35" s="43">
        <f>SUMIFS('Fin Forecast'!$I$4:$I$545,'Fin Forecast'!$B$4:$B$545,'Sept16-Feb17 Transport'!$E35,'Fin Forecast'!$C$4:$C$545,'Sept16-Feb17 Transport'!BL$5)*1000</f>
        <v>652458.24743818608</v>
      </c>
      <c r="BM35" s="43">
        <f>SUMIFS('Fin Forecast'!$I$4:$I$545,'Fin Forecast'!$B$4:$B$545,'Sept16-Feb17 Transport'!$E35,'Fin Forecast'!$C$4:$C$545,'Sept16-Feb17 Transport'!BM$5)*1000</f>
        <v>0</v>
      </c>
      <c r="BN35" s="43">
        <f>SUMIFS('Fin Forecast'!$I$4:$I$545,'Fin Forecast'!$B$4:$B$545,'Sept16-Feb17 Transport'!$E35,'Fin Forecast'!$C$4:$C$545,'Sept16-Feb17 Transport'!BN$5)*1000</f>
        <v>0</v>
      </c>
      <c r="BO35" s="21"/>
      <c r="BP35" s="51">
        <f t="shared" ref="BP35:BP40" si="108">+BC35-BD35</f>
        <v>-1.0023505892604589E-3</v>
      </c>
      <c r="BQ35" s="21"/>
      <c r="BR35" s="58">
        <f t="shared" ref="BR35:BR40" si="109">+AQ35+AR35-BK35</f>
        <v>0</v>
      </c>
      <c r="BS35" s="58">
        <f t="shared" ref="BS35:BS40" si="110">+AS35+AT35-BL35</f>
        <v>-613126.00578714372</v>
      </c>
      <c r="BT35" s="58">
        <f t="shared" ref="BT35:BT40" si="111">+AW35-BG35</f>
        <v>0</v>
      </c>
    </row>
    <row r="36" spans="1:72" x14ac:dyDescent="0.25">
      <c r="A36" s="21"/>
      <c r="B36" s="21"/>
      <c r="C36" s="14">
        <f t="shared" si="89"/>
        <v>26</v>
      </c>
      <c r="D36" s="604">
        <f>$D$35</f>
        <v>42736</v>
      </c>
      <c r="E36" s="604" t="s">
        <v>52</v>
      </c>
      <c r="F36" s="14" t="str">
        <f t="shared" si="90"/>
        <v>896</v>
      </c>
      <c r="G36" s="14" t="str">
        <f>VLOOKUP(E36,'Retail Rates'!$B$7:$D$34,3,FALSE)</f>
        <v>FT-I</v>
      </c>
      <c r="H36" s="33">
        <f>SUMIF('Forecasted Customer Cts'!$D$5:$D$36,'Sept16-Feb17 Transport'!$E36,'Forecasted Customer Cts'!$R$5:$R$36)</f>
        <v>63</v>
      </c>
      <c r="I36" s="33"/>
      <c r="J36" s="33"/>
      <c r="K36" s="33">
        <f>SUMIF('Forecasted Calendar Month Usage'!$D$5:$D$41,'Sept16-Feb17 Transport'!$E36,'Forecasted Calendar Month Usage'!$R$5:$R$41)*10</f>
        <v>14252115.425100958</v>
      </c>
      <c r="L36" s="33"/>
      <c r="M36" s="33"/>
      <c r="N36" s="33"/>
      <c r="O36" s="34">
        <f>VLOOKUP($E36,'Retail Rates'!$B$7:$L$34,5,FALSE)</f>
        <v>0</v>
      </c>
      <c r="P36" s="34">
        <f>VLOOKUP($E36,'Retail Rates'!$B$7:$L$34,6,FALSE)</f>
        <v>0</v>
      </c>
      <c r="Q36" s="34">
        <f>VLOOKUP($E36,'Retail Rates'!$B$7:$L$34,9,FALSE)</f>
        <v>550</v>
      </c>
      <c r="R36" s="35">
        <f>VLOOKUP($E36,'Retail Rates'!$B$7:$L$34,7,FALSE)</f>
        <v>4.3020000000000003E-2</v>
      </c>
      <c r="S36" s="35">
        <f>VLOOKUP($E36,'Retail Rates'!$B$7:$L$34,8,FALSE)</f>
        <v>0</v>
      </c>
      <c r="T36" s="556">
        <v>75</v>
      </c>
      <c r="U36" s="34">
        <f>VLOOKUP($E36,'Retail Rates'!$B$7:$L$34,11,FALSE)</f>
        <v>0</v>
      </c>
      <c r="V36" s="35"/>
      <c r="W36" s="556"/>
      <c r="X36" s="36">
        <f t="shared" si="91"/>
        <v>0</v>
      </c>
      <c r="Y36" s="36">
        <f t="shared" si="92"/>
        <v>0</v>
      </c>
      <c r="Z36" s="36">
        <f>H36*Q36</f>
        <v>34650</v>
      </c>
      <c r="AA36" s="36">
        <f t="shared" si="93"/>
        <v>613126.00558784325</v>
      </c>
      <c r="AB36" s="36">
        <f t="shared" si="93"/>
        <v>0</v>
      </c>
      <c r="AC36" s="36">
        <f t="shared" si="94"/>
        <v>0</v>
      </c>
      <c r="AD36" s="36">
        <f>H36*V36</f>
        <v>0</v>
      </c>
      <c r="AE36" s="36"/>
      <c r="AF36" s="36">
        <f t="shared" si="95"/>
        <v>0</v>
      </c>
      <c r="AG36" s="36"/>
      <c r="AH36" s="57"/>
      <c r="AI36" s="57"/>
      <c r="AJ36" s="48"/>
      <c r="AK36" s="48"/>
      <c r="AL36" s="48"/>
      <c r="AM36" s="48"/>
      <c r="AN36" s="48"/>
      <c r="AO36" s="48"/>
      <c r="AP36" s="48"/>
      <c r="AQ36" s="36">
        <f t="shared" si="96"/>
        <v>0</v>
      </c>
      <c r="AR36" s="36">
        <f t="shared" si="97"/>
        <v>0</v>
      </c>
      <c r="AS36" s="36">
        <f t="shared" si="98"/>
        <v>613126.00558784325</v>
      </c>
      <c r="AT36" s="36">
        <f t="shared" si="98"/>
        <v>0</v>
      </c>
      <c r="AU36" s="36">
        <f t="shared" si="99"/>
        <v>34650</v>
      </c>
      <c r="AV36" s="36">
        <f t="shared" si="100"/>
        <v>0</v>
      </c>
      <c r="AW36" s="43">
        <f t="shared" si="101"/>
        <v>0</v>
      </c>
      <c r="AX36" s="43">
        <f t="shared" si="102"/>
        <v>0</v>
      </c>
      <c r="AY36" s="43">
        <f t="shared" si="103"/>
        <v>0</v>
      </c>
      <c r="AZ36" s="43">
        <f t="shared" si="104"/>
        <v>0</v>
      </c>
      <c r="BA36" s="36">
        <f t="shared" si="105"/>
        <v>0</v>
      </c>
      <c r="BB36" s="36"/>
      <c r="BC36" s="43"/>
      <c r="BD36" s="43">
        <f t="shared" si="106"/>
        <v>0</v>
      </c>
      <c r="BE36" s="44">
        <f t="shared" si="107"/>
        <v>0</v>
      </c>
      <c r="BF36" s="43">
        <f>SUMIFS('Fin Forecast'!$I$4:$I$545,'Fin Forecast'!$B$4:$B$545,'Sept16-Feb17 Transport'!$E36,'Fin Forecast'!$C$4:$C$545,'Sept16-Feb17 Transport'!$BF$5)*1000</f>
        <v>0</v>
      </c>
      <c r="BG36" s="43">
        <f>SUMIFS('Fin Forecast'!$I$4:$I$545,'Fin Forecast'!$B$4:$B$545,'Sept16-Feb17 Transport'!$E36,'Fin Forecast'!$C$4:$C$545,'Sept16-Feb17 Transport'!BG$5)*1000</f>
        <v>0</v>
      </c>
      <c r="BH36" s="43">
        <f>SUMIFS('Fin Forecast'!$I$4:$I$545,'Fin Forecast'!$B$4:$B$545,'Sept16-Feb17 Transport'!$E36,'Fin Forecast'!$C$4:$C$545,'Sept16-Feb17 Transport'!BH$5)*1000</f>
        <v>0</v>
      </c>
      <c r="BI36" s="43">
        <f>SUMIFS('Fin Forecast'!$I$4:$I$545,'Fin Forecast'!$B$4:$B$545,'Sept16-Feb17 Transport'!$E36,'Fin Forecast'!$C$4:$C$545,'Sept16-Feb17 Transport'!BI$5)*1000</f>
        <v>0</v>
      </c>
      <c r="BJ36" s="43">
        <f>SUMIFS('Fin Forecast'!$I$4:$I$545,'Fin Forecast'!$B$4:$B$545,'Sept16-Feb17 Transport'!$E36,'Fin Forecast'!$C$4:$C$545,'Sept16-Feb17 Transport'!BJ$5)*1000</f>
        <v>0</v>
      </c>
      <c r="BK36" s="43">
        <f>SUMIFS('Fin Forecast'!$I$4:$I$545,'Fin Forecast'!$B$4:$B$545,'Sept16-Feb17 Transport'!$E36,'Fin Forecast'!$C$4:$C$545,'Sept16-Feb17 Transport'!BK$5)*1000</f>
        <v>0</v>
      </c>
      <c r="BL36" s="43">
        <f>SUMIFS('Fin Forecast'!$I$4:$I$545,'Fin Forecast'!$B$4:$B$545,'Sept16-Feb17 Transport'!$E36,'Fin Forecast'!$C$4:$C$545,'Sept16-Feb17 Transport'!BL$5)*1000</f>
        <v>0</v>
      </c>
      <c r="BM36" s="43">
        <f>SUMIFS('Fin Forecast'!$I$4:$I$545,'Fin Forecast'!$B$4:$B$545,'Sept16-Feb17 Transport'!$E36,'Fin Forecast'!$C$4:$C$545,'Sept16-Feb17 Transport'!BM$5)*1000</f>
        <v>0</v>
      </c>
      <c r="BN36" s="43">
        <f>SUMIFS('Fin Forecast'!$I$4:$I$545,'Fin Forecast'!$B$4:$B$545,'Sept16-Feb17 Transport'!$E36,'Fin Forecast'!$C$4:$C$545,'Sept16-Feb17 Transport'!BN$5)*1000</f>
        <v>0</v>
      </c>
      <c r="BO36" s="21"/>
      <c r="BP36" s="51">
        <f t="shared" si="108"/>
        <v>0</v>
      </c>
      <c r="BQ36" s="21"/>
      <c r="BR36" s="58">
        <f t="shared" si="109"/>
        <v>0</v>
      </c>
      <c r="BS36" s="58">
        <f t="shared" si="110"/>
        <v>613126.00558784325</v>
      </c>
      <c r="BT36" s="58">
        <f t="shared" si="111"/>
        <v>0</v>
      </c>
    </row>
    <row r="37" spans="1:72" x14ac:dyDescent="0.25">
      <c r="A37" s="21"/>
      <c r="B37" s="21" t="s">
        <v>800</v>
      </c>
      <c r="C37" s="14">
        <f t="shared" si="89"/>
        <v>27</v>
      </c>
      <c r="D37" s="604">
        <f>$D$35</f>
        <v>42736</v>
      </c>
      <c r="E37" s="604" t="s">
        <v>42</v>
      </c>
      <c r="F37" s="14" t="str">
        <f t="shared" si="90"/>
        <v>882</v>
      </c>
      <c r="G37" s="14" t="str">
        <f>VLOOKUP(E37,'Retail Rates'!$B$7:$D$34,3,FALSE)</f>
        <v>IGS-TS-2</v>
      </c>
      <c r="H37" s="33"/>
      <c r="I37" s="33"/>
      <c r="J37" s="33">
        <f>SUMIFS('Forecasted Customer Cts'!$N$5:$N$36,'Forecasted Customer Cts'!$D$5:$D$36,'Sept16-Feb17 Transport'!$E37,'Forecasted Customer Cts'!$C$5:$C$36,'Sept16-Feb17 Transport'!$B37)</f>
        <v>5</v>
      </c>
      <c r="K37" s="33">
        <f>SUMIF('Forecasted Calendar Month Usage'!$D$5:$D$41,'Sept16-Feb17 Transport'!$E37,'Forecasted Calendar Month Usage'!$R$5:$R$41)*10</f>
        <v>179265.50904581352</v>
      </c>
      <c r="L37" s="33"/>
      <c r="M37" s="33">
        <v>2</v>
      </c>
      <c r="N37" s="33"/>
      <c r="O37" s="34">
        <f>VLOOKUP($E37,'Retail Rates'!$B$7:$L$34,5,FALSE)</f>
        <v>40</v>
      </c>
      <c r="P37" s="34">
        <f>VLOOKUP($E37,'Retail Rates'!$B$7:$L$34,6,FALSE)</f>
        <v>180</v>
      </c>
      <c r="Q37" s="34">
        <f>VLOOKUP($E37,'Retail Rates'!$B$7:$L$34,9,FALSE)</f>
        <v>550</v>
      </c>
      <c r="R37" s="35">
        <f>VLOOKUP($E37,'Retail Rates'!$B$7:$L$34,7,FALSE)</f>
        <v>0.22778999999999999</v>
      </c>
      <c r="S37" s="35">
        <f>VLOOKUP($E37,'Retail Rates'!$B$7:$L$34,8,FALSE)</f>
        <v>0.17779</v>
      </c>
      <c r="T37" s="556">
        <v>75</v>
      </c>
      <c r="U37" s="34">
        <f>VLOOKUP($E37,'Retail Rates'!$B$7:$L$34,11,FALSE)</f>
        <v>0</v>
      </c>
      <c r="V37" s="556"/>
      <c r="W37" s="556"/>
      <c r="X37" s="36">
        <f t="shared" si="91"/>
        <v>0</v>
      </c>
      <c r="Y37" s="36">
        <f t="shared" si="92"/>
        <v>900</v>
      </c>
      <c r="Z37" s="36">
        <f>(I37+J37)*Q37</f>
        <v>2750</v>
      </c>
      <c r="AA37" s="36">
        <f>+K37*R37</f>
        <v>40834.890305545858</v>
      </c>
      <c r="AB37" s="36">
        <f>+L37*S37</f>
        <v>0</v>
      </c>
      <c r="AC37" s="36">
        <f t="shared" si="94"/>
        <v>150</v>
      </c>
      <c r="AD37" s="36">
        <f>(I37+J37)*V37</f>
        <v>0</v>
      </c>
      <c r="AE37" s="36"/>
      <c r="AF37" s="36">
        <f t="shared" si="95"/>
        <v>0</v>
      </c>
      <c r="AG37" s="36"/>
      <c r="AH37" s="57"/>
      <c r="AI37" s="57"/>
      <c r="AJ37" s="48"/>
      <c r="AK37" s="48"/>
      <c r="AL37" s="48"/>
      <c r="AM37" s="48"/>
      <c r="AN37" s="48"/>
      <c r="AO37" s="48"/>
      <c r="AP37" s="48"/>
      <c r="AQ37" s="36">
        <f t="shared" si="96"/>
        <v>0</v>
      </c>
      <c r="AR37" s="36">
        <f t="shared" si="97"/>
        <v>900</v>
      </c>
      <c r="AS37" s="36">
        <f t="shared" si="98"/>
        <v>40834.890305545858</v>
      </c>
      <c r="AT37" s="36">
        <f t="shared" si="98"/>
        <v>0</v>
      </c>
      <c r="AU37" s="36">
        <f t="shared" si="99"/>
        <v>2750</v>
      </c>
      <c r="AV37" s="36">
        <f t="shared" si="100"/>
        <v>150</v>
      </c>
      <c r="AW37" s="43">
        <f t="shared" si="101"/>
        <v>0</v>
      </c>
      <c r="AX37" s="43">
        <f t="shared" si="102"/>
        <v>0</v>
      </c>
      <c r="AY37" s="43">
        <f t="shared" si="103"/>
        <v>0</v>
      </c>
      <c r="AZ37" s="43">
        <f t="shared" si="104"/>
        <v>2696.1003285474999</v>
      </c>
      <c r="BA37" s="36">
        <f t="shared" si="105"/>
        <v>0</v>
      </c>
      <c r="BB37" s="36"/>
      <c r="BC37" s="43">
        <f>ROUND(SUM(AQ37:BB37),2)</f>
        <v>47330.99</v>
      </c>
      <c r="BD37" s="43">
        <f t="shared" si="106"/>
        <v>47330.990630491106</v>
      </c>
      <c r="BE37" s="44">
        <f t="shared" si="107"/>
        <v>1</v>
      </c>
      <c r="BF37" s="43">
        <f>SUMIFS('Fin Forecast'!$I$4:$I$545,'Fin Forecast'!$B$4:$B$545,'Sept16-Feb17 Transport'!$E37,'Fin Forecast'!$C$4:$C$545,'Sept16-Feb17 Transport'!$BF$5)*1000</f>
        <v>0</v>
      </c>
      <c r="BG37" s="43">
        <f>SUMIFS('Fin Forecast'!$I$4:$I$545,'Fin Forecast'!$B$4:$B$545,'Sept16-Feb17 Transport'!$E37,'Fin Forecast'!$C$4:$C$545,'Sept16-Feb17 Transport'!BG$5)*1000</f>
        <v>0</v>
      </c>
      <c r="BH37" s="43">
        <f>SUMIFS('Fin Forecast'!$I$4:$I$545,'Fin Forecast'!$B$4:$B$545,'Sept16-Feb17 Transport'!$E37,'Fin Forecast'!$C$4:$C$545,'Sept16-Feb17 Transport'!BH$5)*1000</f>
        <v>0</v>
      </c>
      <c r="BI37" s="43">
        <f>SUMIFS('Fin Forecast'!$I$4:$I$545,'Fin Forecast'!$B$4:$B$545,'Sept16-Feb17 Transport'!$E37,'Fin Forecast'!$C$4:$C$545,'Sept16-Feb17 Transport'!BI$5)*1000</f>
        <v>150</v>
      </c>
      <c r="BJ37" s="43">
        <f>SUMIFS('Fin Forecast'!$I$4:$I$545,'Fin Forecast'!$B$4:$B$545,'Sept16-Feb17 Transport'!$E37,'Fin Forecast'!$C$4:$C$545,'Sept16-Feb17 Transport'!BJ$5)*1000</f>
        <v>2750</v>
      </c>
      <c r="BK37" s="43">
        <f>SUMIFS('Fin Forecast'!$I$4:$I$545,'Fin Forecast'!$B$4:$B$545,'Sept16-Feb17 Transport'!$E37,'Fin Forecast'!$C$4:$C$545,'Sept16-Feb17 Transport'!BK$5)*1000</f>
        <v>900</v>
      </c>
      <c r="BL37" s="43">
        <f>SUMIFS('Fin Forecast'!$I$4:$I$545,'Fin Forecast'!$B$4:$B$545,'Sept16-Feb17 Transport'!$E37,'Fin Forecast'!$C$4:$C$545,'Sept16-Feb17 Transport'!BL$5)*1000</f>
        <v>40834.890301943604</v>
      </c>
      <c r="BM37" s="43">
        <f>SUMIFS('Fin Forecast'!$I$4:$I$545,'Fin Forecast'!$B$4:$B$545,'Sept16-Feb17 Transport'!$E37,'Fin Forecast'!$C$4:$C$545,'Sept16-Feb17 Transport'!BM$5)*1000</f>
        <v>0</v>
      </c>
      <c r="BN37" s="43">
        <f>SUMIFS('Fin Forecast'!$I$4:$I$545,'Fin Forecast'!$B$4:$B$545,'Sept16-Feb17 Transport'!$E37,'Fin Forecast'!$C$4:$C$545,'Sept16-Feb17 Transport'!BN$5)*1000</f>
        <v>2696.1003285474999</v>
      </c>
      <c r="BO37" s="21"/>
      <c r="BP37" s="51">
        <f t="shared" si="108"/>
        <v>-6.3049110758583993E-4</v>
      </c>
      <c r="BQ37" s="21"/>
      <c r="BR37" s="58">
        <f t="shared" si="109"/>
        <v>0</v>
      </c>
      <c r="BS37" s="58">
        <f t="shared" si="110"/>
        <v>3.6022538552060723E-6</v>
      </c>
      <c r="BT37" s="58">
        <f t="shared" si="111"/>
        <v>0</v>
      </c>
    </row>
    <row r="38" spans="1:72" x14ac:dyDescent="0.25">
      <c r="A38" s="967" t="s">
        <v>1181</v>
      </c>
      <c r="B38" s="21"/>
      <c r="C38" s="14">
        <f t="shared" si="89"/>
        <v>28</v>
      </c>
      <c r="D38" s="604">
        <f>$D$35</f>
        <v>42736</v>
      </c>
      <c r="E38" s="604" t="s">
        <v>96</v>
      </c>
      <c r="F38" s="14" t="str">
        <f t="shared" si="90"/>
        <v>892</v>
      </c>
      <c r="G38" s="14" t="str">
        <f>VLOOKUP(E38,'Retail Rates'!$B$7:$D$34,3,FALSE)</f>
        <v>AAGS-I-TS-2</v>
      </c>
      <c r="H38" s="33">
        <f>SUMIF('Forecasted Customer Cts'!$D$5:$D$36,'Sept16-Feb17 Transport'!$E38,'Forecasted Customer Cts'!$R$5:$R$36)</f>
        <v>2</v>
      </c>
      <c r="I38" s="33"/>
      <c r="J38" s="33"/>
      <c r="K38" s="33">
        <f>SUMIF('Forecasted Calendar Month Usage'!$D$5:$D$41,'Sept16-Feb17 Transport'!$E38,'Forecasted Calendar Month Usage'!$R$5:$R$41)*10</f>
        <v>217112.78732859952</v>
      </c>
      <c r="L38" s="33"/>
      <c r="M38" s="33"/>
      <c r="N38" s="33"/>
      <c r="O38" s="34">
        <f>VLOOKUP($E38,'Retail Rates'!$B$7:$L$34,5,FALSE)</f>
        <v>400</v>
      </c>
      <c r="P38" s="34">
        <f>VLOOKUP($E38,'Retail Rates'!$B$7:$L$34,6,FALSE)</f>
        <v>0</v>
      </c>
      <c r="Q38" s="34">
        <f>VLOOKUP($E38,'Retail Rates'!$B$7:$L$34,9,FALSE)</f>
        <v>550</v>
      </c>
      <c r="R38" s="35">
        <f>VLOOKUP($E38,'Retail Rates'!$B$7:$L$34,7,FALSE)</f>
        <v>7.009E-2</v>
      </c>
      <c r="S38" s="35">
        <f>VLOOKUP($E38,'Retail Rates'!$B$7:$L$34,8,FALSE)</f>
        <v>0</v>
      </c>
      <c r="T38" s="556">
        <v>75</v>
      </c>
      <c r="U38" s="34">
        <f>VLOOKUP($E38,'Retail Rates'!$B$7:$L$34,11,FALSE)</f>
        <v>0</v>
      </c>
      <c r="V38" s="556"/>
      <c r="W38" s="556"/>
      <c r="X38" s="36">
        <f t="shared" si="91"/>
        <v>800</v>
      </c>
      <c r="Y38" s="36">
        <f t="shared" si="92"/>
        <v>0</v>
      </c>
      <c r="Z38" s="36">
        <f>H38*Q38</f>
        <v>1100</v>
      </c>
      <c r="AA38" s="36">
        <f t="shared" si="93"/>
        <v>15217.43526386154</v>
      </c>
      <c r="AB38" s="36">
        <f t="shared" si="93"/>
        <v>0</v>
      </c>
      <c r="AC38" s="36">
        <f t="shared" si="94"/>
        <v>0</v>
      </c>
      <c r="AD38" s="36">
        <f>H38*V38</f>
        <v>0</v>
      </c>
      <c r="AE38" s="36"/>
      <c r="AF38" s="36">
        <f t="shared" si="95"/>
        <v>0</v>
      </c>
      <c r="AG38" s="36"/>
      <c r="AH38" s="57"/>
      <c r="AI38" s="57"/>
      <c r="AJ38" s="48"/>
      <c r="AK38" s="48"/>
      <c r="AL38" s="48"/>
      <c r="AM38" s="48"/>
      <c r="AN38" s="48"/>
      <c r="AO38" s="48"/>
      <c r="AP38" s="48"/>
      <c r="AQ38" s="36">
        <f t="shared" si="96"/>
        <v>800</v>
      </c>
      <c r="AR38" s="36">
        <f t="shared" si="97"/>
        <v>0</v>
      </c>
      <c r="AS38" s="36">
        <f t="shared" si="98"/>
        <v>15217.43526386154</v>
      </c>
      <c r="AT38" s="36">
        <f t="shared" si="98"/>
        <v>0</v>
      </c>
      <c r="AU38" s="36">
        <f t="shared" si="99"/>
        <v>1100</v>
      </c>
      <c r="AV38" s="36">
        <f t="shared" si="100"/>
        <v>0</v>
      </c>
      <c r="AW38" s="43">
        <f t="shared" si="101"/>
        <v>0</v>
      </c>
      <c r="AX38" s="43">
        <f t="shared" si="102"/>
        <v>0</v>
      </c>
      <c r="AY38" s="43">
        <f t="shared" si="103"/>
        <v>0</v>
      </c>
      <c r="AZ38" s="43">
        <f t="shared" si="104"/>
        <v>4509.8543098706004</v>
      </c>
      <c r="BA38" s="36">
        <f t="shared" si="105"/>
        <v>0</v>
      </c>
      <c r="BB38" s="36"/>
      <c r="BC38" s="43">
        <f>ROUND(SUM(AQ38:BB38),2)</f>
        <v>21627.29</v>
      </c>
      <c r="BD38" s="43">
        <f t="shared" si="106"/>
        <v>21627.289573732101</v>
      </c>
      <c r="BE38" s="44">
        <f t="shared" si="107"/>
        <v>1</v>
      </c>
      <c r="BF38" s="43">
        <f>SUMIFS('Fin Forecast'!$I$4:$I$545,'Fin Forecast'!$B$4:$B$545,'Sept16-Feb17 Transport'!$E38,'Fin Forecast'!$C$4:$C$545,'Sept16-Feb17 Transport'!$BF$5)*1000</f>
        <v>0</v>
      </c>
      <c r="BG38" s="43">
        <f>SUMIFS('Fin Forecast'!$I$4:$I$545,'Fin Forecast'!$B$4:$B$545,'Sept16-Feb17 Transport'!$E38,'Fin Forecast'!$C$4:$C$545,'Sept16-Feb17 Transport'!BG$5)*1000</f>
        <v>0</v>
      </c>
      <c r="BH38" s="43">
        <f>SUMIFS('Fin Forecast'!$I$4:$I$545,'Fin Forecast'!$B$4:$B$545,'Sept16-Feb17 Transport'!$E38,'Fin Forecast'!$C$4:$C$545,'Sept16-Feb17 Transport'!BH$5)*1000</f>
        <v>0</v>
      </c>
      <c r="BI38" s="43">
        <f>SUMIFS('Fin Forecast'!$I$4:$I$545,'Fin Forecast'!$B$4:$B$545,'Sept16-Feb17 Transport'!$E38,'Fin Forecast'!$C$4:$C$545,'Sept16-Feb17 Transport'!BI$5)*1000</f>
        <v>0</v>
      </c>
      <c r="BJ38" s="43">
        <f>SUMIFS('Fin Forecast'!$I$4:$I$545,'Fin Forecast'!$B$4:$B$545,'Sept16-Feb17 Transport'!$E38,'Fin Forecast'!$C$4:$C$545,'Sept16-Feb17 Transport'!BJ$5)*1000</f>
        <v>1100</v>
      </c>
      <c r="BK38" s="43">
        <f>SUMIFS('Fin Forecast'!$I$4:$I$545,'Fin Forecast'!$B$4:$B$545,'Sept16-Feb17 Transport'!$E38,'Fin Forecast'!$C$4:$C$545,'Sept16-Feb17 Transport'!BK$5)*1000</f>
        <v>800</v>
      </c>
      <c r="BL38" s="43">
        <f>SUMIFS('Fin Forecast'!$I$4:$I$545,'Fin Forecast'!$B$4:$B$545,'Sept16-Feb17 Transport'!$E38,'Fin Forecast'!$C$4:$C$545,'Sept16-Feb17 Transport'!BL$5)*1000</f>
        <v>15217.4352638615</v>
      </c>
      <c r="BM38" s="43">
        <f>SUMIFS('Fin Forecast'!$I$4:$I$545,'Fin Forecast'!$B$4:$B$545,'Sept16-Feb17 Transport'!$E38,'Fin Forecast'!$C$4:$C$545,'Sept16-Feb17 Transport'!BM$5)*1000</f>
        <v>0</v>
      </c>
      <c r="BN38" s="43">
        <f>SUMIFS('Fin Forecast'!$I$4:$I$545,'Fin Forecast'!$B$4:$B$545,'Sept16-Feb17 Transport'!$E38,'Fin Forecast'!$C$4:$C$545,'Sept16-Feb17 Transport'!BN$5)*1000</f>
        <v>4509.8543098706004</v>
      </c>
      <c r="BO38" s="21"/>
      <c r="BP38" s="51">
        <f t="shared" si="108"/>
        <v>4.2626789945643395E-4</v>
      </c>
      <c r="BQ38" s="21"/>
      <c r="BR38" s="58">
        <f t="shared" si="109"/>
        <v>0</v>
      </c>
      <c r="BS38" s="58">
        <f t="shared" si="110"/>
        <v>4.0017766878008842E-11</v>
      </c>
      <c r="BT38" s="58">
        <f t="shared" si="111"/>
        <v>0</v>
      </c>
    </row>
    <row r="39" spans="1:72" x14ac:dyDescent="0.25">
      <c r="A39" s="21"/>
      <c r="B39" s="21"/>
      <c r="C39" s="14">
        <f t="shared" si="89"/>
        <v>29</v>
      </c>
      <c r="D39" s="604">
        <f>$D$35</f>
        <v>42736</v>
      </c>
      <c r="E39" s="604" t="s">
        <v>57</v>
      </c>
      <c r="F39" s="14" t="str">
        <f t="shared" si="90"/>
        <v>997</v>
      </c>
      <c r="G39" s="14" t="str">
        <f>VLOOKUP(E39,'Retail Rates'!$B$7:$D$34,3,FALSE)</f>
        <v>SPC-P</v>
      </c>
      <c r="H39" s="33">
        <f>SUMIF('Forecasted Customer Cts'!$D$5:$D$36,'Sept16-Feb17 Transport'!$E39,'Forecasted Customer Cts'!$R$5:$R$36)</f>
        <v>0</v>
      </c>
      <c r="I39" s="33"/>
      <c r="J39" s="33"/>
      <c r="K39" s="33">
        <f>SUMIF('Forecasted Calendar Month Usage'!$D$5:$D$41,'Sept16-Feb17 Transport'!$E39,'Forecasted Calendar Month Usage'!$R$5:$R$41)*10</f>
        <v>0</v>
      </c>
      <c r="L39" s="33"/>
      <c r="M39" s="33"/>
      <c r="N39" s="33"/>
      <c r="O39" s="34">
        <f>VLOOKUP($E39,'Retail Rates'!$B$7:$L$34,5,FALSE)</f>
        <v>800</v>
      </c>
      <c r="P39" s="34">
        <f>VLOOKUP($E39,'Retail Rates'!$B$7:$L$34,6,FALSE)</f>
        <v>0</v>
      </c>
      <c r="Q39" s="34">
        <f>VLOOKUP($E39,'Retail Rates'!$B$7:$L$34,9,FALSE)</f>
        <v>0</v>
      </c>
      <c r="R39" s="35">
        <f>VLOOKUP($E39,'Retail Rates'!$B$7:$L$34,7,FALSE)</f>
        <v>4.9699999999999996E-3</v>
      </c>
      <c r="S39" s="35">
        <f>VLOOKUP($E39,'Retail Rates'!$B$7:$L$34,8,FALSE)</f>
        <v>0</v>
      </c>
      <c r="T39" s="556">
        <v>75</v>
      </c>
      <c r="U39" s="699">
        <f>VLOOKUP($E39,'Retail Rates'!$B$7:$L$34,11,FALSE)</f>
        <v>0.24801000000000001</v>
      </c>
      <c r="V39" s="35"/>
      <c r="W39" s="556"/>
      <c r="X39" s="36">
        <f t="shared" si="91"/>
        <v>0</v>
      </c>
      <c r="Y39" s="36">
        <f t="shared" si="92"/>
        <v>0</v>
      </c>
      <c r="Z39" s="36">
        <f>H39*Q39</f>
        <v>0</v>
      </c>
      <c r="AA39" s="36">
        <f t="shared" si="93"/>
        <v>0</v>
      </c>
      <c r="AB39" s="36">
        <f t="shared" si="93"/>
        <v>0</v>
      </c>
      <c r="AC39" s="36">
        <f t="shared" si="94"/>
        <v>0</v>
      </c>
      <c r="AD39" s="36">
        <f>H39*V39</f>
        <v>0</v>
      </c>
      <c r="AE39" s="36"/>
      <c r="AF39" s="36">
        <f t="shared" si="95"/>
        <v>0</v>
      </c>
      <c r="AG39" s="36"/>
      <c r="AH39" s="57"/>
      <c r="AI39" s="57"/>
      <c r="AJ39" s="48"/>
      <c r="AK39" s="48"/>
      <c r="AL39" s="48"/>
      <c r="AM39" s="48"/>
      <c r="AN39" s="48"/>
      <c r="AO39" s="48"/>
      <c r="AP39" s="48"/>
      <c r="AQ39" s="36">
        <f t="shared" si="96"/>
        <v>0</v>
      </c>
      <c r="AR39" s="36">
        <f t="shared" si="97"/>
        <v>0</v>
      </c>
      <c r="AS39" s="36">
        <f t="shared" si="98"/>
        <v>0</v>
      </c>
      <c r="AT39" s="36">
        <f t="shared" si="98"/>
        <v>0</v>
      </c>
      <c r="AU39" s="36">
        <f t="shared" si="99"/>
        <v>0</v>
      </c>
      <c r="AV39" s="36">
        <f t="shared" si="100"/>
        <v>0</v>
      </c>
      <c r="AW39" s="43">
        <f t="shared" si="101"/>
        <v>0</v>
      </c>
      <c r="AX39" s="43">
        <f t="shared" si="102"/>
        <v>0</v>
      </c>
      <c r="AY39" s="43">
        <f t="shared" si="103"/>
        <v>0</v>
      </c>
      <c r="AZ39" s="43">
        <f t="shared" si="104"/>
        <v>0</v>
      </c>
      <c r="BA39" s="36">
        <f t="shared" si="105"/>
        <v>0</v>
      </c>
      <c r="BB39" s="36"/>
      <c r="BC39" s="43">
        <f>ROUND(SUM(AQ39:BB39),2)</f>
        <v>0</v>
      </c>
      <c r="BD39" s="43">
        <f t="shared" si="106"/>
        <v>0</v>
      </c>
      <c r="BE39" s="44">
        <f t="shared" si="107"/>
        <v>0</v>
      </c>
      <c r="BF39" s="43">
        <f>SUMIFS('Fin Forecast'!$I$4:$I$545,'Fin Forecast'!$B$4:$B$545,'Sept16-Feb17 Transport'!$E39,'Fin Forecast'!$C$4:$C$545,'Sept16-Feb17 Transport'!$BF$5)*1000</f>
        <v>0</v>
      </c>
      <c r="BG39" s="43">
        <f>SUMIFS('Fin Forecast'!$I$4:$I$545,'Fin Forecast'!$B$4:$B$545,'Sept16-Feb17 Transport'!$E39,'Fin Forecast'!$C$4:$C$545,'Sept16-Feb17 Transport'!BG$5)*1000</f>
        <v>0</v>
      </c>
      <c r="BH39" s="43">
        <f>SUMIFS('Fin Forecast'!$I$4:$I$545,'Fin Forecast'!$B$4:$B$545,'Sept16-Feb17 Transport'!$E39,'Fin Forecast'!$C$4:$C$545,'Sept16-Feb17 Transport'!BH$5)*1000</f>
        <v>0</v>
      </c>
      <c r="BI39" s="43">
        <f>SUMIFS('Fin Forecast'!$I$4:$I$545,'Fin Forecast'!$B$4:$B$545,'Sept16-Feb17 Transport'!$E39,'Fin Forecast'!$C$4:$C$545,'Sept16-Feb17 Transport'!BI$5)*1000</f>
        <v>0</v>
      </c>
      <c r="BJ39" s="43">
        <f>SUMIFS('Fin Forecast'!$I$4:$I$545,'Fin Forecast'!$B$4:$B$545,'Sept16-Feb17 Transport'!$E39,'Fin Forecast'!$C$4:$C$545,'Sept16-Feb17 Transport'!BJ$5)*1000</f>
        <v>0</v>
      </c>
      <c r="BK39" s="43">
        <f>SUMIFS('Fin Forecast'!$I$4:$I$545,'Fin Forecast'!$B$4:$B$545,'Sept16-Feb17 Transport'!$E39,'Fin Forecast'!$C$4:$C$545,'Sept16-Feb17 Transport'!BK$5)*1000</f>
        <v>0</v>
      </c>
      <c r="BL39" s="43">
        <f>SUMIFS('Fin Forecast'!$I$4:$I$545,'Fin Forecast'!$B$4:$B$545,'Sept16-Feb17 Transport'!$E39,'Fin Forecast'!$C$4:$C$545,'Sept16-Feb17 Transport'!BL$5)*1000</f>
        <v>0</v>
      </c>
      <c r="BM39" s="43">
        <f>SUMIFS('Fin Forecast'!$I$4:$I$545,'Fin Forecast'!$B$4:$B$545,'Sept16-Feb17 Transport'!$E39,'Fin Forecast'!$C$4:$C$545,'Sept16-Feb17 Transport'!BM$5)*1000</f>
        <v>0</v>
      </c>
      <c r="BN39" s="43">
        <f>SUMIFS('Fin Forecast'!$I$4:$I$545,'Fin Forecast'!$B$4:$B$545,'Sept16-Feb17 Transport'!$E39,'Fin Forecast'!$C$4:$C$545,'Sept16-Feb17 Transport'!BN$5)*1000</f>
        <v>0</v>
      </c>
      <c r="BO39" s="21"/>
      <c r="BP39" s="51">
        <f t="shared" si="108"/>
        <v>0</v>
      </c>
      <c r="BQ39" s="21"/>
      <c r="BR39" s="58">
        <f t="shared" si="109"/>
        <v>0</v>
      </c>
      <c r="BS39" s="58">
        <f t="shared" si="110"/>
        <v>0</v>
      </c>
      <c r="BT39" s="58">
        <f t="shared" si="111"/>
        <v>0</v>
      </c>
    </row>
    <row r="40" spans="1:72" x14ac:dyDescent="0.25">
      <c r="A40" s="21"/>
      <c r="B40" s="21"/>
      <c r="C40" s="14">
        <f t="shared" si="89"/>
        <v>30</v>
      </c>
      <c r="D40" s="604">
        <f>$D$35</f>
        <v>42736</v>
      </c>
      <c r="E40" s="604" t="s">
        <v>45</v>
      </c>
      <c r="F40" s="14" t="str">
        <f t="shared" si="90"/>
        <v>996</v>
      </c>
      <c r="G40" s="14" t="str">
        <f>VLOOKUP(E40,'Retail Rates'!$B$7:$D$34,3,FALSE)</f>
        <v>SPC-LGE</v>
      </c>
      <c r="H40" s="33">
        <f>SUMIF('Forecasted Customer Cts'!$D$5:$D$36,'Sept16-Feb17 Transport'!$E40,'Forecasted Customer Cts'!$R$5:$R$36)</f>
        <v>1</v>
      </c>
      <c r="I40" s="33"/>
      <c r="J40" s="33"/>
      <c r="K40" s="33">
        <f>SUMIF('Forecasted Calendar Month Usage'!$D$5:$D$41,'Sept16-Feb17 Transport'!$E40,'Forecasted Calendar Month Usage'!$R$5:$R$41)*10</f>
        <v>122795.99999999999</v>
      </c>
      <c r="L40" s="33"/>
      <c r="M40" s="33"/>
      <c r="N40" s="33">
        <f>16560*10</f>
        <v>165600</v>
      </c>
      <c r="O40" s="34">
        <f>VLOOKUP($E40,'Retail Rates'!$B$7:$L$34,5,FALSE)</f>
        <v>180</v>
      </c>
      <c r="P40" s="34">
        <f>VLOOKUP($E40,'Retail Rates'!$B$7:$L$34,6,FALSE)</f>
        <v>0</v>
      </c>
      <c r="Q40" s="34">
        <f>VLOOKUP($E40,'Retail Rates'!$B$7:$L$34,9,FALSE)</f>
        <v>0</v>
      </c>
      <c r="R40" s="35">
        <f>VLOOKUP($E40,'Retail Rates'!$B$7:$L$34,7,FALSE)</f>
        <v>3.329E-2</v>
      </c>
      <c r="S40" s="35">
        <f>VLOOKUP($E40,'Retail Rates'!$B$7:$L$34,8,FALSE)</f>
        <v>0</v>
      </c>
      <c r="T40" s="556">
        <v>75</v>
      </c>
      <c r="U40" s="699">
        <f>VLOOKUP($E40,'Retail Rates'!$B$7:$L$34,11,FALSE)</f>
        <v>1.12629</v>
      </c>
      <c r="V40" s="35"/>
      <c r="W40" s="556"/>
      <c r="X40" s="36">
        <f t="shared" si="91"/>
        <v>180</v>
      </c>
      <c r="Y40" s="36">
        <f t="shared" si="92"/>
        <v>0</v>
      </c>
      <c r="Z40" s="36">
        <f>H40*Q40</f>
        <v>0</v>
      </c>
      <c r="AA40" s="36">
        <f t="shared" si="93"/>
        <v>4087.8788399999994</v>
      </c>
      <c r="AB40" s="36">
        <f t="shared" si="93"/>
        <v>0</v>
      </c>
      <c r="AC40" s="36">
        <f t="shared" si="94"/>
        <v>0</v>
      </c>
      <c r="AD40" s="36">
        <f>H40*V40</f>
        <v>0</v>
      </c>
      <c r="AE40" s="36"/>
      <c r="AF40" s="36">
        <f t="shared" si="95"/>
        <v>186513.62400000001</v>
      </c>
      <c r="AG40" s="36"/>
      <c r="AH40" s="57"/>
      <c r="AI40" s="57"/>
      <c r="AJ40" s="48"/>
      <c r="AK40" s="48"/>
      <c r="AL40" s="48"/>
      <c r="AM40" s="48"/>
      <c r="AN40" s="48"/>
      <c r="AO40" s="48"/>
      <c r="AP40" s="48"/>
      <c r="AQ40" s="36">
        <f t="shared" si="96"/>
        <v>180</v>
      </c>
      <c r="AR40" s="36">
        <f t="shared" si="97"/>
        <v>0</v>
      </c>
      <c r="AS40" s="36">
        <f t="shared" si="98"/>
        <v>4087.8788399999994</v>
      </c>
      <c r="AT40" s="36">
        <f t="shared" si="98"/>
        <v>0</v>
      </c>
      <c r="AU40" s="36">
        <f t="shared" si="99"/>
        <v>0</v>
      </c>
      <c r="AV40" s="36">
        <f t="shared" si="100"/>
        <v>0</v>
      </c>
      <c r="AW40" s="43">
        <f t="shared" si="101"/>
        <v>52576.4323762985</v>
      </c>
      <c r="AX40" s="43">
        <f t="shared" si="102"/>
        <v>0</v>
      </c>
      <c r="AY40" s="43">
        <f t="shared" si="103"/>
        <v>0</v>
      </c>
      <c r="AZ40" s="43">
        <f t="shared" si="104"/>
        <v>0</v>
      </c>
      <c r="BA40" s="36">
        <f t="shared" si="105"/>
        <v>186513.62400000001</v>
      </c>
      <c r="BB40" s="36"/>
      <c r="BC40" s="43">
        <f>ROUND(SUM(AQ40:BB40),2)</f>
        <v>243357.94</v>
      </c>
      <c r="BD40" s="43">
        <f t="shared" si="106"/>
        <v>243357.93521629847</v>
      </c>
      <c r="BE40" s="44">
        <f t="shared" si="107"/>
        <v>1</v>
      </c>
      <c r="BF40" s="43">
        <f>SUMIFS('Fin Forecast'!$I$4:$I$545,'Fin Forecast'!$B$4:$B$545,'Sept16-Feb17 Transport'!$E40,'Fin Forecast'!$C$4:$C$545,'Sept16-Feb17 Transport'!$BF$5)*1000</f>
        <v>0</v>
      </c>
      <c r="BG40" s="43">
        <f>SUMIFS('Fin Forecast'!$I$4:$I$545,'Fin Forecast'!$B$4:$B$545,'Sept16-Feb17 Transport'!$E40,'Fin Forecast'!$C$4:$C$545,'Sept16-Feb17 Transport'!BG$5)*1000</f>
        <v>52576.4323762985</v>
      </c>
      <c r="BH40" s="43">
        <f>SUMIFS('Fin Forecast'!$I$4:$I$545,'Fin Forecast'!$B$4:$B$545,'Sept16-Feb17 Transport'!$E40,'Fin Forecast'!$C$4:$C$545,'Sept16-Feb17 Transport'!BH$5)*1000</f>
        <v>0</v>
      </c>
      <c r="BI40" s="43">
        <f>SUMIFS('Fin Forecast'!$I$4:$I$545,'Fin Forecast'!$B$4:$B$545,'Sept16-Feb17 Transport'!$E40,'Fin Forecast'!$C$4:$C$545,'Sept16-Feb17 Transport'!BI$5)*1000</f>
        <v>0</v>
      </c>
      <c r="BJ40" s="43">
        <f>SUMIFS('Fin Forecast'!$I$4:$I$545,'Fin Forecast'!$B$4:$B$545,'Sept16-Feb17 Transport'!$E40,'Fin Forecast'!$C$4:$C$545,'Sept16-Feb17 Transport'!BJ$5)*1000</f>
        <v>0</v>
      </c>
      <c r="BK40" s="43">
        <f>SUMIFS('Fin Forecast'!$I$4:$I$545,'Fin Forecast'!$B$4:$B$545,'Sept16-Feb17 Transport'!$E40,'Fin Forecast'!$C$4:$C$545,'Sept16-Feb17 Transport'!BK$5)*1000</f>
        <v>180</v>
      </c>
      <c r="BL40" s="43">
        <f>SUMIFS('Fin Forecast'!$I$4:$I$545,'Fin Forecast'!$B$4:$B$545,'Sept16-Feb17 Transport'!$E40,'Fin Forecast'!$C$4:$C$545,'Sept16-Feb17 Transport'!BL$5)*1000</f>
        <v>4087.8788400000003</v>
      </c>
      <c r="BM40" s="43">
        <f>SUMIFS('Fin Forecast'!$I$4:$I$545,'Fin Forecast'!$B$4:$B$545,'Sept16-Feb17 Transport'!$E40,'Fin Forecast'!$C$4:$C$545,'Sept16-Feb17 Transport'!BM$5)*1000</f>
        <v>186513.62399999998</v>
      </c>
      <c r="BN40" s="43">
        <f>SUMIFS('Fin Forecast'!$I$4:$I$545,'Fin Forecast'!$B$4:$B$545,'Sept16-Feb17 Transport'!$E40,'Fin Forecast'!$C$4:$C$545,'Sept16-Feb17 Transport'!BN$5)*1000</f>
        <v>0</v>
      </c>
      <c r="BO40" s="21"/>
      <c r="BP40" s="51">
        <f t="shared" si="108"/>
        <v>4.7837015299592167E-3</v>
      </c>
      <c r="BQ40" s="21"/>
      <c r="BR40" s="58">
        <f t="shared" si="109"/>
        <v>0</v>
      </c>
      <c r="BS40" s="58">
        <f t="shared" si="110"/>
        <v>0</v>
      </c>
      <c r="BT40" s="58">
        <f t="shared" si="111"/>
        <v>0</v>
      </c>
    </row>
    <row r="41" spans="1:72" x14ac:dyDescent="0.25">
      <c r="A41" s="563"/>
      <c r="B41" s="563"/>
      <c r="C41" s="564"/>
      <c r="D41" s="605"/>
      <c r="E41" s="605"/>
      <c r="F41" s="564"/>
      <c r="G41" s="564"/>
      <c r="H41" s="565"/>
      <c r="I41" s="565"/>
      <c r="J41" s="565"/>
      <c r="K41" s="565"/>
      <c r="L41" s="565"/>
      <c r="M41" s="565"/>
      <c r="N41" s="565"/>
      <c r="O41" s="566"/>
      <c r="P41" s="566"/>
      <c r="Q41" s="567"/>
      <c r="R41" s="567"/>
      <c r="S41" s="567"/>
      <c r="T41" s="566"/>
      <c r="U41" s="567"/>
      <c r="V41" s="566"/>
      <c r="W41" s="568"/>
      <c r="X41" s="569"/>
      <c r="Y41" s="569"/>
      <c r="Z41" s="569"/>
      <c r="AA41" s="569"/>
      <c r="AB41" s="569"/>
      <c r="AC41" s="569"/>
      <c r="AD41" s="569"/>
      <c r="AE41" s="569"/>
      <c r="AF41" s="569"/>
      <c r="AG41" s="569"/>
      <c r="AH41" s="570"/>
      <c r="AI41" s="570"/>
      <c r="AJ41" s="569"/>
      <c r="AK41" s="569"/>
      <c r="AL41" s="569"/>
      <c r="AM41" s="569"/>
      <c r="AN41" s="569"/>
      <c r="AO41" s="569"/>
      <c r="AP41" s="569"/>
      <c r="AQ41" s="569"/>
      <c r="AR41" s="569"/>
      <c r="AS41" s="569"/>
      <c r="AT41" s="569"/>
      <c r="AU41" s="569"/>
      <c r="AV41" s="569"/>
      <c r="AW41" s="569"/>
      <c r="AX41" s="569"/>
      <c r="AY41" s="569"/>
      <c r="AZ41" s="569"/>
      <c r="BA41" s="569"/>
      <c r="BB41" s="569"/>
      <c r="BC41" s="569"/>
      <c r="BD41" s="569"/>
      <c r="BE41" s="571"/>
      <c r="BF41" s="569"/>
      <c r="BG41" s="569"/>
      <c r="BH41" s="569"/>
      <c r="BI41" s="569"/>
      <c r="BJ41" s="569"/>
      <c r="BK41" s="569"/>
      <c r="BL41" s="569"/>
      <c r="BM41" s="569"/>
      <c r="BN41" s="569"/>
      <c r="BO41" s="563"/>
      <c r="BP41" s="569"/>
      <c r="BQ41" s="563"/>
      <c r="BR41" s="569"/>
      <c r="BS41" s="569"/>
      <c r="BT41" s="569"/>
    </row>
    <row r="42" spans="1:72" x14ac:dyDescent="0.25">
      <c r="A42" s="21"/>
      <c r="B42" s="21"/>
      <c r="C42" s="14">
        <f>C40+1</f>
        <v>31</v>
      </c>
      <c r="D42" s="604">
        <f>EDATE(D35,1)</f>
        <v>42767</v>
      </c>
      <c r="E42" s="604" t="s">
        <v>50</v>
      </c>
      <c r="F42" s="14" t="str">
        <f t="shared" ref="F42:F47" si="112">MID(E42,6,3)</f>
        <v>895</v>
      </c>
      <c r="G42" s="14" t="str">
        <f>VLOOKUP(E42,'Retail Rates'!$B$7:$D$34,3,FALSE)</f>
        <v>FT-C</v>
      </c>
      <c r="H42" s="33">
        <f>SUMIF('Forecasted Customer Cts'!$D$5:$D$36,'Sept16-Feb17 Transport'!$E42,'Forecasted Customer Cts'!$S$5:$S$36)</f>
        <v>10</v>
      </c>
      <c r="I42" s="33"/>
      <c r="J42" s="33"/>
      <c r="K42" s="33">
        <f>SUMIF('Forecasted Calendar Month Usage'!$D$5:$D$41,'Sept16-Feb17 Transport'!$E42,'Forecasted Calendar Month Usage'!$S$5:$S$41)*10</f>
        <v>714645.31054303958</v>
      </c>
      <c r="L42" s="33"/>
      <c r="M42" s="33">
        <v>69</v>
      </c>
      <c r="N42" s="33"/>
      <c r="O42" s="34">
        <f>VLOOKUP($E42,'Retail Rates'!$B$7:$L$34,5,FALSE)</f>
        <v>0</v>
      </c>
      <c r="P42" s="34">
        <f>VLOOKUP($E42,'Retail Rates'!$B$7:$L$34,6,FALSE)</f>
        <v>0</v>
      </c>
      <c r="Q42" s="34">
        <f>VLOOKUP($E42,'Retail Rates'!$B$7:$L$34,9,FALSE)</f>
        <v>550</v>
      </c>
      <c r="R42" s="35">
        <f>VLOOKUP($E42,'Retail Rates'!$B$7:$L$34,7,FALSE)</f>
        <v>4.3020000000000003E-2</v>
      </c>
      <c r="S42" s="35">
        <f>VLOOKUP($E42,'Retail Rates'!$B$7:$L$34,8,FALSE)</f>
        <v>0</v>
      </c>
      <c r="T42" s="556">
        <v>75</v>
      </c>
      <c r="U42" s="34">
        <f>VLOOKUP($E42,'Retail Rates'!$B$7:$L$34,11,FALSE)</f>
        <v>0</v>
      </c>
      <c r="V42" s="35"/>
      <c r="W42" s="556"/>
      <c r="X42" s="36">
        <f t="shared" ref="X42:X47" si="113">(+H42*O42)+(I42*O42)</f>
        <v>0</v>
      </c>
      <c r="Y42" s="36">
        <f t="shared" ref="Y42:Y47" si="114">J42*P42</f>
        <v>0</v>
      </c>
      <c r="Z42" s="36">
        <f>H42*Q42</f>
        <v>5500</v>
      </c>
      <c r="AA42" s="36">
        <f t="shared" ref="AA42:AB47" si="115">+K42*R42</f>
        <v>30744.041259561563</v>
      </c>
      <c r="AB42" s="36">
        <f>+L42*S42</f>
        <v>0</v>
      </c>
      <c r="AC42" s="36">
        <f t="shared" ref="AC42:AC47" si="116">M42*T42</f>
        <v>5175</v>
      </c>
      <c r="AD42" s="36">
        <f>H42*V42</f>
        <v>0</v>
      </c>
      <c r="AE42" s="36"/>
      <c r="AF42" s="36">
        <f t="shared" ref="AF42:AF47" si="117">N42*U42</f>
        <v>0</v>
      </c>
      <c r="AG42" s="36"/>
      <c r="AH42" s="57"/>
      <c r="AI42" s="57"/>
      <c r="AJ42" s="48"/>
      <c r="AK42" s="48"/>
      <c r="AL42" s="48"/>
      <c r="AM42" s="48"/>
      <c r="AN42" s="48"/>
      <c r="AO42" s="48"/>
      <c r="AP42" s="48"/>
      <c r="AQ42" s="36">
        <f t="shared" ref="AQ42:AQ47" si="118">+X42+AJ42+(AH42*O42)</f>
        <v>0</v>
      </c>
      <c r="AR42" s="36">
        <f t="shared" ref="AR42:AR47" si="119">+Y42+AK42</f>
        <v>0</v>
      </c>
      <c r="AS42" s="36">
        <f t="shared" ref="AS42:AT47" si="120">+AA42+AL42</f>
        <v>30744.041259561563</v>
      </c>
      <c r="AT42" s="36">
        <f t="shared" si="120"/>
        <v>0</v>
      </c>
      <c r="AU42" s="36">
        <f t="shared" ref="AU42:AU47" si="121">Z42</f>
        <v>5500</v>
      </c>
      <c r="AV42" s="36">
        <f t="shared" ref="AV42:AV47" si="122">AC42</f>
        <v>5175</v>
      </c>
      <c r="AW42" s="43">
        <f t="shared" ref="AW42:AW47" si="123">BG42</f>
        <v>0</v>
      </c>
      <c r="AX42" s="43">
        <f t="shared" ref="AX42:AX47" si="124">BF42</f>
        <v>70549.314670334075</v>
      </c>
      <c r="AY42" s="43">
        <f t="shared" ref="AY42:AY47" si="125">BH42</f>
        <v>0</v>
      </c>
      <c r="AZ42" s="43">
        <f t="shared" ref="AZ42:AZ47" si="126">BN42</f>
        <v>0</v>
      </c>
      <c r="BA42" s="36">
        <f t="shared" ref="BA42:BA47" si="127">+AF42+AP42</f>
        <v>0</v>
      </c>
      <c r="BB42" s="36"/>
      <c r="BC42" s="43">
        <f>ROUND(SUM(AQ42:BB42),2)+SUM(AQ43:BB43)</f>
        <v>684780.64169930434</v>
      </c>
      <c r="BD42" s="43">
        <f t="shared" ref="BD42:BD47" si="128">SUM(BF42:BN42)</f>
        <v>684780.6375495391</v>
      </c>
      <c r="BE42" s="44">
        <f t="shared" ref="BE42:BE47" si="129">IF(BD42=0,0,ROUND(BD42/BC42,6))</f>
        <v>1</v>
      </c>
      <c r="BF42" s="43">
        <f>SUMIFS('Fin Forecast'!$J$4:$J$545,'Fin Forecast'!$B$4:$B$545,'Sept16-Feb17 Transport'!$E42,'Fin Forecast'!$C$4:$C$545,'Sept16-Feb17 Transport'!$BF$5)*1000</f>
        <v>70549.314670334075</v>
      </c>
      <c r="BG42" s="43">
        <f>SUMIFS('Fin Forecast'!$J$4:$J$545,'Fin Forecast'!$B$4:$B$545,'Sept16-Feb17 Transport'!$E42,'Fin Forecast'!$C$4:$C$545,'Sept16-Feb17 Transport'!BG$5)*1000</f>
        <v>0</v>
      </c>
      <c r="BH42" s="43">
        <f>SUMIFS('Fin Forecast'!$J$4:$J$545,'Fin Forecast'!$B$4:$B$545,'Sept16-Feb17 Transport'!$E42,'Fin Forecast'!$C$4:$C$545,'Sept16-Feb17 Transport'!BH$5)*1000</f>
        <v>0</v>
      </c>
      <c r="BI42" s="43">
        <f>SUMIFS('Fin Forecast'!$J$4:$J$545,'Fin Forecast'!$B$4:$B$545,'Sept16-Feb17 Transport'!$E42,'Fin Forecast'!$C$4:$C$545,'Sept16-Feb17 Transport'!BI$5)*1000</f>
        <v>5175</v>
      </c>
      <c r="BJ42" s="43">
        <f>SUMIFS('Fin Forecast'!$J$4:$J$545,'Fin Forecast'!$B$4:$B$545,'Sept16-Feb17 Transport'!$E42,'Fin Forecast'!$C$4:$C$545,'Sept16-Feb17 Transport'!BJ$5)*1000</f>
        <v>40150</v>
      </c>
      <c r="BK42" s="43">
        <f>SUMIFS('Fin Forecast'!$J$4:$J$545,'Fin Forecast'!$B$4:$B$545,'Sept16-Feb17 Transport'!$E42,'Fin Forecast'!$C$4:$C$545,'Sept16-Feb17 Transport'!BK$5)*1000</f>
        <v>0</v>
      </c>
      <c r="BL42" s="43">
        <f>SUMIFS('Fin Forecast'!$J$4:$J$545,'Fin Forecast'!$B$4:$B$545,'Sept16-Feb17 Transport'!$E42,'Fin Forecast'!$C$4:$C$545,'Sept16-Feb17 Transport'!BL$5)*1000</f>
        <v>568906.32287920499</v>
      </c>
      <c r="BM42" s="43">
        <f>SUMIFS('Fin Forecast'!$J$4:$J$545,'Fin Forecast'!$B$4:$B$545,'Sept16-Feb17 Transport'!$E42,'Fin Forecast'!$C$4:$C$545,'Sept16-Feb17 Transport'!BM$5)*1000</f>
        <v>0</v>
      </c>
      <c r="BN42" s="43">
        <f>SUMIFS('Fin Forecast'!$J$4:$J$545,'Fin Forecast'!$B$4:$B$545,'Sept16-Feb17 Transport'!$E42,'Fin Forecast'!$C$4:$C$545,'Sept16-Feb17 Transport'!BN$5)*1000</f>
        <v>0</v>
      </c>
      <c r="BO42" s="21"/>
      <c r="BP42" s="51">
        <f t="shared" ref="BP42:BP47" si="130">+BC42-BD42</f>
        <v>4.1497652418911457E-3</v>
      </c>
      <c r="BQ42" s="21"/>
      <c r="BR42" s="58">
        <f t="shared" ref="BR42:BR47" si="131">+AQ42+AR42-BK42</f>
        <v>0</v>
      </c>
      <c r="BS42" s="58">
        <f t="shared" ref="BS42:BS47" si="132">+AS42+AT42-BL42</f>
        <v>-538162.28161964344</v>
      </c>
      <c r="BT42" s="58">
        <f t="shared" ref="BT42:BT47" si="133">+AW42-BG42</f>
        <v>0</v>
      </c>
    </row>
    <row r="43" spans="1:72" x14ac:dyDescent="0.25">
      <c r="A43" s="21"/>
      <c r="B43" s="21"/>
      <c r="C43" s="14">
        <f>C42+1</f>
        <v>32</v>
      </c>
      <c r="D43" s="604">
        <f>$D$42</f>
        <v>42767</v>
      </c>
      <c r="E43" s="604" t="s">
        <v>52</v>
      </c>
      <c r="F43" s="14" t="str">
        <f t="shared" si="112"/>
        <v>896</v>
      </c>
      <c r="G43" s="14" t="str">
        <f>VLOOKUP(E43,'Retail Rates'!$B$7:$D$34,3,FALSE)</f>
        <v>FT-I</v>
      </c>
      <c r="H43" s="33">
        <f>SUMIF('Forecasted Customer Cts'!$D$5:$D$36,'Sept16-Feb17 Transport'!$E43,'Forecasted Customer Cts'!$S$5:$S$36)</f>
        <v>63</v>
      </c>
      <c r="I43" s="33"/>
      <c r="J43" s="33"/>
      <c r="K43" s="33">
        <f>SUMIF('Forecasted Calendar Month Usage'!$D$5:$D$41,'Sept16-Feb17 Transport'!$E43,'Forecasted Calendar Month Usage'!$S$5:$S$41)*10</f>
        <v>12509583.489058677</v>
      </c>
      <c r="L43" s="33"/>
      <c r="M43" s="33"/>
      <c r="N43" s="33"/>
      <c r="O43" s="34">
        <f>VLOOKUP($E43,'Retail Rates'!$B$7:$L$34,5,FALSE)</f>
        <v>0</v>
      </c>
      <c r="P43" s="34">
        <f>VLOOKUP($E43,'Retail Rates'!$B$7:$L$34,6,FALSE)</f>
        <v>0</v>
      </c>
      <c r="Q43" s="34">
        <f>VLOOKUP($E43,'Retail Rates'!$B$7:$L$34,9,FALSE)</f>
        <v>550</v>
      </c>
      <c r="R43" s="35">
        <f>VLOOKUP($E43,'Retail Rates'!$B$7:$L$34,7,FALSE)</f>
        <v>4.3020000000000003E-2</v>
      </c>
      <c r="S43" s="35">
        <f>VLOOKUP($E43,'Retail Rates'!$B$7:$L$34,8,FALSE)</f>
        <v>0</v>
      </c>
      <c r="T43" s="556">
        <v>75</v>
      </c>
      <c r="U43" s="34">
        <f>VLOOKUP($E43,'Retail Rates'!$B$7:$L$34,11,FALSE)</f>
        <v>0</v>
      </c>
      <c r="V43" s="35"/>
      <c r="W43" s="556"/>
      <c r="X43" s="36">
        <f t="shared" si="113"/>
        <v>0</v>
      </c>
      <c r="Y43" s="36">
        <f t="shared" si="114"/>
        <v>0</v>
      </c>
      <c r="Z43" s="36">
        <f>H43*Q43</f>
        <v>34650</v>
      </c>
      <c r="AA43" s="36">
        <f t="shared" si="115"/>
        <v>538162.28169930435</v>
      </c>
      <c r="AB43" s="36">
        <f t="shared" si="115"/>
        <v>0</v>
      </c>
      <c r="AC43" s="36">
        <f t="shared" si="116"/>
        <v>0</v>
      </c>
      <c r="AD43" s="36">
        <f>H43*V43</f>
        <v>0</v>
      </c>
      <c r="AE43" s="36"/>
      <c r="AF43" s="36">
        <f t="shared" si="117"/>
        <v>0</v>
      </c>
      <c r="AG43" s="36"/>
      <c r="AH43" s="57"/>
      <c r="AI43" s="57"/>
      <c r="AJ43" s="48"/>
      <c r="AK43" s="48"/>
      <c r="AL43" s="48"/>
      <c r="AM43" s="48"/>
      <c r="AN43" s="48"/>
      <c r="AO43" s="48"/>
      <c r="AP43" s="48"/>
      <c r="AQ43" s="36">
        <f t="shared" si="118"/>
        <v>0</v>
      </c>
      <c r="AR43" s="36">
        <f t="shared" si="119"/>
        <v>0</v>
      </c>
      <c r="AS43" s="36">
        <f t="shared" si="120"/>
        <v>538162.28169930435</v>
      </c>
      <c r="AT43" s="36">
        <f t="shared" si="120"/>
        <v>0</v>
      </c>
      <c r="AU43" s="36">
        <f t="shared" si="121"/>
        <v>34650</v>
      </c>
      <c r="AV43" s="36">
        <f t="shared" si="122"/>
        <v>0</v>
      </c>
      <c r="AW43" s="43">
        <f t="shared" si="123"/>
        <v>0</v>
      </c>
      <c r="AX43" s="43">
        <f t="shared" si="124"/>
        <v>0</v>
      </c>
      <c r="AY43" s="43">
        <f t="shared" si="125"/>
        <v>0</v>
      </c>
      <c r="AZ43" s="43">
        <f t="shared" si="126"/>
        <v>0</v>
      </c>
      <c r="BA43" s="36">
        <f t="shared" si="127"/>
        <v>0</v>
      </c>
      <c r="BB43" s="36"/>
      <c r="BC43" s="43"/>
      <c r="BD43" s="43">
        <f t="shared" si="128"/>
        <v>0</v>
      </c>
      <c r="BE43" s="44">
        <f t="shared" si="129"/>
        <v>0</v>
      </c>
      <c r="BF43" s="43">
        <f>SUMIFS('Fin Forecast'!$J$4:$J$545,'Fin Forecast'!$B$4:$B$545,'Sept16-Feb17 Transport'!$E43,'Fin Forecast'!$C$4:$C$545,'Sept16-Feb17 Transport'!$BF$5)*1000</f>
        <v>0</v>
      </c>
      <c r="BG43" s="43">
        <f>SUMIFS('Fin Forecast'!$J$4:$J$545,'Fin Forecast'!$B$4:$B$545,'Sept16-Feb17 Transport'!$E43,'Fin Forecast'!$C$4:$C$545,'Sept16-Feb17 Transport'!BG$5)*1000</f>
        <v>0</v>
      </c>
      <c r="BH43" s="43">
        <f>SUMIFS('Fin Forecast'!$J$4:$J$545,'Fin Forecast'!$B$4:$B$545,'Sept16-Feb17 Transport'!$E43,'Fin Forecast'!$C$4:$C$545,'Sept16-Feb17 Transport'!BH$5)*1000</f>
        <v>0</v>
      </c>
      <c r="BI43" s="43">
        <f>SUMIFS('Fin Forecast'!$J$4:$J$545,'Fin Forecast'!$B$4:$B$545,'Sept16-Feb17 Transport'!$E43,'Fin Forecast'!$C$4:$C$545,'Sept16-Feb17 Transport'!BI$5)*1000</f>
        <v>0</v>
      </c>
      <c r="BJ43" s="43">
        <f>SUMIFS('Fin Forecast'!$J$4:$J$545,'Fin Forecast'!$B$4:$B$545,'Sept16-Feb17 Transport'!$E43,'Fin Forecast'!$C$4:$C$545,'Sept16-Feb17 Transport'!BJ$5)*1000</f>
        <v>0</v>
      </c>
      <c r="BK43" s="43">
        <f>SUMIFS('Fin Forecast'!$J$4:$J$545,'Fin Forecast'!$B$4:$B$545,'Sept16-Feb17 Transport'!$E43,'Fin Forecast'!$C$4:$C$545,'Sept16-Feb17 Transport'!BK$5)*1000</f>
        <v>0</v>
      </c>
      <c r="BL43" s="43">
        <f>SUMIFS('Fin Forecast'!$J$4:$J$545,'Fin Forecast'!$B$4:$B$545,'Sept16-Feb17 Transport'!$E43,'Fin Forecast'!$C$4:$C$545,'Sept16-Feb17 Transport'!BL$5)*1000</f>
        <v>0</v>
      </c>
      <c r="BM43" s="43">
        <f>SUMIFS('Fin Forecast'!$J$4:$J$545,'Fin Forecast'!$B$4:$B$545,'Sept16-Feb17 Transport'!$E43,'Fin Forecast'!$C$4:$C$545,'Sept16-Feb17 Transport'!BM$5)*1000</f>
        <v>0</v>
      </c>
      <c r="BN43" s="43">
        <f>SUMIFS('Fin Forecast'!$J$4:$J$545,'Fin Forecast'!$B$4:$B$545,'Sept16-Feb17 Transport'!$E43,'Fin Forecast'!$C$4:$C$545,'Sept16-Feb17 Transport'!BN$5)*1000</f>
        <v>0</v>
      </c>
      <c r="BO43" s="21"/>
      <c r="BP43" s="51">
        <f t="shared" si="130"/>
        <v>0</v>
      </c>
      <c r="BQ43" s="21"/>
      <c r="BR43" s="58">
        <f t="shared" si="131"/>
        <v>0</v>
      </c>
      <c r="BS43" s="58">
        <f t="shared" si="132"/>
        <v>538162.28169930435</v>
      </c>
      <c r="BT43" s="58">
        <f t="shared" si="133"/>
        <v>0</v>
      </c>
    </row>
    <row r="44" spans="1:72" x14ac:dyDescent="0.25">
      <c r="A44" s="21"/>
      <c r="B44" s="21" t="s">
        <v>800</v>
      </c>
      <c r="C44" s="14">
        <f>C43+1</f>
        <v>33</v>
      </c>
      <c r="D44" s="604">
        <f>$D$42</f>
        <v>42767</v>
      </c>
      <c r="E44" s="604" t="s">
        <v>42</v>
      </c>
      <c r="F44" s="14" t="str">
        <f t="shared" si="112"/>
        <v>882</v>
      </c>
      <c r="G44" s="14" t="str">
        <f>VLOOKUP(E44,'Retail Rates'!$B$7:$D$34,3,FALSE)</f>
        <v>IGS-TS-2</v>
      </c>
      <c r="H44" s="33"/>
      <c r="I44" s="33"/>
      <c r="J44" s="33">
        <f>SUMIFS('Forecasted Customer Cts'!$N$5:$N$36,'Forecasted Customer Cts'!$D$5:$D$36,'Sept16-Feb17 Transport'!$E44,'Forecasted Customer Cts'!$C$5:$C$36,'Sept16-Feb17 Transport'!$B44)</f>
        <v>5</v>
      </c>
      <c r="K44" s="33">
        <f>SUMIF('Forecasted Calendar Month Usage'!$D$5:$D$41,'Sept16-Feb17 Transport'!$E44,'Forecasted Calendar Month Usage'!$S$5:$S$41)*10</f>
        <v>115063.83845925984</v>
      </c>
      <c r="L44" s="33"/>
      <c r="M44" s="33">
        <v>2</v>
      </c>
      <c r="N44" s="33"/>
      <c r="O44" s="34">
        <f>VLOOKUP($E44,'Retail Rates'!$B$7:$L$34,5,FALSE)</f>
        <v>40</v>
      </c>
      <c r="P44" s="34">
        <f>VLOOKUP($E44,'Retail Rates'!$B$7:$L$34,6,FALSE)</f>
        <v>180</v>
      </c>
      <c r="Q44" s="34">
        <f>VLOOKUP($E44,'Retail Rates'!$B$7:$L$34,9,FALSE)</f>
        <v>550</v>
      </c>
      <c r="R44" s="35">
        <f>VLOOKUP($E44,'Retail Rates'!$B$7:$L$34,7,FALSE)</f>
        <v>0.22778999999999999</v>
      </c>
      <c r="S44" s="35">
        <f>VLOOKUP($E44,'Retail Rates'!$B$7:$L$34,8,FALSE)</f>
        <v>0.17779</v>
      </c>
      <c r="T44" s="556">
        <v>75</v>
      </c>
      <c r="U44" s="34">
        <f>VLOOKUP($E44,'Retail Rates'!$B$7:$L$34,11,FALSE)</f>
        <v>0</v>
      </c>
      <c r="V44" s="556"/>
      <c r="W44" s="556"/>
      <c r="X44" s="36">
        <f t="shared" si="113"/>
        <v>0</v>
      </c>
      <c r="Y44" s="36">
        <f t="shared" si="114"/>
        <v>900</v>
      </c>
      <c r="Z44" s="36">
        <f>(I44+J44)*Q44</f>
        <v>2750</v>
      </c>
      <c r="AA44" s="36">
        <f t="shared" si="115"/>
        <v>26210.391762634797</v>
      </c>
      <c r="AB44" s="36">
        <f t="shared" si="115"/>
        <v>0</v>
      </c>
      <c r="AC44" s="36">
        <f t="shared" si="116"/>
        <v>150</v>
      </c>
      <c r="AD44" s="36">
        <f>(I44+J44)*V44</f>
        <v>0</v>
      </c>
      <c r="AE44" s="36"/>
      <c r="AF44" s="36">
        <f t="shared" si="117"/>
        <v>0</v>
      </c>
      <c r="AG44" s="36"/>
      <c r="AH44" s="57"/>
      <c r="AI44" s="57"/>
      <c r="AJ44" s="48"/>
      <c r="AK44" s="48"/>
      <c r="AL44" s="48"/>
      <c r="AM44" s="48"/>
      <c r="AN44" s="48"/>
      <c r="AO44" s="48"/>
      <c r="AP44" s="48"/>
      <c r="AQ44" s="36">
        <f t="shared" si="118"/>
        <v>0</v>
      </c>
      <c r="AR44" s="36">
        <f t="shared" si="119"/>
        <v>900</v>
      </c>
      <c r="AS44" s="36">
        <f t="shared" si="120"/>
        <v>26210.391762634797</v>
      </c>
      <c r="AT44" s="36">
        <f t="shared" si="120"/>
        <v>0</v>
      </c>
      <c r="AU44" s="36">
        <f t="shared" si="121"/>
        <v>2750</v>
      </c>
      <c r="AV44" s="36">
        <f t="shared" si="122"/>
        <v>150</v>
      </c>
      <c r="AW44" s="43">
        <f t="shared" si="123"/>
        <v>0</v>
      </c>
      <c r="AX44" s="43">
        <f t="shared" si="124"/>
        <v>0</v>
      </c>
      <c r="AY44" s="43">
        <f t="shared" si="125"/>
        <v>0</v>
      </c>
      <c r="AZ44" s="43">
        <f t="shared" si="126"/>
        <v>1838.3550321110299</v>
      </c>
      <c r="BA44" s="36">
        <f t="shared" si="127"/>
        <v>0</v>
      </c>
      <c r="BB44" s="36"/>
      <c r="BC44" s="43">
        <f>ROUND(SUM(AQ44:BB44),2)</f>
        <v>31848.75</v>
      </c>
      <c r="BD44" s="43">
        <f t="shared" si="128"/>
        <v>31848.746789219629</v>
      </c>
      <c r="BE44" s="44">
        <f t="shared" si="129"/>
        <v>1</v>
      </c>
      <c r="BF44" s="43">
        <f>SUMIFS('Fin Forecast'!$J$4:$J$545,'Fin Forecast'!$B$4:$B$545,'Sept16-Feb17 Transport'!$E44,'Fin Forecast'!$C$4:$C$545,'Sept16-Feb17 Transport'!$BF$5)*1000</f>
        <v>0</v>
      </c>
      <c r="BG44" s="43">
        <f>SUMIFS('Fin Forecast'!$J$4:$J$545,'Fin Forecast'!$B$4:$B$545,'Sept16-Feb17 Transport'!$E44,'Fin Forecast'!$C$4:$C$545,'Sept16-Feb17 Transport'!BG$5)*1000</f>
        <v>0</v>
      </c>
      <c r="BH44" s="43">
        <f>SUMIFS('Fin Forecast'!$J$4:$J$545,'Fin Forecast'!$B$4:$B$545,'Sept16-Feb17 Transport'!$E44,'Fin Forecast'!$C$4:$C$545,'Sept16-Feb17 Transport'!BH$5)*1000</f>
        <v>0</v>
      </c>
      <c r="BI44" s="43">
        <f>SUMIFS('Fin Forecast'!$J$4:$J$545,'Fin Forecast'!$B$4:$B$545,'Sept16-Feb17 Transport'!$E44,'Fin Forecast'!$C$4:$C$545,'Sept16-Feb17 Transport'!BI$5)*1000</f>
        <v>150</v>
      </c>
      <c r="BJ44" s="43">
        <f>SUMIFS('Fin Forecast'!$J$4:$J$545,'Fin Forecast'!$B$4:$B$545,'Sept16-Feb17 Transport'!$E44,'Fin Forecast'!$C$4:$C$545,'Sept16-Feb17 Transport'!BJ$5)*1000</f>
        <v>2750</v>
      </c>
      <c r="BK44" s="43">
        <f>SUMIFS('Fin Forecast'!$J$4:$J$545,'Fin Forecast'!$B$4:$B$545,'Sept16-Feb17 Transport'!$E44,'Fin Forecast'!$C$4:$C$545,'Sept16-Feb17 Transport'!BK$5)*1000</f>
        <v>900</v>
      </c>
      <c r="BL44" s="43">
        <f>SUMIFS('Fin Forecast'!$J$4:$J$545,'Fin Forecast'!$B$4:$B$545,'Sept16-Feb17 Transport'!$E44,'Fin Forecast'!$C$4:$C$545,'Sept16-Feb17 Transport'!BL$5)*1000</f>
        <v>26210.391757108599</v>
      </c>
      <c r="BM44" s="43">
        <f>SUMIFS('Fin Forecast'!$J$4:$J$545,'Fin Forecast'!$B$4:$B$545,'Sept16-Feb17 Transport'!$E44,'Fin Forecast'!$C$4:$C$545,'Sept16-Feb17 Transport'!BM$5)*1000</f>
        <v>0</v>
      </c>
      <c r="BN44" s="43">
        <f>SUMIFS('Fin Forecast'!$J$4:$J$545,'Fin Forecast'!$B$4:$B$545,'Sept16-Feb17 Transport'!$E44,'Fin Forecast'!$C$4:$C$545,'Sept16-Feb17 Transport'!BN$5)*1000</f>
        <v>1838.3550321110299</v>
      </c>
      <c r="BO44" s="21"/>
      <c r="BP44" s="51">
        <f t="shared" si="130"/>
        <v>3.2107803708640859E-3</v>
      </c>
      <c r="BQ44" s="21"/>
      <c r="BR44" s="58">
        <f t="shared" si="131"/>
        <v>0</v>
      </c>
      <c r="BS44" s="58">
        <f t="shared" si="132"/>
        <v>5.5261989473365247E-6</v>
      </c>
      <c r="BT44" s="58">
        <f t="shared" si="133"/>
        <v>0</v>
      </c>
    </row>
    <row r="45" spans="1:72" x14ac:dyDescent="0.25">
      <c r="A45" s="967" t="s">
        <v>1181</v>
      </c>
      <c r="B45" s="21"/>
      <c r="C45" s="14">
        <f>C44+1</f>
        <v>34</v>
      </c>
      <c r="D45" s="604">
        <f>$D$42</f>
        <v>42767</v>
      </c>
      <c r="E45" s="604" t="s">
        <v>96</v>
      </c>
      <c r="F45" s="14" t="str">
        <f t="shared" si="112"/>
        <v>892</v>
      </c>
      <c r="G45" s="14" t="str">
        <f>VLOOKUP(E45,'Retail Rates'!$B$7:$D$34,3,FALSE)</f>
        <v>AAGS-I-TS-2</v>
      </c>
      <c r="H45" s="33">
        <f>SUMIF('Forecasted Customer Cts'!$D$5:$D$36,'Sept16-Feb17 Transport'!$E45,'Forecasted Customer Cts'!$S$5:$S$36)</f>
        <v>2</v>
      </c>
      <c r="I45" s="33"/>
      <c r="J45" s="33"/>
      <c r="K45" s="33">
        <f>SUMIF('Forecasted Calendar Month Usage'!$D$5:$D$41,'Sept16-Feb17 Transport'!$E45,'Forecasted Calendar Month Usage'!$S$5:$S$41)*10</f>
        <v>128034.77305091234</v>
      </c>
      <c r="L45" s="33"/>
      <c r="M45" s="33"/>
      <c r="N45" s="33"/>
      <c r="O45" s="34">
        <f>VLOOKUP($E45,'Retail Rates'!$B$7:$L$34,5,FALSE)</f>
        <v>400</v>
      </c>
      <c r="P45" s="34">
        <f>VLOOKUP($E45,'Retail Rates'!$B$7:$L$34,6,FALSE)</f>
        <v>0</v>
      </c>
      <c r="Q45" s="34">
        <f>VLOOKUP($E45,'Retail Rates'!$B$7:$L$34,9,FALSE)</f>
        <v>550</v>
      </c>
      <c r="R45" s="35">
        <f>VLOOKUP($E45,'Retail Rates'!$B$7:$L$34,7,FALSE)</f>
        <v>7.009E-2</v>
      </c>
      <c r="S45" s="35">
        <f>VLOOKUP($E45,'Retail Rates'!$B$7:$L$34,8,FALSE)</f>
        <v>0</v>
      </c>
      <c r="T45" s="556">
        <v>75</v>
      </c>
      <c r="U45" s="34">
        <f>VLOOKUP($E45,'Retail Rates'!$B$7:$L$34,11,FALSE)</f>
        <v>0</v>
      </c>
      <c r="V45" s="556"/>
      <c r="W45" s="556"/>
      <c r="X45" s="36">
        <f t="shared" si="113"/>
        <v>800</v>
      </c>
      <c r="Y45" s="36">
        <f t="shared" si="114"/>
        <v>0</v>
      </c>
      <c r="Z45" s="36">
        <f>H45*Q45</f>
        <v>1100</v>
      </c>
      <c r="AA45" s="36">
        <f t="shared" si="115"/>
        <v>8973.9572431384458</v>
      </c>
      <c r="AB45" s="36">
        <f t="shared" si="115"/>
        <v>0</v>
      </c>
      <c r="AC45" s="36">
        <f t="shared" si="116"/>
        <v>0</v>
      </c>
      <c r="AD45" s="36">
        <f>H45*V45</f>
        <v>0</v>
      </c>
      <c r="AE45" s="36"/>
      <c r="AF45" s="36">
        <f t="shared" si="117"/>
        <v>0</v>
      </c>
      <c r="AG45" s="36"/>
      <c r="AH45" s="57"/>
      <c r="AI45" s="57"/>
      <c r="AJ45" s="48"/>
      <c r="AK45" s="48"/>
      <c r="AL45" s="48"/>
      <c r="AM45" s="48"/>
      <c r="AN45" s="48"/>
      <c r="AO45" s="48"/>
      <c r="AP45" s="48"/>
      <c r="AQ45" s="36">
        <f t="shared" si="118"/>
        <v>800</v>
      </c>
      <c r="AR45" s="36">
        <f t="shared" si="119"/>
        <v>0</v>
      </c>
      <c r="AS45" s="36">
        <f t="shared" si="120"/>
        <v>8973.9572431384458</v>
      </c>
      <c r="AT45" s="36">
        <f t="shared" si="120"/>
        <v>0</v>
      </c>
      <c r="AU45" s="36">
        <f t="shared" si="121"/>
        <v>1100</v>
      </c>
      <c r="AV45" s="36">
        <f t="shared" si="122"/>
        <v>0</v>
      </c>
      <c r="AW45" s="43">
        <f t="shared" si="123"/>
        <v>0</v>
      </c>
      <c r="AX45" s="43">
        <f t="shared" si="124"/>
        <v>0</v>
      </c>
      <c r="AY45" s="43">
        <f t="shared" si="125"/>
        <v>0</v>
      </c>
      <c r="AZ45" s="43">
        <f t="shared" si="126"/>
        <v>3347.3946503304701</v>
      </c>
      <c r="BA45" s="36">
        <f t="shared" si="127"/>
        <v>0</v>
      </c>
      <c r="BB45" s="36"/>
      <c r="BC45" s="43">
        <f>ROUND(SUM(AQ45:BB45),2)</f>
        <v>14221.35</v>
      </c>
      <c r="BD45" s="43">
        <f t="shared" si="128"/>
        <v>14221.351893468891</v>
      </c>
      <c r="BE45" s="44">
        <f t="shared" si="129"/>
        <v>1</v>
      </c>
      <c r="BF45" s="43">
        <f>SUMIFS('Fin Forecast'!$J$4:$J$545,'Fin Forecast'!$B$4:$B$545,'Sept16-Feb17 Transport'!$E45,'Fin Forecast'!$C$4:$C$545,'Sept16-Feb17 Transport'!$BF$5)*1000</f>
        <v>0</v>
      </c>
      <c r="BG45" s="43">
        <f>SUMIFS('Fin Forecast'!$J$4:$J$545,'Fin Forecast'!$B$4:$B$545,'Sept16-Feb17 Transport'!$E45,'Fin Forecast'!$C$4:$C$545,'Sept16-Feb17 Transport'!BG$5)*1000</f>
        <v>0</v>
      </c>
      <c r="BH45" s="43">
        <f>SUMIFS('Fin Forecast'!$J$4:$J$545,'Fin Forecast'!$B$4:$B$545,'Sept16-Feb17 Transport'!$E45,'Fin Forecast'!$C$4:$C$545,'Sept16-Feb17 Transport'!BH$5)*1000</f>
        <v>0</v>
      </c>
      <c r="BI45" s="43">
        <f>SUMIFS('Fin Forecast'!$J$4:$J$545,'Fin Forecast'!$B$4:$B$545,'Sept16-Feb17 Transport'!$E45,'Fin Forecast'!$C$4:$C$545,'Sept16-Feb17 Transport'!BI$5)*1000</f>
        <v>0</v>
      </c>
      <c r="BJ45" s="43">
        <f>SUMIFS('Fin Forecast'!$J$4:$J$545,'Fin Forecast'!$B$4:$B$545,'Sept16-Feb17 Transport'!$E45,'Fin Forecast'!$C$4:$C$545,'Sept16-Feb17 Transport'!BJ$5)*1000</f>
        <v>1100</v>
      </c>
      <c r="BK45" s="43">
        <f>SUMIFS('Fin Forecast'!$J$4:$J$545,'Fin Forecast'!$B$4:$B$545,'Sept16-Feb17 Transport'!$E45,'Fin Forecast'!$C$4:$C$545,'Sept16-Feb17 Transport'!BK$5)*1000</f>
        <v>800</v>
      </c>
      <c r="BL45" s="43">
        <f>SUMIFS('Fin Forecast'!$J$4:$J$545,'Fin Forecast'!$B$4:$B$545,'Sept16-Feb17 Transport'!$E45,'Fin Forecast'!$C$4:$C$545,'Sept16-Feb17 Transport'!BL$5)*1000</f>
        <v>8973.9572431384204</v>
      </c>
      <c r="BM45" s="43">
        <f>SUMIFS('Fin Forecast'!$J$4:$J$545,'Fin Forecast'!$B$4:$B$545,'Sept16-Feb17 Transport'!$E45,'Fin Forecast'!$C$4:$C$545,'Sept16-Feb17 Transport'!BM$5)*1000</f>
        <v>0</v>
      </c>
      <c r="BN45" s="43">
        <f>SUMIFS('Fin Forecast'!$J$4:$J$545,'Fin Forecast'!$B$4:$B$545,'Sept16-Feb17 Transport'!$E45,'Fin Forecast'!$C$4:$C$545,'Sept16-Feb17 Transport'!BN$5)*1000</f>
        <v>3347.3946503304701</v>
      </c>
      <c r="BO45" s="21"/>
      <c r="BP45" s="51">
        <f t="shared" si="130"/>
        <v>-1.8934688905574149E-3</v>
      </c>
      <c r="BQ45" s="21"/>
      <c r="BR45" s="58">
        <f t="shared" si="131"/>
        <v>0</v>
      </c>
      <c r="BS45" s="58">
        <f t="shared" si="132"/>
        <v>2.5465851649641991E-11</v>
      </c>
      <c r="BT45" s="58">
        <f t="shared" si="133"/>
        <v>0</v>
      </c>
    </row>
    <row r="46" spans="1:72" x14ac:dyDescent="0.25">
      <c r="A46" s="21"/>
      <c r="B46" s="21"/>
      <c r="C46" s="14">
        <f>C45+1</f>
        <v>35</v>
      </c>
      <c r="D46" s="604">
        <f>$D$42</f>
        <v>42767</v>
      </c>
      <c r="E46" s="604" t="s">
        <v>57</v>
      </c>
      <c r="F46" s="14" t="str">
        <f t="shared" si="112"/>
        <v>997</v>
      </c>
      <c r="G46" s="14" t="str">
        <f>VLOOKUP(E46,'Retail Rates'!$B$7:$D$34,3,FALSE)</f>
        <v>SPC-P</v>
      </c>
      <c r="H46" s="33">
        <f>SUMIF('Forecasted Customer Cts'!$D$5:$D$36,'Sept16-Feb17 Transport'!$E46,'Forecasted Customer Cts'!$S$5:$S$36)</f>
        <v>0</v>
      </c>
      <c r="I46" s="33"/>
      <c r="J46" s="33"/>
      <c r="K46" s="33">
        <f>SUMIF('Forecasted Calendar Month Usage'!$D$5:$D$41,'Sept16-Feb17 Transport'!$E46,'Forecasted Calendar Month Usage'!$S$5:$S$41)*10</f>
        <v>0</v>
      </c>
      <c r="L46" s="33"/>
      <c r="M46" s="33"/>
      <c r="N46" s="33"/>
      <c r="O46" s="34">
        <f>VLOOKUP($E46,'Retail Rates'!$B$7:$L$34,5,FALSE)</f>
        <v>800</v>
      </c>
      <c r="P46" s="34">
        <f>VLOOKUP($E46,'Retail Rates'!$B$7:$L$34,6,FALSE)</f>
        <v>0</v>
      </c>
      <c r="Q46" s="34">
        <f>VLOOKUP($E46,'Retail Rates'!$B$7:$L$34,9,FALSE)</f>
        <v>0</v>
      </c>
      <c r="R46" s="35">
        <f>VLOOKUP($E46,'Retail Rates'!$B$7:$L$34,7,FALSE)</f>
        <v>4.9699999999999996E-3</v>
      </c>
      <c r="S46" s="35">
        <f>VLOOKUP($E46,'Retail Rates'!$B$7:$L$34,8,FALSE)</f>
        <v>0</v>
      </c>
      <c r="T46" s="556">
        <v>75</v>
      </c>
      <c r="U46" s="699">
        <f>VLOOKUP($E46,'Retail Rates'!$B$7:$L$34,11,FALSE)</f>
        <v>0.24801000000000001</v>
      </c>
      <c r="V46" s="35"/>
      <c r="W46" s="556"/>
      <c r="X46" s="36">
        <f t="shared" si="113"/>
        <v>0</v>
      </c>
      <c r="Y46" s="36">
        <f t="shared" si="114"/>
        <v>0</v>
      </c>
      <c r="Z46" s="36">
        <f>H46*Q46</f>
        <v>0</v>
      </c>
      <c r="AA46" s="36">
        <f t="shared" si="115"/>
        <v>0</v>
      </c>
      <c r="AB46" s="36">
        <f t="shared" si="115"/>
        <v>0</v>
      </c>
      <c r="AC46" s="36">
        <f t="shared" si="116"/>
        <v>0</v>
      </c>
      <c r="AD46" s="36">
        <f>H46*V46</f>
        <v>0</v>
      </c>
      <c r="AE46" s="36"/>
      <c r="AF46" s="36">
        <f t="shared" si="117"/>
        <v>0</v>
      </c>
      <c r="AG46" s="36"/>
      <c r="AH46" s="57"/>
      <c r="AI46" s="57"/>
      <c r="AJ46" s="48"/>
      <c r="AK46" s="48"/>
      <c r="AL46" s="48"/>
      <c r="AM46" s="48"/>
      <c r="AN46" s="48"/>
      <c r="AO46" s="48"/>
      <c r="AP46" s="48"/>
      <c r="AQ46" s="36">
        <f t="shared" si="118"/>
        <v>0</v>
      </c>
      <c r="AR46" s="36">
        <f t="shared" si="119"/>
        <v>0</v>
      </c>
      <c r="AS46" s="36">
        <f t="shared" si="120"/>
        <v>0</v>
      </c>
      <c r="AT46" s="36">
        <f t="shared" si="120"/>
        <v>0</v>
      </c>
      <c r="AU46" s="36">
        <f t="shared" si="121"/>
        <v>0</v>
      </c>
      <c r="AV46" s="36">
        <f t="shared" si="122"/>
        <v>0</v>
      </c>
      <c r="AW46" s="43">
        <f t="shared" si="123"/>
        <v>0</v>
      </c>
      <c r="AX46" s="43">
        <f t="shared" si="124"/>
        <v>0</v>
      </c>
      <c r="AY46" s="43">
        <f t="shared" si="125"/>
        <v>0</v>
      </c>
      <c r="AZ46" s="43">
        <f t="shared" si="126"/>
        <v>0</v>
      </c>
      <c r="BA46" s="36">
        <f t="shared" si="127"/>
        <v>0</v>
      </c>
      <c r="BB46" s="36"/>
      <c r="BC46" s="43">
        <f>ROUND(SUM(AQ46:BB46),2)</f>
        <v>0</v>
      </c>
      <c r="BD46" s="43">
        <f t="shared" si="128"/>
        <v>0</v>
      </c>
      <c r="BE46" s="44">
        <f t="shared" si="129"/>
        <v>0</v>
      </c>
      <c r="BF46" s="43">
        <f>SUMIFS('Fin Forecast'!$J$4:$J$545,'Fin Forecast'!$B$4:$B$545,'Sept16-Feb17 Transport'!$E46,'Fin Forecast'!$C$4:$C$545,'Sept16-Feb17 Transport'!$BF$5)*1000</f>
        <v>0</v>
      </c>
      <c r="BG46" s="43">
        <f>SUMIFS('Fin Forecast'!$J$4:$J$545,'Fin Forecast'!$B$4:$B$545,'Sept16-Feb17 Transport'!$E46,'Fin Forecast'!$C$4:$C$545,'Sept16-Feb17 Transport'!BG$5)*1000</f>
        <v>0</v>
      </c>
      <c r="BH46" s="43">
        <f>SUMIFS('Fin Forecast'!$J$4:$J$545,'Fin Forecast'!$B$4:$B$545,'Sept16-Feb17 Transport'!$E46,'Fin Forecast'!$C$4:$C$545,'Sept16-Feb17 Transport'!BH$5)*1000</f>
        <v>0</v>
      </c>
      <c r="BI46" s="43">
        <f>SUMIFS('Fin Forecast'!$J$4:$J$545,'Fin Forecast'!$B$4:$B$545,'Sept16-Feb17 Transport'!$E46,'Fin Forecast'!$C$4:$C$545,'Sept16-Feb17 Transport'!BI$5)*1000</f>
        <v>0</v>
      </c>
      <c r="BJ46" s="43">
        <f>SUMIFS('Fin Forecast'!$J$4:$J$545,'Fin Forecast'!$B$4:$B$545,'Sept16-Feb17 Transport'!$E46,'Fin Forecast'!$C$4:$C$545,'Sept16-Feb17 Transport'!BJ$5)*1000</f>
        <v>0</v>
      </c>
      <c r="BK46" s="43">
        <f>SUMIFS('Fin Forecast'!$J$4:$J$545,'Fin Forecast'!$B$4:$B$545,'Sept16-Feb17 Transport'!$E46,'Fin Forecast'!$C$4:$C$545,'Sept16-Feb17 Transport'!BK$5)*1000</f>
        <v>0</v>
      </c>
      <c r="BL46" s="43">
        <f>SUMIFS('Fin Forecast'!$J$4:$J$545,'Fin Forecast'!$B$4:$B$545,'Sept16-Feb17 Transport'!$E46,'Fin Forecast'!$C$4:$C$545,'Sept16-Feb17 Transport'!BL$5)*1000</f>
        <v>0</v>
      </c>
      <c r="BM46" s="43">
        <f>SUMIFS('Fin Forecast'!$J$4:$J$545,'Fin Forecast'!$B$4:$B$545,'Sept16-Feb17 Transport'!$E46,'Fin Forecast'!$C$4:$C$545,'Sept16-Feb17 Transport'!BM$5)*1000</f>
        <v>0</v>
      </c>
      <c r="BN46" s="43">
        <f>SUMIFS('Fin Forecast'!$J$4:$J$545,'Fin Forecast'!$B$4:$B$545,'Sept16-Feb17 Transport'!$E46,'Fin Forecast'!$C$4:$C$545,'Sept16-Feb17 Transport'!BN$5)*1000</f>
        <v>0</v>
      </c>
      <c r="BO46" s="21"/>
      <c r="BP46" s="51">
        <f t="shared" si="130"/>
        <v>0</v>
      </c>
      <c r="BQ46" s="21"/>
      <c r="BR46" s="58">
        <f t="shared" si="131"/>
        <v>0</v>
      </c>
      <c r="BS46" s="58">
        <f t="shared" si="132"/>
        <v>0</v>
      </c>
      <c r="BT46" s="58">
        <f t="shared" si="133"/>
        <v>0</v>
      </c>
    </row>
    <row r="47" spans="1:72" x14ac:dyDescent="0.25">
      <c r="A47" s="21"/>
      <c r="B47" s="21"/>
      <c r="C47" s="14">
        <f>C46+1</f>
        <v>36</v>
      </c>
      <c r="D47" s="604">
        <f>$D$42</f>
        <v>42767</v>
      </c>
      <c r="E47" s="604" t="s">
        <v>45</v>
      </c>
      <c r="F47" s="14" t="str">
        <f t="shared" si="112"/>
        <v>996</v>
      </c>
      <c r="G47" s="14" t="str">
        <f>VLOOKUP(E47,'Retail Rates'!$B$7:$D$34,3,FALSE)</f>
        <v>SPC-LGE</v>
      </c>
      <c r="H47" s="33">
        <f>SUMIF('Forecasted Customer Cts'!$D$5:$D$36,'Sept16-Feb17 Transport'!$E47,'Forecasted Customer Cts'!$S$5:$S$36)</f>
        <v>1</v>
      </c>
      <c r="I47" s="33"/>
      <c r="J47" s="33"/>
      <c r="K47" s="33">
        <f>SUMIF('Forecasted Calendar Month Usage'!$D$5:$D$41,'Sept16-Feb17 Transport'!$E47,'Forecasted Calendar Month Usage'!$S$5:$S$41)*10</f>
        <v>122365</v>
      </c>
      <c r="L47" s="33"/>
      <c r="M47" s="33"/>
      <c r="N47" s="33">
        <f>16560*10</f>
        <v>165600</v>
      </c>
      <c r="O47" s="34">
        <f>VLOOKUP($E47,'Retail Rates'!$B$7:$L$34,5,FALSE)</f>
        <v>180</v>
      </c>
      <c r="P47" s="34">
        <f>VLOOKUP($E47,'Retail Rates'!$B$7:$L$34,6,FALSE)</f>
        <v>0</v>
      </c>
      <c r="Q47" s="34">
        <f>VLOOKUP($E47,'Retail Rates'!$B$7:$L$34,9,FALSE)</f>
        <v>0</v>
      </c>
      <c r="R47" s="35">
        <f>VLOOKUP($E47,'Retail Rates'!$B$7:$L$34,7,FALSE)</f>
        <v>3.329E-2</v>
      </c>
      <c r="S47" s="35">
        <f>VLOOKUP($E47,'Retail Rates'!$B$7:$L$34,8,FALSE)</f>
        <v>0</v>
      </c>
      <c r="T47" s="556">
        <v>75</v>
      </c>
      <c r="U47" s="699">
        <f>VLOOKUP($E47,'Retail Rates'!$B$7:$L$34,11,FALSE)</f>
        <v>1.12629</v>
      </c>
      <c r="V47" s="35"/>
      <c r="W47" s="556"/>
      <c r="X47" s="36">
        <f t="shared" si="113"/>
        <v>180</v>
      </c>
      <c r="Y47" s="36">
        <f t="shared" si="114"/>
        <v>0</v>
      </c>
      <c r="Z47" s="36">
        <f>H47*Q47</f>
        <v>0</v>
      </c>
      <c r="AA47" s="36">
        <f t="shared" si="115"/>
        <v>4073.5308500000001</v>
      </c>
      <c r="AB47" s="36">
        <f t="shared" si="115"/>
        <v>0</v>
      </c>
      <c r="AC47" s="36">
        <f t="shared" si="116"/>
        <v>0</v>
      </c>
      <c r="AD47" s="36">
        <f>H47*V47</f>
        <v>0</v>
      </c>
      <c r="AE47" s="36"/>
      <c r="AF47" s="36">
        <f t="shared" si="117"/>
        <v>186513.62400000001</v>
      </c>
      <c r="AG47" s="36"/>
      <c r="AH47" s="57"/>
      <c r="AI47" s="57"/>
      <c r="AJ47" s="48"/>
      <c r="AK47" s="48"/>
      <c r="AL47" s="48"/>
      <c r="AM47" s="48"/>
      <c r="AN47" s="48"/>
      <c r="AO47" s="48"/>
      <c r="AP47" s="48"/>
      <c r="AQ47" s="36">
        <f t="shared" si="118"/>
        <v>180</v>
      </c>
      <c r="AR47" s="36">
        <f t="shared" si="119"/>
        <v>0</v>
      </c>
      <c r="AS47" s="36">
        <f t="shared" si="120"/>
        <v>4073.5308500000001</v>
      </c>
      <c r="AT47" s="36">
        <f t="shared" si="120"/>
        <v>0</v>
      </c>
      <c r="AU47" s="36">
        <f t="shared" si="121"/>
        <v>0</v>
      </c>
      <c r="AV47" s="36">
        <f t="shared" si="122"/>
        <v>0</v>
      </c>
      <c r="AW47" s="43">
        <f t="shared" si="123"/>
        <v>56505.078334838996</v>
      </c>
      <c r="AX47" s="43">
        <f t="shared" si="124"/>
        <v>0</v>
      </c>
      <c r="AY47" s="43">
        <f t="shared" si="125"/>
        <v>0</v>
      </c>
      <c r="AZ47" s="43">
        <f t="shared" si="126"/>
        <v>0</v>
      </c>
      <c r="BA47" s="36">
        <f t="shared" si="127"/>
        <v>186513.62400000001</v>
      </c>
      <c r="BB47" s="36"/>
      <c r="BC47" s="43">
        <f>ROUND(SUM(AQ47:BB47),2)</f>
        <v>247272.23</v>
      </c>
      <c r="BD47" s="43">
        <f t="shared" si="128"/>
        <v>247272.23318483899</v>
      </c>
      <c r="BE47" s="44">
        <f t="shared" si="129"/>
        <v>1</v>
      </c>
      <c r="BF47" s="43">
        <f>SUMIFS('Fin Forecast'!$J$4:$J$545,'Fin Forecast'!$B$4:$B$545,'Sept16-Feb17 Transport'!$E47,'Fin Forecast'!$C$4:$C$545,'Sept16-Feb17 Transport'!$BF$5)*1000</f>
        <v>0</v>
      </c>
      <c r="BG47" s="43">
        <f>SUMIFS('Fin Forecast'!$J$4:$J$545,'Fin Forecast'!$B$4:$B$545,'Sept16-Feb17 Transport'!$E47,'Fin Forecast'!$C$4:$C$545,'Sept16-Feb17 Transport'!BG$5)*1000</f>
        <v>56505.078334838996</v>
      </c>
      <c r="BH47" s="43">
        <f>SUMIFS('Fin Forecast'!$J$4:$J$545,'Fin Forecast'!$B$4:$B$545,'Sept16-Feb17 Transport'!$E47,'Fin Forecast'!$C$4:$C$545,'Sept16-Feb17 Transport'!BH$5)*1000</f>
        <v>0</v>
      </c>
      <c r="BI47" s="43">
        <f>SUMIFS('Fin Forecast'!$J$4:$J$545,'Fin Forecast'!$B$4:$B$545,'Sept16-Feb17 Transport'!$E47,'Fin Forecast'!$C$4:$C$545,'Sept16-Feb17 Transport'!BI$5)*1000</f>
        <v>0</v>
      </c>
      <c r="BJ47" s="43">
        <f>SUMIFS('Fin Forecast'!$J$4:$J$545,'Fin Forecast'!$B$4:$B$545,'Sept16-Feb17 Transport'!$E47,'Fin Forecast'!$C$4:$C$545,'Sept16-Feb17 Transport'!BJ$5)*1000</f>
        <v>0</v>
      </c>
      <c r="BK47" s="43">
        <f>SUMIFS('Fin Forecast'!$J$4:$J$545,'Fin Forecast'!$B$4:$B$545,'Sept16-Feb17 Transport'!$E47,'Fin Forecast'!$C$4:$C$545,'Sept16-Feb17 Transport'!BK$5)*1000</f>
        <v>180</v>
      </c>
      <c r="BL47" s="43">
        <f>SUMIFS('Fin Forecast'!$J$4:$J$545,'Fin Forecast'!$B$4:$B$545,'Sept16-Feb17 Transport'!$E47,'Fin Forecast'!$C$4:$C$545,'Sept16-Feb17 Transport'!BL$5)*1000</f>
        <v>4073.5308500000001</v>
      </c>
      <c r="BM47" s="43">
        <f>SUMIFS('Fin Forecast'!$J$4:$J$545,'Fin Forecast'!$B$4:$B$545,'Sept16-Feb17 Transport'!$E47,'Fin Forecast'!$C$4:$C$545,'Sept16-Feb17 Transport'!BM$5)*1000</f>
        <v>186513.62399999998</v>
      </c>
      <c r="BN47" s="43">
        <f>SUMIFS('Fin Forecast'!$J$4:$J$545,'Fin Forecast'!$B$4:$B$545,'Sept16-Feb17 Transport'!$E47,'Fin Forecast'!$C$4:$C$545,'Sept16-Feb17 Transport'!BN$5)*1000</f>
        <v>0</v>
      </c>
      <c r="BO47" s="21"/>
      <c r="BP47" s="51">
        <f t="shared" si="130"/>
        <v>-3.1848389771766961E-3</v>
      </c>
      <c r="BQ47" s="21"/>
      <c r="BR47" s="58">
        <f t="shared" si="131"/>
        <v>0</v>
      </c>
      <c r="BS47" s="58">
        <f t="shared" si="132"/>
        <v>0</v>
      </c>
      <c r="BT47" s="58">
        <f t="shared" si="133"/>
        <v>0</v>
      </c>
    </row>
    <row r="48" spans="1:72" x14ac:dyDescent="0.25">
      <c r="A48" s="563"/>
      <c r="B48" s="563"/>
      <c r="C48" s="564"/>
      <c r="D48" s="605"/>
      <c r="E48" s="605"/>
      <c r="F48" s="564"/>
      <c r="G48" s="564"/>
      <c r="H48" s="565"/>
      <c r="I48" s="565"/>
      <c r="J48" s="565"/>
      <c r="K48" s="565"/>
      <c r="L48" s="565"/>
      <c r="M48" s="565"/>
      <c r="N48" s="565"/>
      <c r="O48" s="566"/>
      <c r="P48" s="566"/>
      <c r="Q48" s="567"/>
      <c r="R48" s="567"/>
      <c r="S48" s="567"/>
      <c r="T48" s="566"/>
      <c r="U48" s="567"/>
      <c r="V48" s="566"/>
      <c r="W48" s="568"/>
      <c r="X48" s="569"/>
      <c r="Y48" s="569"/>
      <c r="Z48" s="569"/>
      <c r="AA48" s="569"/>
      <c r="AB48" s="569"/>
      <c r="AC48" s="569"/>
      <c r="AD48" s="569"/>
      <c r="AE48" s="569"/>
      <c r="AF48" s="569"/>
      <c r="AG48" s="569"/>
      <c r="AH48" s="570"/>
      <c r="AI48" s="570"/>
      <c r="AJ48" s="569"/>
      <c r="AK48" s="569"/>
      <c r="AL48" s="569"/>
      <c r="AM48" s="569"/>
      <c r="AN48" s="569"/>
      <c r="AO48" s="569"/>
      <c r="AP48" s="569"/>
      <c r="AQ48" s="569"/>
      <c r="AR48" s="569"/>
      <c r="AS48" s="569"/>
      <c r="AT48" s="569"/>
      <c r="AU48" s="569"/>
      <c r="AV48" s="569"/>
      <c r="AW48" s="569"/>
      <c r="AX48" s="569"/>
      <c r="AY48" s="569"/>
      <c r="AZ48" s="569"/>
      <c r="BA48" s="569"/>
      <c r="BB48" s="569"/>
      <c r="BC48" s="569">
        <f>SUM(BC7:BC47)</f>
        <v>6762467.738756137</v>
      </c>
      <c r="BD48" s="569"/>
      <c r="BE48" s="571"/>
      <c r="BF48" s="569">
        <f>SUM(BF7:BF47)</f>
        <v>853217.87152509228</v>
      </c>
      <c r="BG48" s="569">
        <f>SUM(BG7:BG47)</f>
        <v>311135.15280964773</v>
      </c>
      <c r="BH48" s="569"/>
      <c r="BI48" s="586">
        <f>SUM(BI7:BI47)</f>
        <v>31950</v>
      </c>
      <c r="BJ48" s="569"/>
      <c r="BK48" s="569"/>
      <c r="BL48" s="569"/>
      <c r="BM48" s="569"/>
      <c r="BN48" s="586">
        <f>SUM(BN7:BN47)</f>
        <v>54774.098614136514</v>
      </c>
      <c r="BO48" s="563"/>
      <c r="BP48" s="569"/>
      <c r="BQ48" s="563"/>
      <c r="BR48" s="569"/>
      <c r="BS48" s="569"/>
      <c r="BT48" s="569"/>
    </row>
    <row r="66" spans="10:14" x14ac:dyDescent="0.25">
      <c r="K66" t="s">
        <v>1218</v>
      </c>
      <c r="L66" t="s">
        <v>1219</v>
      </c>
      <c r="M66" t="s">
        <v>1220</v>
      </c>
      <c r="N66" t="s">
        <v>1221</v>
      </c>
    </row>
    <row r="67" spans="10:14" x14ac:dyDescent="0.25">
      <c r="J67" s="21" t="s">
        <v>50</v>
      </c>
      <c r="K67" s="546">
        <f t="shared" ref="K67:K72" si="134">SUMIF($E$7:$E$47,$J67,$K$7:$K$47)</f>
        <v>4414810.1771339932</v>
      </c>
      <c r="L67" s="546">
        <f t="shared" ref="L67:L72" si="135">SUMIF($E$7:$E$47,$J67,$L$7:$L$47)</f>
        <v>0</v>
      </c>
      <c r="M67" s="1144">
        <f t="shared" ref="M67:N72" si="136">K67/10</f>
        <v>441481.01771339931</v>
      </c>
      <c r="N67" s="63">
        <f t="shared" si="136"/>
        <v>0</v>
      </c>
    </row>
    <row r="68" spans="10:14" x14ac:dyDescent="0.25">
      <c r="J68" s="21" t="s">
        <v>52</v>
      </c>
      <c r="K68" s="546">
        <f t="shared" si="134"/>
        <v>72401052.969691664</v>
      </c>
      <c r="L68" s="546">
        <f t="shared" si="135"/>
        <v>0</v>
      </c>
      <c r="M68" s="1144">
        <f t="shared" si="136"/>
        <v>7240105.296969166</v>
      </c>
      <c r="N68" s="63">
        <f t="shared" si="136"/>
        <v>0</v>
      </c>
    </row>
    <row r="69" spans="10:14" x14ac:dyDescent="0.25">
      <c r="J69" s="21" t="s">
        <v>42</v>
      </c>
      <c r="K69" s="546">
        <f t="shared" si="134"/>
        <v>1202915.5185942745</v>
      </c>
      <c r="L69" s="546">
        <f t="shared" si="135"/>
        <v>1057395.1379069218</v>
      </c>
      <c r="M69" s="1144">
        <f t="shared" si="136"/>
        <v>120291.55185942745</v>
      </c>
      <c r="N69" s="63">
        <f t="shared" si="136"/>
        <v>105739.51379069217</v>
      </c>
    </row>
    <row r="70" spans="10:14" x14ac:dyDescent="0.25">
      <c r="J70" s="21" t="s">
        <v>96</v>
      </c>
      <c r="K70" s="546">
        <f t="shared" si="134"/>
        <v>1547835.3279322505</v>
      </c>
      <c r="L70" s="546">
        <f t="shared" si="135"/>
        <v>0</v>
      </c>
      <c r="M70" s="1144">
        <f t="shared" si="136"/>
        <v>154783.53279322505</v>
      </c>
      <c r="N70" s="63">
        <f t="shared" si="136"/>
        <v>0</v>
      </c>
    </row>
    <row r="71" spans="10:14" x14ac:dyDescent="0.25">
      <c r="J71" s="21" t="s">
        <v>57</v>
      </c>
      <c r="K71" s="546">
        <f t="shared" si="134"/>
        <v>587748.99999999988</v>
      </c>
      <c r="L71" s="546">
        <f t="shared" si="135"/>
        <v>0</v>
      </c>
      <c r="M71" s="1144">
        <f t="shared" si="136"/>
        <v>58774.899999999987</v>
      </c>
      <c r="N71" s="63">
        <f t="shared" si="136"/>
        <v>0</v>
      </c>
    </row>
    <row r="72" spans="10:14" x14ac:dyDescent="0.25">
      <c r="J72" s="21" t="s">
        <v>45</v>
      </c>
      <c r="K72" s="546">
        <f t="shared" si="134"/>
        <v>718368.99999999988</v>
      </c>
      <c r="L72" s="546">
        <f t="shared" si="135"/>
        <v>0</v>
      </c>
      <c r="M72" s="1144">
        <f t="shared" si="136"/>
        <v>71836.899999999994</v>
      </c>
      <c r="N72" s="63">
        <f t="shared" si="136"/>
        <v>0</v>
      </c>
    </row>
  </sheetData>
  <conditionalFormatting sqref="BE34 BE41 BE48 BE7:BE13 BE20 BE27">
    <cfRule type="cellIs" dxfId="6" priority="6" operator="notBetween">
      <formula>0.998</formula>
      <formula>1.002</formula>
    </cfRule>
  </conditionalFormatting>
  <conditionalFormatting sqref="BE14:BE19">
    <cfRule type="cellIs" dxfId="5" priority="5" operator="notBetween">
      <formula>0.998</formula>
      <formula>1.002</formula>
    </cfRule>
  </conditionalFormatting>
  <conditionalFormatting sqref="BE21:BE26">
    <cfRule type="cellIs" dxfId="4" priority="4" operator="notBetween">
      <formula>0.998</formula>
      <formula>1.002</formula>
    </cfRule>
  </conditionalFormatting>
  <conditionalFormatting sqref="BE28:BE33">
    <cfRule type="cellIs" dxfId="3" priority="3" operator="notBetween">
      <formula>0.998</formula>
      <formula>1.002</formula>
    </cfRule>
  </conditionalFormatting>
  <conditionalFormatting sqref="BE35:BE40">
    <cfRule type="cellIs" dxfId="2" priority="2" operator="notBetween">
      <formula>0.998</formula>
      <formula>1.002</formula>
    </cfRule>
  </conditionalFormatting>
  <conditionalFormatting sqref="BE42:BE47">
    <cfRule type="cellIs" dxfId="1" priority="1" operator="notBetween">
      <formula>0.998</formula>
      <formula>1.002</formula>
    </cfRule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0.39997558519241921"/>
  </sheetPr>
  <dimension ref="B2:Y720"/>
  <sheetViews>
    <sheetView topLeftCell="A605" workbookViewId="0">
      <selection activeCell="G626" sqref="G626"/>
    </sheetView>
  </sheetViews>
  <sheetFormatPr defaultRowHeight="12.75" x14ac:dyDescent="0.2"/>
  <cols>
    <col min="1" max="1" width="2.42578125" style="320" customWidth="1"/>
    <col min="2" max="2" width="7.5703125" style="320" customWidth="1"/>
    <col min="3" max="3" width="13.85546875" style="320" customWidth="1"/>
    <col min="4" max="4" width="10.42578125" style="320" customWidth="1"/>
    <col min="5" max="5" width="16.5703125" style="320" customWidth="1"/>
    <col min="6" max="6" width="30.7109375" style="320" customWidth="1"/>
    <col min="7" max="7" width="48.5703125" style="320" customWidth="1"/>
    <col min="8" max="8" width="17.85546875" style="320" customWidth="1"/>
    <col min="9" max="10" width="17.28515625" style="320" customWidth="1"/>
    <col min="11" max="11" width="20" style="320" customWidth="1"/>
    <col min="12" max="12" width="18.7109375" style="320" customWidth="1"/>
    <col min="13" max="13" width="33.5703125" style="320" customWidth="1"/>
    <col min="14" max="15" width="33.42578125" style="320" customWidth="1"/>
    <col min="16" max="16" width="19" style="320" customWidth="1"/>
    <col min="17" max="17" width="11.7109375" style="320" customWidth="1"/>
    <col min="18" max="18" width="12.7109375" style="320" bestFit="1" customWidth="1"/>
    <col min="19" max="20" width="12.5703125" style="320" bestFit="1" customWidth="1"/>
    <col min="21" max="21" width="13" style="320" customWidth="1"/>
    <col min="22" max="22" width="13.85546875" style="320" bestFit="1" customWidth="1"/>
    <col min="23" max="23" width="9.140625" style="320"/>
    <col min="24" max="24" width="10.42578125" style="320" customWidth="1"/>
    <col min="25" max="16384" width="9.140625" style="320"/>
  </cols>
  <sheetData>
    <row r="2" spans="2:18" ht="15" x14ac:dyDescent="0.25">
      <c r="B2" s="319"/>
    </row>
    <row r="3" spans="2:18" ht="15" x14ac:dyDescent="0.25">
      <c r="B3" s="319"/>
      <c r="O3" s="551" t="s">
        <v>806</v>
      </c>
    </row>
    <row r="4" spans="2:18" ht="15" x14ac:dyDescent="0.25">
      <c r="B4" s="321"/>
      <c r="H4" s="322" t="s">
        <v>536</v>
      </c>
      <c r="I4" s="314">
        <v>42430</v>
      </c>
      <c r="J4" s="314">
        <f t="shared" ref="J4:O4" si="0">EDATE(I4,1)</f>
        <v>42461</v>
      </c>
      <c r="K4" s="314">
        <f t="shared" si="0"/>
        <v>42491</v>
      </c>
      <c r="L4" s="314">
        <f t="shared" si="0"/>
        <v>42522</v>
      </c>
      <c r="M4" s="314">
        <f t="shared" si="0"/>
        <v>42552</v>
      </c>
      <c r="N4" s="314">
        <f t="shared" si="0"/>
        <v>42583</v>
      </c>
      <c r="O4" s="314">
        <f t="shared" si="0"/>
        <v>42614</v>
      </c>
    </row>
    <row r="5" spans="2:18" x14ac:dyDescent="0.2">
      <c r="H5" s="322" t="s">
        <v>535</v>
      </c>
      <c r="I5" s="314">
        <f t="shared" ref="I5:O5" si="1">EDATE(I4,-1)</f>
        <v>42401</v>
      </c>
      <c r="J5" s="314">
        <f t="shared" si="1"/>
        <v>42430</v>
      </c>
      <c r="K5" s="314">
        <f t="shared" si="1"/>
        <v>42461</v>
      </c>
      <c r="L5" s="314">
        <f t="shared" si="1"/>
        <v>42491</v>
      </c>
      <c r="M5" s="314">
        <f t="shared" si="1"/>
        <v>42522</v>
      </c>
      <c r="N5" s="314">
        <f t="shared" si="1"/>
        <v>42552</v>
      </c>
      <c r="O5" s="314">
        <f t="shared" si="1"/>
        <v>42583</v>
      </c>
      <c r="P5" s="323" t="s">
        <v>1187</v>
      </c>
    </row>
    <row r="6" spans="2:18" ht="30" x14ac:dyDescent="0.35">
      <c r="B6" s="324" t="s">
        <v>61</v>
      </c>
      <c r="C6" s="324" t="s">
        <v>12</v>
      </c>
      <c r="D6" s="324" t="s">
        <v>167</v>
      </c>
      <c r="E6" s="324" t="s">
        <v>168</v>
      </c>
      <c r="F6" s="324"/>
      <c r="G6" s="324"/>
      <c r="H6" s="325" t="s">
        <v>517</v>
      </c>
      <c r="I6" s="325" t="s">
        <v>522</v>
      </c>
      <c r="J6" s="325" t="s">
        <v>522</v>
      </c>
      <c r="K6" s="325" t="s">
        <v>522</v>
      </c>
      <c r="L6" s="325" t="s">
        <v>522</v>
      </c>
      <c r="M6" s="325" t="s">
        <v>522</v>
      </c>
      <c r="N6" s="325" t="s">
        <v>522</v>
      </c>
      <c r="O6" s="325" t="s">
        <v>522</v>
      </c>
    </row>
    <row r="7" spans="2:18" ht="15" x14ac:dyDescent="0.35">
      <c r="B7" s="324"/>
      <c r="C7" s="324"/>
      <c r="D7" s="324"/>
      <c r="E7" s="324"/>
      <c r="F7" s="324"/>
      <c r="G7" s="324"/>
      <c r="H7" s="325" t="s">
        <v>517</v>
      </c>
      <c r="I7" s="325" t="s">
        <v>697</v>
      </c>
      <c r="J7" s="325" t="s">
        <v>697</v>
      </c>
      <c r="K7" s="325" t="s">
        <v>697</v>
      </c>
      <c r="L7" s="325" t="s">
        <v>697</v>
      </c>
      <c r="M7" s="325" t="s">
        <v>697</v>
      </c>
      <c r="N7" s="325" t="s">
        <v>697</v>
      </c>
      <c r="O7" s="325" t="s">
        <v>697</v>
      </c>
    </row>
    <row r="8" spans="2:18" x14ac:dyDescent="0.2">
      <c r="H8" s="325" t="s">
        <v>517</v>
      </c>
      <c r="I8" s="325" t="s">
        <v>690</v>
      </c>
      <c r="J8" s="325" t="s">
        <v>690</v>
      </c>
      <c r="K8" s="325" t="s">
        <v>690</v>
      </c>
      <c r="L8" s="325" t="s">
        <v>690</v>
      </c>
      <c r="M8" s="325" t="s">
        <v>690</v>
      </c>
      <c r="N8" s="325" t="s">
        <v>690</v>
      </c>
      <c r="O8" s="325" t="s">
        <v>690</v>
      </c>
    </row>
    <row r="10" spans="2:18" x14ac:dyDescent="0.2">
      <c r="G10" s="326" t="s">
        <v>463</v>
      </c>
      <c r="H10" s="326"/>
    </row>
    <row r="11" spans="2:18" x14ac:dyDescent="0.2">
      <c r="B11" s="327">
        <f>VLOOKUP($C11,'Retail Rates'!$B$45:$R$53,13,FALSE)</f>
        <v>0</v>
      </c>
      <c r="C11" s="328" t="s">
        <v>50</v>
      </c>
      <c r="D11" s="328" t="str">
        <f>MID(C11,6,3)</f>
        <v>895</v>
      </c>
      <c r="E11" s="327" t="str">
        <f>VLOOKUP($C11,'Retail Rates'!$B$45:$R$53,3,FALSE)</f>
        <v>FT-C</v>
      </c>
      <c r="F11" s="329" t="s">
        <v>661</v>
      </c>
      <c r="G11" s="330" t="s">
        <v>268</v>
      </c>
      <c r="H11" s="331"/>
      <c r="I11" s="327">
        <f t="shared" ref="I11:O11" si="2">+I19/I13</f>
        <v>8</v>
      </c>
      <c r="J11" s="327">
        <f t="shared" si="2"/>
        <v>8</v>
      </c>
      <c r="K11" s="327">
        <f t="shared" si="2"/>
        <v>8</v>
      </c>
      <c r="L11" s="327">
        <f t="shared" si="2"/>
        <v>8</v>
      </c>
      <c r="M11" s="327">
        <f t="shared" si="2"/>
        <v>8</v>
      </c>
      <c r="N11" s="327">
        <f t="shared" si="2"/>
        <v>8</v>
      </c>
      <c r="O11" s="327">
        <f t="shared" si="2"/>
        <v>8</v>
      </c>
      <c r="P11" s="398">
        <f>SUM(J11:O11)</f>
        <v>48</v>
      </c>
    </row>
    <row r="12" spans="2:18" x14ac:dyDescent="0.2">
      <c r="B12" s="327">
        <f>VLOOKUP($C12,'Retail Rates'!$B$45:$R$53,13,FALSE)</f>
        <v>0</v>
      </c>
      <c r="C12" s="328" t="s">
        <v>50</v>
      </c>
      <c r="D12" s="328" t="str">
        <f t="shared" ref="D12:D28" si="3">MID(C12,6,3)</f>
        <v>895</v>
      </c>
      <c r="E12" s="327" t="str">
        <f>VLOOKUP($C12,'Retail Rates'!$B$45:$R$53,3,FALSE)</f>
        <v>FT-C</v>
      </c>
      <c r="F12" s="329" t="s">
        <v>661</v>
      </c>
      <c r="G12" s="329" t="s">
        <v>269</v>
      </c>
      <c r="H12" s="325" t="s">
        <v>518</v>
      </c>
      <c r="I12" s="396">
        <f>SUMIFS('Data FT-TS-Cashout-P'!$H$14:$H$4704,'Data FT-TS-Cashout-P'!$A$6:$A$4696,'Mar16-Aug16 FT-TS-Cashout-LG&amp;E'!I$4,'Data FT-TS-Cashout-P'!$B$14:$B$4704,'Mar16-Aug16 FT-TS-Cashout-LG&amp;E'!$C$12,'Data FT-TS-Cashout-P'!$D$14:$D$4704,'Mar16-Aug16 FT-TS-Cashout-LG&amp;E'!$F$12,'Data FT-TS-Cashout-P'!$E$14:$E$4704,'Mar16-Aug16 FT-TS-Cashout-LG&amp;E'!$H$12,'Data FT-TS-Cashout-P'!$F$14:$F$4704,'Mar16-Aug16 FT-TS-Cashout-LG&amp;E'!I$6)/10</f>
        <v>53151.1</v>
      </c>
      <c r="J12" s="396">
        <f>SUMIFS('Data FT-TS-Cashout-P'!$H$14:$H$4704,'Data FT-TS-Cashout-P'!$A$6:$A$4696,'Mar16-Aug16 FT-TS-Cashout-LG&amp;E'!J$4,'Data FT-TS-Cashout-P'!$B$14:$B$4704,'Mar16-Aug16 FT-TS-Cashout-LG&amp;E'!$C$12,'Data FT-TS-Cashout-P'!$D$14:$D$4704,'Mar16-Aug16 FT-TS-Cashout-LG&amp;E'!$F$12,'Data FT-TS-Cashout-P'!$E$14:$E$4704,'Mar16-Aug16 FT-TS-Cashout-LG&amp;E'!$H$12,'Data FT-TS-Cashout-P'!$F$14:$F$4704,'Mar16-Aug16 FT-TS-Cashout-LG&amp;E'!J$6)/10</f>
        <v>48224.7</v>
      </c>
      <c r="K12" s="396">
        <f>SUMIFS('Data FT-TS-Cashout-P'!$H$14:$H$4704,'Data FT-TS-Cashout-P'!$A$6:$A$4696,'Mar16-Aug16 FT-TS-Cashout-LG&amp;E'!K$4,'Data FT-TS-Cashout-P'!$B$14:$B$4704,'Mar16-Aug16 FT-TS-Cashout-LG&amp;E'!$C$12,'Data FT-TS-Cashout-P'!$D$14:$D$4704,'Mar16-Aug16 FT-TS-Cashout-LG&amp;E'!$F$12,'Data FT-TS-Cashout-P'!$E$14:$E$4704,'Mar16-Aug16 FT-TS-Cashout-LG&amp;E'!$H$12,'Data FT-TS-Cashout-P'!$F$14:$F$4704,'Mar16-Aug16 FT-TS-Cashout-LG&amp;E'!K$6)/10</f>
        <v>41857.199999999997</v>
      </c>
      <c r="L12" s="396">
        <f>SUMIFS('Data FT-TS-Cashout-P'!$H$14:$H$4704,'Data FT-TS-Cashout-P'!$A$6:$A$4696,'Mar16-Aug16 FT-TS-Cashout-LG&amp;E'!L$4,'Data FT-TS-Cashout-P'!$B$14:$B$4704,'Mar16-Aug16 FT-TS-Cashout-LG&amp;E'!$C$12,'Data FT-TS-Cashout-P'!$D$14:$D$4704,'Mar16-Aug16 FT-TS-Cashout-LG&amp;E'!$F$12,'Data FT-TS-Cashout-P'!$E$14:$E$4704,'Mar16-Aug16 FT-TS-Cashout-LG&amp;E'!$H$12,'Data FT-TS-Cashout-P'!$F$14:$F$4704,'Mar16-Aug16 FT-TS-Cashout-LG&amp;E'!L$6)/10</f>
        <v>40950.1</v>
      </c>
      <c r="M12" s="396">
        <f>SUMIFS('Data FT-TS-Cashout-P'!$H$14:$H$4704,'Data FT-TS-Cashout-P'!$A$6:$A$4696,'Mar16-Aug16 FT-TS-Cashout-LG&amp;E'!M$4,'Data FT-TS-Cashout-P'!$B$14:$B$4704,'Mar16-Aug16 FT-TS-Cashout-LG&amp;E'!$C$12,'Data FT-TS-Cashout-P'!$D$14:$D$4704,'Mar16-Aug16 FT-TS-Cashout-LG&amp;E'!$F$12,'Data FT-TS-Cashout-P'!$E$14:$E$4704,'Mar16-Aug16 FT-TS-Cashout-LG&amp;E'!$H$12,'Data FT-TS-Cashout-P'!$F$14:$F$4704,'Mar16-Aug16 FT-TS-Cashout-LG&amp;E'!M$6)/10</f>
        <v>32696.7</v>
      </c>
      <c r="N12" s="396">
        <f>SUMIFS('Data FT-TS-Cashout-P'!$H$14:$H$4704,'Data FT-TS-Cashout-P'!$A$6:$A$4696,'Mar16-Aug16 FT-TS-Cashout-LG&amp;E'!N$4,'Data FT-TS-Cashout-P'!$B$14:$B$4704,'Mar16-Aug16 FT-TS-Cashout-LG&amp;E'!$C$12,'Data FT-TS-Cashout-P'!$D$14:$D$4704,'Mar16-Aug16 FT-TS-Cashout-LG&amp;E'!$F$12,'Data FT-TS-Cashout-P'!$E$14:$E$4704,'Mar16-Aug16 FT-TS-Cashout-LG&amp;E'!$H$12,'Data FT-TS-Cashout-P'!$F$14:$F$4704,'Mar16-Aug16 FT-TS-Cashout-LG&amp;E'!N$6)/10</f>
        <v>33398.6</v>
      </c>
      <c r="O12" s="396">
        <f>SUMIFS('Data FT-TS-Cashout-P'!$H$14:$H$4704,'Data FT-TS-Cashout-P'!$A$6:$A$4696,'Mar16-Aug16 FT-TS-Cashout-LG&amp;E'!O$4,'Data FT-TS-Cashout-P'!$B$14:$B$4704,'Mar16-Aug16 FT-TS-Cashout-LG&amp;E'!$C$12,'Data FT-TS-Cashout-P'!$D$14:$D$4704,'Mar16-Aug16 FT-TS-Cashout-LG&amp;E'!$F$12,'Data FT-TS-Cashout-P'!$E$14:$E$4704,'Mar16-Aug16 FT-TS-Cashout-LG&amp;E'!$H$12,'Data FT-TS-Cashout-P'!$F$14:$F$4704,'Mar16-Aug16 FT-TS-Cashout-LG&amp;E'!O$6)/10</f>
        <v>32664</v>
      </c>
      <c r="P12" s="398">
        <f>SUM(J12:O12)</f>
        <v>229791.30000000002</v>
      </c>
      <c r="Q12" s="593"/>
      <c r="R12" s="403"/>
    </row>
    <row r="13" spans="2:18" x14ac:dyDescent="0.2">
      <c r="B13" s="327">
        <f>VLOOKUP($C13,'Retail Rates'!$B$45:$R$53,13,FALSE)</f>
        <v>0</v>
      </c>
      <c r="C13" s="328" t="s">
        <v>50</v>
      </c>
      <c r="D13" s="328" t="str">
        <f t="shared" si="3"/>
        <v>895</v>
      </c>
      <c r="E13" s="327" t="str">
        <f>VLOOKUP($C13,'Retail Rates'!$B$45:$R$53,3,FALSE)</f>
        <v>FT-C</v>
      </c>
      <c r="F13" s="329" t="s">
        <v>661</v>
      </c>
      <c r="G13" s="329" t="s">
        <v>270</v>
      </c>
      <c r="H13" s="329"/>
      <c r="I13" s="327">
        <f>VLOOKUP($C13,'Retail Rates'!$B$44:$O$53,6,FALSE)</f>
        <v>550</v>
      </c>
      <c r="J13" s="327">
        <f>VLOOKUP($C13,'Retail Rates'!$B$44:$O$53,6,FALSE)</f>
        <v>550</v>
      </c>
      <c r="K13" s="327">
        <f>VLOOKUP($C13,'Retail Rates'!$B$44:$O$53,6,FALSE)</f>
        <v>550</v>
      </c>
      <c r="L13" s="327">
        <f>VLOOKUP($C13,'Retail Rates'!$B$44:$O$53,6,FALSE)</f>
        <v>550</v>
      </c>
      <c r="M13" s="327">
        <f>VLOOKUP($C13,'Retail Rates'!$B$44:$O$53,6,FALSE)</f>
        <v>550</v>
      </c>
      <c r="N13" s="327">
        <f>VLOOKUP($C13,'Retail Rates'!$B$44:$O$53,6,FALSE)</f>
        <v>550</v>
      </c>
      <c r="O13" s="327">
        <f>VLOOKUP($C13,'Retail Rates'!$B$44:$O$53,6,FALSE)</f>
        <v>550</v>
      </c>
      <c r="P13" s="398"/>
    </row>
    <row r="14" spans="2:18" x14ac:dyDescent="0.2">
      <c r="B14" s="327">
        <f>VLOOKUP($C14,'Retail Rates'!$B$45:$R$53,13,FALSE)</f>
        <v>0</v>
      </c>
      <c r="C14" s="328" t="s">
        <v>50</v>
      </c>
      <c r="D14" s="328" t="str">
        <f t="shared" si="3"/>
        <v>895</v>
      </c>
      <c r="E14" s="327" t="str">
        <f>VLOOKUP($C14,'Retail Rates'!$B$45:$R$53,3,FALSE)</f>
        <v>FT-C</v>
      </c>
      <c r="F14" s="329" t="s">
        <v>661</v>
      </c>
      <c r="G14" s="329" t="s">
        <v>271</v>
      </c>
      <c r="H14" s="329"/>
      <c r="I14" s="327">
        <f>VLOOKUP($C14,'Retail Rates'!$B$44:$O$53,7,FALSE)</f>
        <v>0.43020000000000003</v>
      </c>
      <c r="J14" s="327">
        <f>VLOOKUP($C14,'Retail Rates'!$B$44:$O$53,7,FALSE)</f>
        <v>0.43020000000000003</v>
      </c>
      <c r="K14" s="327">
        <f>VLOOKUP($C14,'Retail Rates'!$B$44:$O$53,7,FALSE)</f>
        <v>0.43020000000000003</v>
      </c>
      <c r="L14" s="327">
        <f>VLOOKUP($C14,'Retail Rates'!$B$44:$O$53,7,FALSE)</f>
        <v>0.43020000000000003</v>
      </c>
      <c r="M14" s="327">
        <f>VLOOKUP($C14,'Retail Rates'!$B$44:$O$53,7,FALSE)</f>
        <v>0.43020000000000003</v>
      </c>
      <c r="N14" s="327">
        <f>VLOOKUP($C14,'Retail Rates'!$B$44:$O$53,7,FALSE)</f>
        <v>0.43020000000000003</v>
      </c>
      <c r="O14" s="327">
        <f>VLOOKUP($C14,'Retail Rates'!$B$44:$O$53,7,FALSE)</f>
        <v>0.43020000000000003</v>
      </c>
      <c r="P14" s="398"/>
    </row>
    <row r="15" spans="2:18" x14ac:dyDescent="0.2">
      <c r="B15" s="327">
        <f>VLOOKUP($C15,'Retail Rates'!$B$45:$R$53,13,FALSE)</f>
        <v>0</v>
      </c>
      <c r="C15" s="328" t="s">
        <v>50</v>
      </c>
      <c r="D15" s="328" t="str">
        <f t="shared" si="3"/>
        <v>895</v>
      </c>
      <c r="E15" s="327" t="str">
        <f>VLOOKUP($C15,'Retail Rates'!$B$45:$R$53,3,FALSE)</f>
        <v>FT-C</v>
      </c>
      <c r="F15" s="329" t="s">
        <v>661</v>
      </c>
      <c r="G15" s="332" t="s">
        <v>533</v>
      </c>
      <c r="H15" s="332"/>
      <c r="I15" s="393">
        <f>VLOOKUP(I5,'GSC-DSM-GLT Factors'!$A$11:$O$52,6,FALSE)</f>
        <v>0.16619999999999999</v>
      </c>
      <c r="J15" s="393">
        <f>VLOOKUP(J5,'GSC-DSM-GLT Factors'!$A$11:$O$52,6,FALSE)</f>
        <v>0.16619999999999999</v>
      </c>
      <c r="K15" s="393">
        <f>VLOOKUP(K5,'GSC-DSM-GLT Factors'!$A$11:$O$52,6,FALSE)</f>
        <v>0.16619999999999999</v>
      </c>
      <c r="L15" s="393">
        <f>VLOOKUP(L5,'GSC-DSM-GLT Factors'!$A$11:$O$52,6,FALSE)</f>
        <v>0.1673</v>
      </c>
      <c r="M15" s="393">
        <f>VLOOKUP(M5,'GSC-DSM-GLT Factors'!$A$11:$O$52,6,FALSE)</f>
        <v>0.1673</v>
      </c>
      <c r="N15" s="393">
        <f>VLOOKUP(N5,'GSC-DSM-GLT Factors'!$A$11:$O$52,6,FALSE)</f>
        <v>0.1673</v>
      </c>
      <c r="O15" s="393">
        <f>VLOOKUP(O5,'GSC-DSM-GLT Factors'!$A$11:$O$52,6,FALSE)</f>
        <v>0.16619999999999999</v>
      </c>
      <c r="P15" s="398"/>
    </row>
    <row r="16" spans="2:18" x14ac:dyDescent="0.2">
      <c r="B16" s="327">
        <f>VLOOKUP($C16,'Retail Rates'!$B$45:$R$53,13,FALSE)</f>
        <v>0</v>
      </c>
      <c r="C16" s="399" t="s">
        <v>50</v>
      </c>
      <c r="D16" s="328" t="str">
        <f t="shared" si="3"/>
        <v>895</v>
      </c>
      <c r="E16" s="327" t="str">
        <f>VLOOKUP($C16,'Retail Rates'!$B$45:$R$53,3,FALSE)</f>
        <v>FT-C</v>
      </c>
      <c r="F16" s="329" t="s">
        <v>661</v>
      </c>
      <c r="G16" s="332" t="s">
        <v>534</v>
      </c>
      <c r="H16" s="332"/>
      <c r="I16" s="327">
        <f>VLOOKUP($C16,'Retail Rates'!$B$44:$O$53,10,FALSE)</f>
        <v>0.18329999999999999</v>
      </c>
      <c r="J16" s="327">
        <f>VLOOKUP($C16,'Retail Rates'!$B$44:$O$53,10,FALSE)</f>
        <v>0.18329999999999999</v>
      </c>
      <c r="K16" s="327">
        <f>VLOOKUP($C16,'Retail Rates'!$B$44:$O$53,10,FALSE)</f>
        <v>0.18329999999999999</v>
      </c>
      <c r="L16" s="327">
        <f>VLOOKUP($C16,'Retail Rates'!$B$44:$O$53,10,FALSE)</f>
        <v>0.18329999999999999</v>
      </c>
      <c r="M16" s="327">
        <f>VLOOKUP($C16,'Retail Rates'!$B$44:$O$53,10,FALSE)</f>
        <v>0.18329999999999999</v>
      </c>
      <c r="N16" s="327">
        <f>VLOOKUP($C16,'Retail Rates'!$B$44:$O$53,10,FALSE)</f>
        <v>0.18329999999999999</v>
      </c>
      <c r="O16" s="327">
        <f>VLOOKUP($C16,'Retail Rates'!$B$44:$O$53,10,FALSE)</f>
        <v>0.18329999999999999</v>
      </c>
      <c r="P16" s="398"/>
    </row>
    <row r="17" spans="2:18" x14ac:dyDescent="0.2">
      <c r="B17" s="327">
        <f>VLOOKUP($C17,'Retail Rates'!$B$45:$R$53,13,FALSE)</f>
        <v>0</v>
      </c>
      <c r="C17" s="399" t="s">
        <v>50</v>
      </c>
      <c r="D17" s="328" t="str">
        <f t="shared" si="3"/>
        <v>895</v>
      </c>
      <c r="E17" s="327" t="str">
        <f>VLOOKUP($C17,'Retail Rates'!$B$45:$R$53,3,FALSE)</f>
        <v>FT-C</v>
      </c>
      <c r="F17" s="329" t="s">
        <v>661</v>
      </c>
      <c r="G17" s="333"/>
      <c r="H17" s="333"/>
      <c r="I17" s="327"/>
      <c r="J17" s="327"/>
      <c r="K17" s="327"/>
      <c r="L17" s="327"/>
      <c r="M17" s="327"/>
      <c r="N17" s="327"/>
      <c r="O17" s="327"/>
      <c r="P17" s="398"/>
    </row>
    <row r="18" spans="2:18" x14ac:dyDescent="0.2">
      <c r="B18" s="327">
        <f>VLOOKUP($C18,'Retail Rates'!$B$45:$R$53,13,FALSE)</f>
        <v>0</v>
      </c>
      <c r="C18" s="399" t="s">
        <v>50</v>
      </c>
      <c r="D18" s="328" t="str">
        <f t="shared" si="3"/>
        <v>895</v>
      </c>
      <c r="E18" s="327" t="str">
        <f>VLOOKUP($C18,'Retail Rates'!$B$45:$R$53,3,FALSE)</f>
        <v>FT-C</v>
      </c>
      <c r="F18" s="329" t="s">
        <v>661</v>
      </c>
      <c r="G18" s="334" t="s">
        <v>273</v>
      </c>
      <c r="H18" s="334"/>
      <c r="I18" s="327"/>
      <c r="J18" s="327"/>
      <c r="K18" s="327"/>
      <c r="L18" s="327"/>
      <c r="M18" s="327"/>
      <c r="N18" s="327"/>
      <c r="O18" s="327"/>
      <c r="P18" s="398"/>
    </row>
    <row r="19" spans="2:18" x14ac:dyDescent="0.2">
      <c r="B19" s="327">
        <f>VLOOKUP($C19,'Retail Rates'!$B$45:$R$53,13,FALSE)</f>
        <v>0</v>
      </c>
      <c r="C19" s="399" t="s">
        <v>50</v>
      </c>
      <c r="D19" s="328" t="str">
        <f t="shared" si="3"/>
        <v>895</v>
      </c>
      <c r="E19" s="327" t="str">
        <f>VLOOKUP($C19,'Retail Rates'!$B$45:$R$53,3,FALSE)</f>
        <v>FT-C</v>
      </c>
      <c r="F19" s="329" t="s">
        <v>661</v>
      </c>
      <c r="G19" s="329" t="s">
        <v>274</v>
      </c>
      <c r="H19" s="325" t="s">
        <v>524</v>
      </c>
      <c r="I19" s="396">
        <f>SUMIFS('Data FT-TS-Cashout-P'!$G$14:$G$4704,'Data FT-TS-Cashout-P'!$A$14:$A$4704,'Mar16-Aug16 FT-TS-Cashout-LG&amp;E'!I$4,'Data FT-TS-Cashout-P'!$B$14:$B$4704,'Mar16-Aug16 FT-TS-Cashout-LG&amp;E'!$C$19,'Data FT-TS-Cashout-P'!$D$14:$D$4704,'Mar16-Aug16 FT-TS-Cashout-LG&amp;E'!$F$19,'Data FT-TS-Cashout-P'!$E$14:$E$4704,'Mar16-Aug16 FT-TS-Cashout-LG&amp;E'!$H$19,'Data FT-TS-Cashout-P'!$F$14:$F$4704,'Mar16-Aug16 FT-TS-Cashout-LG&amp;E'!I$6)</f>
        <v>4400</v>
      </c>
      <c r="J19" s="396">
        <f>SUMIFS('Data FT-TS-Cashout-P'!$G$14:$G$4704,'Data FT-TS-Cashout-P'!$A$14:$A$4704,'Mar16-Aug16 FT-TS-Cashout-LG&amp;E'!J$4,'Data FT-TS-Cashout-P'!$B$14:$B$4704,'Mar16-Aug16 FT-TS-Cashout-LG&amp;E'!$C$19,'Data FT-TS-Cashout-P'!$D$14:$D$4704,'Mar16-Aug16 FT-TS-Cashout-LG&amp;E'!$F$19,'Data FT-TS-Cashout-P'!$E$14:$E$4704,'Mar16-Aug16 FT-TS-Cashout-LG&amp;E'!$H$19,'Data FT-TS-Cashout-P'!$F$14:$F$4704,'Mar16-Aug16 FT-TS-Cashout-LG&amp;E'!J$6)</f>
        <v>4400</v>
      </c>
      <c r="K19" s="396">
        <f>SUMIFS('Data FT-TS-Cashout-P'!$G$14:$G$4704,'Data FT-TS-Cashout-P'!$A$14:$A$4704,'Mar16-Aug16 FT-TS-Cashout-LG&amp;E'!K$4,'Data FT-TS-Cashout-P'!$B$14:$B$4704,'Mar16-Aug16 FT-TS-Cashout-LG&amp;E'!$C$19,'Data FT-TS-Cashout-P'!$D$14:$D$4704,'Mar16-Aug16 FT-TS-Cashout-LG&amp;E'!$F$19,'Data FT-TS-Cashout-P'!$E$14:$E$4704,'Mar16-Aug16 FT-TS-Cashout-LG&amp;E'!$H$19,'Data FT-TS-Cashout-P'!$F$14:$F$4704,'Mar16-Aug16 FT-TS-Cashout-LG&amp;E'!K$6)</f>
        <v>4400</v>
      </c>
      <c r="L19" s="396">
        <f>SUMIFS('Data FT-TS-Cashout-P'!$G$14:$G$4704,'Data FT-TS-Cashout-P'!$A$14:$A$4704,'Mar16-Aug16 FT-TS-Cashout-LG&amp;E'!L$4,'Data FT-TS-Cashout-P'!$B$14:$B$4704,'Mar16-Aug16 FT-TS-Cashout-LG&amp;E'!$C$19,'Data FT-TS-Cashout-P'!$D$14:$D$4704,'Mar16-Aug16 FT-TS-Cashout-LG&amp;E'!$F$19,'Data FT-TS-Cashout-P'!$E$14:$E$4704,'Mar16-Aug16 FT-TS-Cashout-LG&amp;E'!$H$19,'Data FT-TS-Cashout-P'!$F$14:$F$4704,'Mar16-Aug16 FT-TS-Cashout-LG&amp;E'!L$6)</f>
        <v>4400</v>
      </c>
      <c r="M19" s="396">
        <f>SUMIFS('Data FT-TS-Cashout-P'!$G$14:$G$4704,'Data FT-TS-Cashout-P'!$A$14:$A$4704,'Mar16-Aug16 FT-TS-Cashout-LG&amp;E'!M$4,'Data FT-TS-Cashout-P'!$B$14:$B$4704,'Mar16-Aug16 FT-TS-Cashout-LG&amp;E'!$C$19,'Data FT-TS-Cashout-P'!$D$14:$D$4704,'Mar16-Aug16 FT-TS-Cashout-LG&amp;E'!$F$19,'Data FT-TS-Cashout-P'!$E$14:$E$4704,'Mar16-Aug16 FT-TS-Cashout-LG&amp;E'!$H$19,'Data FT-TS-Cashout-P'!$F$14:$F$4704,'Mar16-Aug16 FT-TS-Cashout-LG&amp;E'!M$6)</f>
        <v>4400</v>
      </c>
      <c r="N19" s="396">
        <f>SUMIFS('Data FT-TS-Cashout-P'!$G$14:$G$4704,'Data FT-TS-Cashout-P'!$A$14:$A$4704,'Mar16-Aug16 FT-TS-Cashout-LG&amp;E'!N$4,'Data FT-TS-Cashout-P'!$B$14:$B$4704,'Mar16-Aug16 FT-TS-Cashout-LG&amp;E'!$C$19,'Data FT-TS-Cashout-P'!$D$14:$D$4704,'Mar16-Aug16 FT-TS-Cashout-LG&amp;E'!$F$19,'Data FT-TS-Cashout-P'!$E$14:$E$4704,'Mar16-Aug16 FT-TS-Cashout-LG&amp;E'!$H$19,'Data FT-TS-Cashout-P'!$F$14:$F$4704,'Mar16-Aug16 FT-TS-Cashout-LG&amp;E'!N$6)</f>
        <v>4400</v>
      </c>
      <c r="O19" s="396">
        <f>SUMIFS('Data FT-TS-Cashout-P'!$G$14:$G$4704,'Data FT-TS-Cashout-P'!$A$14:$A$4704,'Mar16-Aug16 FT-TS-Cashout-LG&amp;E'!O$4,'Data FT-TS-Cashout-P'!$B$14:$B$4704,'Mar16-Aug16 FT-TS-Cashout-LG&amp;E'!$C$19,'Data FT-TS-Cashout-P'!$D$14:$D$4704,'Mar16-Aug16 FT-TS-Cashout-LG&amp;E'!$F$19,'Data FT-TS-Cashout-P'!$E$14:$E$4704,'Mar16-Aug16 FT-TS-Cashout-LG&amp;E'!$H$19,'Data FT-TS-Cashout-P'!$F$14:$F$4704,'Mar16-Aug16 FT-TS-Cashout-LG&amp;E'!O$6)</f>
        <v>4400</v>
      </c>
      <c r="P19" s="398">
        <f>SUM(J19:O19)</f>
        <v>26400</v>
      </c>
    </row>
    <row r="20" spans="2:18" x14ac:dyDescent="0.2">
      <c r="B20" s="327">
        <f>VLOOKUP($C20,'Retail Rates'!$B$45:$R$53,13,FALSE)</f>
        <v>0</v>
      </c>
      <c r="C20" s="399" t="s">
        <v>50</v>
      </c>
      <c r="D20" s="328" t="str">
        <f t="shared" si="3"/>
        <v>895</v>
      </c>
      <c r="E20" s="327" t="str">
        <f>VLOOKUP($C20,'Retail Rates'!$B$45:$R$53,3,FALSE)</f>
        <v>FT-C</v>
      </c>
      <c r="F20" s="329" t="s">
        <v>661</v>
      </c>
      <c r="G20" s="329" t="s">
        <v>275</v>
      </c>
      <c r="H20" s="329"/>
      <c r="I20" s="397">
        <f t="shared" ref="I20:O20" si="4">ROUND(I12*I14,2)</f>
        <v>22865.599999999999</v>
      </c>
      <c r="J20" s="397">
        <f t="shared" si="4"/>
        <v>20746.27</v>
      </c>
      <c r="K20" s="397">
        <f t="shared" si="4"/>
        <v>18006.97</v>
      </c>
      <c r="L20" s="397">
        <f t="shared" si="4"/>
        <v>17616.73</v>
      </c>
      <c r="M20" s="397">
        <f t="shared" si="4"/>
        <v>14066.12</v>
      </c>
      <c r="N20" s="397">
        <f t="shared" si="4"/>
        <v>14368.08</v>
      </c>
      <c r="O20" s="397">
        <f t="shared" si="4"/>
        <v>14052.05</v>
      </c>
      <c r="P20" s="398">
        <f t="shared" ref="P20:P28" si="5">SUM(J20:O20)</f>
        <v>98856.22</v>
      </c>
    </row>
    <row r="21" spans="2:18" x14ac:dyDescent="0.2">
      <c r="B21" s="327">
        <f>VLOOKUP($C21,'Retail Rates'!$B$45:$R$53,13,FALSE)</f>
        <v>0</v>
      </c>
      <c r="C21" s="399" t="s">
        <v>50</v>
      </c>
      <c r="D21" s="328" t="str">
        <f t="shared" si="3"/>
        <v>895</v>
      </c>
      <c r="E21" s="327" t="str">
        <f>VLOOKUP($C21,'Retail Rates'!$B$45:$R$53,3,FALSE)</f>
        <v>FT-C</v>
      </c>
      <c r="F21" s="329" t="s">
        <v>661</v>
      </c>
      <c r="G21" s="329" t="s">
        <v>276</v>
      </c>
      <c r="H21" s="329"/>
      <c r="I21" s="398">
        <f t="shared" ref="I21:O21" si="6">SUM(I19:I20)</f>
        <v>27265.599999999999</v>
      </c>
      <c r="J21" s="398">
        <f t="shared" si="6"/>
        <v>25146.27</v>
      </c>
      <c r="K21" s="398">
        <f t="shared" si="6"/>
        <v>22406.97</v>
      </c>
      <c r="L21" s="398">
        <f t="shared" si="6"/>
        <v>22016.73</v>
      </c>
      <c r="M21" s="398">
        <f t="shared" si="6"/>
        <v>18466.120000000003</v>
      </c>
      <c r="N21" s="398">
        <f t="shared" si="6"/>
        <v>18768.080000000002</v>
      </c>
      <c r="O21" s="398">
        <f t="shared" si="6"/>
        <v>18452.05</v>
      </c>
      <c r="P21" s="398">
        <f t="shared" si="5"/>
        <v>125256.22</v>
      </c>
    </row>
    <row r="22" spans="2:18" x14ac:dyDescent="0.2">
      <c r="B22" s="327">
        <f>VLOOKUP($C22,'Retail Rates'!$B$45:$R$53,13,FALSE)</f>
        <v>0</v>
      </c>
      <c r="C22" s="399" t="s">
        <v>50</v>
      </c>
      <c r="D22" s="328" t="str">
        <f t="shared" si="3"/>
        <v>895</v>
      </c>
      <c r="E22" s="327" t="str">
        <f>VLOOKUP($C22,'Retail Rates'!$B$45:$R$53,3,FALSE)</f>
        <v>FT-C</v>
      </c>
      <c r="F22" s="329" t="s">
        <v>661</v>
      </c>
      <c r="G22" s="329" t="s">
        <v>277</v>
      </c>
      <c r="H22" s="325" t="s">
        <v>198</v>
      </c>
      <c r="I22" s="396">
        <f>SUMIFS('Data FT-TS-Cashout-P'!$O$14:$O$4704,'Data FT-TS-Cashout-P'!$A$14:$A$4704,'Mar16-Aug16 FT-TS-Cashout-LG&amp;E'!I$4,'Data FT-TS-Cashout-P'!$B$14:$B$4704,'Mar16-Aug16 FT-TS-Cashout-LG&amp;E'!$C$22,'Data FT-TS-Cashout-P'!$D$14:$D$4704,'Mar16-Aug16 FT-TS-Cashout-LG&amp;E'!$F$22,'Data FT-TS-Cashout-P'!$E$14:$E$4704,'Mar16-Aug16 FT-TS-Cashout-LG&amp;E'!$H$22,'Data FT-TS-Cashout-P'!$F$14:$F$4704,'Mar16-Aug16 FT-TS-Cashout-LG&amp;E'!I$6)</f>
        <v>287</v>
      </c>
      <c r="J22" s="396">
        <f>SUMIFS('Data FT-TS-Cashout-P'!$O$14:$O$4704,'Data FT-TS-Cashout-P'!$A$14:$A$4704,'Mar16-Aug16 FT-TS-Cashout-LG&amp;E'!J$4,'Data FT-TS-Cashout-P'!$B$14:$B$4704,'Mar16-Aug16 FT-TS-Cashout-LG&amp;E'!$C$22,'Data FT-TS-Cashout-P'!$D$14:$D$4704,'Mar16-Aug16 FT-TS-Cashout-LG&amp;E'!$F$22,'Data FT-TS-Cashout-P'!$E$14:$E$4704,'Mar16-Aug16 FT-TS-Cashout-LG&amp;E'!$H$22,'Data FT-TS-Cashout-P'!$F$14:$F$4704,'Mar16-Aug16 FT-TS-Cashout-LG&amp;E'!J$6)</f>
        <v>260.39999999999998</v>
      </c>
      <c r="K22" s="396">
        <f>SUMIFS('Data FT-TS-Cashout-P'!$O$14:$O$4704,'Data FT-TS-Cashout-P'!$A$14:$A$4704,'Mar16-Aug16 FT-TS-Cashout-LG&amp;E'!K$4,'Data FT-TS-Cashout-P'!$B$14:$B$4704,'Mar16-Aug16 FT-TS-Cashout-LG&amp;E'!$C$22,'Data FT-TS-Cashout-P'!$D$14:$D$4704,'Mar16-Aug16 FT-TS-Cashout-LG&amp;E'!$F$22,'Data FT-TS-Cashout-P'!$E$14:$E$4704,'Mar16-Aug16 FT-TS-Cashout-LG&amp;E'!$H$22,'Data FT-TS-Cashout-P'!$F$14:$F$4704,'Mar16-Aug16 FT-TS-Cashout-LG&amp;E'!K$6)</f>
        <v>238.59</v>
      </c>
      <c r="L22" s="396">
        <f>SUMIFS('Data FT-TS-Cashout-P'!$O$14:$O$4704,'Data FT-TS-Cashout-P'!$A$14:$A$4704,'Mar16-Aug16 FT-TS-Cashout-LG&amp;E'!L$4,'Data FT-TS-Cashout-P'!$B$14:$B$4704,'Mar16-Aug16 FT-TS-Cashout-LG&amp;E'!$C$22,'Data FT-TS-Cashout-P'!$D$14:$D$4704,'Mar16-Aug16 FT-TS-Cashout-LG&amp;E'!$F$22,'Data FT-TS-Cashout-P'!$E$14:$E$4704,'Mar16-Aug16 FT-TS-Cashout-LG&amp;E'!$H$22,'Data FT-TS-Cashout-P'!$F$14:$F$4704,'Mar16-Aug16 FT-TS-Cashout-LG&amp;E'!L$6)</f>
        <v>233.41</v>
      </c>
      <c r="M22" s="396">
        <f>SUMIFS('Data FT-TS-Cashout-P'!$O$14:$O$4704,'Data FT-TS-Cashout-P'!$A$14:$A$4704,'Mar16-Aug16 FT-TS-Cashout-LG&amp;E'!M$4,'Data FT-TS-Cashout-P'!$B$14:$B$4704,'Mar16-Aug16 FT-TS-Cashout-LG&amp;E'!$C$22,'Data FT-TS-Cashout-P'!$D$14:$D$4704,'Mar16-Aug16 FT-TS-Cashout-LG&amp;E'!$F$22,'Data FT-TS-Cashout-P'!$E$14:$E$4704,'Mar16-Aug16 FT-TS-Cashout-LG&amp;E'!$H$22,'Data FT-TS-Cashout-P'!$F$14:$F$4704,'Mar16-Aug16 FT-TS-Cashout-LG&amp;E'!M$6)</f>
        <v>186.39</v>
      </c>
      <c r="N22" s="396">
        <f>SUMIFS('Data FT-TS-Cashout-P'!$O$14:$O$4704,'Data FT-TS-Cashout-P'!$A$14:$A$4704,'Mar16-Aug16 FT-TS-Cashout-LG&amp;E'!N$4,'Data FT-TS-Cashout-P'!$B$14:$B$4704,'Mar16-Aug16 FT-TS-Cashout-LG&amp;E'!$C$22,'Data FT-TS-Cashout-P'!$D$14:$D$4704,'Mar16-Aug16 FT-TS-Cashout-LG&amp;E'!$F$22,'Data FT-TS-Cashout-P'!$E$14:$E$4704,'Mar16-Aug16 FT-TS-Cashout-LG&amp;E'!$H$22,'Data FT-TS-Cashout-P'!$F$14:$F$4704,'Mar16-Aug16 FT-TS-Cashout-LG&amp;E'!N$6)</f>
        <v>190.36</v>
      </c>
      <c r="O22" s="396">
        <f>SUMIFS('Data FT-TS-Cashout-P'!$O$14:$O$4704,'Data FT-TS-Cashout-P'!$A$14:$A$4704,'Mar16-Aug16 FT-TS-Cashout-LG&amp;E'!O$4,'Data FT-TS-Cashout-P'!$B$14:$B$4704,'Mar16-Aug16 FT-TS-Cashout-LG&amp;E'!$C$22,'Data FT-TS-Cashout-P'!$D$14:$D$4704,'Mar16-Aug16 FT-TS-Cashout-LG&amp;E'!$F$22,'Data FT-TS-Cashout-P'!$E$14:$E$4704,'Mar16-Aug16 FT-TS-Cashout-LG&amp;E'!$H$22,'Data FT-TS-Cashout-P'!$F$14:$F$4704,'Mar16-Aug16 FT-TS-Cashout-LG&amp;E'!O$6)</f>
        <v>186.17</v>
      </c>
      <c r="P22" s="398">
        <f t="shared" si="5"/>
        <v>1295.3200000000002</v>
      </c>
    </row>
    <row r="23" spans="2:18" x14ac:dyDescent="0.2">
      <c r="B23" s="327">
        <f>VLOOKUP($C23,'Retail Rates'!$B$45:$R$53,13,FALSE)</f>
        <v>0</v>
      </c>
      <c r="C23" s="399" t="s">
        <v>50</v>
      </c>
      <c r="D23" s="328" t="str">
        <f>MID(C23,6,3)</f>
        <v>895</v>
      </c>
      <c r="E23" s="327" t="str">
        <f>VLOOKUP($C23,'Retail Rates'!$B$45:$R$53,3,FALSE)</f>
        <v>FT-C</v>
      </c>
      <c r="F23" s="329" t="s">
        <v>661</v>
      </c>
      <c r="G23" s="329" t="s">
        <v>500</v>
      </c>
      <c r="H23" s="325" t="s">
        <v>676</v>
      </c>
      <c r="I23" s="396">
        <f>SUMIFS('Data FT-TS-Cashout-P'!$U$14:$U$4704,'Data FT-TS-Cashout-P'!$A$14:$A$4704,'Mar16-Aug16 FT-TS-Cashout-LG&amp;E'!I$4,'Data FT-TS-Cashout-P'!$B$14:$B$4704,'Mar16-Aug16 FT-TS-Cashout-LG&amp;E'!$C$23,'Data FT-TS-Cashout-P'!$D$14:$D$4704,'Mar16-Aug16 FT-TS-Cashout-LG&amp;E'!$F$23,'Data FT-TS-Cashout-P'!$E$14:$E$4704,'Mar16-Aug16 FT-TS-Cashout-LG&amp;E'!$H$23,'Data FT-TS-Cashout-P'!$F$14:$F$4704,'Mar16-Aug16 FT-TS-Cashout-LG&amp;E'!I$6)</f>
        <v>0</v>
      </c>
      <c r="J23" s="396">
        <f>SUMIFS('Data FT-TS-Cashout-P'!$U$14:$U$4704,'Data FT-TS-Cashout-P'!$A$14:$A$4704,'Mar16-Aug16 FT-TS-Cashout-LG&amp;E'!J$4,'Data FT-TS-Cashout-P'!$B$14:$B$4704,'Mar16-Aug16 FT-TS-Cashout-LG&amp;E'!$C$23,'Data FT-TS-Cashout-P'!$D$14:$D$4704,'Mar16-Aug16 FT-TS-Cashout-LG&amp;E'!$F$23,'Data FT-TS-Cashout-P'!$E$14:$E$4704,'Mar16-Aug16 FT-TS-Cashout-LG&amp;E'!$H$23,'Data FT-TS-Cashout-P'!$F$14:$F$4704,'Mar16-Aug16 FT-TS-Cashout-LG&amp;E'!J$6)</f>
        <v>0</v>
      </c>
      <c r="K23" s="396">
        <f>SUMIFS('Data FT-TS-Cashout-P'!$U$14:$U$4704,'Data FT-TS-Cashout-P'!$A$14:$A$4704,'Mar16-Aug16 FT-TS-Cashout-LG&amp;E'!K$4,'Data FT-TS-Cashout-P'!$B$14:$B$4704,'Mar16-Aug16 FT-TS-Cashout-LG&amp;E'!$C$23,'Data FT-TS-Cashout-P'!$D$14:$D$4704,'Mar16-Aug16 FT-TS-Cashout-LG&amp;E'!$F$23,'Data FT-TS-Cashout-P'!$E$14:$E$4704,'Mar16-Aug16 FT-TS-Cashout-LG&amp;E'!$H$23,'Data FT-TS-Cashout-P'!$F$14:$F$4704,'Mar16-Aug16 FT-TS-Cashout-LG&amp;E'!K$6)</f>
        <v>0</v>
      </c>
      <c r="L23" s="396">
        <f>SUMIFS('Data FT-TS-Cashout-P'!$U$14:$U$4704,'Data FT-TS-Cashout-P'!$A$14:$A$4704,'Mar16-Aug16 FT-TS-Cashout-LG&amp;E'!L$4,'Data FT-TS-Cashout-P'!$B$14:$B$4704,'Mar16-Aug16 FT-TS-Cashout-LG&amp;E'!$C$23,'Data FT-TS-Cashout-P'!$D$14:$D$4704,'Mar16-Aug16 FT-TS-Cashout-LG&amp;E'!$F$23,'Data FT-TS-Cashout-P'!$E$14:$E$4704,'Mar16-Aug16 FT-TS-Cashout-LG&amp;E'!$H$23,'Data FT-TS-Cashout-P'!$F$14:$F$4704,'Mar16-Aug16 FT-TS-Cashout-LG&amp;E'!L$6)</f>
        <v>0</v>
      </c>
      <c r="M23" s="396">
        <f>SUMIFS('Data FT-TS-Cashout-P'!$U$14:$U$4704,'Data FT-TS-Cashout-P'!$A$14:$A$4704,'Mar16-Aug16 FT-TS-Cashout-LG&amp;E'!M$4,'Data FT-TS-Cashout-P'!$B$14:$B$4704,'Mar16-Aug16 FT-TS-Cashout-LG&amp;E'!$C$23,'Data FT-TS-Cashout-P'!$D$14:$D$4704,'Mar16-Aug16 FT-TS-Cashout-LG&amp;E'!$F$23,'Data FT-TS-Cashout-P'!$E$14:$E$4704,'Mar16-Aug16 FT-TS-Cashout-LG&amp;E'!$H$23,'Data FT-TS-Cashout-P'!$F$14:$F$4704,'Mar16-Aug16 FT-TS-Cashout-LG&amp;E'!M$6)</f>
        <v>0</v>
      </c>
      <c r="N23" s="396">
        <f>SUMIFS('Data FT-TS-Cashout-P'!$U$14:$U$4704,'Data FT-TS-Cashout-P'!$A$14:$A$4704,'Mar16-Aug16 FT-TS-Cashout-LG&amp;E'!N$4,'Data FT-TS-Cashout-P'!$B$14:$B$4704,'Mar16-Aug16 FT-TS-Cashout-LG&amp;E'!$C$23,'Data FT-TS-Cashout-P'!$D$14:$D$4704,'Mar16-Aug16 FT-TS-Cashout-LG&amp;E'!$F$23,'Data FT-TS-Cashout-P'!$E$14:$E$4704,'Mar16-Aug16 FT-TS-Cashout-LG&amp;E'!$H$23,'Data FT-TS-Cashout-P'!$F$14:$F$4704,'Mar16-Aug16 FT-TS-Cashout-LG&amp;E'!N$6)</f>
        <v>0</v>
      </c>
      <c r="O23" s="396">
        <f>SUMIFS('Data FT-TS-Cashout-P'!$U$14:$U$4704,'Data FT-TS-Cashout-P'!$A$14:$A$4704,'Mar16-Aug16 FT-TS-Cashout-LG&amp;E'!O$4,'Data FT-TS-Cashout-P'!$B$14:$B$4704,'Mar16-Aug16 FT-TS-Cashout-LG&amp;E'!$C$23,'Data FT-TS-Cashout-P'!$D$14:$D$4704,'Mar16-Aug16 FT-TS-Cashout-LG&amp;E'!$F$23,'Data FT-TS-Cashout-P'!$E$14:$E$4704,'Mar16-Aug16 FT-TS-Cashout-LG&amp;E'!$H$23,'Data FT-TS-Cashout-P'!$F$14:$F$4704,'Mar16-Aug16 FT-TS-Cashout-LG&amp;E'!O$6)</f>
        <v>0</v>
      </c>
      <c r="P23" s="398">
        <f t="shared" si="5"/>
        <v>0</v>
      </c>
    </row>
    <row r="24" spans="2:18" x14ac:dyDescent="0.2">
      <c r="B24" s="327">
        <f>VLOOKUP($C24,'Retail Rates'!$B$45:$R$53,13,FALSE)</f>
        <v>0</v>
      </c>
      <c r="C24" s="399" t="s">
        <v>50</v>
      </c>
      <c r="D24" s="328" t="str">
        <f t="shared" si="3"/>
        <v>895</v>
      </c>
      <c r="E24" s="327" t="str">
        <f>VLOOKUP($C24,'Retail Rates'!$B$45:$R$53,3,FALSE)</f>
        <v>FT-C</v>
      </c>
      <c r="F24" s="329" t="s">
        <v>661</v>
      </c>
      <c r="G24" s="329" t="s">
        <v>501</v>
      </c>
      <c r="H24" s="325" t="s">
        <v>677</v>
      </c>
      <c r="I24" s="396">
        <f>SUMIFS('Data FT-TS-Cashout-P'!$V$14:$V$4704,'Data FT-TS-Cashout-P'!$A$14:$A$4704,'Mar16-Aug16 FT-TS-Cashout-LG&amp;E'!I$4,'Data FT-TS-Cashout-P'!$B$14:$B$4704,'Mar16-Aug16 FT-TS-Cashout-LG&amp;E'!$C$24,'Data FT-TS-Cashout-P'!$D$14:$D$4704,'Mar16-Aug16 FT-TS-Cashout-LG&amp;E'!$F$24,'Data FT-TS-Cashout-P'!$E$14:$E$4704,'Mar16-Aug16 FT-TS-Cashout-LG&amp;E'!$H$24,'Data FT-TS-Cashout-P'!$F$14:$F$4704,'Mar16-Aug16 FT-TS-Cashout-LG&amp;E'!I$6)</f>
        <v>0</v>
      </c>
      <c r="J24" s="396">
        <f>SUMIFS('Data FT-TS-Cashout-P'!$V$14:$V$4704,'Data FT-TS-Cashout-P'!$A$14:$A$4704,'Mar16-Aug16 FT-TS-Cashout-LG&amp;E'!J$4,'Data FT-TS-Cashout-P'!$B$14:$B$4704,'Mar16-Aug16 FT-TS-Cashout-LG&amp;E'!$C$24,'Data FT-TS-Cashout-P'!$D$14:$D$4704,'Mar16-Aug16 FT-TS-Cashout-LG&amp;E'!$F$24,'Data FT-TS-Cashout-P'!$E$14:$E$4704,'Mar16-Aug16 FT-TS-Cashout-LG&amp;E'!$H$24,'Data FT-TS-Cashout-P'!$F$14:$F$4704,'Mar16-Aug16 FT-TS-Cashout-LG&amp;E'!J$6)</f>
        <v>0</v>
      </c>
      <c r="K24" s="396">
        <f>SUMIFS('Data FT-TS-Cashout-P'!$V$14:$V$4704,'Data FT-TS-Cashout-P'!$A$14:$A$4704,'Mar16-Aug16 FT-TS-Cashout-LG&amp;E'!K$4,'Data FT-TS-Cashout-P'!$B$14:$B$4704,'Mar16-Aug16 FT-TS-Cashout-LG&amp;E'!$C$24,'Data FT-TS-Cashout-P'!$D$14:$D$4704,'Mar16-Aug16 FT-TS-Cashout-LG&amp;E'!$F$24,'Data FT-TS-Cashout-P'!$E$14:$E$4704,'Mar16-Aug16 FT-TS-Cashout-LG&amp;E'!$H$24,'Data FT-TS-Cashout-P'!$F$14:$F$4704,'Mar16-Aug16 FT-TS-Cashout-LG&amp;E'!K$6)</f>
        <v>0</v>
      </c>
      <c r="L24" s="396">
        <f>SUMIFS('Data FT-TS-Cashout-P'!$V$14:$V$4704,'Data FT-TS-Cashout-P'!$A$14:$A$4704,'Mar16-Aug16 FT-TS-Cashout-LG&amp;E'!L$4,'Data FT-TS-Cashout-P'!$B$14:$B$4704,'Mar16-Aug16 FT-TS-Cashout-LG&amp;E'!$C$24,'Data FT-TS-Cashout-P'!$D$14:$D$4704,'Mar16-Aug16 FT-TS-Cashout-LG&amp;E'!$F$24,'Data FT-TS-Cashout-P'!$E$14:$E$4704,'Mar16-Aug16 FT-TS-Cashout-LG&amp;E'!$H$24,'Data FT-TS-Cashout-P'!$F$14:$F$4704,'Mar16-Aug16 FT-TS-Cashout-LG&amp;E'!L$6)</f>
        <v>0</v>
      </c>
      <c r="M24" s="396">
        <f>SUMIFS('Data FT-TS-Cashout-P'!$V$14:$V$4704,'Data FT-TS-Cashout-P'!$A$14:$A$4704,'Mar16-Aug16 FT-TS-Cashout-LG&amp;E'!M$4,'Data FT-TS-Cashout-P'!$B$14:$B$4704,'Mar16-Aug16 FT-TS-Cashout-LG&amp;E'!$C$24,'Data FT-TS-Cashout-P'!$D$14:$D$4704,'Mar16-Aug16 FT-TS-Cashout-LG&amp;E'!$F$24,'Data FT-TS-Cashout-P'!$E$14:$E$4704,'Mar16-Aug16 FT-TS-Cashout-LG&amp;E'!$H$24,'Data FT-TS-Cashout-P'!$F$14:$F$4704,'Mar16-Aug16 FT-TS-Cashout-LG&amp;E'!M$6)</f>
        <v>0</v>
      </c>
      <c r="N24" s="396">
        <f>SUMIFS('Data FT-TS-Cashout-P'!$V$14:$V$4704,'Data FT-TS-Cashout-P'!$A$14:$A$4704,'Mar16-Aug16 FT-TS-Cashout-LG&amp;E'!N$4,'Data FT-TS-Cashout-P'!$B$14:$B$4704,'Mar16-Aug16 FT-TS-Cashout-LG&amp;E'!$C$24,'Data FT-TS-Cashout-P'!$D$14:$D$4704,'Mar16-Aug16 FT-TS-Cashout-LG&amp;E'!$F$24,'Data FT-TS-Cashout-P'!$E$14:$E$4704,'Mar16-Aug16 FT-TS-Cashout-LG&amp;E'!$H$24,'Data FT-TS-Cashout-P'!$F$14:$F$4704,'Mar16-Aug16 FT-TS-Cashout-LG&amp;E'!N$6)</f>
        <v>0</v>
      </c>
      <c r="O24" s="396">
        <f>SUMIFS('Data FT-TS-Cashout-P'!$V$14:$V$4704,'Data FT-TS-Cashout-P'!$A$14:$A$4704,'Mar16-Aug16 FT-TS-Cashout-LG&amp;E'!O$4,'Data FT-TS-Cashout-P'!$B$14:$B$4704,'Mar16-Aug16 FT-TS-Cashout-LG&amp;E'!$C$24,'Data FT-TS-Cashout-P'!$D$14:$D$4704,'Mar16-Aug16 FT-TS-Cashout-LG&amp;E'!$F$24,'Data FT-TS-Cashout-P'!$E$14:$E$4704,'Mar16-Aug16 FT-TS-Cashout-LG&amp;E'!$H$24,'Data FT-TS-Cashout-P'!$F$14:$F$4704,'Mar16-Aug16 FT-TS-Cashout-LG&amp;E'!O$6)</f>
        <v>0</v>
      </c>
      <c r="P24" s="398">
        <f t="shared" si="5"/>
        <v>0</v>
      </c>
    </row>
    <row r="25" spans="2:18" x14ac:dyDescent="0.2">
      <c r="B25" s="327">
        <f>VLOOKUP($C25,'Retail Rates'!$B$45:$R$53,13,FALSE)</f>
        <v>0</v>
      </c>
      <c r="C25" s="399" t="s">
        <v>50</v>
      </c>
      <c r="D25" s="328" t="str">
        <f>MID(C25,6,3)</f>
        <v>895</v>
      </c>
      <c r="E25" s="327" t="str">
        <f>VLOOKUP($C25,'Retail Rates'!$B$45:$R$53,3,FALSE)</f>
        <v>FT-C</v>
      </c>
      <c r="F25" s="329" t="s">
        <v>661</v>
      </c>
      <c r="G25" s="329" t="s">
        <v>691</v>
      </c>
      <c r="H25" s="325" t="s">
        <v>671</v>
      </c>
      <c r="I25" s="396">
        <f>SUMIFS('Data FT-TS-Cashout-P'!$L$14:$L$4704,'Data FT-TS-Cashout-P'!$A$14:$A$4704,'Mar16-Aug16 FT-TS-Cashout-LG&amp;E'!I$4,'Data FT-TS-Cashout-P'!$B$14:$B$4704,'Mar16-Aug16 FT-TS-Cashout-LG&amp;E'!$C$25,'Data FT-TS-Cashout-P'!$D$14:$D$4704,'Mar16-Aug16 FT-TS-Cashout-LG&amp;E'!$F$25,'Data FT-TS-Cashout-P'!$E$14:$E$4704,'Mar16-Aug16 FT-TS-Cashout-LG&amp;E'!$H$25,'Data FT-TS-Cashout-P'!$F$14:$F$4704,'Mar16-Aug16 FT-TS-Cashout-LG&amp;E'!I$6)</f>
        <v>0</v>
      </c>
      <c r="J25" s="396">
        <f>SUMIFS('Data FT-TS-Cashout-P'!$L$14:$L$4704,'Data FT-TS-Cashout-P'!$A$14:$A$4704,'Mar16-Aug16 FT-TS-Cashout-LG&amp;E'!J$4,'Data FT-TS-Cashout-P'!$B$14:$B$4704,'Mar16-Aug16 FT-TS-Cashout-LG&amp;E'!$C$25,'Data FT-TS-Cashout-P'!$D$14:$D$4704,'Mar16-Aug16 FT-TS-Cashout-LG&amp;E'!$F$25,'Data FT-TS-Cashout-P'!$E$14:$E$4704,'Mar16-Aug16 FT-TS-Cashout-LG&amp;E'!$H$25,'Data FT-TS-Cashout-P'!$F$14:$F$4704,'Mar16-Aug16 FT-TS-Cashout-LG&amp;E'!J$6)</f>
        <v>0</v>
      </c>
      <c r="K25" s="396">
        <f>SUMIFS('Data FT-TS-Cashout-P'!$L$14:$L$4704,'Data FT-TS-Cashout-P'!$A$14:$A$4704,'Mar16-Aug16 FT-TS-Cashout-LG&amp;E'!K$4,'Data FT-TS-Cashout-P'!$B$14:$B$4704,'Mar16-Aug16 FT-TS-Cashout-LG&amp;E'!$C$25,'Data FT-TS-Cashout-P'!$D$14:$D$4704,'Mar16-Aug16 FT-TS-Cashout-LG&amp;E'!$F$25,'Data FT-TS-Cashout-P'!$E$14:$E$4704,'Mar16-Aug16 FT-TS-Cashout-LG&amp;E'!$H$25,'Data FT-TS-Cashout-P'!$F$14:$F$4704,'Mar16-Aug16 FT-TS-Cashout-LG&amp;E'!K$6)</f>
        <v>0</v>
      </c>
      <c r="L25" s="396">
        <f>SUMIFS('Data FT-TS-Cashout-P'!$L$14:$L$4704,'Data FT-TS-Cashout-P'!$A$14:$A$4704,'Mar16-Aug16 FT-TS-Cashout-LG&amp;E'!L$4,'Data FT-TS-Cashout-P'!$B$14:$B$4704,'Mar16-Aug16 FT-TS-Cashout-LG&amp;E'!$C$25,'Data FT-TS-Cashout-P'!$D$14:$D$4704,'Mar16-Aug16 FT-TS-Cashout-LG&amp;E'!$F$25,'Data FT-TS-Cashout-P'!$E$14:$E$4704,'Mar16-Aug16 FT-TS-Cashout-LG&amp;E'!$H$25,'Data FT-TS-Cashout-P'!$F$14:$F$4704,'Mar16-Aug16 FT-TS-Cashout-LG&amp;E'!L$6)</f>
        <v>0</v>
      </c>
      <c r="M25" s="396">
        <f>SUMIFS('Data FT-TS-Cashout-P'!$L$14:$L$4704,'Data FT-TS-Cashout-P'!$A$14:$A$4704,'Mar16-Aug16 FT-TS-Cashout-LG&amp;E'!M$4,'Data FT-TS-Cashout-P'!$B$14:$B$4704,'Mar16-Aug16 FT-TS-Cashout-LG&amp;E'!$C$25,'Data FT-TS-Cashout-P'!$D$14:$D$4704,'Mar16-Aug16 FT-TS-Cashout-LG&amp;E'!$F$25,'Data FT-TS-Cashout-P'!$E$14:$E$4704,'Mar16-Aug16 FT-TS-Cashout-LG&amp;E'!$H$25,'Data FT-TS-Cashout-P'!$F$14:$F$4704,'Mar16-Aug16 FT-TS-Cashout-LG&amp;E'!M$6)</f>
        <v>0</v>
      </c>
      <c r="N25" s="396">
        <f>SUMIFS('Data FT-TS-Cashout-P'!$L$14:$L$4704,'Data FT-TS-Cashout-P'!$A$14:$A$4704,'Mar16-Aug16 FT-TS-Cashout-LG&amp;E'!N$4,'Data FT-TS-Cashout-P'!$B$14:$B$4704,'Mar16-Aug16 FT-TS-Cashout-LG&amp;E'!$C$25,'Data FT-TS-Cashout-P'!$D$14:$D$4704,'Mar16-Aug16 FT-TS-Cashout-LG&amp;E'!$F$25,'Data FT-TS-Cashout-P'!$E$14:$E$4704,'Mar16-Aug16 FT-TS-Cashout-LG&amp;E'!$H$25,'Data FT-TS-Cashout-P'!$F$14:$F$4704,'Mar16-Aug16 FT-TS-Cashout-LG&amp;E'!N$6)</f>
        <v>0</v>
      </c>
      <c r="O25" s="396">
        <f>SUMIFS('Data FT-TS-Cashout-P'!$L$14:$L$4704,'Data FT-TS-Cashout-P'!$A$14:$A$4704,'Mar16-Aug16 FT-TS-Cashout-LG&amp;E'!O$4,'Data FT-TS-Cashout-P'!$B$14:$B$4704,'Mar16-Aug16 FT-TS-Cashout-LG&amp;E'!$C$25,'Data FT-TS-Cashout-P'!$D$14:$D$4704,'Mar16-Aug16 FT-TS-Cashout-LG&amp;E'!$F$25,'Data FT-TS-Cashout-P'!$E$14:$E$4704,'Mar16-Aug16 FT-TS-Cashout-LG&amp;E'!$H$25,'Data FT-TS-Cashout-P'!$F$14:$F$4704,'Mar16-Aug16 FT-TS-Cashout-LG&amp;E'!O$6)</f>
        <v>0</v>
      </c>
      <c r="P25" s="398">
        <f t="shared" si="5"/>
        <v>0</v>
      </c>
    </row>
    <row r="26" spans="2:18" x14ac:dyDescent="0.2">
      <c r="B26" s="327">
        <f>VLOOKUP($C26,'Retail Rates'!$B$45:$R$53,13,FALSE)</f>
        <v>0</v>
      </c>
      <c r="C26" s="399" t="s">
        <v>50</v>
      </c>
      <c r="D26" s="328" t="str">
        <f>MID(C26,6,3)</f>
        <v>895</v>
      </c>
      <c r="E26" s="327" t="str">
        <f>VLOOKUP($C26,'Retail Rates'!$B$45:$R$53,3,FALSE)</f>
        <v>FT-C</v>
      </c>
      <c r="F26" s="329" t="s">
        <v>661</v>
      </c>
      <c r="G26" s="329" t="s">
        <v>692</v>
      </c>
      <c r="H26" s="329"/>
      <c r="I26" s="327"/>
      <c r="J26" s="327"/>
      <c r="K26" s="327"/>
      <c r="L26" s="327"/>
      <c r="M26" s="327"/>
      <c r="N26" s="327"/>
      <c r="O26" s="327"/>
      <c r="P26" s="447"/>
    </row>
    <row r="27" spans="2:18" x14ac:dyDescent="0.2">
      <c r="B27" s="327">
        <f>VLOOKUP($C27,'Retail Rates'!$B$45:$R$53,13,FALSE)</f>
        <v>0</v>
      </c>
      <c r="C27" s="399" t="s">
        <v>50</v>
      </c>
      <c r="D27" s="328" t="str">
        <f>MID(C27,6,3)</f>
        <v>895</v>
      </c>
      <c r="E27" s="327" t="str">
        <f>VLOOKUP($C27,'Retail Rates'!$B$45:$R$53,3,FALSE)</f>
        <v>FT-C</v>
      </c>
      <c r="F27" s="329" t="s">
        <v>661</v>
      </c>
      <c r="G27" s="329" t="s">
        <v>682</v>
      </c>
      <c r="H27" s="325" t="s">
        <v>672</v>
      </c>
      <c r="I27" s="396">
        <f>SUMIFS('Data FT-TS-Cashout-P'!$T$14:$T$4704,'Data FT-TS-Cashout-P'!$A$14:$A$4704,'Mar16-Aug16 FT-TS-Cashout-LG&amp;E'!I$4,'Data FT-TS-Cashout-P'!$B$14:$B$4704,'Mar16-Aug16 FT-TS-Cashout-LG&amp;E'!$C$27,'Data FT-TS-Cashout-P'!$D$14:$D$4704,'Mar16-Aug16 FT-TS-Cashout-LG&amp;E'!$F$27,'Data FT-TS-Cashout-P'!$E$14:$E$4704,'Mar16-Aug16 FT-TS-Cashout-LG&amp;E'!$H$27,'Data FT-TS-Cashout-P'!$F$14:$F$4704,'Mar16-Aug16 FT-TS-Cashout-LG&amp;E'!I$6)</f>
        <v>0</v>
      </c>
      <c r="J27" s="396">
        <f>SUMIFS('Data FT-TS-Cashout-P'!$T$14:$T$4704,'Data FT-TS-Cashout-P'!$A$14:$A$4704,'Mar16-Aug16 FT-TS-Cashout-LG&amp;E'!J$4,'Data FT-TS-Cashout-P'!$B$14:$B$4704,'Mar16-Aug16 FT-TS-Cashout-LG&amp;E'!$C$27,'Data FT-TS-Cashout-P'!$D$14:$D$4704,'Mar16-Aug16 FT-TS-Cashout-LG&amp;E'!$F$27,'Data FT-TS-Cashout-P'!$E$14:$E$4704,'Mar16-Aug16 FT-TS-Cashout-LG&amp;E'!$H$27,'Data FT-TS-Cashout-P'!$F$14:$F$4704,'Mar16-Aug16 FT-TS-Cashout-LG&amp;E'!J$6)</f>
        <v>0</v>
      </c>
      <c r="K27" s="396">
        <f>SUMIFS('Data FT-TS-Cashout-P'!$T$14:$T$4704,'Data FT-TS-Cashout-P'!$A$14:$A$4704,'Mar16-Aug16 FT-TS-Cashout-LG&amp;E'!K$4,'Data FT-TS-Cashout-P'!$B$14:$B$4704,'Mar16-Aug16 FT-TS-Cashout-LG&amp;E'!$C$27,'Data FT-TS-Cashout-P'!$D$14:$D$4704,'Mar16-Aug16 FT-TS-Cashout-LG&amp;E'!$F$27,'Data FT-TS-Cashout-P'!$E$14:$E$4704,'Mar16-Aug16 FT-TS-Cashout-LG&amp;E'!$H$27,'Data FT-TS-Cashout-P'!$F$14:$F$4704,'Mar16-Aug16 FT-TS-Cashout-LG&amp;E'!K$6)</f>
        <v>0</v>
      </c>
      <c r="L27" s="396">
        <f>SUMIFS('Data FT-TS-Cashout-P'!$T$14:$T$4704,'Data FT-TS-Cashout-P'!$A$14:$A$4704,'Mar16-Aug16 FT-TS-Cashout-LG&amp;E'!L$4,'Data FT-TS-Cashout-P'!$B$14:$B$4704,'Mar16-Aug16 FT-TS-Cashout-LG&amp;E'!$C$27,'Data FT-TS-Cashout-P'!$D$14:$D$4704,'Mar16-Aug16 FT-TS-Cashout-LG&amp;E'!$F$27,'Data FT-TS-Cashout-P'!$E$14:$E$4704,'Mar16-Aug16 FT-TS-Cashout-LG&amp;E'!$H$27,'Data FT-TS-Cashout-P'!$F$14:$F$4704,'Mar16-Aug16 FT-TS-Cashout-LG&amp;E'!L$6)</f>
        <v>0</v>
      </c>
      <c r="M27" s="396">
        <f>SUMIFS('Data FT-TS-Cashout-P'!$T$14:$T$4704,'Data FT-TS-Cashout-P'!$A$14:$A$4704,'Mar16-Aug16 FT-TS-Cashout-LG&amp;E'!M$4,'Data FT-TS-Cashout-P'!$B$14:$B$4704,'Mar16-Aug16 FT-TS-Cashout-LG&amp;E'!$C$27,'Data FT-TS-Cashout-P'!$D$14:$D$4704,'Mar16-Aug16 FT-TS-Cashout-LG&amp;E'!$F$27,'Data FT-TS-Cashout-P'!$E$14:$E$4704,'Mar16-Aug16 FT-TS-Cashout-LG&amp;E'!$H$27,'Data FT-TS-Cashout-P'!$F$14:$F$4704,'Mar16-Aug16 FT-TS-Cashout-LG&amp;E'!M$6)</f>
        <v>0</v>
      </c>
      <c r="N27" s="396">
        <f>SUMIFS('Data FT-TS-Cashout-P'!$T$14:$T$4704,'Data FT-TS-Cashout-P'!$A$14:$A$4704,'Mar16-Aug16 FT-TS-Cashout-LG&amp;E'!N$4,'Data FT-TS-Cashout-P'!$B$14:$B$4704,'Mar16-Aug16 FT-TS-Cashout-LG&amp;E'!$C$27,'Data FT-TS-Cashout-P'!$D$14:$D$4704,'Mar16-Aug16 FT-TS-Cashout-LG&amp;E'!$F$27,'Data FT-TS-Cashout-P'!$E$14:$E$4704,'Mar16-Aug16 FT-TS-Cashout-LG&amp;E'!$H$27,'Data FT-TS-Cashout-P'!$F$14:$F$4704,'Mar16-Aug16 FT-TS-Cashout-LG&amp;E'!N$6)</f>
        <v>0</v>
      </c>
      <c r="O27" s="396">
        <f>SUMIFS('Data FT-TS-Cashout-P'!$T$14:$T$4704,'Data FT-TS-Cashout-P'!$A$14:$A$4704,'Mar16-Aug16 FT-TS-Cashout-LG&amp;E'!O$4,'Data FT-TS-Cashout-P'!$B$14:$B$4704,'Mar16-Aug16 FT-TS-Cashout-LG&amp;E'!$C$27,'Data FT-TS-Cashout-P'!$D$14:$D$4704,'Mar16-Aug16 FT-TS-Cashout-LG&amp;E'!$F$27,'Data FT-TS-Cashout-P'!$E$14:$E$4704,'Mar16-Aug16 FT-TS-Cashout-LG&amp;E'!$H$27,'Data FT-TS-Cashout-P'!$F$14:$F$4704,'Mar16-Aug16 FT-TS-Cashout-LG&amp;E'!O$6)</f>
        <v>0</v>
      </c>
      <c r="P27" s="398">
        <f t="shared" si="5"/>
        <v>0</v>
      </c>
      <c r="Q27" s="403">
        <f>P23+P25+P26+P27</f>
        <v>0</v>
      </c>
      <c r="R27" s="320" t="s">
        <v>817</v>
      </c>
    </row>
    <row r="28" spans="2:18" x14ac:dyDescent="0.2">
      <c r="B28" s="327">
        <f>VLOOKUP($C28,'Retail Rates'!$B$45:$R$53,13,FALSE)</f>
        <v>0</v>
      </c>
      <c r="C28" s="399" t="s">
        <v>50</v>
      </c>
      <c r="D28" s="328" t="str">
        <f t="shared" si="3"/>
        <v>895</v>
      </c>
      <c r="E28" s="327" t="str">
        <f>VLOOKUP($C28,'Retail Rates'!$B$45:$R$53,3,FALSE)</f>
        <v>FT-C</v>
      </c>
      <c r="F28" s="329" t="s">
        <v>661</v>
      </c>
      <c r="G28" s="329" t="s">
        <v>278</v>
      </c>
      <c r="H28" s="329"/>
      <c r="I28" s="398">
        <f t="shared" ref="I28:O28" si="7">SUM(I21:I27)</f>
        <v>27552.6</v>
      </c>
      <c r="J28" s="398">
        <f t="shared" si="7"/>
        <v>25406.670000000002</v>
      </c>
      <c r="K28" s="398">
        <f t="shared" si="7"/>
        <v>22645.56</v>
      </c>
      <c r="L28" s="398">
        <f t="shared" si="7"/>
        <v>22250.14</v>
      </c>
      <c r="M28" s="398">
        <f t="shared" si="7"/>
        <v>18652.510000000002</v>
      </c>
      <c r="N28" s="398">
        <f t="shared" si="7"/>
        <v>18958.440000000002</v>
      </c>
      <c r="O28" s="398">
        <f t="shared" si="7"/>
        <v>18638.219999999998</v>
      </c>
      <c r="P28" s="398">
        <f t="shared" si="5"/>
        <v>126551.54000000001</v>
      </c>
    </row>
    <row r="29" spans="2:18" x14ac:dyDescent="0.2">
      <c r="B29" s="327"/>
      <c r="C29" s="399"/>
      <c r="D29" s="328"/>
      <c r="E29" s="327"/>
      <c r="F29" s="329"/>
      <c r="G29" s="329"/>
      <c r="H29" s="329"/>
      <c r="I29" s="327"/>
      <c r="J29" s="327"/>
      <c r="K29" s="327"/>
      <c r="L29" s="327"/>
      <c r="M29" s="327"/>
      <c r="N29" s="327"/>
      <c r="O29" s="327"/>
      <c r="P29" s="398"/>
    </row>
    <row r="30" spans="2:18" x14ac:dyDescent="0.2">
      <c r="B30" s="327"/>
      <c r="C30" s="399"/>
      <c r="D30" s="328"/>
      <c r="E30" s="327"/>
      <c r="F30" s="329"/>
      <c r="G30" s="329"/>
      <c r="H30" s="329"/>
      <c r="I30" s="327"/>
      <c r="J30" s="327"/>
      <c r="K30" s="327"/>
      <c r="L30" s="327"/>
      <c r="M30" s="327"/>
      <c r="N30" s="327"/>
      <c r="O30" s="327"/>
      <c r="P30" s="327"/>
    </row>
    <row r="31" spans="2:18" x14ac:dyDescent="0.2">
      <c r="B31" s="327">
        <v>0</v>
      </c>
      <c r="C31" s="328" t="s">
        <v>82</v>
      </c>
      <c r="D31" s="328" t="str">
        <f>MID(C31,6,3)</f>
        <v>895</v>
      </c>
      <c r="E31" s="327" t="s">
        <v>117</v>
      </c>
      <c r="F31" s="329" t="s">
        <v>661</v>
      </c>
      <c r="G31" s="329" t="s">
        <v>268</v>
      </c>
      <c r="H31" s="327"/>
      <c r="I31" s="327">
        <f>+I35/I32</f>
        <v>0</v>
      </c>
      <c r="J31" s="327">
        <f t="shared" ref="J31:O31" si="8">+J35/J32</f>
        <v>0</v>
      </c>
      <c r="K31" s="327">
        <f t="shared" si="8"/>
        <v>0</v>
      </c>
      <c r="L31" s="327">
        <f t="shared" si="8"/>
        <v>0</v>
      </c>
      <c r="M31" s="327">
        <f t="shared" si="8"/>
        <v>0</v>
      </c>
      <c r="N31" s="327">
        <f t="shared" si="8"/>
        <v>0</v>
      </c>
      <c r="O31" s="327">
        <f t="shared" si="8"/>
        <v>0</v>
      </c>
      <c r="P31" s="398">
        <f>SUM(J31:O31)</f>
        <v>0</v>
      </c>
    </row>
    <row r="32" spans="2:18" x14ac:dyDescent="0.2">
      <c r="B32" s="327">
        <v>0</v>
      </c>
      <c r="C32" s="328" t="s">
        <v>82</v>
      </c>
      <c r="D32" s="328" t="str">
        <f>MID(C32,6,3)</f>
        <v>895</v>
      </c>
      <c r="E32" s="327" t="s">
        <v>117</v>
      </c>
      <c r="F32" s="329" t="s">
        <v>661</v>
      </c>
      <c r="G32" s="329" t="s">
        <v>270</v>
      </c>
      <c r="H32" s="327"/>
      <c r="I32" s="327">
        <f>VLOOKUP($C$32,'Retail Rates'!$B$45:$L$58,9,FALSE)</f>
        <v>75</v>
      </c>
      <c r="J32" s="327">
        <f>VLOOKUP($C$32,'Retail Rates'!$B$45:$L$58,9,FALSE)</f>
        <v>75</v>
      </c>
      <c r="K32" s="327">
        <f>VLOOKUP($C$32,'Retail Rates'!$B$45:$L$58,9,FALSE)</f>
        <v>75</v>
      </c>
      <c r="L32" s="327">
        <f>VLOOKUP($C$32,'Retail Rates'!$B$45:$L$58,9,FALSE)</f>
        <v>75</v>
      </c>
      <c r="M32" s="327">
        <f>VLOOKUP($C$32,'Retail Rates'!$B$45:$L$58,9,FALSE)</f>
        <v>75</v>
      </c>
      <c r="N32" s="327">
        <f>VLOOKUP($C$32,'Retail Rates'!$B$45:$L$58,9,FALSE)</f>
        <v>75</v>
      </c>
      <c r="O32" s="327">
        <f>VLOOKUP($C$32,'Retail Rates'!$B$45:$L$58,9,FALSE)</f>
        <v>75</v>
      </c>
      <c r="P32" s="327"/>
    </row>
    <row r="33" spans="2:16" x14ac:dyDescent="0.2">
      <c r="B33" s="327">
        <v>0</v>
      </c>
      <c r="C33" s="328" t="s">
        <v>82</v>
      </c>
      <c r="D33" s="328" t="str">
        <f t="shared" ref="D33:D39" si="9">MID(C33,6,3)</f>
        <v>895</v>
      </c>
      <c r="E33" s="327" t="s">
        <v>117</v>
      </c>
      <c r="F33" s="329" t="s">
        <v>661</v>
      </c>
      <c r="G33" s="327"/>
      <c r="H33" s="327"/>
      <c r="I33" s="327"/>
      <c r="J33" s="327"/>
      <c r="K33" s="327"/>
      <c r="L33" s="327"/>
      <c r="M33" s="327"/>
      <c r="N33" s="327"/>
      <c r="O33" s="327"/>
      <c r="P33" s="327"/>
    </row>
    <row r="34" spans="2:16" x14ac:dyDescent="0.2">
      <c r="B34" s="327">
        <v>0</v>
      </c>
      <c r="C34" s="328" t="s">
        <v>82</v>
      </c>
      <c r="D34" s="328" t="str">
        <f t="shared" si="9"/>
        <v>895</v>
      </c>
      <c r="E34" s="327" t="s">
        <v>117</v>
      </c>
      <c r="F34" s="329" t="s">
        <v>661</v>
      </c>
      <c r="G34" s="334" t="s">
        <v>273</v>
      </c>
      <c r="H34" s="327"/>
      <c r="I34" s="327"/>
      <c r="J34" s="327"/>
      <c r="K34" s="327"/>
      <c r="L34" s="327"/>
      <c r="M34" s="327"/>
      <c r="N34" s="327"/>
      <c r="O34" s="327"/>
      <c r="P34" s="327"/>
    </row>
    <row r="35" spans="2:16" x14ac:dyDescent="0.2">
      <c r="B35" s="327">
        <v>0</v>
      </c>
      <c r="C35" s="328" t="s">
        <v>82</v>
      </c>
      <c r="D35" s="328" t="str">
        <f t="shared" si="9"/>
        <v>895</v>
      </c>
      <c r="E35" s="327" t="s">
        <v>117</v>
      </c>
      <c r="F35" s="329" t="s">
        <v>661</v>
      </c>
      <c r="G35" s="329" t="s">
        <v>274</v>
      </c>
      <c r="H35" s="325" t="s">
        <v>524</v>
      </c>
      <c r="I35" s="396">
        <f>SUMIFS('Data FT-TS-Cashout-P'!$G$14:$G$4704,'Data FT-TS-Cashout-P'!$A$14:$A$4704,'Mar16-Aug16 FT-TS-Cashout-LG&amp;E'!I$4,'Data FT-TS-Cashout-P'!$B$14:$B$4704,'Mar16-Aug16 FT-TS-Cashout-LG&amp;E'!$C$35,'Data FT-TS-Cashout-P'!$D$14:$D$4704,'Mar16-Aug16 FT-TS-Cashout-LG&amp;E'!$F$35,'Data FT-TS-Cashout-P'!$E$14:$E$4704,'Mar16-Aug16 FT-TS-Cashout-LG&amp;E'!$H$35,'Data FT-TS-Cashout-P'!$F$14:$F$4704,'Mar16-Aug16 FT-TS-Cashout-LG&amp;E'!I$6)</f>
        <v>0</v>
      </c>
      <c r="J35" s="396">
        <f>SUMIFS('Data FT-TS-Cashout-P'!$G$14:$G$4704,'Data FT-TS-Cashout-P'!$A$14:$A$4704,'Mar16-Aug16 FT-TS-Cashout-LG&amp;E'!J$4,'Data FT-TS-Cashout-P'!$B$14:$B$4704,'Mar16-Aug16 FT-TS-Cashout-LG&amp;E'!$C$35,'Data FT-TS-Cashout-P'!$D$14:$D$4704,'Mar16-Aug16 FT-TS-Cashout-LG&amp;E'!$F$35,'Data FT-TS-Cashout-P'!$E$14:$E$4704,'Mar16-Aug16 FT-TS-Cashout-LG&amp;E'!$H$35,'Data FT-TS-Cashout-P'!$F$14:$F$4704,'Mar16-Aug16 FT-TS-Cashout-LG&amp;E'!J$6)</f>
        <v>0</v>
      </c>
      <c r="K35" s="396">
        <f>SUMIFS('Data FT-TS-Cashout-P'!$G$14:$G$4704,'Data FT-TS-Cashout-P'!$A$14:$A$4704,'Mar16-Aug16 FT-TS-Cashout-LG&amp;E'!K$4,'Data FT-TS-Cashout-P'!$B$14:$B$4704,'Mar16-Aug16 FT-TS-Cashout-LG&amp;E'!$C$35,'Data FT-TS-Cashout-P'!$D$14:$D$4704,'Mar16-Aug16 FT-TS-Cashout-LG&amp;E'!$F$35,'Data FT-TS-Cashout-P'!$E$14:$E$4704,'Mar16-Aug16 FT-TS-Cashout-LG&amp;E'!$H$35,'Data FT-TS-Cashout-P'!$F$14:$F$4704,'Mar16-Aug16 FT-TS-Cashout-LG&amp;E'!K$6)</f>
        <v>0</v>
      </c>
      <c r="L35" s="396">
        <f>SUMIFS('Data FT-TS-Cashout-P'!$G$14:$G$4704,'Data FT-TS-Cashout-P'!$A$14:$A$4704,'Mar16-Aug16 FT-TS-Cashout-LG&amp;E'!L$4,'Data FT-TS-Cashout-P'!$B$14:$B$4704,'Mar16-Aug16 FT-TS-Cashout-LG&amp;E'!$C$35,'Data FT-TS-Cashout-P'!$D$14:$D$4704,'Mar16-Aug16 FT-TS-Cashout-LG&amp;E'!$F$35,'Data FT-TS-Cashout-P'!$E$14:$E$4704,'Mar16-Aug16 FT-TS-Cashout-LG&amp;E'!$H$35,'Data FT-TS-Cashout-P'!$F$14:$F$4704,'Mar16-Aug16 FT-TS-Cashout-LG&amp;E'!L$6)</f>
        <v>0</v>
      </c>
      <c r="M35" s="396">
        <f>SUMIFS('Data FT-TS-Cashout-P'!$G$14:$G$4704,'Data FT-TS-Cashout-P'!$A$14:$A$4704,'Mar16-Aug16 FT-TS-Cashout-LG&amp;E'!M$4,'Data FT-TS-Cashout-P'!$B$14:$B$4704,'Mar16-Aug16 FT-TS-Cashout-LG&amp;E'!$C$35,'Data FT-TS-Cashout-P'!$D$14:$D$4704,'Mar16-Aug16 FT-TS-Cashout-LG&amp;E'!$F$35,'Data FT-TS-Cashout-P'!$E$14:$E$4704,'Mar16-Aug16 FT-TS-Cashout-LG&amp;E'!$H$35,'Data FT-TS-Cashout-P'!$F$14:$F$4704,'Mar16-Aug16 FT-TS-Cashout-LG&amp;E'!M$6)</f>
        <v>0</v>
      </c>
      <c r="N35" s="396">
        <f>SUMIFS('Data FT-TS-Cashout-P'!$G$14:$G$4704,'Data FT-TS-Cashout-P'!$A$14:$A$4704,'Mar16-Aug16 FT-TS-Cashout-LG&amp;E'!N$4,'Data FT-TS-Cashout-P'!$B$14:$B$4704,'Mar16-Aug16 FT-TS-Cashout-LG&amp;E'!$C$35,'Data FT-TS-Cashout-P'!$D$14:$D$4704,'Mar16-Aug16 FT-TS-Cashout-LG&amp;E'!$F$35,'Data FT-TS-Cashout-P'!$E$14:$E$4704,'Mar16-Aug16 FT-TS-Cashout-LG&amp;E'!$H$35,'Data FT-TS-Cashout-P'!$F$14:$F$4704,'Mar16-Aug16 FT-TS-Cashout-LG&amp;E'!N$6)</f>
        <v>0</v>
      </c>
      <c r="O35" s="396">
        <f>SUMIFS('Data FT-TS-Cashout-P'!$G$14:$G$4704,'Data FT-TS-Cashout-P'!$A$14:$A$4704,'Mar16-Aug16 FT-TS-Cashout-LG&amp;E'!O$4,'Data FT-TS-Cashout-P'!$B$14:$B$4704,'Mar16-Aug16 FT-TS-Cashout-LG&amp;E'!$C$35,'Data FT-TS-Cashout-P'!$D$14:$D$4704,'Mar16-Aug16 FT-TS-Cashout-LG&amp;E'!$F$35,'Data FT-TS-Cashout-P'!$E$14:$E$4704,'Mar16-Aug16 FT-TS-Cashout-LG&amp;E'!$H$35,'Data FT-TS-Cashout-P'!$F$14:$F$4704,'Mar16-Aug16 FT-TS-Cashout-LG&amp;E'!O$6)</f>
        <v>0</v>
      </c>
      <c r="P35" s="398">
        <f t="shared" ref="P35:P41" si="10">SUM(J35:O35)</f>
        <v>0</v>
      </c>
    </row>
    <row r="36" spans="2:16" x14ac:dyDescent="0.2">
      <c r="B36" s="327">
        <v>0</v>
      </c>
      <c r="C36" s="328" t="s">
        <v>82</v>
      </c>
      <c r="D36" s="328" t="str">
        <f t="shared" si="9"/>
        <v>895</v>
      </c>
      <c r="E36" s="327" t="s">
        <v>117</v>
      </c>
      <c r="F36" s="329" t="s">
        <v>661</v>
      </c>
      <c r="G36" s="329" t="s">
        <v>500</v>
      </c>
      <c r="H36" s="325" t="s">
        <v>676</v>
      </c>
      <c r="I36" s="396">
        <f>SUMIFS('Data FT-TS-Cashout-P'!$U$14:$U$4704,'Data FT-TS-Cashout-P'!$A$14:$A$4704,'Mar16-Aug16 FT-TS-Cashout-LG&amp;E'!I$4,'Data FT-TS-Cashout-P'!$B$14:$B$4704,'Mar16-Aug16 FT-TS-Cashout-LG&amp;E'!$C$36,'Data FT-TS-Cashout-P'!$D$14:$D$4704,'Mar16-Aug16 FT-TS-Cashout-LG&amp;E'!$F$36,'Data FT-TS-Cashout-P'!$E$14:$E$4704,'Mar16-Aug16 FT-TS-Cashout-LG&amp;E'!$H$36,'Data FT-TS-Cashout-P'!$F$14:$F$4704,'Mar16-Aug16 FT-TS-Cashout-LG&amp;E'!I$6)</f>
        <v>0</v>
      </c>
      <c r="J36" s="396">
        <f>SUMIFS('Data FT-TS-Cashout-P'!$U$14:$U$4704,'Data FT-TS-Cashout-P'!$A$14:$A$4704,'Mar16-Aug16 FT-TS-Cashout-LG&amp;E'!J$4,'Data FT-TS-Cashout-P'!$B$14:$B$4704,'Mar16-Aug16 FT-TS-Cashout-LG&amp;E'!$C$36,'Data FT-TS-Cashout-P'!$D$14:$D$4704,'Mar16-Aug16 FT-TS-Cashout-LG&amp;E'!$F$36,'Data FT-TS-Cashout-P'!$E$14:$E$4704,'Mar16-Aug16 FT-TS-Cashout-LG&amp;E'!$H$36,'Data FT-TS-Cashout-P'!$F$14:$F$4704,'Mar16-Aug16 FT-TS-Cashout-LG&amp;E'!J$6)</f>
        <v>0</v>
      </c>
      <c r="K36" s="396">
        <f>SUMIFS('Data FT-TS-Cashout-P'!$U$14:$U$4704,'Data FT-TS-Cashout-P'!$A$14:$A$4704,'Mar16-Aug16 FT-TS-Cashout-LG&amp;E'!K$4,'Data FT-TS-Cashout-P'!$B$14:$B$4704,'Mar16-Aug16 FT-TS-Cashout-LG&amp;E'!$C$36,'Data FT-TS-Cashout-P'!$D$14:$D$4704,'Mar16-Aug16 FT-TS-Cashout-LG&amp;E'!$F$36,'Data FT-TS-Cashout-P'!$E$14:$E$4704,'Mar16-Aug16 FT-TS-Cashout-LG&amp;E'!$H$36,'Data FT-TS-Cashout-P'!$F$14:$F$4704,'Mar16-Aug16 FT-TS-Cashout-LG&amp;E'!K$6)</f>
        <v>0</v>
      </c>
      <c r="L36" s="396">
        <f>SUMIFS('Data FT-TS-Cashout-P'!$U$14:$U$4704,'Data FT-TS-Cashout-P'!$A$14:$A$4704,'Mar16-Aug16 FT-TS-Cashout-LG&amp;E'!L$4,'Data FT-TS-Cashout-P'!$B$14:$B$4704,'Mar16-Aug16 FT-TS-Cashout-LG&amp;E'!$C$36,'Data FT-TS-Cashout-P'!$D$14:$D$4704,'Mar16-Aug16 FT-TS-Cashout-LG&amp;E'!$F$36,'Data FT-TS-Cashout-P'!$E$14:$E$4704,'Mar16-Aug16 FT-TS-Cashout-LG&amp;E'!$H$36,'Data FT-TS-Cashout-P'!$F$14:$F$4704,'Mar16-Aug16 FT-TS-Cashout-LG&amp;E'!L$6)</f>
        <v>0</v>
      </c>
      <c r="M36" s="396">
        <f>SUMIFS('Data FT-TS-Cashout-P'!$U$14:$U$4704,'Data FT-TS-Cashout-P'!$A$14:$A$4704,'Mar16-Aug16 FT-TS-Cashout-LG&amp;E'!M$4,'Data FT-TS-Cashout-P'!$B$14:$B$4704,'Mar16-Aug16 FT-TS-Cashout-LG&amp;E'!$C$36,'Data FT-TS-Cashout-P'!$D$14:$D$4704,'Mar16-Aug16 FT-TS-Cashout-LG&amp;E'!$F$36,'Data FT-TS-Cashout-P'!$E$14:$E$4704,'Mar16-Aug16 FT-TS-Cashout-LG&amp;E'!$H$36,'Data FT-TS-Cashout-P'!$F$14:$F$4704,'Mar16-Aug16 FT-TS-Cashout-LG&amp;E'!M$6)</f>
        <v>0</v>
      </c>
      <c r="N36" s="396">
        <f>SUMIFS('Data FT-TS-Cashout-P'!$U$14:$U$4704,'Data FT-TS-Cashout-P'!$A$14:$A$4704,'Mar16-Aug16 FT-TS-Cashout-LG&amp;E'!N$4,'Data FT-TS-Cashout-P'!$B$14:$B$4704,'Mar16-Aug16 FT-TS-Cashout-LG&amp;E'!$C$36,'Data FT-TS-Cashout-P'!$D$14:$D$4704,'Mar16-Aug16 FT-TS-Cashout-LG&amp;E'!$F$36,'Data FT-TS-Cashout-P'!$E$14:$E$4704,'Mar16-Aug16 FT-TS-Cashout-LG&amp;E'!$H$36,'Data FT-TS-Cashout-P'!$F$14:$F$4704,'Mar16-Aug16 FT-TS-Cashout-LG&amp;E'!N$6)</f>
        <v>0</v>
      </c>
      <c r="O36" s="396">
        <f>SUMIFS('Data FT-TS-Cashout-P'!$U$14:$U$4704,'Data FT-TS-Cashout-P'!$A$14:$A$4704,'Mar16-Aug16 FT-TS-Cashout-LG&amp;E'!O$4,'Data FT-TS-Cashout-P'!$B$14:$B$4704,'Mar16-Aug16 FT-TS-Cashout-LG&amp;E'!$C$36,'Data FT-TS-Cashout-P'!$D$14:$D$4704,'Mar16-Aug16 FT-TS-Cashout-LG&amp;E'!$F$36,'Data FT-TS-Cashout-P'!$E$14:$E$4704,'Mar16-Aug16 FT-TS-Cashout-LG&amp;E'!$H$36,'Data FT-TS-Cashout-P'!$F$14:$F$4704,'Mar16-Aug16 FT-TS-Cashout-LG&amp;E'!O$6)</f>
        <v>0</v>
      </c>
      <c r="P36" s="398">
        <f t="shared" si="10"/>
        <v>0</v>
      </c>
    </row>
    <row r="37" spans="2:16" x14ac:dyDescent="0.2">
      <c r="B37" s="327">
        <v>0</v>
      </c>
      <c r="C37" s="328" t="s">
        <v>82</v>
      </c>
      <c r="D37" s="328" t="str">
        <f t="shared" si="9"/>
        <v>895</v>
      </c>
      <c r="E37" s="327" t="s">
        <v>117</v>
      </c>
      <c r="F37" s="329" t="s">
        <v>661</v>
      </c>
      <c r="G37" s="329" t="s">
        <v>501</v>
      </c>
      <c r="H37" s="325" t="s">
        <v>677</v>
      </c>
      <c r="I37" s="396">
        <f>SUMIFS('Data FT-TS-Cashout-P'!$V$14:$V$4704,'Data FT-TS-Cashout-P'!$A$14:$A$4704,'Mar16-Aug16 FT-TS-Cashout-LG&amp;E'!I$4,'Data FT-TS-Cashout-P'!$B$14:$B$4704,'Mar16-Aug16 FT-TS-Cashout-LG&amp;E'!$C$37,'Data FT-TS-Cashout-P'!$D$14:$D$4704,'Mar16-Aug16 FT-TS-Cashout-LG&amp;E'!$F$37,'Data FT-TS-Cashout-P'!$E$14:$E$4704,'Mar16-Aug16 FT-TS-Cashout-LG&amp;E'!$H$37,'Data FT-TS-Cashout-P'!$F$14:$F$4704,'Mar16-Aug16 FT-TS-Cashout-LG&amp;E'!I$6)</f>
        <v>0</v>
      </c>
      <c r="J37" s="396">
        <f>SUMIFS('Data FT-TS-Cashout-P'!$V$14:$V$4704,'Data FT-TS-Cashout-P'!$A$14:$A$4704,'Mar16-Aug16 FT-TS-Cashout-LG&amp;E'!J$4,'Data FT-TS-Cashout-P'!$B$14:$B$4704,'Mar16-Aug16 FT-TS-Cashout-LG&amp;E'!$C$37,'Data FT-TS-Cashout-P'!$D$14:$D$4704,'Mar16-Aug16 FT-TS-Cashout-LG&amp;E'!$F$37,'Data FT-TS-Cashout-P'!$E$14:$E$4704,'Mar16-Aug16 FT-TS-Cashout-LG&amp;E'!$H$37,'Data FT-TS-Cashout-P'!$F$14:$F$4704,'Mar16-Aug16 FT-TS-Cashout-LG&amp;E'!J$6)</f>
        <v>0</v>
      </c>
      <c r="K37" s="396">
        <f>SUMIFS('Data FT-TS-Cashout-P'!$V$14:$V$4704,'Data FT-TS-Cashout-P'!$A$14:$A$4704,'Mar16-Aug16 FT-TS-Cashout-LG&amp;E'!K$4,'Data FT-TS-Cashout-P'!$B$14:$B$4704,'Mar16-Aug16 FT-TS-Cashout-LG&amp;E'!$C$37,'Data FT-TS-Cashout-P'!$D$14:$D$4704,'Mar16-Aug16 FT-TS-Cashout-LG&amp;E'!$F$37,'Data FT-TS-Cashout-P'!$E$14:$E$4704,'Mar16-Aug16 FT-TS-Cashout-LG&amp;E'!$H$37,'Data FT-TS-Cashout-P'!$F$14:$F$4704,'Mar16-Aug16 FT-TS-Cashout-LG&amp;E'!K$6)</f>
        <v>0</v>
      </c>
      <c r="L37" s="396">
        <f>SUMIFS('Data FT-TS-Cashout-P'!$V$14:$V$4704,'Data FT-TS-Cashout-P'!$A$14:$A$4704,'Mar16-Aug16 FT-TS-Cashout-LG&amp;E'!L$4,'Data FT-TS-Cashout-P'!$B$14:$B$4704,'Mar16-Aug16 FT-TS-Cashout-LG&amp;E'!$C$37,'Data FT-TS-Cashout-P'!$D$14:$D$4704,'Mar16-Aug16 FT-TS-Cashout-LG&amp;E'!$F$37,'Data FT-TS-Cashout-P'!$E$14:$E$4704,'Mar16-Aug16 FT-TS-Cashout-LG&amp;E'!$H$37,'Data FT-TS-Cashout-P'!$F$14:$F$4704,'Mar16-Aug16 FT-TS-Cashout-LG&amp;E'!L$6)</f>
        <v>0</v>
      </c>
      <c r="M37" s="396">
        <f>SUMIFS('Data FT-TS-Cashout-P'!$V$14:$V$4704,'Data FT-TS-Cashout-P'!$A$14:$A$4704,'Mar16-Aug16 FT-TS-Cashout-LG&amp;E'!M$4,'Data FT-TS-Cashout-P'!$B$14:$B$4704,'Mar16-Aug16 FT-TS-Cashout-LG&amp;E'!$C$37,'Data FT-TS-Cashout-P'!$D$14:$D$4704,'Mar16-Aug16 FT-TS-Cashout-LG&amp;E'!$F$37,'Data FT-TS-Cashout-P'!$E$14:$E$4704,'Mar16-Aug16 FT-TS-Cashout-LG&amp;E'!$H$37,'Data FT-TS-Cashout-P'!$F$14:$F$4704,'Mar16-Aug16 FT-TS-Cashout-LG&amp;E'!M$6)</f>
        <v>0</v>
      </c>
      <c r="N37" s="396">
        <f>SUMIFS('Data FT-TS-Cashout-P'!$V$14:$V$4704,'Data FT-TS-Cashout-P'!$A$14:$A$4704,'Mar16-Aug16 FT-TS-Cashout-LG&amp;E'!N$4,'Data FT-TS-Cashout-P'!$B$14:$B$4704,'Mar16-Aug16 FT-TS-Cashout-LG&amp;E'!$C$37,'Data FT-TS-Cashout-P'!$D$14:$D$4704,'Mar16-Aug16 FT-TS-Cashout-LG&amp;E'!$F$37,'Data FT-TS-Cashout-P'!$E$14:$E$4704,'Mar16-Aug16 FT-TS-Cashout-LG&amp;E'!$H$37,'Data FT-TS-Cashout-P'!$F$14:$F$4704,'Mar16-Aug16 FT-TS-Cashout-LG&amp;E'!N$6)</f>
        <v>0</v>
      </c>
      <c r="O37" s="396">
        <f>SUMIFS('Data FT-TS-Cashout-P'!$V$14:$V$4704,'Data FT-TS-Cashout-P'!$A$14:$A$4704,'Mar16-Aug16 FT-TS-Cashout-LG&amp;E'!O$4,'Data FT-TS-Cashout-P'!$B$14:$B$4704,'Mar16-Aug16 FT-TS-Cashout-LG&amp;E'!$C$37,'Data FT-TS-Cashout-P'!$D$14:$D$4704,'Mar16-Aug16 FT-TS-Cashout-LG&amp;E'!$F$37,'Data FT-TS-Cashout-P'!$E$14:$E$4704,'Mar16-Aug16 FT-TS-Cashout-LG&amp;E'!$H$37,'Data FT-TS-Cashout-P'!$F$14:$F$4704,'Mar16-Aug16 FT-TS-Cashout-LG&amp;E'!O$6)</f>
        <v>0</v>
      </c>
      <c r="P37" s="398">
        <f t="shared" si="10"/>
        <v>0</v>
      </c>
    </row>
    <row r="38" spans="2:16" x14ac:dyDescent="0.2">
      <c r="B38" s="327">
        <v>0</v>
      </c>
      <c r="C38" s="328" t="s">
        <v>82</v>
      </c>
      <c r="D38" s="328" t="str">
        <f t="shared" si="9"/>
        <v>895</v>
      </c>
      <c r="E38" s="327" t="s">
        <v>117</v>
      </c>
      <c r="F38" s="329" t="s">
        <v>661</v>
      </c>
      <c r="G38" s="329" t="s">
        <v>682</v>
      </c>
      <c r="H38" s="325" t="s">
        <v>672</v>
      </c>
      <c r="I38" s="396">
        <f>SUMIFS('Data FT-TS-Cashout-P'!$T$14:$T$4704,'Data FT-TS-Cashout-P'!$A$14:$A$4704,'Mar16-Aug16 FT-TS-Cashout-LG&amp;E'!I$4,'Data FT-TS-Cashout-P'!$B$14:$B$4704,'Mar16-Aug16 FT-TS-Cashout-LG&amp;E'!$C$2,'Data FT-TS-Cashout-P'!$D$14:$D$4704,'Mar16-Aug16 FT-TS-Cashout-LG&amp;E'!$F$38,'Data FT-TS-Cashout-P'!$E$14:$E$4704,'Mar16-Aug16 FT-TS-Cashout-LG&amp;E'!$H$38,'Data FT-TS-Cashout-P'!$F$14:$F$4704,'Mar16-Aug16 FT-TS-Cashout-LG&amp;E'!I$6)</f>
        <v>0</v>
      </c>
      <c r="J38" s="396">
        <f>SUMIFS('Data FT-TS-Cashout-P'!$T$14:$T$4704,'Data FT-TS-Cashout-P'!$A$14:$A$4704,'Mar16-Aug16 FT-TS-Cashout-LG&amp;E'!J$4,'Data FT-TS-Cashout-P'!$B$14:$B$4704,'Mar16-Aug16 FT-TS-Cashout-LG&amp;E'!$C$2,'Data FT-TS-Cashout-P'!$D$14:$D$4704,'Mar16-Aug16 FT-TS-Cashout-LG&amp;E'!$F$38,'Data FT-TS-Cashout-P'!$E$14:$E$4704,'Mar16-Aug16 FT-TS-Cashout-LG&amp;E'!$H$38,'Data FT-TS-Cashout-P'!$F$14:$F$4704,'Mar16-Aug16 FT-TS-Cashout-LG&amp;E'!J$6)</f>
        <v>0</v>
      </c>
      <c r="K38" s="396">
        <f>SUMIFS('Data FT-TS-Cashout-P'!$T$14:$T$4704,'Data FT-TS-Cashout-P'!$A$14:$A$4704,'Mar16-Aug16 FT-TS-Cashout-LG&amp;E'!K$4,'Data FT-TS-Cashout-P'!$B$14:$B$4704,'Mar16-Aug16 FT-TS-Cashout-LG&amp;E'!$C$2,'Data FT-TS-Cashout-P'!$D$14:$D$4704,'Mar16-Aug16 FT-TS-Cashout-LG&amp;E'!$F$38,'Data FT-TS-Cashout-P'!$E$14:$E$4704,'Mar16-Aug16 FT-TS-Cashout-LG&amp;E'!$H$38,'Data FT-TS-Cashout-P'!$F$14:$F$4704,'Mar16-Aug16 FT-TS-Cashout-LG&amp;E'!K$6)</f>
        <v>0</v>
      </c>
      <c r="L38" s="396">
        <f>SUMIFS('Data FT-TS-Cashout-P'!$T$14:$T$4704,'Data FT-TS-Cashout-P'!$A$14:$A$4704,'Mar16-Aug16 FT-TS-Cashout-LG&amp;E'!L$4,'Data FT-TS-Cashout-P'!$B$14:$B$4704,'Mar16-Aug16 FT-TS-Cashout-LG&amp;E'!$C$2,'Data FT-TS-Cashout-P'!$D$14:$D$4704,'Mar16-Aug16 FT-TS-Cashout-LG&amp;E'!$F$38,'Data FT-TS-Cashout-P'!$E$14:$E$4704,'Mar16-Aug16 FT-TS-Cashout-LG&amp;E'!$H$38,'Data FT-TS-Cashout-P'!$F$14:$F$4704,'Mar16-Aug16 FT-TS-Cashout-LG&amp;E'!L$6)</f>
        <v>0</v>
      </c>
      <c r="M38" s="396">
        <f>SUMIFS('Data FT-TS-Cashout-P'!$T$14:$T$4704,'Data FT-TS-Cashout-P'!$A$14:$A$4704,'Mar16-Aug16 FT-TS-Cashout-LG&amp;E'!M$4,'Data FT-TS-Cashout-P'!$B$14:$B$4704,'Mar16-Aug16 FT-TS-Cashout-LG&amp;E'!$C$2,'Data FT-TS-Cashout-P'!$D$14:$D$4704,'Mar16-Aug16 FT-TS-Cashout-LG&amp;E'!$F$38,'Data FT-TS-Cashout-P'!$E$14:$E$4704,'Mar16-Aug16 FT-TS-Cashout-LG&amp;E'!$H$38,'Data FT-TS-Cashout-P'!$F$14:$F$4704,'Mar16-Aug16 FT-TS-Cashout-LG&amp;E'!M$6)</f>
        <v>0</v>
      </c>
      <c r="N38" s="396">
        <f>SUMIFS('Data FT-TS-Cashout-P'!$T$14:$T$4704,'Data FT-TS-Cashout-P'!$A$14:$A$4704,'Mar16-Aug16 FT-TS-Cashout-LG&amp;E'!N$4,'Data FT-TS-Cashout-P'!$B$14:$B$4704,'Mar16-Aug16 FT-TS-Cashout-LG&amp;E'!$C$2,'Data FT-TS-Cashout-P'!$D$14:$D$4704,'Mar16-Aug16 FT-TS-Cashout-LG&amp;E'!$F$38,'Data FT-TS-Cashout-P'!$E$14:$E$4704,'Mar16-Aug16 FT-TS-Cashout-LG&amp;E'!$H$38,'Data FT-TS-Cashout-P'!$F$14:$F$4704,'Mar16-Aug16 FT-TS-Cashout-LG&amp;E'!N$6)</f>
        <v>0</v>
      </c>
      <c r="O38" s="396">
        <f>SUMIFS('Data FT-TS-Cashout-P'!$T$14:$T$4704,'Data FT-TS-Cashout-P'!$A$14:$A$4704,'Mar16-Aug16 FT-TS-Cashout-LG&amp;E'!O$4,'Data FT-TS-Cashout-P'!$B$14:$B$4704,'Mar16-Aug16 FT-TS-Cashout-LG&amp;E'!$C$2,'Data FT-TS-Cashout-P'!$D$14:$D$4704,'Mar16-Aug16 FT-TS-Cashout-LG&amp;E'!$F$38,'Data FT-TS-Cashout-P'!$E$14:$E$4704,'Mar16-Aug16 FT-TS-Cashout-LG&amp;E'!$H$38,'Data FT-TS-Cashout-P'!$F$14:$F$4704,'Mar16-Aug16 FT-TS-Cashout-LG&amp;E'!O$6)</f>
        <v>0</v>
      </c>
      <c r="P38" s="398">
        <f t="shared" si="10"/>
        <v>0</v>
      </c>
    </row>
    <row r="39" spans="2:16" x14ac:dyDescent="0.2">
      <c r="B39" s="327">
        <v>0</v>
      </c>
      <c r="C39" s="328" t="s">
        <v>82</v>
      </c>
      <c r="D39" s="328" t="str">
        <f t="shared" si="9"/>
        <v>895</v>
      </c>
      <c r="E39" s="327" t="s">
        <v>117</v>
      </c>
      <c r="F39" s="329" t="s">
        <v>661</v>
      </c>
      <c r="G39" s="329" t="s">
        <v>920</v>
      </c>
      <c r="H39" s="327"/>
      <c r="I39" s="404">
        <f t="shared" ref="I39:O39" si="11">SUM(I35:I38)</f>
        <v>0</v>
      </c>
      <c r="J39" s="404">
        <f t="shared" si="11"/>
        <v>0</v>
      </c>
      <c r="K39" s="404">
        <f t="shared" si="11"/>
        <v>0</v>
      </c>
      <c r="L39" s="404">
        <f t="shared" si="11"/>
        <v>0</v>
      </c>
      <c r="M39" s="404">
        <f t="shared" si="11"/>
        <v>0</v>
      </c>
      <c r="N39" s="404">
        <f t="shared" si="11"/>
        <v>0</v>
      </c>
      <c r="O39" s="404">
        <f t="shared" si="11"/>
        <v>0</v>
      </c>
      <c r="P39" s="398">
        <f t="shared" si="10"/>
        <v>0</v>
      </c>
    </row>
    <row r="40" spans="2:16" x14ac:dyDescent="0.2">
      <c r="B40" s="327"/>
      <c r="C40" s="328"/>
      <c r="D40" s="328"/>
      <c r="E40" s="327"/>
      <c r="F40" s="329"/>
      <c r="G40" s="329"/>
      <c r="H40" s="327"/>
      <c r="I40" s="327"/>
      <c r="J40" s="327"/>
      <c r="K40" s="327"/>
      <c r="L40" s="327"/>
      <c r="M40" s="327"/>
      <c r="N40" s="327"/>
      <c r="O40" s="327"/>
      <c r="P40" s="398">
        <f t="shared" si="10"/>
        <v>0</v>
      </c>
    </row>
    <row r="41" spans="2:16" x14ac:dyDescent="0.2">
      <c r="B41" s="327"/>
      <c r="C41" s="328"/>
      <c r="D41" s="328"/>
      <c r="E41" s="327"/>
      <c r="F41" s="329"/>
      <c r="G41" s="329" t="s">
        <v>921</v>
      </c>
      <c r="H41" s="327"/>
      <c r="I41" s="404">
        <f>I28+I39</f>
        <v>27552.6</v>
      </c>
      <c r="J41" s="404">
        <f t="shared" ref="J41:O41" si="12">J28+J39</f>
        <v>25406.670000000002</v>
      </c>
      <c r="K41" s="404">
        <f t="shared" si="12"/>
        <v>22645.56</v>
      </c>
      <c r="L41" s="404">
        <f t="shared" si="12"/>
        <v>22250.14</v>
      </c>
      <c r="M41" s="404">
        <f t="shared" si="12"/>
        <v>18652.510000000002</v>
      </c>
      <c r="N41" s="404">
        <f t="shared" si="12"/>
        <v>18958.440000000002</v>
      </c>
      <c r="O41" s="404">
        <f t="shared" si="12"/>
        <v>18638.219999999998</v>
      </c>
      <c r="P41" s="398">
        <f t="shared" si="10"/>
        <v>126551.54000000001</v>
      </c>
    </row>
    <row r="42" spans="2:16" x14ac:dyDescent="0.2">
      <c r="B42" s="327"/>
      <c r="C42" s="328"/>
      <c r="D42" s="328"/>
      <c r="E42" s="327"/>
      <c r="F42" s="329"/>
      <c r="G42" s="329"/>
      <c r="H42" s="327"/>
      <c r="I42" s="327"/>
      <c r="J42" s="327"/>
      <c r="K42" s="327"/>
      <c r="L42" s="327"/>
      <c r="M42" s="327"/>
      <c r="N42" s="327"/>
      <c r="O42" s="327"/>
      <c r="P42" s="327"/>
    </row>
    <row r="43" spans="2:16" x14ac:dyDescent="0.2">
      <c r="B43" s="327"/>
      <c r="C43" s="328"/>
      <c r="D43" s="328"/>
      <c r="E43" s="327"/>
      <c r="F43" s="329" t="s">
        <v>506</v>
      </c>
      <c r="G43" s="329" t="s">
        <v>922</v>
      </c>
      <c r="H43" s="327"/>
      <c r="I43" s="398">
        <f>SUMIFS('Bruise Report-Tariff'!$C$5:$C$76,'Bruise Report-Tariff'!$A$5:$A$76,'Mar16-Aug16 FT-TS-Cashout-LG&amp;E'!I$4,'Bruise Report-Tariff'!$B$5:$B$76,'Mar16-Aug16 FT-TS-Cashout-LG&amp;E'!$F$43)</f>
        <v>27552.59</v>
      </c>
      <c r="J43" s="398">
        <f>SUMIFS('Bruise Report-Tariff'!$C$5:$C$76,'Bruise Report-Tariff'!$A$5:$A$76,'Mar16-Aug16 FT-TS-Cashout-LG&amp;E'!J$4,'Bruise Report-Tariff'!$B$5:$B$76,'Mar16-Aug16 FT-TS-Cashout-LG&amp;E'!$F$43)</f>
        <v>25406.66</v>
      </c>
      <c r="K43" s="398">
        <f>SUMIFS('Bruise Report-Tariff'!$C$5:$C$76,'Bruise Report-Tariff'!$A$5:$A$76,'Mar16-Aug16 FT-TS-Cashout-LG&amp;E'!K$4,'Bruise Report-Tariff'!$B$5:$B$76,'Mar16-Aug16 FT-TS-Cashout-LG&amp;E'!$F$43)</f>
        <v>22645.55</v>
      </c>
      <c r="L43" s="398">
        <f>SUMIFS('Bruise Report-Tariff'!$C$5:$C$76,'Bruise Report-Tariff'!$A$5:$A$76,'Mar16-Aug16 FT-TS-Cashout-LG&amp;E'!L$4,'Bruise Report-Tariff'!$B$5:$B$76,'Mar16-Aug16 FT-TS-Cashout-LG&amp;E'!$F$43)</f>
        <v>22250.15</v>
      </c>
      <c r="M43" s="398">
        <f>SUMIFS('Bruise Report-Tariff'!$C$5:$C$76,'Bruise Report-Tariff'!$A$5:$A$76,'Mar16-Aug16 FT-TS-Cashout-LG&amp;E'!M$4,'Bruise Report-Tariff'!$B$5:$B$76,'Mar16-Aug16 FT-TS-Cashout-LG&amp;E'!$F$43)</f>
        <v>18652.48</v>
      </c>
      <c r="N43" s="398">
        <f>SUMIFS('Bruise Report-Tariff'!$C$5:$C$76,'Bruise Report-Tariff'!$A$5:$A$76,'Mar16-Aug16 FT-TS-Cashout-LG&amp;E'!N$4,'Bruise Report-Tariff'!$B$5:$B$76,'Mar16-Aug16 FT-TS-Cashout-LG&amp;E'!$F$43)</f>
        <v>18958.439999999999</v>
      </c>
      <c r="O43" s="398">
        <f>SUMIFS('Bruise Report-Tariff'!$C$5:$C$76,'Bruise Report-Tariff'!$A$5:$A$76,'Mar16-Aug16 FT-TS-Cashout-LG&amp;E'!O$4,'Bruise Report-Tariff'!$B$5:$B$76,'Mar16-Aug16 FT-TS-Cashout-LG&amp;E'!$F$43)</f>
        <v>18638.22</v>
      </c>
      <c r="P43" s="327"/>
    </row>
    <row r="44" spans="2:16" x14ac:dyDescent="0.2">
      <c r="B44" s="327"/>
      <c r="C44" s="328"/>
      <c r="D44" s="328"/>
      <c r="E44" s="327"/>
      <c r="F44" s="329"/>
      <c r="G44" s="329"/>
      <c r="H44" s="327"/>
      <c r="I44" s="327"/>
      <c r="J44" s="327"/>
      <c r="K44" s="327"/>
      <c r="L44" s="327"/>
      <c r="M44" s="327"/>
      <c r="N44" s="327"/>
      <c r="O44" s="327"/>
      <c r="P44" s="327"/>
    </row>
    <row r="45" spans="2:16" x14ac:dyDescent="0.2">
      <c r="B45" s="327"/>
      <c r="C45" s="328"/>
      <c r="D45" s="328"/>
      <c r="E45" s="327"/>
      <c r="F45" s="329"/>
      <c r="G45" s="329" t="s">
        <v>262</v>
      </c>
      <c r="H45" s="327"/>
      <c r="I45" s="404">
        <f>I41-I43</f>
        <v>9.9999999983992893E-3</v>
      </c>
      <c r="J45" s="404">
        <f t="shared" ref="J45:O45" si="13">J41-J43</f>
        <v>1.0000000002037268E-2</v>
      </c>
      <c r="K45" s="404">
        <f t="shared" si="13"/>
        <v>1.0000000002037268E-2</v>
      </c>
      <c r="L45" s="404">
        <f t="shared" si="13"/>
        <v>-1.0000000002037268E-2</v>
      </c>
      <c r="M45" s="404">
        <f t="shared" si="13"/>
        <v>3.0000000002473826E-2</v>
      </c>
      <c r="N45" s="404">
        <f t="shared" si="13"/>
        <v>0</v>
      </c>
      <c r="O45" s="404">
        <f t="shared" si="13"/>
        <v>0</v>
      </c>
      <c r="P45" s="327"/>
    </row>
    <row r="46" spans="2:16" x14ac:dyDescent="0.2">
      <c r="B46" s="327"/>
      <c r="C46" s="399"/>
      <c r="D46" s="328"/>
      <c r="E46" s="327"/>
      <c r="F46" s="329"/>
      <c r="G46" s="329"/>
      <c r="H46" s="329"/>
      <c r="I46" s="327"/>
      <c r="J46" s="327"/>
      <c r="K46" s="327"/>
      <c r="L46" s="327"/>
      <c r="M46" s="327"/>
      <c r="N46" s="327"/>
      <c r="O46" s="327"/>
      <c r="P46" s="327"/>
    </row>
    <row r="47" spans="2:16" x14ac:dyDescent="0.2">
      <c r="B47" s="327"/>
      <c r="C47" s="399"/>
      <c r="D47" s="328"/>
      <c r="E47" s="327"/>
      <c r="F47" s="329"/>
      <c r="G47" s="329"/>
      <c r="H47" s="329"/>
      <c r="I47" s="327"/>
      <c r="J47" s="327"/>
      <c r="K47" s="327"/>
      <c r="L47" s="327"/>
      <c r="M47" s="327"/>
      <c r="N47" s="327"/>
      <c r="O47" s="327"/>
      <c r="P47" s="327"/>
    </row>
    <row r="48" spans="2:16" x14ac:dyDescent="0.2">
      <c r="B48" s="327"/>
      <c r="C48" s="327"/>
      <c r="D48" s="327"/>
      <c r="E48" s="327"/>
      <c r="F48" s="327"/>
      <c r="G48" s="336" t="s">
        <v>464</v>
      </c>
      <c r="H48" s="336"/>
      <c r="I48" s="327"/>
      <c r="J48" s="327"/>
      <c r="K48" s="327"/>
      <c r="L48" s="327"/>
      <c r="M48" s="327"/>
      <c r="N48" s="327"/>
      <c r="O48" s="327"/>
      <c r="P48" s="327"/>
    </row>
    <row r="49" spans="2:20" x14ac:dyDescent="0.2">
      <c r="B49" s="327"/>
      <c r="C49" s="328" t="s">
        <v>52</v>
      </c>
      <c r="D49" s="328" t="str">
        <f>MID(C49,6,3)</f>
        <v>896</v>
      </c>
      <c r="E49" s="327" t="str">
        <f>VLOOKUP($C49,'Retail Rates'!$B$45:$R$53,3,FALSE)</f>
        <v>FT-I</v>
      </c>
      <c r="F49" s="329" t="s">
        <v>663</v>
      </c>
      <c r="G49" s="330" t="s">
        <v>268</v>
      </c>
      <c r="H49" s="331"/>
      <c r="I49" s="327">
        <f t="shared" ref="I49:O49" si="14">+I57/I51</f>
        <v>63</v>
      </c>
      <c r="J49" s="327">
        <f t="shared" si="14"/>
        <v>63</v>
      </c>
      <c r="K49" s="327">
        <f t="shared" si="14"/>
        <v>63</v>
      </c>
      <c r="L49" s="327">
        <f t="shared" si="14"/>
        <v>65</v>
      </c>
      <c r="M49" s="327">
        <f t="shared" si="14"/>
        <v>61</v>
      </c>
      <c r="N49" s="327">
        <f t="shared" si="14"/>
        <v>63</v>
      </c>
      <c r="O49" s="327">
        <f t="shared" si="14"/>
        <v>63</v>
      </c>
      <c r="P49" s="398">
        <f>SUM(J49:O49)</f>
        <v>378</v>
      </c>
    </row>
    <row r="50" spans="2:20" x14ac:dyDescent="0.2">
      <c r="B50" s="327"/>
      <c r="C50" s="328" t="s">
        <v>52</v>
      </c>
      <c r="D50" s="328" t="str">
        <f t="shared" ref="D50:D67" si="15">MID(C50,6,3)</f>
        <v>896</v>
      </c>
      <c r="E50" s="327" t="str">
        <f>VLOOKUP($C50,'Retail Rates'!$B$45:$R$53,3,FALSE)</f>
        <v>FT-I</v>
      </c>
      <c r="F50" s="329" t="s">
        <v>663</v>
      </c>
      <c r="G50" s="329" t="s">
        <v>269</v>
      </c>
      <c r="H50" s="325" t="s">
        <v>518</v>
      </c>
      <c r="I50" s="411">
        <f>SUMIFS('Data FT-TS-Cashout-P'!$H$14:$H$4704,'Data FT-TS-Cashout-P'!$A$6:$A$4696,'Mar16-Aug16 FT-TS-Cashout-LG&amp;E'!I$4,'Data FT-TS-Cashout-P'!$B$14:$B$4704,'Mar16-Aug16 FT-TS-Cashout-LG&amp;E'!$C$50,'Data FT-TS-Cashout-P'!$D$14:$D$4704,'Mar16-Aug16 FT-TS-Cashout-LG&amp;E'!$F$50,'Data FT-TS-Cashout-P'!$E$14:$E$4704,'Mar16-Aug16 FT-TS-Cashout-LG&amp;E'!$H$12,'Data FT-TS-Cashout-P'!$F$14:$F$4704,'Mar16-Aug16 FT-TS-Cashout-LG&amp;E'!I$6)/10</f>
        <v>1226943.6000000001</v>
      </c>
      <c r="J50" s="396">
        <f>SUMIFS('Data FT-TS-Cashout-P'!$H$14:$H$4704,'Data FT-TS-Cashout-P'!$A$6:$A$4696,'Mar16-Aug16 FT-TS-Cashout-LG&amp;E'!J$4,'Data FT-TS-Cashout-P'!$B$14:$B$4704,'Mar16-Aug16 FT-TS-Cashout-LG&amp;E'!$C$50,'Data FT-TS-Cashout-P'!$D$14:$D$4704,'Mar16-Aug16 FT-TS-Cashout-LG&amp;E'!$F$50,'Data FT-TS-Cashout-P'!$E$14:$E$4704,'Mar16-Aug16 FT-TS-Cashout-LG&amp;E'!$H$12,'Data FT-TS-Cashout-P'!$F$14:$F$4704,'Mar16-Aug16 FT-TS-Cashout-LG&amp;E'!J$6)/10</f>
        <v>1058278.7</v>
      </c>
      <c r="K50" s="411">
        <f>SUMIFS('Data FT-TS-Cashout-P'!$H$14:$H$4704,'Data FT-TS-Cashout-P'!$A$6:$A$4696,'Mar16-Aug16 FT-TS-Cashout-LG&amp;E'!K$4,'Data FT-TS-Cashout-P'!$B$14:$B$4704,'Mar16-Aug16 FT-TS-Cashout-LG&amp;E'!$C$50,'Data FT-TS-Cashout-P'!$D$14:$D$4704,'Mar16-Aug16 FT-TS-Cashout-LG&amp;E'!$F$50,'Data FT-TS-Cashout-P'!$E$14:$E$4704,'Mar16-Aug16 FT-TS-Cashout-LG&amp;E'!$H$12,'Data FT-TS-Cashout-P'!$F$14:$F$4704,'Mar16-Aug16 FT-TS-Cashout-LG&amp;E'!K$6)/10</f>
        <v>853355.8</v>
      </c>
      <c r="L50" s="411">
        <f>SUMIFS('Data FT-TS-Cashout-P'!$H$14:$H$4704,'Data FT-TS-Cashout-P'!$A$6:$A$4696,'Mar16-Aug16 FT-TS-Cashout-LG&amp;E'!L$4,'Data FT-TS-Cashout-P'!$B$14:$B$4704,'Mar16-Aug16 FT-TS-Cashout-LG&amp;E'!$C$60,'Data FT-TS-Cashout-P'!$D$14:$D$4704,'Mar16-Aug16 FT-TS-Cashout-LG&amp;E'!$F$50,'Data FT-TS-Cashout-P'!$E$14:$E$4704,'Mar16-Aug16 FT-TS-Cashout-LG&amp;E'!$H$12,'Data FT-TS-Cashout-P'!$F$14:$F$4704,'Mar16-Aug16 FT-TS-Cashout-LG&amp;E'!L$7)/10</f>
        <v>846705.5</v>
      </c>
      <c r="M50" s="411">
        <f>SUMIFS('Data FT-TS-Cashout-P'!$H$14:$H$4704,'Data FT-TS-Cashout-P'!$A$6:$A$4696,'Mar16-Aug16 FT-TS-Cashout-LG&amp;E'!M$4,'Data FT-TS-Cashout-P'!$B$14:$B$4704,'Mar16-Aug16 FT-TS-Cashout-LG&amp;E'!$C$60,'Data FT-TS-Cashout-P'!$D$14:$D$4704,'Mar16-Aug16 FT-TS-Cashout-LG&amp;E'!$F$50,'Data FT-TS-Cashout-P'!$E$14:$E$4704,'Mar16-Aug16 FT-TS-Cashout-LG&amp;E'!$H$12,'Data FT-TS-Cashout-P'!$F$14:$F$4704,'Mar16-Aug16 FT-TS-Cashout-LG&amp;E'!M$7)/10</f>
        <v>669116.6</v>
      </c>
      <c r="N50" s="411">
        <f>SUMIFS('Data FT-TS-Cashout-P'!$H$14:$H$4704,'Data FT-TS-Cashout-P'!$A$6:$A$4696,'Mar16-Aug16 FT-TS-Cashout-LG&amp;E'!N$4,'Data FT-TS-Cashout-P'!$B$14:$B$4704,'Mar16-Aug16 FT-TS-Cashout-LG&amp;E'!$C$60,'Data FT-TS-Cashout-P'!$D$14:$D$4704,'Mar16-Aug16 FT-TS-Cashout-LG&amp;E'!$F$50,'Data FT-TS-Cashout-P'!$E$14:$E$4704,'Mar16-Aug16 FT-TS-Cashout-LG&amp;E'!$H$12,'Data FT-TS-Cashout-P'!$F$14:$F$4704,'Mar16-Aug16 FT-TS-Cashout-LG&amp;E'!N$7)/10</f>
        <v>625035.30000000005</v>
      </c>
      <c r="O50" s="411">
        <f>SUMIFS('Data FT-TS-Cashout-P'!$H$14:$H$4704,'Data FT-TS-Cashout-P'!$A$6:$A$4696,'Mar16-Aug16 FT-TS-Cashout-LG&amp;E'!O$4,'Data FT-TS-Cashout-P'!$B$14:$B$4704,'Mar16-Aug16 FT-TS-Cashout-LG&amp;E'!$C$60,'Data FT-TS-Cashout-P'!$D$14:$D$4704,'Mar16-Aug16 FT-TS-Cashout-LG&amp;E'!$F$50,'Data FT-TS-Cashout-P'!$E$14:$E$4704,'Mar16-Aug16 FT-TS-Cashout-LG&amp;E'!$H$12,'Data FT-TS-Cashout-P'!$F$14:$F$4704,'Mar16-Aug16 FT-TS-Cashout-LG&amp;E'!O$7)/10</f>
        <v>688301.6</v>
      </c>
      <c r="P50" s="574">
        <f>SUM(J50:O50)</f>
        <v>4740793.5</v>
      </c>
      <c r="Q50" s="593"/>
    </row>
    <row r="51" spans="2:20" x14ac:dyDescent="0.2">
      <c r="B51" s="327"/>
      <c r="C51" s="328" t="s">
        <v>52</v>
      </c>
      <c r="D51" s="328" t="str">
        <f t="shared" si="15"/>
        <v>896</v>
      </c>
      <c r="E51" s="327" t="str">
        <f>VLOOKUP($C51,'Retail Rates'!$B$45:$R$53,3,FALSE)</f>
        <v>FT-I</v>
      </c>
      <c r="F51" s="329" t="s">
        <v>663</v>
      </c>
      <c r="G51" s="329" t="s">
        <v>270</v>
      </c>
      <c r="H51" s="329"/>
      <c r="I51" s="327">
        <f>VLOOKUP($C51,'Retail Rates'!$B$44:$O$53,6,FALSE)</f>
        <v>550</v>
      </c>
      <c r="J51" s="327">
        <f>VLOOKUP($C51,'Retail Rates'!$B$44:$O$53,6,FALSE)</f>
        <v>550</v>
      </c>
      <c r="K51" s="327">
        <f>VLOOKUP($C51,'Retail Rates'!$B$44:$O$53,6,FALSE)</f>
        <v>550</v>
      </c>
      <c r="L51" s="327">
        <f>VLOOKUP($C51,'Retail Rates'!$B$44:$O$53,6,FALSE)</f>
        <v>550</v>
      </c>
      <c r="M51" s="327">
        <f>VLOOKUP($C51,'Retail Rates'!$B$44:$O$53,6,FALSE)</f>
        <v>550</v>
      </c>
      <c r="N51" s="327">
        <f>VLOOKUP($C51,'Retail Rates'!$B$44:$O$53,6,FALSE)</f>
        <v>550</v>
      </c>
      <c r="O51" s="327">
        <f>VLOOKUP($C51,'Retail Rates'!$B$44:$O$53,6,FALSE)</f>
        <v>550</v>
      </c>
      <c r="P51" s="575"/>
    </row>
    <row r="52" spans="2:20" x14ac:dyDescent="0.2">
      <c r="B52" s="327"/>
      <c r="C52" s="328" t="s">
        <v>52</v>
      </c>
      <c r="D52" s="328" t="str">
        <f t="shared" si="15"/>
        <v>896</v>
      </c>
      <c r="E52" s="327" t="str">
        <f>VLOOKUP($C52,'Retail Rates'!$B$45:$R$53,3,FALSE)</f>
        <v>FT-I</v>
      </c>
      <c r="F52" s="329" t="s">
        <v>663</v>
      </c>
      <c r="G52" s="329" t="s">
        <v>271</v>
      </c>
      <c r="H52" s="329"/>
      <c r="I52" s="327">
        <f>VLOOKUP($C52,'Retail Rates'!$B$44:$O$53,7,FALSE)</f>
        <v>0.43020000000000003</v>
      </c>
      <c r="J52" s="327">
        <f>VLOOKUP($C52,'Retail Rates'!$B$44:$O$53,7,FALSE)</f>
        <v>0.43020000000000003</v>
      </c>
      <c r="K52" s="327">
        <f>VLOOKUP($C52,'Retail Rates'!$B$44:$O$53,7,FALSE)</f>
        <v>0.43020000000000003</v>
      </c>
      <c r="L52" s="327">
        <f>VLOOKUP($C52,'Retail Rates'!$B$44:$O$53,7,FALSE)</f>
        <v>0.43020000000000003</v>
      </c>
      <c r="M52" s="327">
        <f>VLOOKUP($C52,'Retail Rates'!$B$44:$O$53,7,FALSE)</f>
        <v>0.43020000000000003</v>
      </c>
      <c r="N52" s="327">
        <f>VLOOKUP($C52,'Retail Rates'!$B$44:$O$53,7,FALSE)</f>
        <v>0.43020000000000003</v>
      </c>
      <c r="O52" s="327">
        <f>VLOOKUP($C52,'Retail Rates'!$B$44:$O$53,7,FALSE)</f>
        <v>0.43020000000000003</v>
      </c>
      <c r="P52" s="575"/>
    </row>
    <row r="53" spans="2:20" x14ac:dyDescent="0.2">
      <c r="B53" s="327"/>
      <c r="C53" s="328" t="s">
        <v>52</v>
      </c>
      <c r="D53" s="328" t="str">
        <f t="shared" si="15"/>
        <v>896</v>
      </c>
      <c r="E53" s="327" t="str">
        <f>VLOOKUP($C53,'Retail Rates'!$B$45:$R$53,3,FALSE)</f>
        <v>FT-I</v>
      </c>
      <c r="F53" s="329" t="s">
        <v>663</v>
      </c>
      <c r="G53" s="332" t="s">
        <v>533</v>
      </c>
      <c r="H53" s="332"/>
      <c r="I53" s="393">
        <f>SUMIF('GSC-DSM-GLT Factors'!$A$40:$A$58,'Mar16-Aug16 FT-TS-Cashout-LG&amp;E'!I$5,'GSC-DSM-GLT Factors'!$F$40:$F$58)</f>
        <v>0</v>
      </c>
      <c r="J53" s="393">
        <f>SUMIF('GSC-DSM-GLT Factors'!$A$36:$A$58,'Mar16-Aug16 FT-TS-Cashout-LG&amp;E'!J$5,'GSC-DSM-GLT Factors'!$F$36:$F$58)</f>
        <v>0</v>
      </c>
      <c r="K53" s="393">
        <f>SUMIF('GSC-DSM-GLT Factors'!$A$36:$A$58,'Mar16-Aug16 FT-TS-Cashout-LG&amp;E'!K$5,'GSC-DSM-GLT Factors'!$F$36:$F$58)</f>
        <v>0</v>
      </c>
      <c r="L53" s="393">
        <f>SUMIF('GSC-DSM-GLT Factors'!$A$36:$A$58,'Mar16-Aug16 FT-TS-Cashout-LG&amp;E'!L$5,'GSC-DSM-GLT Factors'!$F$36:$F$58)</f>
        <v>0</v>
      </c>
      <c r="M53" s="393">
        <f>SUMIF('GSC-DSM-GLT Factors'!$A$36:$A$58,'Mar16-Aug16 FT-TS-Cashout-LG&amp;E'!M$5,'GSC-DSM-GLT Factors'!$F$36:$F$58)</f>
        <v>0</v>
      </c>
      <c r="N53" s="393">
        <f>SUMIF('GSC-DSM-GLT Factors'!$A$36:$A$58,'Mar16-Aug16 FT-TS-Cashout-LG&amp;E'!N$5,'GSC-DSM-GLT Factors'!$F$36:$F$58)</f>
        <v>0</v>
      </c>
      <c r="O53" s="393">
        <f>SUMIF('GSC-DSM-GLT Factors'!$A$36:$A$58,'Mar16-Aug16 FT-TS-Cashout-LG&amp;E'!O$5,'GSC-DSM-GLT Factors'!$F$36:$F$58)</f>
        <v>0</v>
      </c>
      <c r="P53" s="575"/>
    </row>
    <row r="54" spans="2:20" x14ac:dyDescent="0.2">
      <c r="B54" s="327"/>
      <c r="C54" s="328" t="s">
        <v>52</v>
      </c>
      <c r="D54" s="328" t="str">
        <f t="shared" si="15"/>
        <v>896</v>
      </c>
      <c r="E54" s="327" t="str">
        <f>VLOOKUP($C54,'Retail Rates'!$B$45:$R$53,3,FALSE)</f>
        <v>FT-I</v>
      </c>
      <c r="F54" s="329" t="s">
        <v>663</v>
      </c>
      <c r="G54" s="332" t="s">
        <v>534</v>
      </c>
      <c r="H54" s="332"/>
      <c r="I54" s="327">
        <f>VLOOKUP($C54,'Retail Rates'!$B$44:$O$53,10,FALSE)</f>
        <v>0.18329999999999999</v>
      </c>
      <c r="J54" s="327">
        <f>VLOOKUP($C54,'Retail Rates'!$B$44:$O$53,10,FALSE)</f>
        <v>0.18329999999999999</v>
      </c>
      <c r="K54" s="327">
        <f>VLOOKUP($C54,'Retail Rates'!$B$44:$O$53,10,FALSE)</f>
        <v>0.18329999999999999</v>
      </c>
      <c r="L54" s="327">
        <f>VLOOKUP($C54,'Retail Rates'!$B$44:$O$53,10,FALSE)</f>
        <v>0.18329999999999999</v>
      </c>
      <c r="M54" s="327">
        <f>VLOOKUP($C54,'Retail Rates'!$B$44:$O$53,10,FALSE)</f>
        <v>0.18329999999999999</v>
      </c>
      <c r="N54" s="327">
        <f>VLOOKUP($C54,'Retail Rates'!$B$44:$O$53,10,FALSE)</f>
        <v>0.18329999999999999</v>
      </c>
      <c r="O54" s="327">
        <f>VLOOKUP($C54,'Retail Rates'!$B$44:$O$53,10,FALSE)</f>
        <v>0.18329999999999999</v>
      </c>
      <c r="P54" s="575"/>
    </row>
    <row r="55" spans="2:20" x14ac:dyDescent="0.2">
      <c r="B55" s="327"/>
      <c r="C55" s="328" t="s">
        <v>52</v>
      </c>
      <c r="D55" s="328" t="str">
        <f t="shared" si="15"/>
        <v>896</v>
      </c>
      <c r="E55" s="327" t="str">
        <f>VLOOKUP($C55,'Retail Rates'!$B$45:$R$53,3,FALSE)</f>
        <v>FT-I</v>
      </c>
      <c r="F55" s="329" t="s">
        <v>663</v>
      </c>
      <c r="G55" s="333"/>
      <c r="H55" s="333"/>
      <c r="I55" s="327"/>
      <c r="J55" s="327"/>
      <c r="K55" s="327"/>
      <c r="L55" s="327"/>
      <c r="M55" s="327"/>
      <c r="N55" s="327"/>
      <c r="O55" s="327"/>
      <c r="P55" s="575"/>
      <c r="Q55" s="361"/>
    </row>
    <row r="56" spans="2:20" ht="15" x14ac:dyDescent="0.25">
      <c r="B56" s="327"/>
      <c r="C56" s="328" t="s">
        <v>52</v>
      </c>
      <c r="D56" s="328" t="str">
        <f t="shared" si="15"/>
        <v>896</v>
      </c>
      <c r="E56" s="327" t="str">
        <f>VLOOKUP($C56,'Retail Rates'!$B$45:$R$53,3,FALSE)</f>
        <v>FT-I</v>
      </c>
      <c r="F56" s="329" t="s">
        <v>663</v>
      </c>
      <c r="G56" s="334" t="s">
        <v>273</v>
      </c>
      <c r="H56" s="334"/>
      <c r="I56" s="444"/>
      <c r="J56" s="444"/>
      <c r="K56" s="444"/>
      <c r="L56" s="444"/>
      <c r="M56" s="444"/>
      <c r="N56" s="444"/>
      <c r="O56" s="444"/>
      <c r="P56" s="576"/>
      <c r="Q56" s="73"/>
    </row>
    <row r="57" spans="2:20" x14ac:dyDescent="0.2">
      <c r="B57" s="327"/>
      <c r="C57" s="328" t="s">
        <v>52</v>
      </c>
      <c r="D57" s="328" t="str">
        <f t="shared" si="15"/>
        <v>896</v>
      </c>
      <c r="E57" s="327" t="str">
        <f>VLOOKUP($C57,'Retail Rates'!$B$45:$R$53,3,FALSE)</f>
        <v>FT-I</v>
      </c>
      <c r="F57" s="329" t="s">
        <v>663</v>
      </c>
      <c r="G57" s="329" t="s">
        <v>274</v>
      </c>
      <c r="H57" s="325" t="s">
        <v>524</v>
      </c>
      <c r="I57" s="396">
        <f>SUMIFS('Data FT-TS-Cashout-P'!$G$14:$G$4704,'Data FT-TS-Cashout-P'!$A$14:$A$4704,'Mar16-Aug16 FT-TS-Cashout-LG&amp;E'!I$4,'Data FT-TS-Cashout-P'!$B$14:$B$4704,'Mar16-Aug16 FT-TS-Cashout-LG&amp;E'!$C$57,'Data FT-TS-Cashout-P'!$D$14:$D$4704,'Mar16-Aug16 FT-TS-Cashout-LG&amp;E'!$F$57,'Data FT-TS-Cashout-P'!$E$14:$E$4704,'Mar16-Aug16 FT-TS-Cashout-LG&amp;E'!$H$57,'Data FT-TS-Cashout-P'!$F$14:$F$4704,'Mar16-Aug16 FT-TS-Cashout-LG&amp;E'!I$6)</f>
        <v>34650</v>
      </c>
      <c r="J57" s="396">
        <f>SUMIFS('Data FT-TS-Cashout-P'!$G$14:$G$4704,'Data FT-TS-Cashout-P'!$A$14:$A$4704,'Mar16-Aug16 FT-TS-Cashout-LG&amp;E'!J$4,'Data FT-TS-Cashout-P'!$B$14:$B$4704,'Mar16-Aug16 FT-TS-Cashout-LG&amp;E'!$C$57,'Data FT-TS-Cashout-P'!$D$14:$D$4704,'Mar16-Aug16 FT-TS-Cashout-LG&amp;E'!$F$57,'Data FT-TS-Cashout-P'!$E$14:$E$4704,'Mar16-Aug16 FT-TS-Cashout-LG&amp;E'!$H$57,'Data FT-TS-Cashout-P'!$F$14:$F$4704,'Mar16-Aug16 FT-TS-Cashout-LG&amp;E'!J$6)</f>
        <v>34650</v>
      </c>
      <c r="K57" s="396">
        <f>SUMIFS('Data FT-TS-Cashout-P'!$G$14:$G$4704,'Data FT-TS-Cashout-P'!$A$14:$A$4704,'Mar16-Aug16 FT-TS-Cashout-LG&amp;E'!K$4,'Data FT-TS-Cashout-P'!$B$14:$B$4704,'Mar16-Aug16 FT-TS-Cashout-LG&amp;E'!$C$57,'Data FT-TS-Cashout-P'!$D$14:$D$4704,'Mar16-Aug16 FT-TS-Cashout-LG&amp;E'!$F$57,'Data FT-TS-Cashout-P'!$E$14:$E$4704,'Mar16-Aug16 FT-TS-Cashout-LG&amp;E'!$H$57,'Data FT-TS-Cashout-P'!$F$14:$F$4704,'Mar16-Aug16 FT-TS-Cashout-LG&amp;E'!K$6)</f>
        <v>34650</v>
      </c>
      <c r="L57" s="396">
        <f>SUMIFS('Data FT-TS-Cashout-P'!$G$14:$G$4704,'Data FT-TS-Cashout-P'!$A$14:$A$4704,'Mar16-Aug16 FT-TS-Cashout-LG&amp;E'!L$4,'Data FT-TS-Cashout-P'!$B$14:$B$4704,'Mar16-Aug16 FT-TS-Cashout-LG&amp;E'!$C$60,'Data FT-TS-Cashout-P'!$D$14:$D$4704,'Mar16-Aug16 FT-TS-Cashout-LG&amp;E'!$F$57,'Data FT-TS-Cashout-P'!$E$14:$E$4704,'Mar16-Aug16 FT-TS-Cashout-LG&amp;E'!$H$57,'Data FT-TS-Cashout-P'!$F$14:$F$4704,'Mar16-Aug16 FT-TS-Cashout-LG&amp;E'!L$7)</f>
        <v>35750</v>
      </c>
      <c r="M57" s="396">
        <f>SUMIFS('Data FT-TS-Cashout-P'!$G$14:$G$4704,'Data FT-TS-Cashout-P'!$A$14:$A$4704,'Mar16-Aug16 FT-TS-Cashout-LG&amp;E'!M$4,'Data FT-TS-Cashout-P'!$B$14:$B$4704,'Mar16-Aug16 FT-TS-Cashout-LG&amp;E'!$C$60,'Data FT-TS-Cashout-P'!$D$14:$D$4704,'Mar16-Aug16 FT-TS-Cashout-LG&amp;E'!$F$57,'Data FT-TS-Cashout-P'!$E$14:$E$4704,'Mar16-Aug16 FT-TS-Cashout-LG&amp;E'!$H$57,'Data FT-TS-Cashout-P'!$F$14:$F$4704,'Mar16-Aug16 FT-TS-Cashout-LG&amp;E'!M$6)</f>
        <v>33550</v>
      </c>
      <c r="N57" s="396">
        <f>SUMIFS('Data FT-TS-Cashout-P'!$G$14:$G$4704,'Data FT-TS-Cashout-P'!$A$14:$A$4704,'Mar16-Aug16 FT-TS-Cashout-LG&amp;E'!N$4,'Data FT-TS-Cashout-P'!$B$14:$B$4704,'Mar16-Aug16 FT-TS-Cashout-LG&amp;E'!$C$60,'Data FT-TS-Cashout-P'!$D$14:$D$4704,'Mar16-Aug16 FT-TS-Cashout-LG&amp;E'!$F$57,'Data FT-TS-Cashout-P'!$E$14:$E$4704,'Mar16-Aug16 FT-TS-Cashout-LG&amp;E'!$H$57,'Data FT-TS-Cashout-P'!$F$14:$F$4704,'Mar16-Aug16 FT-TS-Cashout-LG&amp;E'!N$6)</f>
        <v>34650</v>
      </c>
      <c r="O57" s="396">
        <f>SUMIFS('Data FT-TS-Cashout-P'!$G$14:$G$4704,'Data FT-TS-Cashout-P'!$A$14:$A$4704,'Mar16-Aug16 FT-TS-Cashout-LG&amp;E'!O$4,'Data FT-TS-Cashout-P'!$B$14:$B$4704,'Mar16-Aug16 FT-TS-Cashout-LG&amp;E'!$C$60,'Data FT-TS-Cashout-P'!$D$14:$D$4704,'Mar16-Aug16 FT-TS-Cashout-LG&amp;E'!$F$57,'Data FT-TS-Cashout-P'!$E$14:$E$4704,'Mar16-Aug16 FT-TS-Cashout-LG&amp;E'!$H$57,'Data FT-TS-Cashout-P'!$F$14:$F$4704,'Mar16-Aug16 FT-TS-Cashout-LG&amp;E'!O$6)</f>
        <v>34650</v>
      </c>
      <c r="P57" s="574">
        <f t="shared" ref="P57:P67" si="16">SUM(J57:O57)</f>
        <v>207900</v>
      </c>
      <c r="Q57" s="361"/>
      <c r="T57" s="403"/>
    </row>
    <row r="58" spans="2:20" x14ac:dyDescent="0.2">
      <c r="B58" s="327"/>
      <c r="C58" s="328" t="s">
        <v>52</v>
      </c>
      <c r="D58" s="328" t="str">
        <f t="shared" si="15"/>
        <v>896</v>
      </c>
      <c r="E58" s="327" t="str">
        <f>VLOOKUP($C58,'Retail Rates'!$B$45:$R$53,3,FALSE)</f>
        <v>FT-I</v>
      </c>
      <c r="F58" s="329" t="s">
        <v>663</v>
      </c>
      <c r="G58" s="329" t="s">
        <v>275</v>
      </c>
      <c r="H58" s="329"/>
      <c r="I58" s="397">
        <f t="shared" ref="I58:O58" si="17">ROUND(I50*I52,2)</f>
        <v>527831.14</v>
      </c>
      <c r="J58" s="397">
        <f t="shared" si="17"/>
        <v>455271.5</v>
      </c>
      <c r="K58" s="397">
        <f t="shared" si="17"/>
        <v>367113.67</v>
      </c>
      <c r="L58" s="397">
        <f t="shared" si="17"/>
        <v>364252.71</v>
      </c>
      <c r="M58" s="397">
        <f t="shared" si="17"/>
        <v>287853.96000000002</v>
      </c>
      <c r="N58" s="397">
        <f t="shared" si="17"/>
        <v>268890.19</v>
      </c>
      <c r="O58" s="397">
        <f t="shared" si="17"/>
        <v>296107.34999999998</v>
      </c>
      <c r="P58" s="574">
        <f t="shared" si="16"/>
        <v>2039489.38</v>
      </c>
      <c r="Q58" s="361"/>
    </row>
    <row r="59" spans="2:20" x14ac:dyDescent="0.2">
      <c r="B59" s="327"/>
      <c r="C59" s="328" t="s">
        <v>52</v>
      </c>
      <c r="D59" s="328" t="str">
        <f t="shared" si="15"/>
        <v>896</v>
      </c>
      <c r="E59" s="327" t="str">
        <f>VLOOKUP($C59,'Retail Rates'!$B$45:$R$53,3,FALSE)</f>
        <v>FT-I</v>
      </c>
      <c r="F59" s="329" t="s">
        <v>663</v>
      </c>
      <c r="G59" s="329" t="s">
        <v>276</v>
      </c>
      <c r="H59" s="329"/>
      <c r="I59" s="398">
        <f t="shared" ref="I59:O59" si="18">SUM(I57:I58)</f>
        <v>562481.14</v>
      </c>
      <c r="J59" s="398">
        <f t="shared" si="18"/>
        <v>489921.5</v>
      </c>
      <c r="K59" s="398">
        <f t="shared" si="18"/>
        <v>401763.67</v>
      </c>
      <c r="L59" s="398">
        <f t="shared" si="18"/>
        <v>400002.71</v>
      </c>
      <c r="M59" s="398">
        <f t="shared" si="18"/>
        <v>321403.96000000002</v>
      </c>
      <c r="N59" s="398">
        <f t="shared" si="18"/>
        <v>303540.19</v>
      </c>
      <c r="O59" s="398">
        <f t="shared" si="18"/>
        <v>330757.34999999998</v>
      </c>
      <c r="P59" s="574">
        <f t="shared" si="16"/>
        <v>2247389.38</v>
      </c>
    </row>
    <row r="60" spans="2:20" x14ac:dyDescent="0.2">
      <c r="B60" s="327"/>
      <c r="C60" s="328" t="s">
        <v>933</v>
      </c>
      <c r="D60" s="328" t="str">
        <f t="shared" si="15"/>
        <v>896</v>
      </c>
      <c r="E60" s="327" t="s">
        <v>934</v>
      </c>
      <c r="F60" s="329" t="s">
        <v>663</v>
      </c>
      <c r="G60" s="329" t="s">
        <v>277</v>
      </c>
      <c r="H60" s="325" t="s">
        <v>198</v>
      </c>
      <c r="I60" s="396">
        <f>SUMIFS('Data FT-TS-Cashout-P'!$O$14:$O$4704,'Data FT-TS-Cashout-P'!$A$14:$A$4704,'Mar16-Aug16 FT-TS-Cashout-LG&amp;E'!I$4,'Data FT-TS-Cashout-P'!$B$14:$B$4704,'Mar16-Aug16 FT-TS-Cashout-LG&amp;E'!$C$60,'Data FT-TS-Cashout-P'!$D$14:$D$4704,'Mar16-Aug16 FT-TS-Cashout-LG&amp;E'!$F$60,'Data FT-TS-Cashout-P'!$E$14:$E$4704,'Mar16-Aug16 FT-TS-Cashout-LG&amp;E'!$H$60,'Data FT-TS-Cashout-P'!$F$14:$F$4704,'Mar16-Aug16 FT-TS-Cashout-LG&amp;E'!I$6)</f>
        <v>0</v>
      </c>
      <c r="J60" s="396">
        <f>SUMIFS('Data FT-TS-Cashout-P'!$O$14:$O$4704,'Data FT-TS-Cashout-P'!$A$14:$A$4704,'Mar16-Aug16 FT-TS-Cashout-LG&amp;E'!J$4,'Data FT-TS-Cashout-P'!$B$14:$B$4704,'Mar16-Aug16 FT-TS-Cashout-LG&amp;E'!$C$60,'Data FT-TS-Cashout-P'!$D$14:$D$4704,'Mar16-Aug16 FT-TS-Cashout-LG&amp;E'!$F$60,'Data FT-TS-Cashout-P'!$E$14:$E$4704,'Mar16-Aug16 FT-TS-Cashout-LG&amp;E'!$H$60,'Data FT-TS-Cashout-P'!$F$14:$F$4704,'Mar16-Aug16 FT-TS-Cashout-LG&amp;E'!J$6)</f>
        <v>0</v>
      </c>
      <c r="K60" s="396">
        <f>SUMIFS('Data FT-TS-Cashout-P'!$O$14:$O$4704,'Data FT-TS-Cashout-P'!$A$14:$A$4704,'Mar16-Aug16 FT-TS-Cashout-LG&amp;E'!K$4,'Data FT-TS-Cashout-P'!$B$14:$B$4704,'Mar16-Aug16 FT-TS-Cashout-LG&amp;E'!$C$60,'Data FT-TS-Cashout-P'!$D$14:$D$4704,'Mar16-Aug16 FT-TS-Cashout-LG&amp;E'!$F$60,'Data FT-TS-Cashout-P'!$E$14:$E$4704,'Mar16-Aug16 FT-TS-Cashout-LG&amp;E'!$H$60,'Data FT-TS-Cashout-P'!$F$14:$F$4704,'Mar16-Aug16 FT-TS-Cashout-LG&amp;E'!K$6)</f>
        <v>0</v>
      </c>
      <c r="L60" s="396">
        <f>SUMIFS('Data FT-TS-Cashout-P'!$O$14:$O$4704,'Data FT-TS-Cashout-P'!$A$14:$A$4704,'Mar16-Aug16 FT-TS-Cashout-LG&amp;E'!L$4,'Data FT-TS-Cashout-P'!$B$14:$B$4704,'Mar16-Aug16 FT-TS-Cashout-LG&amp;E'!$C$60,'Data FT-TS-Cashout-P'!$D$14:$D$4704,'Mar16-Aug16 FT-TS-Cashout-LG&amp;E'!$F$60,'Data FT-TS-Cashout-P'!$E$14:$E$4704,'Mar16-Aug16 FT-TS-Cashout-LG&amp;E'!$H$60,'Data FT-TS-Cashout-P'!$F$14:$F$4704,'Mar16-Aug16 FT-TS-Cashout-LG&amp;E'!L$7)</f>
        <v>0</v>
      </c>
      <c r="M60" s="396">
        <f>SUMIFS('Data FT-TS-Cashout-P'!$O$14:$O$4704,'Data FT-TS-Cashout-P'!$A$14:$A$4704,'Mar16-Aug16 FT-TS-Cashout-LG&amp;E'!M$4,'Data FT-TS-Cashout-P'!$B$14:$B$4704,'Mar16-Aug16 FT-TS-Cashout-LG&amp;E'!$C$60,'Data FT-TS-Cashout-P'!$D$14:$D$4704,'Mar16-Aug16 FT-TS-Cashout-LG&amp;E'!$F$60,'Data FT-TS-Cashout-P'!$E$14:$E$4704,'Mar16-Aug16 FT-TS-Cashout-LG&amp;E'!$H$60,'Data FT-TS-Cashout-P'!$F$14:$F$4704,'Mar16-Aug16 FT-TS-Cashout-LG&amp;E'!M$6)</f>
        <v>0</v>
      </c>
      <c r="N60" s="396">
        <f>SUMIFS('Data FT-TS-Cashout-P'!$O$14:$O$4704,'Data FT-TS-Cashout-P'!$A$14:$A$4704,'Mar16-Aug16 FT-TS-Cashout-LG&amp;E'!N$4,'Data FT-TS-Cashout-P'!$B$14:$B$4704,'Mar16-Aug16 FT-TS-Cashout-LG&amp;E'!$C$60,'Data FT-TS-Cashout-P'!$D$14:$D$4704,'Mar16-Aug16 FT-TS-Cashout-LG&amp;E'!$F$60,'Data FT-TS-Cashout-P'!$E$14:$E$4704,'Mar16-Aug16 FT-TS-Cashout-LG&amp;E'!$H$60,'Data FT-TS-Cashout-P'!$F$14:$F$4704,'Mar16-Aug16 FT-TS-Cashout-LG&amp;E'!N$6)</f>
        <v>0</v>
      </c>
      <c r="O60" s="396">
        <f>SUMIFS('Data FT-TS-Cashout-P'!$O$14:$O$4704,'Data FT-TS-Cashout-P'!$A$14:$A$4704,'Mar16-Aug16 FT-TS-Cashout-LG&amp;E'!O$4,'Data FT-TS-Cashout-P'!$B$14:$B$4704,'Mar16-Aug16 FT-TS-Cashout-LG&amp;E'!$C$60,'Data FT-TS-Cashout-P'!$D$14:$D$4704,'Mar16-Aug16 FT-TS-Cashout-LG&amp;E'!$F$60,'Data FT-TS-Cashout-P'!$E$14:$E$4704,'Mar16-Aug16 FT-TS-Cashout-LG&amp;E'!$H$60,'Data FT-TS-Cashout-P'!$F$14:$F$4704,'Mar16-Aug16 FT-TS-Cashout-LG&amp;E'!O$6)</f>
        <v>0</v>
      </c>
      <c r="P60" s="574">
        <f t="shared" si="16"/>
        <v>0</v>
      </c>
    </row>
    <row r="61" spans="2:20" x14ac:dyDescent="0.2">
      <c r="B61" s="327"/>
      <c r="C61" s="328" t="s">
        <v>52</v>
      </c>
      <c r="D61" s="328" t="str">
        <f t="shared" si="15"/>
        <v>896</v>
      </c>
      <c r="E61" s="327" t="str">
        <f>VLOOKUP($C61,'Retail Rates'!$B$45:$R$53,3,FALSE)</f>
        <v>FT-I</v>
      </c>
      <c r="F61" s="329" t="s">
        <v>663</v>
      </c>
      <c r="G61" s="329" t="s">
        <v>500</v>
      </c>
      <c r="H61" s="325" t="s">
        <v>676</v>
      </c>
      <c r="I61" s="396">
        <f>SUMIFS('Data FT-TS-Cashout-P'!$U$14:$U$4704,'Data FT-TS-Cashout-P'!$A$14:$A$4704,'Mar16-Aug16 FT-TS-Cashout-LG&amp;E'!I$4,'Data FT-TS-Cashout-P'!$B$14:$B$4704,'Mar16-Aug16 FT-TS-Cashout-LG&amp;E'!$C$61,'Data FT-TS-Cashout-P'!$D$14:$D$4704,'Mar16-Aug16 FT-TS-Cashout-LG&amp;E'!$F$61,'Data FT-TS-Cashout-P'!$E$14:$E$4704,'Mar16-Aug16 FT-TS-Cashout-LG&amp;E'!$H$61,'Data FT-TS-Cashout-P'!$F$14:$F$4704,'Mar16-Aug16 FT-TS-Cashout-LG&amp;E'!I$6)</f>
        <v>567.20000000000005</v>
      </c>
      <c r="J61" s="396">
        <f>SUMIFS('Data FT-TS-Cashout-P'!$U$14:$U$4704,'Data FT-TS-Cashout-P'!$A$14:$A$4704,'Mar16-Aug16 FT-TS-Cashout-LG&amp;E'!J$4,'Data FT-TS-Cashout-P'!$B$14:$B$4704,'Mar16-Aug16 FT-TS-Cashout-LG&amp;E'!$C$61,'Data FT-TS-Cashout-P'!$D$14:$D$4704,'Mar16-Aug16 FT-TS-Cashout-LG&amp;E'!$F$61,'Data FT-TS-Cashout-P'!$E$14:$E$4704,'Mar16-Aug16 FT-TS-Cashout-LG&amp;E'!$H$61,'Data FT-TS-Cashout-P'!$F$14:$F$4704,'Mar16-Aug16 FT-TS-Cashout-LG&amp;E'!J$6)</f>
        <v>595.96</v>
      </c>
      <c r="K61" s="396">
        <f>SUMIFS('Data FT-TS-Cashout-P'!$U$14:$U$4704,'Data FT-TS-Cashout-P'!$A$14:$A$4704,'Mar16-Aug16 FT-TS-Cashout-LG&amp;E'!K$4,'Data FT-TS-Cashout-P'!$B$14:$B$4704,'Mar16-Aug16 FT-TS-Cashout-LG&amp;E'!$C$61,'Data FT-TS-Cashout-P'!$D$14:$D$4704,'Mar16-Aug16 FT-TS-Cashout-LG&amp;E'!$F$61,'Data FT-TS-Cashout-P'!$E$14:$E$4704,'Mar16-Aug16 FT-TS-Cashout-LG&amp;E'!$H$61,'Data FT-TS-Cashout-P'!$F$14:$F$4704,'Mar16-Aug16 FT-TS-Cashout-LG&amp;E'!K$6)</f>
        <v>620.94000000000005</v>
      </c>
      <c r="L61" s="396">
        <f>SUMIFS('Data FT-TS-Cashout-P'!$U$14:$U$4704,'Data FT-TS-Cashout-P'!$A$14:$A$4704,'Mar16-Aug16 FT-TS-Cashout-LG&amp;E'!L$4,'Data FT-TS-Cashout-P'!$B$14:$B$4704,'Mar16-Aug16 FT-TS-Cashout-LG&amp;E'!$C$60,'Data FT-TS-Cashout-P'!$D$14:$D$4704,'Mar16-Aug16 FT-TS-Cashout-LG&amp;E'!$F$61,'Data FT-TS-Cashout-P'!$E$14:$E$4704,'Mar16-Aug16 FT-TS-Cashout-LG&amp;E'!$H$61,'Data FT-TS-Cashout-P'!$F$14:$F$4704,'Mar16-Aug16 FT-TS-Cashout-LG&amp;E'!L$7)</f>
        <v>533.41999999999996</v>
      </c>
      <c r="M61" s="396">
        <f>SUMIFS('Data FT-TS-Cashout-P'!$U$14:$U$4704,'Data FT-TS-Cashout-P'!$A$14:$A$4704,'Mar16-Aug16 FT-TS-Cashout-LG&amp;E'!M$4,'Data FT-TS-Cashout-P'!$B$14:$B$4704,'Mar16-Aug16 FT-TS-Cashout-LG&amp;E'!$C$60,'Data FT-TS-Cashout-P'!$D$14:$D$4704,'Mar16-Aug16 FT-TS-Cashout-LG&amp;E'!$F$61,'Data FT-TS-Cashout-P'!$E$14:$E$4704,'Mar16-Aug16 FT-TS-Cashout-LG&amp;E'!$H$61,'Data FT-TS-Cashout-P'!$F$14:$F$4704,'Mar16-Aug16 FT-TS-Cashout-LG&amp;E'!M$6)</f>
        <v>450.35</v>
      </c>
      <c r="N61" s="396">
        <f>SUMIFS('Data FT-TS-Cashout-P'!$U$14:$U$4704,'Data FT-TS-Cashout-P'!$A$14:$A$4704,'Mar16-Aug16 FT-TS-Cashout-LG&amp;E'!N$4,'Data FT-TS-Cashout-P'!$B$14:$B$4704,'Mar16-Aug16 FT-TS-Cashout-LG&amp;E'!$C$60,'Data FT-TS-Cashout-P'!$D$14:$D$4704,'Mar16-Aug16 FT-TS-Cashout-LG&amp;E'!$F$61,'Data FT-TS-Cashout-P'!$E$14:$E$4704,'Mar16-Aug16 FT-TS-Cashout-LG&amp;E'!$H$61,'Data FT-TS-Cashout-P'!$F$14:$F$4704,'Mar16-Aug16 FT-TS-Cashout-LG&amp;E'!N$6)</f>
        <v>548.91</v>
      </c>
      <c r="O61" s="396">
        <f>SUMIFS('Data FT-TS-Cashout-P'!$U$14:$U$4704,'Data FT-TS-Cashout-P'!$A$14:$A$4704,'Mar16-Aug16 FT-TS-Cashout-LG&amp;E'!O$4,'Data FT-TS-Cashout-P'!$B$14:$B$4704,'Mar16-Aug16 FT-TS-Cashout-LG&amp;E'!$C$60,'Data FT-TS-Cashout-P'!$D$14:$D$4704,'Mar16-Aug16 FT-TS-Cashout-LG&amp;E'!$F$61,'Data FT-TS-Cashout-P'!$E$14:$E$4704,'Mar16-Aug16 FT-TS-Cashout-LG&amp;E'!$H$61,'Data FT-TS-Cashout-P'!$F$14:$F$4704,'Mar16-Aug16 FT-TS-Cashout-LG&amp;E'!O$6)</f>
        <v>190.64</v>
      </c>
      <c r="P61" s="574">
        <f t="shared" si="16"/>
        <v>2940.22</v>
      </c>
      <c r="T61" s="403"/>
    </row>
    <row r="62" spans="2:20" x14ac:dyDescent="0.2">
      <c r="B62" s="327"/>
      <c r="C62" s="328" t="s">
        <v>52</v>
      </c>
      <c r="D62" s="328" t="str">
        <f t="shared" si="15"/>
        <v>896</v>
      </c>
      <c r="E62" s="327" t="str">
        <f>VLOOKUP($C62,'Retail Rates'!$B$45:$R$53,3,FALSE)</f>
        <v>FT-I</v>
      </c>
      <c r="F62" s="329" t="s">
        <v>663</v>
      </c>
      <c r="G62" s="329" t="s">
        <v>501</v>
      </c>
      <c r="H62" s="325" t="s">
        <v>677</v>
      </c>
      <c r="I62" s="396">
        <f>SUMIFS('Data FT-TS-Cashout-P'!$V$14:$V$4704,'Data FT-TS-Cashout-P'!$A$14:$A$4704,'Mar16-Aug16 FT-TS-Cashout-LG&amp;E'!I$4,'Data FT-TS-Cashout-P'!$B$14:$B$4704,'Mar16-Aug16 FT-TS-Cashout-LG&amp;E'!$C$62,'Data FT-TS-Cashout-P'!$D$14:$D$4704,'Mar16-Aug16 FT-TS-Cashout-LG&amp;E'!$F$62,'Data FT-TS-Cashout-P'!$E$14:$E$4704,'Mar16-Aug16 FT-TS-Cashout-LG&amp;E'!$H$62,'Data FT-TS-Cashout-P'!$F$14:$F$4704,'Mar16-Aug16 FT-TS-Cashout-LG&amp;E'!I$6)</f>
        <v>625.58000000000004</v>
      </c>
      <c r="J62" s="396">
        <f>SUMIFS('Data FT-TS-Cashout-P'!$V$14:$V$4704,'Data FT-TS-Cashout-P'!$A$14:$A$4704,'Mar16-Aug16 FT-TS-Cashout-LG&amp;E'!J$4,'Data FT-TS-Cashout-P'!$B$14:$B$4704,'Mar16-Aug16 FT-TS-Cashout-LG&amp;E'!$C$62,'Data FT-TS-Cashout-P'!$D$14:$D$4704,'Mar16-Aug16 FT-TS-Cashout-LG&amp;E'!$F$62,'Data FT-TS-Cashout-P'!$E$14:$E$4704,'Mar16-Aug16 FT-TS-Cashout-LG&amp;E'!$H$62,'Data FT-TS-Cashout-P'!$F$14:$F$4704,'Mar16-Aug16 FT-TS-Cashout-LG&amp;E'!J$6)</f>
        <v>657.28</v>
      </c>
      <c r="K62" s="396">
        <f>SUMIFS('Data FT-TS-Cashout-P'!$V$14:$V$4704,'Data FT-TS-Cashout-P'!$A$14:$A$4704,'Mar16-Aug16 FT-TS-Cashout-LG&amp;E'!K$4,'Data FT-TS-Cashout-P'!$B$14:$B$4704,'Mar16-Aug16 FT-TS-Cashout-LG&amp;E'!$C$62,'Data FT-TS-Cashout-P'!$D$14:$D$4704,'Mar16-Aug16 FT-TS-Cashout-LG&amp;E'!$F$62,'Data FT-TS-Cashout-P'!$E$14:$E$4704,'Mar16-Aug16 FT-TS-Cashout-LG&amp;E'!$H$62,'Data FT-TS-Cashout-P'!$F$14:$F$4704,'Mar16-Aug16 FT-TS-Cashout-LG&amp;E'!K$6)</f>
        <v>684.83</v>
      </c>
      <c r="L62" s="396">
        <f>SUMIFS('Data FT-TS-Cashout-P'!$V$14:$V$4704,'Data FT-TS-Cashout-P'!$A$14:$A$4704,'Mar16-Aug16 FT-TS-Cashout-LG&amp;E'!L$4,'Data FT-TS-Cashout-P'!$B$14:$B$4704,'Mar16-Aug16 FT-TS-Cashout-LG&amp;E'!$C$60,'Data FT-TS-Cashout-P'!$D$14:$D$4704,'Mar16-Aug16 FT-TS-Cashout-LG&amp;E'!$F$62,'Data FT-TS-Cashout-P'!$E$14:$E$4704,'Mar16-Aug16 FT-TS-Cashout-LG&amp;E'!$H$62,'Data FT-TS-Cashout-P'!$F$14:$F$4704,'Mar16-Aug16 FT-TS-Cashout-LG&amp;E'!L$7)</f>
        <v>584.42999999999995</v>
      </c>
      <c r="M62" s="396">
        <f>SUMIFS('Data FT-TS-Cashout-P'!$V$14:$V$4704,'Data FT-TS-Cashout-P'!$A$14:$A$4704,'Mar16-Aug16 FT-TS-Cashout-LG&amp;E'!M$4,'Data FT-TS-Cashout-P'!$B$14:$B$4704,'Mar16-Aug16 FT-TS-Cashout-LG&amp;E'!$C$60,'Data FT-TS-Cashout-P'!$D$14:$D$4704,'Mar16-Aug16 FT-TS-Cashout-LG&amp;E'!$F$62,'Data FT-TS-Cashout-P'!$E$14:$E$4704,'Mar16-Aug16 FT-TS-Cashout-LG&amp;E'!$H$62,'Data FT-TS-Cashout-P'!$F$14:$F$4704,'Mar16-Aug16 FT-TS-Cashout-LG&amp;E'!M$6)</f>
        <v>493.43</v>
      </c>
      <c r="N62" s="396">
        <f>SUMIFS('Data FT-TS-Cashout-P'!$V$14:$V$4704,'Data FT-TS-Cashout-P'!$A$14:$A$4704,'Mar16-Aug16 FT-TS-Cashout-LG&amp;E'!N$4,'Data FT-TS-Cashout-P'!$B$14:$B$4704,'Mar16-Aug16 FT-TS-Cashout-LG&amp;E'!$C$60,'Data FT-TS-Cashout-P'!$D$14:$D$4704,'Mar16-Aug16 FT-TS-Cashout-LG&amp;E'!$F$62,'Data FT-TS-Cashout-P'!$E$14:$E$4704,'Mar16-Aug16 FT-TS-Cashout-LG&amp;E'!$H$62,'Data FT-TS-Cashout-P'!$F$14:$F$4704,'Mar16-Aug16 FT-TS-Cashout-LG&amp;E'!N$6)</f>
        <v>601.41</v>
      </c>
      <c r="O62" s="396">
        <f>SUMIFS('Data FT-TS-Cashout-P'!$V$14:$V$4704,'Data FT-TS-Cashout-P'!$A$14:$A$4704,'Mar16-Aug16 FT-TS-Cashout-LG&amp;E'!O$4,'Data FT-TS-Cashout-P'!$B$14:$B$4704,'Mar16-Aug16 FT-TS-Cashout-LG&amp;E'!$C$60,'Data FT-TS-Cashout-P'!$D$14:$D$4704,'Mar16-Aug16 FT-TS-Cashout-LG&amp;E'!$F$62,'Data FT-TS-Cashout-P'!$E$14:$E$4704,'Mar16-Aug16 FT-TS-Cashout-LG&amp;E'!$H$62,'Data FT-TS-Cashout-P'!$F$14:$F$4704,'Mar16-Aug16 FT-TS-Cashout-LG&amp;E'!O$6)</f>
        <v>210.27</v>
      </c>
      <c r="P62" s="574">
        <f t="shared" si="16"/>
        <v>3231.6499999999996</v>
      </c>
      <c r="T62" s="403"/>
    </row>
    <row r="63" spans="2:20" x14ac:dyDescent="0.2">
      <c r="B63" s="327"/>
      <c r="C63" s="328" t="s">
        <v>52</v>
      </c>
      <c r="D63" s="328" t="str">
        <f t="shared" si="15"/>
        <v>896</v>
      </c>
      <c r="E63" s="327" t="str">
        <f>VLOOKUP($C63,'Retail Rates'!$B$45:$R$53,3,FALSE)</f>
        <v>FT-I</v>
      </c>
      <c r="F63" s="329" t="s">
        <v>663</v>
      </c>
      <c r="G63" s="329" t="s">
        <v>691</v>
      </c>
      <c r="H63" s="325" t="s">
        <v>671</v>
      </c>
      <c r="I63" s="396">
        <f>SUMIFS('Data FT-TS-Cashout-P'!$L$14:$L$4704,'Data FT-TS-Cashout-P'!$A$14:$A$4704,'Mar16-Aug16 FT-TS-Cashout-LG&amp;E'!I$4,'Data FT-TS-Cashout-P'!$B$14:$B$4704,'Mar16-Aug16 FT-TS-Cashout-LG&amp;E'!$C$63,'Data FT-TS-Cashout-P'!$D$14:$D$4704,'Mar16-Aug16 FT-TS-Cashout-LG&amp;E'!$F$63,'Data FT-TS-Cashout-P'!$E$14:$E$4704,'Mar16-Aug16 FT-TS-Cashout-LG&amp;E'!$H$63,'Data FT-TS-Cashout-P'!$F$14:$F$4704,'Mar16-Aug16 FT-TS-Cashout-LG&amp;E'!I$6)</f>
        <v>1350.44</v>
      </c>
      <c r="J63" s="396">
        <f>SUMIFS('Data FT-TS-Cashout-P'!$L$14:$L$4704,'Data FT-TS-Cashout-P'!$A$14:$A$4704,'Mar16-Aug16 FT-TS-Cashout-LG&amp;E'!J$4,'Data FT-TS-Cashout-P'!$B$14:$B$4704,'Mar16-Aug16 FT-TS-Cashout-LG&amp;E'!$C$63,'Data FT-TS-Cashout-P'!$D$14:$D$4704,'Mar16-Aug16 FT-TS-Cashout-LG&amp;E'!$F$63,'Data FT-TS-Cashout-P'!$E$14:$E$4704,'Mar16-Aug16 FT-TS-Cashout-LG&amp;E'!$H$63,'Data FT-TS-Cashout-P'!$F$14:$F$4704,'Mar16-Aug16 FT-TS-Cashout-LG&amp;E'!J$6)</f>
        <v>1442.35</v>
      </c>
      <c r="K63" s="396">
        <f>SUMIFS('Data FT-TS-Cashout-P'!$L$14:$L$4704,'Data FT-TS-Cashout-P'!$A$14:$A$4704,'Mar16-Aug16 FT-TS-Cashout-LG&amp;E'!K$4,'Data FT-TS-Cashout-P'!$B$14:$B$4704,'Mar16-Aug16 FT-TS-Cashout-LG&amp;E'!$C$63,'Data FT-TS-Cashout-P'!$D$14:$D$4704,'Mar16-Aug16 FT-TS-Cashout-LG&amp;E'!$F$63,'Data FT-TS-Cashout-P'!$E$14:$E$4704,'Mar16-Aug16 FT-TS-Cashout-LG&amp;E'!$H$63,'Data FT-TS-Cashout-P'!$F$14:$F$4704,'Mar16-Aug16 FT-TS-Cashout-LG&amp;E'!K$6)</f>
        <v>1601.59</v>
      </c>
      <c r="L63" s="396">
        <f>SUMIFS('Data FT-TS-Cashout-P'!$L$14:$L$4704,'Data FT-TS-Cashout-P'!$A$14:$A$4704,'Mar16-Aug16 FT-TS-Cashout-LG&amp;E'!L$4,'Data FT-TS-Cashout-P'!$B$14:$B$4704,'Mar16-Aug16 FT-TS-Cashout-LG&amp;E'!$C$60,'Data FT-TS-Cashout-P'!$D$14:$D$4704,'Mar16-Aug16 FT-TS-Cashout-LG&amp;E'!$F$63,'Data FT-TS-Cashout-P'!$E$14:$E$4704,'Mar16-Aug16 FT-TS-Cashout-LG&amp;E'!$H$63,'Data FT-TS-Cashout-P'!$F$14:$F$4704,'Mar16-Aug16 FT-TS-Cashout-LG&amp;E'!L$7)</f>
        <v>2516.8000000000002</v>
      </c>
      <c r="M63" s="396">
        <f>SUMIFS('Data FT-TS-Cashout-P'!$L$14:$L$4704,'Data FT-TS-Cashout-P'!$A$14:$A$4704,'Mar16-Aug16 FT-TS-Cashout-LG&amp;E'!M$4,'Data FT-TS-Cashout-P'!$B$14:$B$4704,'Mar16-Aug16 FT-TS-Cashout-LG&amp;E'!$C$60,'Data FT-TS-Cashout-P'!$D$14:$D$4704,'Mar16-Aug16 FT-TS-Cashout-LG&amp;E'!$F$63,'Data FT-TS-Cashout-P'!$E$14:$E$4704,'Mar16-Aug16 FT-TS-Cashout-LG&amp;E'!$H$63,'Data FT-TS-Cashout-P'!$F$14:$F$4704,'Mar16-Aug16 FT-TS-Cashout-LG&amp;E'!M$6)</f>
        <v>1558.97</v>
      </c>
      <c r="N63" s="396">
        <f>SUMIFS('Data FT-TS-Cashout-P'!$L$14:$L$4704,'Data FT-TS-Cashout-P'!$A$14:$A$4704,'Mar16-Aug16 FT-TS-Cashout-LG&amp;E'!N$4,'Data FT-TS-Cashout-P'!$B$14:$B$4704,'Mar16-Aug16 FT-TS-Cashout-LG&amp;E'!$C$60,'Data FT-TS-Cashout-P'!$D$14:$D$4704,'Mar16-Aug16 FT-TS-Cashout-LG&amp;E'!$F$63,'Data FT-TS-Cashout-P'!$E$14:$E$4704,'Mar16-Aug16 FT-TS-Cashout-LG&amp;E'!$H$63,'Data FT-TS-Cashout-P'!$F$14:$F$4704,'Mar16-Aug16 FT-TS-Cashout-LG&amp;E'!N$6)</f>
        <v>3709.53</v>
      </c>
      <c r="O63" s="396">
        <f>SUMIFS('Data FT-TS-Cashout-P'!$L$14:$L$4704,'Data FT-TS-Cashout-P'!$A$14:$A$4704,'Mar16-Aug16 FT-TS-Cashout-LG&amp;E'!O$4,'Data FT-TS-Cashout-P'!$B$14:$B$4704,'Mar16-Aug16 FT-TS-Cashout-LG&amp;E'!$C$60,'Data FT-TS-Cashout-P'!$D$14:$D$4704,'Mar16-Aug16 FT-TS-Cashout-LG&amp;E'!$F$63,'Data FT-TS-Cashout-P'!$E$14:$E$4704,'Mar16-Aug16 FT-TS-Cashout-LG&amp;E'!$H$63,'Data FT-TS-Cashout-P'!$F$14:$F$4704,'Mar16-Aug16 FT-TS-Cashout-LG&amp;E'!O$6)</f>
        <v>2367.5700000000002</v>
      </c>
      <c r="P63" s="574">
        <f t="shared" si="16"/>
        <v>13196.81</v>
      </c>
    </row>
    <row r="64" spans="2:20" x14ac:dyDescent="0.2">
      <c r="B64" s="327"/>
      <c r="C64" s="328" t="s">
        <v>52</v>
      </c>
      <c r="D64" s="328" t="str">
        <f t="shared" si="15"/>
        <v>896</v>
      </c>
      <c r="E64" s="327" t="str">
        <f>VLOOKUP($C64,'Retail Rates'!$B$45:$R$53,3,FALSE)</f>
        <v>FT-I</v>
      </c>
      <c r="F64" s="329" t="s">
        <v>663</v>
      </c>
      <c r="G64" s="329" t="s">
        <v>828</v>
      </c>
      <c r="H64" s="329"/>
      <c r="I64" s="327"/>
      <c r="J64" s="327"/>
      <c r="K64" s="327"/>
      <c r="L64" s="327"/>
      <c r="M64" s="327"/>
      <c r="N64" s="395"/>
      <c r="O64" s="327"/>
      <c r="P64" s="574">
        <f t="shared" si="16"/>
        <v>0</v>
      </c>
      <c r="T64" s="403"/>
    </row>
    <row r="65" spans="2:18" x14ac:dyDescent="0.2">
      <c r="B65" s="327"/>
      <c r="C65" s="328" t="s">
        <v>52</v>
      </c>
      <c r="D65" s="328" t="str">
        <f t="shared" si="15"/>
        <v>896</v>
      </c>
      <c r="E65" s="327" t="str">
        <f>VLOOKUP($C65,'Retail Rates'!$B$45:$R$53,3,FALSE)</f>
        <v>FT-I</v>
      </c>
      <c r="F65" s="329" t="s">
        <v>663</v>
      </c>
      <c r="G65" s="329" t="s">
        <v>682</v>
      </c>
      <c r="H65" s="325" t="s">
        <v>672</v>
      </c>
      <c r="I65" s="396">
        <f>SUMIFS('Data FT-TS-Cashout-P'!$T$14:$T$4704,'Data FT-TS-Cashout-P'!$A$14:$A$4704,'Mar16-Aug16 FT-TS-Cashout-LG&amp;E'!I$4,'Data FT-TS-Cashout-P'!$B$14:$B$4704,'Mar16-Aug16 FT-TS-Cashout-LG&amp;E'!$C$65,'Data FT-TS-Cashout-P'!$D$14:$D$4704,'Mar16-Aug16 FT-TS-Cashout-LG&amp;E'!$F$65,'Data FT-TS-Cashout-P'!$E$14:$E$4704,'Mar16-Aug16 FT-TS-Cashout-LG&amp;E'!$H$65,'Data FT-TS-Cashout-P'!$F$14:$F$4704,'Mar16-Aug16 FT-TS-Cashout-LG&amp;E'!I$6)</f>
        <v>6751.75</v>
      </c>
      <c r="J65" s="396">
        <f>SUMIFS('Data FT-TS-Cashout-P'!$T$14:$T$4704,'Data FT-TS-Cashout-P'!$A$14:$A$4704,'Mar16-Aug16 FT-TS-Cashout-LG&amp;E'!J$4,'Data FT-TS-Cashout-P'!$B$14:$B$4704,'Mar16-Aug16 FT-TS-Cashout-LG&amp;E'!$C$65,'Data FT-TS-Cashout-P'!$D$14:$D$4704,'Mar16-Aug16 FT-TS-Cashout-LG&amp;E'!$F$65,'Data FT-TS-Cashout-P'!$E$14:$E$4704,'Mar16-Aug16 FT-TS-Cashout-LG&amp;E'!$H$65,'Data FT-TS-Cashout-P'!$F$14:$F$4704,'Mar16-Aug16 FT-TS-Cashout-LG&amp;E'!J$6)</f>
        <v>0</v>
      </c>
      <c r="K65" s="396">
        <f>SUMIFS('Data FT-TS-Cashout-P'!$T$14:$T$4704,'Data FT-TS-Cashout-P'!$A$14:$A$4704,'Mar16-Aug16 FT-TS-Cashout-LG&amp;E'!K$4,'Data FT-TS-Cashout-P'!$B$14:$B$4704,'Mar16-Aug16 FT-TS-Cashout-LG&amp;E'!$C$65,'Data FT-TS-Cashout-P'!$D$14:$D$4704,'Mar16-Aug16 FT-TS-Cashout-LG&amp;E'!$F$65,'Data FT-TS-Cashout-P'!$E$14:$E$4704,'Mar16-Aug16 FT-TS-Cashout-LG&amp;E'!$H$65,'Data FT-TS-Cashout-P'!$F$14:$F$4704,'Mar16-Aug16 FT-TS-Cashout-LG&amp;E'!K$6)</f>
        <v>0</v>
      </c>
      <c r="L65" s="396">
        <f>SUMIFS('Data FT-TS-Cashout-P'!$T$14:$T$4704,'Data FT-TS-Cashout-P'!$A$14:$A$4704,'Mar16-Aug16 FT-TS-Cashout-LG&amp;E'!L$4,'Data FT-TS-Cashout-P'!$B$14:$B$4704,'Mar16-Aug16 FT-TS-Cashout-LG&amp;E'!$C$60,'Data FT-TS-Cashout-P'!$D$14:$D$4704,'Mar16-Aug16 FT-TS-Cashout-LG&amp;E'!$F$65,'Data FT-TS-Cashout-P'!$E$14:$E$4704,'Mar16-Aug16 FT-TS-Cashout-LG&amp;E'!$H$65,'Data FT-TS-Cashout-P'!$F$14:$F$4704,'Mar16-Aug16 FT-TS-Cashout-LG&amp;E'!L$7)</f>
        <v>0</v>
      </c>
      <c r="M65" s="396">
        <f>SUMIFS('Data FT-TS-Cashout-P'!$T$14:$T$4704,'Data FT-TS-Cashout-P'!$A$14:$A$4704,'Mar16-Aug16 FT-TS-Cashout-LG&amp;E'!M$4,'Data FT-TS-Cashout-P'!$B$14:$B$4704,'Mar16-Aug16 FT-TS-Cashout-LG&amp;E'!$C$60,'Data FT-TS-Cashout-P'!$D$14:$D$4704,'Mar16-Aug16 FT-TS-Cashout-LG&amp;E'!$F$65,'Data FT-TS-Cashout-P'!$E$14:$E$4704,'Mar16-Aug16 FT-TS-Cashout-LG&amp;E'!$H$65,'Data FT-TS-Cashout-P'!$F$14:$F$4704,'Mar16-Aug16 FT-TS-Cashout-LG&amp;E'!M$6)</f>
        <v>0</v>
      </c>
      <c r="N65" s="396">
        <f>SUMIFS('Data FT-TS-Cashout-P'!$T$14:$T$4704,'Data FT-TS-Cashout-P'!$A$14:$A$4704,'Mar16-Aug16 FT-TS-Cashout-LG&amp;E'!N$4,'Data FT-TS-Cashout-P'!$B$14:$B$4704,'Mar16-Aug16 FT-TS-Cashout-LG&amp;E'!$C$60,'Data FT-TS-Cashout-P'!$D$14:$D$4704,'Mar16-Aug16 FT-TS-Cashout-LG&amp;E'!$F$65,'Data FT-TS-Cashout-P'!$E$14:$E$4704,'Mar16-Aug16 FT-TS-Cashout-LG&amp;E'!$H$65,'Data FT-TS-Cashout-P'!$F$14:$F$4704,'Mar16-Aug16 FT-TS-Cashout-LG&amp;E'!N$6)</f>
        <v>0</v>
      </c>
      <c r="O65" s="396">
        <f>SUMIFS('Data FT-TS-Cashout-P'!$T$14:$T$4704,'Data FT-TS-Cashout-P'!$A$14:$A$4704,'Mar16-Aug16 FT-TS-Cashout-LG&amp;E'!O$4,'Data FT-TS-Cashout-P'!$B$14:$B$4704,'Mar16-Aug16 FT-TS-Cashout-LG&amp;E'!$C$60,'Data FT-TS-Cashout-P'!$D$14:$D$4704,'Mar16-Aug16 FT-TS-Cashout-LG&amp;E'!$F$65,'Data FT-TS-Cashout-P'!$E$14:$E$4704,'Mar16-Aug16 FT-TS-Cashout-LG&amp;E'!$H$65,'Data FT-TS-Cashout-P'!$F$14:$F$4704,'Mar16-Aug16 FT-TS-Cashout-LG&amp;E'!O$6)</f>
        <v>0</v>
      </c>
      <c r="P65" s="574">
        <f t="shared" si="16"/>
        <v>0</v>
      </c>
    </row>
    <row r="66" spans="2:18" x14ac:dyDescent="0.2">
      <c r="B66" s="327"/>
      <c r="C66" s="328" t="s">
        <v>52</v>
      </c>
      <c r="D66" s="328" t="str">
        <f>MID(C66,6,3)</f>
        <v>896</v>
      </c>
      <c r="E66" s="327" t="str">
        <f>VLOOKUP($C66,'Retail Rates'!$B$45:$R$53,3,FALSE)</f>
        <v>FT-I</v>
      </c>
      <c r="F66" s="329" t="s">
        <v>663</v>
      </c>
      <c r="G66" s="329" t="s">
        <v>764</v>
      </c>
      <c r="H66" s="325" t="s">
        <v>729</v>
      </c>
      <c r="I66" s="396">
        <f>SUMIFS('Data FT-TS-Cashout-P'!$Q$14:$Q$4704,'Data FT-TS-Cashout-P'!$A$14:$A$4704,'Mar16-Aug16 FT-TS-Cashout-LG&amp;E'!I$4,'Data FT-TS-Cashout-P'!$B$14:$B$4704,'Mar16-Aug16 FT-TS-Cashout-LG&amp;E'!$C$66,'Data FT-TS-Cashout-P'!$D$14:$D$4704,'Mar16-Aug16 FT-TS-Cashout-LG&amp;E'!$F$66,'Data FT-TS-Cashout-P'!$E$14:$E$4704,'Mar16-Aug16 FT-TS-Cashout-LG&amp;E'!$H$66,'Data FT-TS-Cashout-P'!$F$14:$F$4704,'Mar16-Aug16 FT-TS-Cashout-LG&amp;E'!I$6)</f>
        <v>-110.9</v>
      </c>
      <c r="J66" s="396">
        <f>SUMIFS('Data FT-TS-Cashout-P'!$Q$14:$Q$4704,'Data FT-TS-Cashout-P'!$A$14:$A$4704,'Mar16-Aug16 FT-TS-Cashout-LG&amp;E'!J$4,'Data FT-TS-Cashout-P'!$B$14:$B$4704,'Mar16-Aug16 FT-TS-Cashout-LG&amp;E'!$C$66,'Data FT-TS-Cashout-P'!$D$14:$D$4704,'Mar16-Aug16 FT-TS-Cashout-LG&amp;E'!$F$66,'Data FT-TS-Cashout-P'!$E$14:$E$4704,'Mar16-Aug16 FT-TS-Cashout-LG&amp;E'!$H$66,'Data FT-TS-Cashout-P'!$F$14:$F$4704,'Mar16-Aug16 FT-TS-Cashout-LG&amp;E'!J$6)</f>
        <v>-122.82</v>
      </c>
      <c r="K66" s="396">
        <f>SUMIFS('Data FT-TS-Cashout-P'!$Q$14:$Q$4704,'Data FT-TS-Cashout-P'!$A$14:$A$4704,'Mar16-Aug16 FT-TS-Cashout-LG&amp;E'!K$4,'Data FT-TS-Cashout-P'!$B$14:$B$4704,'Mar16-Aug16 FT-TS-Cashout-LG&amp;E'!$C$66,'Data FT-TS-Cashout-P'!$D$14:$D$4704,'Mar16-Aug16 FT-TS-Cashout-LG&amp;E'!$F$66,'Data FT-TS-Cashout-P'!$E$14:$E$4704,'Mar16-Aug16 FT-TS-Cashout-LG&amp;E'!$H$66,'Data FT-TS-Cashout-P'!$F$14:$F$4704,'Mar16-Aug16 FT-TS-Cashout-LG&amp;E'!K$6)</f>
        <v>-87.77</v>
      </c>
      <c r="L66" s="396">
        <f>SUMIFS('Data FT-TS-Cashout-P'!$Q$14:$Q$4704,'Data FT-TS-Cashout-P'!$A$14:$A$4704,'Mar16-Aug16 FT-TS-Cashout-LG&amp;E'!L$4,'Data FT-TS-Cashout-P'!$B$14:$B$4704,'Mar16-Aug16 FT-TS-Cashout-LG&amp;E'!$C$60,'Data FT-TS-Cashout-P'!$D$14:$D$4704,'Mar16-Aug16 FT-TS-Cashout-LG&amp;E'!$F$66,'Data FT-TS-Cashout-P'!$E$14:$E$4704,'Mar16-Aug16 FT-TS-Cashout-LG&amp;E'!$H$66,'Data FT-TS-Cashout-P'!$F$14:$F$4704,'Mar16-Aug16 FT-TS-Cashout-LG&amp;E'!L$7)</f>
        <v>0</v>
      </c>
      <c r="M66" s="396">
        <f>SUMIFS('Data FT-TS-Cashout-P'!$Q$14:$Q$4704,'Data FT-TS-Cashout-P'!$A$14:$A$4704,'Mar16-Aug16 FT-TS-Cashout-LG&amp;E'!M$4,'Data FT-TS-Cashout-P'!$B$14:$B$4704,'Mar16-Aug16 FT-TS-Cashout-LG&amp;E'!$C$60,'Data FT-TS-Cashout-P'!$D$14:$D$4704,'Mar16-Aug16 FT-TS-Cashout-LG&amp;E'!$F$66,'Data FT-TS-Cashout-P'!$E$14:$E$4704,'Mar16-Aug16 FT-TS-Cashout-LG&amp;E'!$H$66,'Data FT-TS-Cashout-P'!$F$14:$F$4704,'Mar16-Aug16 FT-TS-Cashout-LG&amp;E'!M$6)</f>
        <v>0</v>
      </c>
      <c r="N66" s="396">
        <f>SUMIFS('Data FT-TS-Cashout-P'!$Q$14:$Q$4704,'Data FT-TS-Cashout-P'!$A$14:$A$4704,'Mar16-Aug16 FT-TS-Cashout-LG&amp;E'!N$4,'Data FT-TS-Cashout-P'!$B$14:$B$4704,'Mar16-Aug16 FT-TS-Cashout-LG&amp;E'!$C$60,'Data FT-TS-Cashout-P'!$D$14:$D$4704,'Mar16-Aug16 FT-TS-Cashout-LG&amp;E'!$F$66,'Data FT-TS-Cashout-P'!$E$14:$E$4704,'Mar16-Aug16 FT-TS-Cashout-LG&amp;E'!$H$66,'Data FT-TS-Cashout-P'!$F$14:$F$4704,'Mar16-Aug16 FT-TS-Cashout-LG&amp;E'!N$6)</f>
        <v>0</v>
      </c>
      <c r="O66" s="396">
        <f>SUMIFS('Data FT-TS-Cashout-P'!$Q$14:$Q$4704,'Data FT-TS-Cashout-P'!$A$14:$A$4704,'Mar16-Aug16 FT-TS-Cashout-LG&amp;E'!O$4,'Data FT-TS-Cashout-P'!$B$14:$B$4704,'Mar16-Aug16 FT-TS-Cashout-LG&amp;E'!$C$60,'Data FT-TS-Cashout-P'!$D$14:$D$4704,'Mar16-Aug16 FT-TS-Cashout-LG&amp;E'!$F$66,'Data FT-TS-Cashout-P'!$E$14:$E$4704,'Mar16-Aug16 FT-TS-Cashout-LG&amp;E'!$H$66,'Data FT-TS-Cashout-P'!$F$14:$F$4704,'Mar16-Aug16 FT-TS-Cashout-LG&amp;E'!O$6)</f>
        <v>0</v>
      </c>
      <c r="P66" s="574">
        <f t="shared" si="16"/>
        <v>-210.58999999999997</v>
      </c>
      <c r="Q66" s="403">
        <f>P61+P63+P64+P65+P66</f>
        <v>15926.439999999999</v>
      </c>
      <c r="R66" s="320" t="s">
        <v>818</v>
      </c>
    </row>
    <row r="67" spans="2:18" x14ac:dyDescent="0.2">
      <c r="B67" s="327"/>
      <c r="C67" s="328" t="s">
        <v>52</v>
      </c>
      <c r="D67" s="328" t="str">
        <f t="shared" si="15"/>
        <v>896</v>
      </c>
      <c r="E67" s="327" t="str">
        <f>VLOOKUP($C67,'Retail Rates'!$B$45:$R$53,3,FALSE)</f>
        <v>FT-I</v>
      </c>
      <c r="F67" s="329" t="s">
        <v>663</v>
      </c>
      <c r="G67" s="329" t="s">
        <v>701</v>
      </c>
      <c r="H67" s="329"/>
      <c r="I67" s="398">
        <f t="shared" ref="I67:O67" si="19">SUM(I59:I66)</f>
        <v>571665.20999999985</v>
      </c>
      <c r="J67" s="398">
        <f t="shared" si="19"/>
        <v>492494.27</v>
      </c>
      <c r="K67" s="398">
        <f t="shared" si="19"/>
        <v>404583.26</v>
      </c>
      <c r="L67" s="398">
        <f t="shared" si="19"/>
        <v>403637.36</v>
      </c>
      <c r="M67" s="398">
        <f t="shared" si="19"/>
        <v>323906.70999999996</v>
      </c>
      <c r="N67" s="398">
        <f t="shared" si="19"/>
        <v>308400.03999999998</v>
      </c>
      <c r="O67" s="398">
        <f t="shared" si="19"/>
        <v>333525.83</v>
      </c>
      <c r="P67" s="574">
        <f t="shared" si="16"/>
        <v>2266547.4700000002</v>
      </c>
    </row>
    <row r="68" spans="2:18" x14ac:dyDescent="0.2">
      <c r="B68" s="327"/>
      <c r="C68" s="328"/>
      <c r="D68" s="328"/>
      <c r="E68" s="327"/>
      <c r="F68" s="329"/>
      <c r="G68" s="329"/>
      <c r="H68" s="329"/>
      <c r="I68" s="327"/>
      <c r="J68" s="327"/>
      <c r="K68" s="327"/>
      <c r="L68" s="327"/>
      <c r="M68" s="327"/>
      <c r="N68" s="327"/>
      <c r="O68" s="327"/>
      <c r="P68" s="575"/>
    </row>
    <row r="69" spans="2:18" x14ac:dyDescent="0.2">
      <c r="B69" s="327"/>
      <c r="C69" s="328"/>
      <c r="D69" s="328"/>
      <c r="E69" s="327"/>
      <c r="F69" s="327"/>
      <c r="G69" s="336"/>
      <c r="H69" s="327"/>
      <c r="I69" s="327"/>
      <c r="J69" s="327"/>
      <c r="K69" s="327"/>
      <c r="L69" s="327"/>
      <c r="M69" s="327"/>
      <c r="N69" s="327"/>
      <c r="O69" s="327"/>
      <c r="P69" s="327"/>
    </row>
    <row r="70" spans="2:18" x14ac:dyDescent="0.2">
      <c r="B70" s="327"/>
      <c r="C70" s="328" t="s">
        <v>54</v>
      </c>
      <c r="D70" s="328" t="str">
        <f>MID(C70,6,3)</f>
        <v>896</v>
      </c>
      <c r="E70" s="327" t="s">
        <v>125</v>
      </c>
      <c r="F70" s="329" t="s">
        <v>663</v>
      </c>
      <c r="G70" s="329" t="s">
        <v>268</v>
      </c>
      <c r="H70" s="327"/>
      <c r="I70" s="327">
        <f t="shared" ref="I70:O70" si="20">+I74/I71</f>
        <v>71</v>
      </c>
      <c r="J70" s="327">
        <f t="shared" si="20"/>
        <v>71</v>
      </c>
      <c r="K70" s="327">
        <f t="shared" si="20"/>
        <v>70</v>
      </c>
      <c r="L70" s="1127">
        <f t="shared" si="20"/>
        <v>119</v>
      </c>
      <c r="M70" s="1127">
        <f t="shared" si="20"/>
        <v>21</v>
      </c>
      <c r="N70" s="327">
        <f t="shared" si="20"/>
        <v>70</v>
      </c>
      <c r="O70" s="327">
        <f t="shared" si="20"/>
        <v>70</v>
      </c>
      <c r="P70" s="574">
        <f>SUM(J70:O70)</f>
        <v>421</v>
      </c>
    </row>
    <row r="71" spans="2:18" x14ac:dyDescent="0.2">
      <c r="B71" s="327"/>
      <c r="C71" s="328" t="s">
        <v>54</v>
      </c>
      <c r="D71" s="328" t="str">
        <f>MID(C71,6,3)</f>
        <v>896</v>
      </c>
      <c r="E71" s="327" t="s">
        <v>125</v>
      </c>
      <c r="F71" s="329" t="s">
        <v>663</v>
      </c>
      <c r="G71" s="329" t="s">
        <v>270</v>
      </c>
      <c r="H71" s="327"/>
      <c r="I71" s="327">
        <f>VLOOKUP($C$71,'Retail Rates'!$B$45:$L$58,9,FALSE)</f>
        <v>75</v>
      </c>
      <c r="J71" s="327">
        <f>VLOOKUP($C$71,'Retail Rates'!$B$45:$L$58,9,FALSE)</f>
        <v>75</v>
      </c>
      <c r="K71" s="327">
        <f>VLOOKUP($C$71,'Retail Rates'!$B$45:$L$58,9,FALSE)</f>
        <v>75</v>
      </c>
      <c r="L71" s="327">
        <f>VLOOKUP($C$71,'Retail Rates'!$B$45:$L$58,9,FALSE)</f>
        <v>75</v>
      </c>
      <c r="M71" s="327">
        <f>VLOOKUP($C$71,'Retail Rates'!$B$45:$L$58,9,FALSE)</f>
        <v>75</v>
      </c>
      <c r="N71" s="327">
        <f>VLOOKUP($C$71,'Retail Rates'!$B$45:$L$58,9,FALSE)</f>
        <v>75</v>
      </c>
      <c r="O71" s="327">
        <f>VLOOKUP($C$71,'Retail Rates'!$B$45:$L$58,9,FALSE)</f>
        <v>75</v>
      </c>
      <c r="P71" s="327"/>
    </row>
    <row r="72" spans="2:18" x14ac:dyDescent="0.2">
      <c r="B72" s="327"/>
      <c r="C72" s="328" t="s">
        <v>54</v>
      </c>
      <c r="D72" s="328" t="str">
        <f t="shared" ref="D72:D78" si="21">MID(C72,6,3)</f>
        <v>896</v>
      </c>
      <c r="E72" s="327" t="s">
        <v>125</v>
      </c>
      <c r="F72" s="329" t="s">
        <v>663</v>
      </c>
      <c r="G72" s="327"/>
      <c r="H72" s="327"/>
      <c r="I72" s="327"/>
      <c r="J72" s="327"/>
      <c r="K72" s="327"/>
      <c r="L72" s="327"/>
      <c r="M72" s="327"/>
      <c r="N72" s="327"/>
      <c r="O72" s="327"/>
      <c r="P72" s="327"/>
    </row>
    <row r="73" spans="2:18" x14ac:dyDescent="0.2">
      <c r="B73" s="327"/>
      <c r="C73" s="328" t="s">
        <v>54</v>
      </c>
      <c r="D73" s="328" t="str">
        <f t="shared" si="21"/>
        <v>896</v>
      </c>
      <c r="E73" s="327" t="s">
        <v>125</v>
      </c>
      <c r="F73" s="329" t="s">
        <v>663</v>
      </c>
      <c r="G73" s="334" t="s">
        <v>273</v>
      </c>
      <c r="H73" s="327"/>
      <c r="I73" s="327"/>
      <c r="J73" s="327"/>
      <c r="K73" s="327"/>
      <c r="L73" s="327"/>
      <c r="M73" s="327"/>
      <c r="N73" s="327"/>
      <c r="O73" s="327"/>
      <c r="P73" s="327"/>
    </row>
    <row r="74" spans="2:18" x14ac:dyDescent="0.2">
      <c r="B74" s="327"/>
      <c r="C74" s="328" t="s">
        <v>54</v>
      </c>
      <c r="D74" s="328" t="str">
        <f t="shared" si="21"/>
        <v>896</v>
      </c>
      <c r="E74" s="327" t="s">
        <v>125</v>
      </c>
      <c r="F74" s="329" t="s">
        <v>663</v>
      </c>
      <c r="G74" s="329" t="s">
        <v>274</v>
      </c>
      <c r="H74" s="325" t="s">
        <v>524</v>
      </c>
      <c r="I74" s="396">
        <f>SUMIFS('Data FT-TS-Cashout-P'!$G$14:$G$4704,'Data FT-TS-Cashout-P'!$A$14:$A$4704,'Mar16-Aug16 FT-TS-Cashout-LG&amp;E'!I$4,'Data FT-TS-Cashout-P'!$B$14:$B$4704,'Mar16-Aug16 FT-TS-Cashout-LG&amp;E'!$C$74,'Data FT-TS-Cashout-P'!$D$14:$D$4704,'Mar16-Aug16 FT-TS-Cashout-LG&amp;E'!$F$74,'Data FT-TS-Cashout-P'!$E$14:$E$4704,'Mar16-Aug16 FT-TS-Cashout-LG&amp;E'!$H$74,'Data FT-TS-Cashout-P'!$F$14:$F$4704,'Mar16-Aug16 FT-TS-Cashout-LG&amp;E'!I$6)</f>
        <v>5325</v>
      </c>
      <c r="J74" s="396">
        <f>SUMIFS('Data FT-TS-Cashout-P'!$G$14:$G$4704,'Data FT-TS-Cashout-P'!$A$14:$A$4704,'Mar16-Aug16 FT-TS-Cashout-LG&amp;E'!J$4,'Data FT-TS-Cashout-P'!$B$14:$B$4704,'Mar16-Aug16 FT-TS-Cashout-LG&amp;E'!$C$74,'Data FT-TS-Cashout-P'!$D$14:$D$4704,'Mar16-Aug16 FT-TS-Cashout-LG&amp;E'!$F$74,'Data FT-TS-Cashout-P'!$E$14:$E$4704,'Mar16-Aug16 FT-TS-Cashout-LG&amp;E'!$H$74,'Data FT-TS-Cashout-P'!$F$14:$F$4704,'Mar16-Aug16 FT-TS-Cashout-LG&amp;E'!J$6)</f>
        <v>5325</v>
      </c>
      <c r="K74" s="396">
        <f>SUMIFS('Data FT-TS-Cashout-P'!$G$14:$G$4704,'Data FT-TS-Cashout-P'!$A$14:$A$4704,'Mar16-Aug16 FT-TS-Cashout-LG&amp;E'!K$4,'Data FT-TS-Cashout-P'!$B$14:$B$4704,'Mar16-Aug16 FT-TS-Cashout-LG&amp;E'!$C$74,'Data FT-TS-Cashout-P'!$D$14:$D$4704,'Mar16-Aug16 FT-TS-Cashout-LG&amp;E'!$F$74,'Data FT-TS-Cashout-P'!$E$14:$E$4704,'Mar16-Aug16 FT-TS-Cashout-LG&amp;E'!$H$74,'Data FT-TS-Cashout-P'!$F$14:$F$4704,'Mar16-Aug16 FT-TS-Cashout-LG&amp;E'!K$6)</f>
        <v>5250</v>
      </c>
      <c r="L74" s="396">
        <f>SUMIFS('Data FT-TS-Cashout-P'!$G$14:$G$4704,'Data FT-TS-Cashout-P'!$A$14:$A$4704,'Mar16-Aug16 FT-TS-Cashout-LG&amp;E'!L$4,'Data FT-TS-Cashout-P'!$B$14:$B$4704,'Mar16-Aug16 FT-TS-Cashout-LG&amp;E'!$C$74,'Data FT-TS-Cashout-P'!$D$14:$D$4704,'Mar16-Aug16 FT-TS-Cashout-LG&amp;E'!$F$74,'Data FT-TS-Cashout-P'!$E$14:$E$4704,'Mar16-Aug16 FT-TS-Cashout-LG&amp;E'!$H$74,'Data FT-TS-Cashout-P'!$F$14:$F$4704,'Mar16-Aug16 FT-TS-Cashout-LG&amp;E'!L$6)</f>
        <v>8925</v>
      </c>
      <c r="M74" s="396">
        <f>SUMIFS('Data FT-TS-Cashout-P'!$G$14:$G$4704,'Data FT-TS-Cashout-P'!$A$14:$A$4704,'Mar16-Aug16 FT-TS-Cashout-LG&amp;E'!M$4,'Data FT-TS-Cashout-P'!$B$14:$B$4704,'Mar16-Aug16 FT-TS-Cashout-LG&amp;E'!$C$74,'Data FT-TS-Cashout-P'!$D$14:$D$4704,'Mar16-Aug16 FT-TS-Cashout-LG&amp;E'!$F$74,'Data FT-TS-Cashout-P'!$E$14:$E$4704,'Mar16-Aug16 FT-TS-Cashout-LG&amp;E'!$H$74,'Data FT-TS-Cashout-P'!$F$14:$F$4704,'Mar16-Aug16 FT-TS-Cashout-LG&amp;E'!M$6)</f>
        <v>1575</v>
      </c>
      <c r="N74" s="396">
        <f>SUMIFS('Data FT-TS-Cashout-P'!$G$14:$G$4704,'Data FT-TS-Cashout-P'!$A$14:$A$4704,'Mar16-Aug16 FT-TS-Cashout-LG&amp;E'!N$4,'Data FT-TS-Cashout-P'!$B$14:$B$4704,'Mar16-Aug16 FT-TS-Cashout-LG&amp;E'!$C$74,'Data FT-TS-Cashout-P'!$D$14:$D$4704,'Mar16-Aug16 FT-TS-Cashout-LG&amp;E'!$F$74,'Data FT-TS-Cashout-P'!$E$14:$E$4704,'Mar16-Aug16 FT-TS-Cashout-LG&amp;E'!$H$74,'Data FT-TS-Cashout-P'!$F$14:$F$4704,'Mar16-Aug16 FT-TS-Cashout-LG&amp;E'!N$6)</f>
        <v>5250</v>
      </c>
      <c r="O74" s="396">
        <f>SUMIFS('Data FT-TS-Cashout-P'!$G$14:$G$4704,'Data FT-TS-Cashout-P'!$A$14:$A$4704,'Mar16-Aug16 FT-TS-Cashout-LG&amp;E'!O$4,'Data FT-TS-Cashout-P'!$B$14:$B$4704,'Mar16-Aug16 FT-TS-Cashout-LG&amp;E'!$C$74,'Data FT-TS-Cashout-P'!$D$14:$D$4704,'Mar16-Aug16 FT-TS-Cashout-LG&amp;E'!$F$74,'Data FT-TS-Cashout-P'!$E$14:$E$4704,'Mar16-Aug16 FT-TS-Cashout-LG&amp;E'!$H$74,'Data FT-TS-Cashout-P'!$F$14:$F$4704,'Mar16-Aug16 FT-TS-Cashout-LG&amp;E'!O$6)</f>
        <v>5250</v>
      </c>
      <c r="P74" s="574">
        <f t="shared" ref="P74:P80" si="22">SUM(J74:O74)</f>
        <v>31575</v>
      </c>
    </row>
    <row r="75" spans="2:18" x14ac:dyDescent="0.2">
      <c r="B75" s="327"/>
      <c r="C75" s="328" t="s">
        <v>54</v>
      </c>
      <c r="D75" s="328" t="str">
        <f t="shared" si="21"/>
        <v>896</v>
      </c>
      <c r="E75" s="327" t="s">
        <v>125</v>
      </c>
      <c r="F75" s="329" t="s">
        <v>663</v>
      </c>
      <c r="G75" s="329" t="s">
        <v>500</v>
      </c>
      <c r="H75" s="325" t="s">
        <v>676</v>
      </c>
      <c r="I75" s="396">
        <f>SUMIFS('Data FT-TS-Cashout-P'!$U$14:$U$4704,'Data FT-TS-Cashout-P'!$A$14:$A$4704,'Mar16-Aug16 FT-TS-Cashout-LG&amp;E'!I$4,'Data FT-TS-Cashout-P'!$B$14:$B$4704,'Mar16-Aug16 FT-TS-Cashout-LG&amp;E'!$C$75,'Data FT-TS-Cashout-P'!$D$14:$D$4704,'Mar16-Aug16 FT-TS-Cashout-LG&amp;E'!$F$75,'Data FT-TS-Cashout-P'!$E$14:$E$4704,'Mar16-Aug16 FT-TS-Cashout-LG&amp;E'!$H$75,'Data FT-TS-Cashout-P'!$F$14:$F$4704,'Mar16-Aug16 FT-TS-Cashout-LG&amp;E'!I$6)</f>
        <v>26934.48</v>
      </c>
      <c r="J75" s="396">
        <f>SUMIFS('Data FT-TS-Cashout-P'!$U$14:$U$4704,'Data FT-TS-Cashout-P'!$A$14:$A$4704,'Mar16-Aug16 FT-TS-Cashout-LG&amp;E'!J$4,'Data FT-TS-Cashout-P'!$B$14:$B$4704,'Mar16-Aug16 FT-TS-Cashout-LG&amp;E'!$C$75,'Data FT-TS-Cashout-P'!$D$14:$D$4704,'Mar16-Aug16 FT-TS-Cashout-LG&amp;E'!$F$75,'Data FT-TS-Cashout-P'!$E$14:$E$4704,'Mar16-Aug16 FT-TS-Cashout-LG&amp;E'!$H$75,'Data FT-TS-Cashout-P'!$F$14:$F$4704,'Mar16-Aug16 FT-TS-Cashout-LG&amp;E'!J$6)</f>
        <v>13950.59</v>
      </c>
      <c r="K75" s="396">
        <f>SUMIFS('Data FT-TS-Cashout-P'!$U$14:$U$4704,'Data FT-TS-Cashout-P'!$A$14:$A$4704,'Mar16-Aug16 FT-TS-Cashout-LG&amp;E'!K$4,'Data FT-TS-Cashout-P'!$B$14:$B$4704,'Mar16-Aug16 FT-TS-Cashout-LG&amp;E'!$C$75,'Data FT-TS-Cashout-P'!$D$14:$D$4704,'Mar16-Aug16 FT-TS-Cashout-LG&amp;E'!$F$75,'Data FT-TS-Cashout-P'!$E$14:$E$4704,'Mar16-Aug16 FT-TS-Cashout-LG&amp;E'!$H$75,'Data FT-TS-Cashout-P'!$F$14:$F$4704,'Mar16-Aug16 FT-TS-Cashout-LG&amp;E'!K$6)</f>
        <v>9161.17</v>
      </c>
      <c r="L75" s="396">
        <f>SUMIFS('Data FT-TS-Cashout-P'!$U$14:$U$4704,'Data FT-TS-Cashout-P'!$A$14:$A$4704,'Mar16-Aug16 FT-TS-Cashout-LG&amp;E'!L$4,'Data FT-TS-Cashout-P'!$B$14:$B$4704,'Mar16-Aug16 FT-TS-Cashout-LG&amp;E'!$C$75,'Data FT-TS-Cashout-P'!$D$14:$D$4704,'Mar16-Aug16 FT-TS-Cashout-LG&amp;E'!$F$75,'Data FT-TS-Cashout-P'!$E$14:$E$4704,'Mar16-Aug16 FT-TS-Cashout-LG&amp;E'!$H$75,'Data FT-TS-Cashout-P'!$F$14:$F$4704,'Mar16-Aug16 FT-TS-Cashout-LG&amp;E'!L$6)</f>
        <v>17205.259999999998</v>
      </c>
      <c r="M75" s="396">
        <f>SUMIFS('Data FT-TS-Cashout-P'!$U$14:$U$4704,'Data FT-TS-Cashout-P'!$A$14:$A$4704,'Mar16-Aug16 FT-TS-Cashout-LG&amp;E'!M$4,'Data FT-TS-Cashout-P'!$B$14:$B$4704,'Mar16-Aug16 FT-TS-Cashout-LG&amp;E'!$C$75,'Data FT-TS-Cashout-P'!$D$14:$D$4704,'Mar16-Aug16 FT-TS-Cashout-LG&amp;E'!$F$75,'Data FT-TS-Cashout-P'!$E$14:$E$4704,'Mar16-Aug16 FT-TS-Cashout-LG&amp;E'!$H$75,'Data FT-TS-Cashout-P'!$F$14:$F$4704,'Mar16-Aug16 FT-TS-Cashout-LG&amp;E'!M$6)</f>
        <v>265.18</v>
      </c>
      <c r="N75" s="396">
        <f>SUMIFS('Data FT-TS-Cashout-P'!$U$14:$U$4704,'Data FT-TS-Cashout-P'!$A$14:$A$4704,'Mar16-Aug16 FT-TS-Cashout-LG&amp;E'!N$4,'Data FT-TS-Cashout-P'!$B$14:$B$4704,'Mar16-Aug16 FT-TS-Cashout-LG&amp;E'!$C$75,'Data FT-TS-Cashout-P'!$D$14:$D$4704,'Mar16-Aug16 FT-TS-Cashout-LG&amp;E'!$F$75,'Data FT-TS-Cashout-P'!$E$14:$E$4704,'Mar16-Aug16 FT-TS-Cashout-LG&amp;E'!$H$75,'Data FT-TS-Cashout-P'!$F$14:$F$4704,'Mar16-Aug16 FT-TS-Cashout-LG&amp;E'!N$6)</f>
        <v>10423.48</v>
      </c>
      <c r="O75" s="396">
        <f>SUMIFS('Data FT-TS-Cashout-P'!$U$14:$U$4704,'Data FT-TS-Cashout-P'!$A$14:$A$4704,'Mar16-Aug16 FT-TS-Cashout-LG&amp;E'!O$4,'Data FT-TS-Cashout-P'!$B$14:$B$4704,'Mar16-Aug16 FT-TS-Cashout-LG&amp;E'!$C$75,'Data FT-TS-Cashout-P'!$D$14:$D$4704,'Mar16-Aug16 FT-TS-Cashout-LG&amp;E'!$F$75,'Data FT-TS-Cashout-P'!$E$14:$E$4704,'Mar16-Aug16 FT-TS-Cashout-LG&amp;E'!$H$75,'Data FT-TS-Cashout-P'!$F$14:$F$4704,'Mar16-Aug16 FT-TS-Cashout-LG&amp;E'!O$6)</f>
        <v>5132.8100000000004</v>
      </c>
      <c r="P75" s="574">
        <f t="shared" si="22"/>
        <v>56138.490000000005</v>
      </c>
    </row>
    <row r="76" spans="2:18" x14ac:dyDescent="0.2">
      <c r="B76" s="327"/>
      <c r="C76" s="328" t="s">
        <v>54</v>
      </c>
      <c r="D76" s="328" t="str">
        <f t="shared" si="21"/>
        <v>896</v>
      </c>
      <c r="E76" s="327" t="s">
        <v>125</v>
      </c>
      <c r="F76" s="329" t="s">
        <v>663</v>
      </c>
      <c r="G76" s="329" t="s">
        <v>501</v>
      </c>
      <c r="H76" s="325" t="s">
        <v>677</v>
      </c>
      <c r="I76" s="396">
        <f>SUMIFS('Data FT-TS-Cashout-P'!$V$14:$V$4704,'Data FT-TS-Cashout-P'!$A$14:$A$4704,'Mar16-Aug16 FT-TS-Cashout-LG&amp;E'!I$4,'Data FT-TS-Cashout-P'!$B$14:$B$4704,'Mar16-Aug16 FT-TS-Cashout-LG&amp;E'!$C$76,'Data FT-TS-Cashout-P'!$D$14:$D$4704,'Mar16-Aug16 FT-TS-Cashout-LG&amp;E'!$F$76,'Data FT-TS-Cashout-P'!$E$14:$E$4704,'Mar16-Aug16 FT-TS-Cashout-LG&amp;E'!$H$76,'Data FT-TS-Cashout-P'!$F$14:$F$4704,'Mar16-Aug16 FT-TS-Cashout-LG&amp;E'!I$6)</f>
        <v>29705.71</v>
      </c>
      <c r="J76" s="396">
        <f>SUMIFS('Data FT-TS-Cashout-P'!$V$14:$V$4704,'Data FT-TS-Cashout-P'!$A$14:$A$4704,'Mar16-Aug16 FT-TS-Cashout-LG&amp;E'!J$4,'Data FT-TS-Cashout-P'!$B$14:$B$4704,'Mar16-Aug16 FT-TS-Cashout-LG&amp;E'!$C$76,'Data FT-TS-Cashout-P'!$D$14:$D$4704,'Mar16-Aug16 FT-TS-Cashout-LG&amp;E'!$F$76,'Data FT-TS-Cashout-P'!$E$14:$E$4704,'Mar16-Aug16 FT-TS-Cashout-LG&amp;E'!$H$76,'Data FT-TS-Cashout-P'!$F$14:$F$4704,'Mar16-Aug16 FT-TS-Cashout-LG&amp;E'!J$6)</f>
        <v>15385.96</v>
      </c>
      <c r="K76" s="396">
        <f>SUMIFS('Data FT-TS-Cashout-P'!$V$14:$V$4704,'Data FT-TS-Cashout-P'!$A$14:$A$4704,'Mar16-Aug16 FT-TS-Cashout-LG&amp;E'!K$4,'Data FT-TS-Cashout-P'!$B$14:$B$4704,'Mar16-Aug16 FT-TS-Cashout-LG&amp;E'!$C$76,'Data FT-TS-Cashout-P'!$D$14:$D$4704,'Mar16-Aug16 FT-TS-Cashout-LG&amp;E'!$F$76,'Data FT-TS-Cashout-P'!$E$14:$E$4704,'Mar16-Aug16 FT-TS-Cashout-LG&amp;E'!$H$76,'Data FT-TS-Cashout-P'!$F$14:$F$4704,'Mar16-Aug16 FT-TS-Cashout-LG&amp;E'!K$6)</f>
        <v>10103.77</v>
      </c>
      <c r="L76" s="396">
        <f>SUMIFS('Data FT-TS-Cashout-P'!$V$14:$V$4704,'Data FT-TS-Cashout-P'!$A$14:$A$4704,'Mar16-Aug16 FT-TS-Cashout-LG&amp;E'!L$4,'Data FT-TS-Cashout-P'!$B$14:$B$4704,'Mar16-Aug16 FT-TS-Cashout-LG&amp;E'!$C$76,'Data FT-TS-Cashout-P'!$D$14:$D$4704,'Mar16-Aug16 FT-TS-Cashout-LG&amp;E'!$F$76,'Data FT-TS-Cashout-P'!$E$14:$E$4704,'Mar16-Aug16 FT-TS-Cashout-LG&amp;E'!$H$76,'Data FT-TS-Cashout-P'!$F$14:$F$4704,'Mar16-Aug16 FT-TS-Cashout-LG&amp;E'!L$6)</f>
        <v>18850.72</v>
      </c>
      <c r="M76" s="396">
        <f>SUMIFS('Data FT-TS-Cashout-P'!$V$14:$V$4704,'Data FT-TS-Cashout-P'!$A$14:$A$4704,'Mar16-Aug16 FT-TS-Cashout-LG&amp;E'!M$4,'Data FT-TS-Cashout-P'!$B$14:$B$4704,'Mar16-Aug16 FT-TS-Cashout-LG&amp;E'!$C$76,'Data FT-TS-Cashout-P'!$D$14:$D$4704,'Mar16-Aug16 FT-TS-Cashout-LG&amp;E'!$F$76,'Data FT-TS-Cashout-P'!$E$14:$E$4704,'Mar16-Aug16 FT-TS-Cashout-LG&amp;E'!$H$76,'Data FT-TS-Cashout-P'!$F$14:$F$4704,'Mar16-Aug16 FT-TS-Cashout-LG&amp;E'!M$6)</f>
        <v>290.52999999999997</v>
      </c>
      <c r="N76" s="396">
        <f>SUMIFS('Data FT-TS-Cashout-P'!$V$14:$V$4704,'Data FT-TS-Cashout-P'!$A$14:$A$4704,'Mar16-Aug16 FT-TS-Cashout-LG&amp;E'!N$4,'Data FT-TS-Cashout-P'!$B$14:$B$4704,'Mar16-Aug16 FT-TS-Cashout-LG&amp;E'!$C$76,'Data FT-TS-Cashout-P'!$D$14:$D$4704,'Mar16-Aug16 FT-TS-Cashout-LG&amp;E'!$F$76,'Data FT-TS-Cashout-P'!$E$14:$E$4704,'Mar16-Aug16 FT-TS-Cashout-LG&amp;E'!$H$76,'Data FT-TS-Cashout-P'!$F$14:$F$4704,'Mar16-Aug16 FT-TS-Cashout-LG&amp;E'!N$6)</f>
        <v>11420.33</v>
      </c>
      <c r="O76" s="396">
        <f>SUMIFS('Data FT-TS-Cashout-P'!$V$14:$V$4704,'Data FT-TS-Cashout-P'!$A$14:$A$4704,'Mar16-Aug16 FT-TS-Cashout-LG&amp;E'!O$4,'Data FT-TS-Cashout-P'!$B$14:$B$4704,'Mar16-Aug16 FT-TS-Cashout-LG&amp;E'!$C$76,'Data FT-TS-Cashout-P'!$D$14:$D$4704,'Mar16-Aug16 FT-TS-Cashout-LG&amp;E'!$F$76,'Data FT-TS-Cashout-P'!$E$14:$E$4704,'Mar16-Aug16 FT-TS-Cashout-LG&amp;E'!$H$76,'Data FT-TS-Cashout-P'!$F$14:$F$4704,'Mar16-Aug16 FT-TS-Cashout-LG&amp;E'!O$6)</f>
        <v>5660.9</v>
      </c>
      <c r="P76" s="574">
        <f t="shared" si="22"/>
        <v>61712.21</v>
      </c>
    </row>
    <row r="77" spans="2:18" x14ac:dyDescent="0.2">
      <c r="B77" s="327"/>
      <c r="C77" s="328" t="s">
        <v>54</v>
      </c>
      <c r="D77" s="328" t="str">
        <f t="shared" si="21"/>
        <v>896</v>
      </c>
      <c r="E77" s="327" t="s">
        <v>125</v>
      </c>
      <c r="F77" s="329" t="s">
        <v>663</v>
      </c>
      <c r="G77" s="329" t="s">
        <v>682</v>
      </c>
      <c r="H77" s="325" t="s">
        <v>672</v>
      </c>
      <c r="I77" s="396">
        <f>SUMIFS('Data FT-TS-Cashout-P'!$T$14:$T$4704,'Data FT-TS-Cashout-P'!$A$14:$A$4704,'Mar16-Aug16 FT-TS-Cashout-LG&amp;E'!I$4,'Data FT-TS-Cashout-P'!$B$14:$B$4704,'Mar16-Aug16 FT-TS-Cashout-LG&amp;E'!$C$77,'Data FT-TS-Cashout-P'!$D$14:$D$4704,'Mar16-Aug16 FT-TS-Cashout-LG&amp;E'!$F$77,'Data FT-TS-Cashout-P'!$E$14:$E$4704,'Mar16-Aug16 FT-TS-Cashout-LG&amp;E'!$H$77,'Data FT-TS-Cashout-P'!$F$14:$F$4704,'Mar16-Aug16 FT-TS-Cashout-LG&amp;E'!I$6)</f>
        <v>33195.699999999997</v>
      </c>
      <c r="J77" s="396">
        <f>SUMIFS('Data FT-TS-Cashout-P'!$T$14:$T$4704,'Data FT-TS-Cashout-P'!$A$14:$A$4704,'Mar16-Aug16 FT-TS-Cashout-LG&amp;E'!J$4,'Data FT-TS-Cashout-P'!$B$14:$B$4704,'Mar16-Aug16 FT-TS-Cashout-LG&amp;E'!$C$77,'Data FT-TS-Cashout-P'!$D$14:$D$4704,'Mar16-Aug16 FT-TS-Cashout-LG&amp;E'!$F$77,'Data FT-TS-Cashout-P'!$E$14:$E$4704,'Mar16-Aug16 FT-TS-Cashout-LG&amp;E'!$H$77,'Data FT-TS-Cashout-P'!$F$14:$F$4704,'Mar16-Aug16 FT-TS-Cashout-LG&amp;E'!J$6)</f>
        <v>0</v>
      </c>
      <c r="K77" s="396">
        <f>SUMIFS('Data FT-TS-Cashout-P'!$T$14:$T$4704,'Data FT-TS-Cashout-P'!$A$14:$A$4704,'Mar16-Aug16 FT-TS-Cashout-LG&amp;E'!K$4,'Data FT-TS-Cashout-P'!$B$14:$B$4704,'Mar16-Aug16 FT-TS-Cashout-LG&amp;E'!$C$77,'Data FT-TS-Cashout-P'!$D$14:$D$4704,'Mar16-Aug16 FT-TS-Cashout-LG&amp;E'!$F$77,'Data FT-TS-Cashout-P'!$E$14:$E$4704,'Mar16-Aug16 FT-TS-Cashout-LG&amp;E'!$H$77,'Data FT-TS-Cashout-P'!$F$14:$F$4704,'Mar16-Aug16 FT-TS-Cashout-LG&amp;E'!K$6)</f>
        <v>0</v>
      </c>
      <c r="L77" s="396">
        <f>SUMIFS('Data FT-TS-Cashout-P'!$T$14:$T$4704,'Data FT-TS-Cashout-P'!$A$14:$A$4704,'Mar16-Aug16 FT-TS-Cashout-LG&amp;E'!L$4,'Data FT-TS-Cashout-P'!$B$14:$B$4704,'Mar16-Aug16 FT-TS-Cashout-LG&amp;E'!$C$77,'Data FT-TS-Cashout-P'!$D$14:$D$4704,'Mar16-Aug16 FT-TS-Cashout-LG&amp;E'!$F$77,'Data FT-TS-Cashout-P'!$E$14:$E$4704,'Mar16-Aug16 FT-TS-Cashout-LG&amp;E'!$H$77,'Data FT-TS-Cashout-P'!$F$14:$F$4704,'Mar16-Aug16 FT-TS-Cashout-LG&amp;E'!L$6)</f>
        <v>0</v>
      </c>
      <c r="M77" s="396">
        <f>SUMIFS('Data FT-TS-Cashout-P'!$T$14:$T$4704,'Data FT-TS-Cashout-P'!$A$14:$A$4704,'Mar16-Aug16 FT-TS-Cashout-LG&amp;E'!M$4,'Data FT-TS-Cashout-P'!$B$14:$B$4704,'Mar16-Aug16 FT-TS-Cashout-LG&amp;E'!$C$77,'Data FT-TS-Cashout-P'!$D$14:$D$4704,'Mar16-Aug16 FT-TS-Cashout-LG&amp;E'!$F$77,'Data FT-TS-Cashout-P'!$E$14:$E$4704,'Mar16-Aug16 FT-TS-Cashout-LG&amp;E'!$H$77,'Data FT-TS-Cashout-P'!$F$14:$F$4704,'Mar16-Aug16 FT-TS-Cashout-LG&amp;E'!M$6)</f>
        <v>0</v>
      </c>
      <c r="N77" s="396">
        <f>SUMIFS('Data FT-TS-Cashout-P'!$T$14:$T$4704,'Data FT-TS-Cashout-P'!$A$14:$A$4704,'Mar16-Aug16 FT-TS-Cashout-LG&amp;E'!N$4,'Data FT-TS-Cashout-P'!$B$14:$B$4704,'Mar16-Aug16 FT-TS-Cashout-LG&amp;E'!$C$77,'Data FT-TS-Cashout-P'!$D$14:$D$4704,'Mar16-Aug16 FT-TS-Cashout-LG&amp;E'!$F$77,'Data FT-TS-Cashout-P'!$E$14:$E$4704,'Mar16-Aug16 FT-TS-Cashout-LG&amp;E'!$H$77,'Data FT-TS-Cashout-P'!$F$14:$F$4704,'Mar16-Aug16 FT-TS-Cashout-LG&amp;E'!N$6)</f>
        <v>0</v>
      </c>
      <c r="O77" s="396">
        <f>SUMIFS('Data FT-TS-Cashout-P'!$T$14:$T$4704,'Data FT-TS-Cashout-P'!$A$14:$A$4704,'Mar16-Aug16 FT-TS-Cashout-LG&amp;E'!O$4,'Data FT-TS-Cashout-P'!$B$14:$B$4704,'Mar16-Aug16 FT-TS-Cashout-LG&amp;E'!$C$77,'Data FT-TS-Cashout-P'!$D$14:$D$4704,'Mar16-Aug16 FT-TS-Cashout-LG&amp;E'!$F$77,'Data FT-TS-Cashout-P'!$E$14:$E$4704,'Mar16-Aug16 FT-TS-Cashout-LG&amp;E'!$H$77,'Data FT-TS-Cashout-P'!$F$14:$F$4704,'Mar16-Aug16 FT-TS-Cashout-LG&amp;E'!O$6)</f>
        <v>0</v>
      </c>
      <c r="P77" s="574">
        <f t="shared" si="22"/>
        <v>0</v>
      </c>
    </row>
    <row r="78" spans="2:18" x14ac:dyDescent="0.2">
      <c r="B78" s="327"/>
      <c r="C78" s="328" t="s">
        <v>54</v>
      </c>
      <c r="D78" s="328" t="str">
        <f t="shared" si="21"/>
        <v>896</v>
      </c>
      <c r="E78" s="327" t="s">
        <v>125</v>
      </c>
      <c r="F78" s="329" t="s">
        <v>663</v>
      </c>
      <c r="G78" s="329" t="s">
        <v>811</v>
      </c>
      <c r="H78" s="327"/>
      <c r="I78" s="404">
        <f t="shared" ref="I78:O78" si="23">SUM(I74:I77)</f>
        <v>95160.89</v>
      </c>
      <c r="J78" s="404">
        <f t="shared" si="23"/>
        <v>34661.550000000003</v>
      </c>
      <c r="K78" s="404">
        <f t="shared" si="23"/>
        <v>24514.940000000002</v>
      </c>
      <c r="L78" s="404">
        <f t="shared" si="23"/>
        <v>44980.979999999996</v>
      </c>
      <c r="M78" s="404">
        <f t="shared" si="23"/>
        <v>2130.71</v>
      </c>
      <c r="N78" s="404">
        <f t="shared" si="23"/>
        <v>27093.809999999998</v>
      </c>
      <c r="O78" s="404">
        <f t="shared" si="23"/>
        <v>16043.710000000001</v>
      </c>
      <c r="P78" s="574">
        <f t="shared" si="22"/>
        <v>149425.69999999998</v>
      </c>
    </row>
    <row r="79" spans="2:18" x14ac:dyDescent="0.2">
      <c r="B79" s="327"/>
      <c r="C79" s="328"/>
      <c r="D79" s="328"/>
      <c r="E79" s="327"/>
      <c r="F79" s="329"/>
      <c r="G79" s="329"/>
      <c r="H79" s="327"/>
      <c r="I79" s="327"/>
      <c r="J79" s="327"/>
      <c r="K79" s="327"/>
      <c r="L79" s="327"/>
      <c r="M79" s="327"/>
      <c r="N79" s="327"/>
      <c r="O79" s="327"/>
      <c r="P79" s="574">
        <f t="shared" si="22"/>
        <v>0</v>
      </c>
    </row>
    <row r="80" spans="2:18" x14ac:dyDescent="0.2">
      <c r="B80" s="327"/>
      <c r="C80" s="328"/>
      <c r="D80" s="328"/>
      <c r="E80" s="327"/>
      <c r="F80" s="329"/>
      <c r="G80" s="329" t="s">
        <v>812</v>
      </c>
      <c r="H80" s="327"/>
      <c r="I80" s="404">
        <f t="shared" ref="I80:O80" si="24">I67+I78</f>
        <v>666826.09999999986</v>
      </c>
      <c r="J80" s="404">
        <f t="shared" si="24"/>
        <v>527155.82000000007</v>
      </c>
      <c r="K80" s="404">
        <f t="shared" si="24"/>
        <v>429098.2</v>
      </c>
      <c r="L80" s="404">
        <f t="shared" si="24"/>
        <v>448618.33999999997</v>
      </c>
      <c r="M80" s="404">
        <f t="shared" si="24"/>
        <v>326037.42</v>
      </c>
      <c r="N80" s="404">
        <f t="shared" si="24"/>
        <v>335493.84999999998</v>
      </c>
      <c r="O80" s="404">
        <f t="shared" si="24"/>
        <v>349569.54000000004</v>
      </c>
      <c r="P80" s="574">
        <f t="shared" si="22"/>
        <v>2415973.17</v>
      </c>
    </row>
    <row r="81" spans="2:17" x14ac:dyDescent="0.2">
      <c r="B81" s="327"/>
      <c r="C81" s="328"/>
      <c r="D81" s="328"/>
      <c r="E81" s="327"/>
      <c r="F81" s="329"/>
      <c r="G81" s="329"/>
      <c r="H81" s="327"/>
      <c r="I81" s="327"/>
      <c r="J81" s="327"/>
      <c r="K81" s="327"/>
      <c r="L81" s="327"/>
      <c r="M81" s="327"/>
      <c r="N81" s="327"/>
      <c r="O81" s="327"/>
      <c r="P81" s="327"/>
    </row>
    <row r="82" spans="2:17" x14ac:dyDescent="0.2">
      <c r="B82" s="327"/>
      <c r="C82" s="328"/>
      <c r="D82" s="328"/>
      <c r="E82" s="327"/>
      <c r="F82" s="329" t="s">
        <v>507</v>
      </c>
      <c r="G82" s="329" t="s">
        <v>813</v>
      </c>
      <c r="H82" s="327"/>
      <c r="I82" s="398">
        <f>SUMIFS('Bruise Report-Tariff'!$C$5:$C$76,'Bruise Report-Tariff'!$A$5:$A$76,'Mar16-Aug16 FT-TS-Cashout-LG&amp;E'!I$4,'Bruise Report-Tariff'!$B$5:$B$76,'Mar16-Aug16 FT-TS-Cashout-LG&amp;E'!$F$82)</f>
        <v>666826.1</v>
      </c>
      <c r="J82" s="398">
        <f>SUMIFS('Bruise Report-Tariff'!$C$5:$C$76,'Bruise Report-Tariff'!$A$5:$A$76,'Mar16-Aug16 FT-TS-Cashout-LG&amp;E'!J$4,'Bruise Report-Tariff'!$B$5:$B$76,'Mar16-Aug16 FT-TS-Cashout-LG&amp;E'!$F$82)</f>
        <v>527155.80000000005</v>
      </c>
      <c r="K82" s="398">
        <f>SUMIFS('Bruise Report-Tariff'!$C$5:$C$76,'Bruise Report-Tariff'!$A$5:$A$76,'Mar16-Aug16 FT-TS-Cashout-LG&amp;E'!K$4,'Bruise Report-Tariff'!$B$5:$B$76,'Mar16-Aug16 FT-TS-Cashout-LG&amp;E'!$F$82)</f>
        <v>429098.21</v>
      </c>
      <c r="L82" s="398">
        <f>SUMIFS('Bruise Report-Tariff'!$C$5:$C$76,'Bruise Report-Tariff'!$A$5:$A$76,'Mar16-Aug16 FT-TS-Cashout-LG&amp;E'!L$4,'Bruise Report-Tariff'!$B$5:$B$76,'Mar16-Aug16 FT-TS-Cashout-LG&amp;E'!$F$82)</f>
        <v>428794.22</v>
      </c>
      <c r="M82" s="398">
        <f>SUMIFS('Bruise Report-Tariff'!$C$5:$C$76,'Bruise Report-Tariff'!$A$5:$A$76,'Mar16-Aug16 FT-TS-Cashout-LG&amp;E'!M$4,'Bruise Report-Tariff'!$B$5:$B$76,'Mar16-Aug16 FT-TS-Cashout-LG&amp;E'!$F$82)</f>
        <v>345809.77</v>
      </c>
      <c r="N82" s="398">
        <f>SUMIFS('Bruise Report-Tariff'!$C$5:$C$76,'Bruise Report-Tariff'!$A$5:$A$76,'Mar16-Aug16 FT-TS-Cashout-LG&amp;E'!N$4,'Bruise Report-Tariff'!$B$5:$B$76,'Mar16-Aug16 FT-TS-Cashout-LG&amp;E'!$F$82)</f>
        <v>335493.87</v>
      </c>
      <c r="O82" s="398">
        <f>SUMIFS('Bruise Report-Tariff'!$C$5:$C$76,'Bruise Report-Tariff'!$A$5:$A$76,'Mar16-Aug16 FT-TS-Cashout-LG&amp;E'!O$4,'Bruise Report-Tariff'!$B$5:$B$76,'Mar16-Aug16 FT-TS-Cashout-LG&amp;E'!$F$82)</f>
        <v>349569.54</v>
      </c>
      <c r="P82" s="327"/>
    </row>
    <row r="83" spans="2:17" x14ac:dyDescent="0.2">
      <c r="B83" s="327"/>
      <c r="C83" s="328"/>
      <c r="D83" s="328"/>
      <c r="E83" s="327"/>
      <c r="F83" s="329"/>
      <c r="G83" s="329"/>
      <c r="H83" s="327"/>
      <c r="I83" s="327"/>
      <c r="J83" s="327"/>
      <c r="K83" s="327"/>
      <c r="L83" s="327"/>
      <c r="M83" s="327"/>
      <c r="N83" s="327"/>
      <c r="O83" s="327"/>
      <c r="P83" s="327"/>
    </row>
    <row r="84" spans="2:17" x14ac:dyDescent="0.2">
      <c r="B84" s="327"/>
      <c r="C84" s="328"/>
      <c r="D84" s="328"/>
      <c r="E84" s="327"/>
      <c r="F84" s="329"/>
      <c r="G84" s="329" t="s">
        <v>262</v>
      </c>
      <c r="H84" s="327"/>
      <c r="I84" s="404">
        <f t="shared" ref="I84:O84" si="25">I80-I82</f>
        <v>0</v>
      </c>
      <c r="J84" s="404">
        <f t="shared" si="25"/>
        <v>2.0000000018626451E-2</v>
      </c>
      <c r="K84" s="404">
        <f t="shared" si="25"/>
        <v>-1.0000000009313226E-2</v>
      </c>
      <c r="L84" s="404">
        <f t="shared" si="25"/>
        <v>19824.119999999995</v>
      </c>
      <c r="M84" s="404">
        <f t="shared" si="25"/>
        <v>-19772.350000000035</v>
      </c>
      <c r="N84" s="404">
        <f t="shared" si="25"/>
        <v>-2.0000000018626451E-2</v>
      </c>
      <c r="O84" s="404">
        <f t="shared" si="25"/>
        <v>0</v>
      </c>
      <c r="P84" s="327"/>
    </row>
    <row r="85" spans="2:17" x14ac:dyDescent="0.2">
      <c r="B85" s="327"/>
      <c r="C85" s="328"/>
      <c r="D85" s="328"/>
      <c r="E85" s="327"/>
      <c r="F85" s="327"/>
      <c r="G85" s="336"/>
      <c r="H85" s="327"/>
      <c r="I85" s="327"/>
      <c r="J85" s="327"/>
      <c r="K85" s="327"/>
      <c r="L85" s="327"/>
      <c r="M85" s="404"/>
      <c r="N85" s="327"/>
      <c r="O85" s="327"/>
      <c r="P85" s="327"/>
    </row>
    <row r="86" spans="2:17" x14ac:dyDescent="0.2">
      <c r="B86" s="327"/>
      <c r="C86" s="328"/>
      <c r="D86" s="328"/>
      <c r="E86" s="327"/>
      <c r="F86" s="329"/>
      <c r="G86" s="329"/>
      <c r="H86" s="327"/>
      <c r="I86" s="327"/>
      <c r="J86" s="327"/>
      <c r="K86" s="327"/>
      <c r="L86" s="327"/>
      <c r="M86" s="327"/>
      <c r="N86" s="327"/>
      <c r="O86" s="327"/>
      <c r="P86" s="327"/>
    </row>
    <row r="87" spans="2:17" x14ac:dyDescent="0.2">
      <c r="B87" s="327"/>
      <c r="C87" s="328"/>
      <c r="D87" s="328"/>
      <c r="E87" s="327"/>
      <c r="F87" s="329"/>
      <c r="G87" s="329"/>
      <c r="H87" s="327"/>
      <c r="I87" s="327"/>
      <c r="J87" s="327"/>
      <c r="K87" s="327"/>
      <c r="L87" s="327"/>
      <c r="M87" s="327"/>
      <c r="N87" s="327"/>
      <c r="O87" s="327"/>
      <c r="P87" s="327"/>
    </row>
    <row r="88" spans="2:17" x14ac:dyDescent="0.2">
      <c r="B88" s="327"/>
      <c r="C88" s="327"/>
      <c r="D88" s="327"/>
      <c r="E88" s="327"/>
      <c r="F88" s="327"/>
      <c r="G88" s="327"/>
      <c r="H88" s="327"/>
      <c r="I88" s="327"/>
      <c r="J88" s="327"/>
      <c r="K88" s="327"/>
      <c r="L88" s="327"/>
      <c r="M88" s="327"/>
      <c r="N88" s="327"/>
      <c r="O88" s="327"/>
      <c r="P88" s="327"/>
    </row>
    <row r="89" spans="2:17" x14ac:dyDescent="0.2">
      <c r="B89" s="327"/>
      <c r="C89" s="327"/>
      <c r="D89" s="327"/>
      <c r="E89" s="327"/>
      <c r="F89" s="327"/>
      <c r="G89" s="656" t="s">
        <v>700</v>
      </c>
      <c r="H89" s="327"/>
      <c r="I89" s="327"/>
      <c r="J89" s="327"/>
      <c r="K89" s="327"/>
      <c r="L89" s="327"/>
      <c r="M89" s="327"/>
      <c r="N89" s="327"/>
      <c r="O89" s="327"/>
      <c r="P89" s="327"/>
    </row>
    <row r="90" spans="2:17" x14ac:dyDescent="0.2">
      <c r="B90" s="327"/>
      <c r="C90" s="328" t="s">
        <v>50</v>
      </c>
      <c r="D90" s="328" t="str">
        <f>MID(C90,6,3)</f>
        <v>895</v>
      </c>
      <c r="E90" s="327" t="str">
        <f>VLOOKUP($C90,'Retail Rates'!$B$45:$R$53,3,FALSE)</f>
        <v>FT-C</v>
      </c>
      <c r="F90" s="329" t="s">
        <v>662</v>
      </c>
      <c r="G90" s="330" t="s">
        <v>268</v>
      </c>
      <c r="H90" s="331"/>
      <c r="I90" s="327">
        <f t="shared" ref="I90:O90" si="26">+I99/I92</f>
        <v>2</v>
      </c>
      <c r="J90" s="327">
        <f t="shared" si="26"/>
        <v>2</v>
      </c>
      <c r="K90" s="327">
        <f t="shared" si="26"/>
        <v>2</v>
      </c>
      <c r="L90" s="327">
        <f t="shared" si="26"/>
        <v>2</v>
      </c>
      <c r="M90" s="327">
        <f t="shared" si="26"/>
        <v>2</v>
      </c>
      <c r="N90" s="327">
        <f t="shared" si="26"/>
        <v>2</v>
      </c>
      <c r="O90" s="327">
        <f t="shared" si="26"/>
        <v>2</v>
      </c>
      <c r="P90" s="574">
        <f>SUM(J90:O90)</f>
        <v>12</v>
      </c>
    </row>
    <row r="91" spans="2:17" x14ac:dyDescent="0.2">
      <c r="B91" s="327"/>
      <c r="C91" s="328" t="s">
        <v>50</v>
      </c>
      <c r="D91" s="328" t="str">
        <f t="shared" ref="D91:D108" si="27">MID(C91,6,3)</f>
        <v>895</v>
      </c>
      <c r="E91" s="327" t="str">
        <f>VLOOKUP($C91,'Retail Rates'!$B$45:$R$53,3,FALSE)</f>
        <v>FT-C</v>
      </c>
      <c r="F91" s="329" t="s">
        <v>662</v>
      </c>
      <c r="G91" s="329" t="s">
        <v>269</v>
      </c>
      <c r="H91" s="325" t="s">
        <v>518</v>
      </c>
      <c r="I91" s="411">
        <f>SUMIFS('Data FT-TS-Cashout-P'!$H$14:$H$4704,'Data FT-TS-Cashout-P'!$A$6:$A$4696,'Mar16-Aug16 FT-TS-Cashout-LG&amp;E'!I$4,'Data FT-TS-Cashout-P'!$B$14:$B$4704,'Mar16-Aug16 FT-TS-Cashout-LG&amp;E'!$C$91,'Data FT-TS-Cashout-P'!$D$14:$D$4704,'Mar16-Aug16 FT-TS-Cashout-LG&amp;E'!$F$91,'Data FT-TS-Cashout-P'!$E$14:$E$4704,'Mar16-Aug16 FT-TS-Cashout-LG&amp;E'!$H$91,'Data FT-TS-Cashout-P'!$F$14:$F$4704,'Mar16-Aug16 FT-TS-Cashout-LG&amp;E'!I$6)/10</f>
        <v>19237.400000000001</v>
      </c>
      <c r="J91" s="396">
        <f>SUMIFS('Data FT-TS-Cashout-P'!$H$14:$H$4704,'Data FT-TS-Cashout-P'!$A$6:$A$4696,'Mar16-Aug16 FT-TS-Cashout-LG&amp;E'!J$4,'Data FT-TS-Cashout-P'!$B$14:$B$4704,'Mar16-Aug16 FT-TS-Cashout-LG&amp;E'!$C$91,'Data FT-TS-Cashout-P'!$D$14:$D$4704,'Mar16-Aug16 FT-TS-Cashout-LG&amp;E'!$F$91,'Data FT-TS-Cashout-P'!$E$14:$E$4704,'Mar16-Aug16 FT-TS-Cashout-LG&amp;E'!$H$91,'Data FT-TS-Cashout-P'!$F$14:$F$4704,'Mar16-Aug16 FT-TS-Cashout-LG&amp;E'!J$6)/10</f>
        <v>17874</v>
      </c>
      <c r="K91" s="411">
        <f>SUMIFS('Data FT-TS-Cashout-P'!$H$14:$H$4704,'Data FT-TS-Cashout-P'!$A$6:$A$4696,'Mar16-Aug16 FT-TS-Cashout-LG&amp;E'!K$4,'Data FT-TS-Cashout-P'!$B$14:$B$4704,'Mar16-Aug16 FT-TS-Cashout-LG&amp;E'!$C$91,'Data FT-TS-Cashout-P'!$D$14:$D$4704,'Mar16-Aug16 FT-TS-Cashout-LG&amp;E'!$F$91,'Data FT-TS-Cashout-P'!$E$14:$E$4704,'Mar16-Aug16 FT-TS-Cashout-LG&amp;E'!$H$91,'Data FT-TS-Cashout-P'!$F$14:$F$4704,'Mar16-Aug16 FT-TS-Cashout-LG&amp;E'!K$6)/10</f>
        <v>12070.2</v>
      </c>
      <c r="L91" s="411">
        <f>SUMIFS('Data FT-TS-Cashout-P'!$H$14:$H$4704,'Data FT-TS-Cashout-P'!$A$6:$A$4696,'Mar16-Aug16 FT-TS-Cashout-LG&amp;E'!L$4,'Data FT-TS-Cashout-P'!$B$14:$B$4704,'Mar16-Aug16 FT-TS-Cashout-LG&amp;E'!$C$91,'Data FT-TS-Cashout-P'!$D$14:$D$4704,'Mar16-Aug16 FT-TS-Cashout-LG&amp;E'!$F$91,'Data FT-TS-Cashout-P'!$E$14:$E$4704,'Mar16-Aug16 FT-TS-Cashout-LG&amp;E'!$H$91,'Data FT-TS-Cashout-P'!$F$14:$F$4704,'Mar16-Aug16 FT-TS-Cashout-LG&amp;E'!L$6)/10</f>
        <v>10134.799999999999</v>
      </c>
      <c r="M91" s="411">
        <f>SUMIFS('Data FT-TS-Cashout-P'!$H$14:$H$4704,'Data FT-TS-Cashout-P'!$A$6:$A$4696,'Mar16-Aug16 FT-TS-Cashout-LG&amp;E'!M$4,'Data FT-TS-Cashout-P'!$B$14:$B$4704,'Mar16-Aug16 FT-TS-Cashout-LG&amp;E'!$C$91,'Data FT-TS-Cashout-P'!$D$14:$D$4704,'Mar16-Aug16 FT-TS-Cashout-LG&amp;E'!$F$91,'Data FT-TS-Cashout-P'!$E$14:$E$4704,'Mar16-Aug16 FT-TS-Cashout-LG&amp;E'!$H$91,'Data FT-TS-Cashout-P'!$F$14:$F$4704,'Mar16-Aug16 FT-TS-Cashout-LG&amp;E'!M$6)/10</f>
        <v>7918.7</v>
      </c>
      <c r="N91" s="411">
        <f>SUMIFS('Data FT-TS-Cashout-P'!$H$14:$H$4704,'Data FT-TS-Cashout-P'!$A$6:$A$4696,'Mar16-Aug16 FT-TS-Cashout-LG&amp;E'!N$4,'Data FT-TS-Cashout-P'!$B$14:$B$4704,'Mar16-Aug16 FT-TS-Cashout-LG&amp;E'!$C$91,'Data FT-TS-Cashout-P'!$D$14:$D$4704,'Mar16-Aug16 FT-TS-Cashout-LG&amp;E'!$F$91,'Data FT-TS-Cashout-P'!$E$14:$E$4704,'Mar16-Aug16 FT-TS-Cashout-LG&amp;E'!$H$91,'Data FT-TS-Cashout-P'!$F$14:$F$4704,'Mar16-Aug16 FT-TS-Cashout-LG&amp;E'!N$6)/10</f>
        <v>7191.5</v>
      </c>
      <c r="O91" s="411">
        <f>SUMIFS('Data FT-TS-Cashout-P'!$H$14:$H$4704,'Data FT-TS-Cashout-P'!$A$6:$A$4696,'Mar16-Aug16 FT-TS-Cashout-LG&amp;E'!O$4,'Data FT-TS-Cashout-P'!$B$14:$B$4704,'Mar16-Aug16 FT-TS-Cashout-LG&amp;E'!$C$91,'Data FT-TS-Cashout-P'!$D$14:$D$4704,'Mar16-Aug16 FT-TS-Cashout-LG&amp;E'!$F$91,'Data FT-TS-Cashout-P'!$E$14:$E$4704,'Mar16-Aug16 FT-TS-Cashout-LG&amp;E'!$H$91,'Data FT-TS-Cashout-P'!$F$14:$F$4704,'Mar16-Aug16 FT-TS-Cashout-LG&amp;E'!O$6)/10</f>
        <v>5925.1</v>
      </c>
      <c r="P91" s="574">
        <f>SUM(J91:O91)</f>
        <v>61114.299999999996</v>
      </c>
      <c r="Q91" s="593"/>
    </row>
    <row r="92" spans="2:17" x14ac:dyDescent="0.2">
      <c r="B92" s="327"/>
      <c r="C92" s="328" t="s">
        <v>50</v>
      </c>
      <c r="D92" s="328" t="str">
        <f t="shared" si="27"/>
        <v>895</v>
      </c>
      <c r="E92" s="327" t="str">
        <f>VLOOKUP($C92,'Retail Rates'!$B$45:$R$53,3,FALSE)</f>
        <v>FT-C</v>
      </c>
      <c r="F92" s="329" t="s">
        <v>662</v>
      </c>
      <c r="G92" s="329" t="s">
        <v>270</v>
      </c>
      <c r="H92" s="329"/>
      <c r="I92" s="327">
        <f>VLOOKUP($C92,'Retail Rates'!$B$44:$O$53,6,FALSE)</f>
        <v>550</v>
      </c>
      <c r="J92" s="327">
        <f>VLOOKUP($C92,'Retail Rates'!$B$44:$O$53,6,FALSE)</f>
        <v>550</v>
      </c>
      <c r="K92" s="327">
        <f>VLOOKUP($C92,'Retail Rates'!$B$44:$O$53,6,FALSE)</f>
        <v>550</v>
      </c>
      <c r="L92" s="327">
        <f>VLOOKUP($C92,'Retail Rates'!$B$44:$O$53,6,FALSE)</f>
        <v>550</v>
      </c>
      <c r="M92" s="327">
        <f>VLOOKUP($C92,'Retail Rates'!$B$44:$O$53,6,FALSE)</f>
        <v>550</v>
      </c>
      <c r="N92" s="327">
        <f>VLOOKUP($C92,'Retail Rates'!$B$44:$O$53,6,FALSE)</f>
        <v>550</v>
      </c>
      <c r="O92" s="327">
        <f>VLOOKUP($C92,'Retail Rates'!$B$44:$O$53,6,FALSE)</f>
        <v>550</v>
      </c>
      <c r="P92" s="327"/>
    </row>
    <row r="93" spans="2:17" x14ac:dyDescent="0.2">
      <c r="B93" s="327"/>
      <c r="C93" s="328" t="s">
        <v>50</v>
      </c>
      <c r="D93" s="328" t="str">
        <f t="shared" si="27"/>
        <v>895</v>
      </c>
      <c r="E93" s="327" t="str">
        <f>VLOOKUP($C93,'Retail Rates'!$B$45:$R$53,3,FALSE)</f>
        <v>FT-C</v>
      </c>
      <c r="F93" s="329" t="s">
        <v>662</v>
      </c>
      <c r="G93" s="329" t="s">
        <v>271</v>
      </c>
      <c r="H93" s="329"/>
      <c r="I93" s="327">
        <f>VLOOKUP($C93,'Retail Rates'!$B$44:$O$53,7,FALSE)</f>
        <v>0.43020000000000003</v>
      </c>
      <c r="J93" s="327">
        <f>VLOOKUP($C93,'Retail Rates'!$B$44:$O$53,7,FALSE)</f>
        <v>0.43020000000000003</v>
      </c>
      <c r="K93" s="327">
        <f>VLOOKUP($C93,'Retail Rates'!$B$44:$O$53,7,FALSE)</f>
        <v>0.43020000000000003</v>
      </c>
      <c r="L93" s="327">
        <f>VLOOKUP($C93,'Retail Rates'!$B$44:$O$53,7,FALSE)</f>
        <v>0.43020000000000003</v>
      </c>
      <c r="M93" s="327">
        <f>VLOOKUP($C93,'Retail Rates'!$B$44:$O$53,7,FALSE)</f>
        <v>0.43020000000000003</v>
      </c>
      <c r="N93" s="327">
        <f>VLOOKUP($C93,'Retail Rates'!$B$44:$O$53,7,FALSE)</f>
        <v>0.43020000000000003</v>
      </c>
      <c r="O93" s="327">
        <f>VLOOKUP($C93,'Retail Rates'!$B$44:$O$53,7,FALSE)</f>
        <v>0.43020000000000003</v>
      </c>
      <c r="P93" s="327"/>
    </row>
    <row r="94" spans="2:17" x14ac:dyDescent="0.2">
      <c r="B94" s="327"/>
      <c r="C94" s="328" t="s">
        <v>50</v>
      </c>
      <c r="D94" s="328" t="str">
        <f t="shared" si="27"/>
        <v>895</v>
      </c>
      <c r="E94" s="327" t="str">
        <f>VLOOKUP($C94,'Retail Rates'!$B$45:$R$53,3,FALSE)</f>
        <v>FT-C</v>
      </c>
      <c r="F94" s="329" t="s">
        <v>662</v>
      </c>
      <c r="G94" s="329" t="s">
        <v>272</v>
      </c>
      <c r="H94" s="329"/>
      <c r="I94" s="643">
        <f>VLOOKUP(I$5,'GSC-DSM-GLT Factors'!$A$11:$N$52,7,FALSE)</f>
        <v>5.4000000000000003E-3</v>
      </c>
      <c r="J94" s="643">
        <f>VLOOKUP(J$5,'GSC-DSM-GLT Factors'!$A$11:$N$52,7,FALSE)</f>
        <v>5.4000000000000003E-3</v>
      </c>
      <c r="K94" s="643">
        <f>VLOOKUP(K$5,'GSC-DSM-GLT Factors'!$A$11:$N$52,7,FALSE)</f>
        <v>5.7000000000000002E-3</v>
      </c>
      <c r="L94" s="643">
        <f>VLOOKUP(L$5,'GSC-DSM-GLT Factors'!$A$11:$N$52,7,FALSE)</f>
        <v>5.7000000000000002E-3</v>
      </c>
      <c r="M94" s="643">
        <f>VLOOKUP(M$5,'GSC-DSM-GLT Factors'!$A$11:$N$52,7,FALSE)</f>
        <v>5.7000000000000002E-3</v>
      </c>
      <c r="N94" s="643">
        <f>VLOOKUP(N$5,'GSC-DSM-GLT Factors'!$A$11:$N$52,7,FALSE)</f>
        <v>5.7000000000000002E-3</v>
      </c>
      <c r="O94" s="643">
        <f>VLOOKUP(O$5,'GSC-DSM-GLT Factors'!$A$11:$N$52,7,FALSE)</f>
        <v>5.7000000000000002E-3</v>
      </c>
      <c r="P94" s="327"/>
    </row>
    <row r="95" spans="2:17" x14ac:dyDescent="0.2">
      <c r="B95" s="327"/>
      <c r="C95" s="328" t="s">
        <v>50</v>
      </c>
      <c r="D95" s="328" t="str">
        <f t="shared" si="27"/>
        <v>895</v>
      </c>
      <c r="E95" s="327" t="str">
        <f>VLOOKUP($C95,'Retail Rates'!$B$45:$R$53,3,FALSE)</f>
        <v>FT-C</v>
      </c>
      <c r="F95" s="329" t="s">
        <v>662</v>
      </c>
      <c r="G95" s="332" t="s">
        <v>533</v>
      </c>
      <c r="H95" s="332"/>
      <c r="I95" s="393">
        <f ca="1">SUMIF('GSC-DSM-GLT Factors'!$A$11:$A$52,'Mar16-Aug16 FT-TS-Cashout-LG&amp;E'!I$5,'GSC-DSM-GLT Factors'!$F$40:$F$58)</f>
        <v>0.15</v>
      </c>
      <c r="J95" s="393">
        <f ca="1">SUMIF('GSC-DSM-GLT Factors'!$A$11:$A$52,'Mar16-Aug16 FT-TS-Cashout-LG&amp;E'!J$5,'GSC-DSM-GLT Factors'!$F$40:$F$58)</f>
        <v>0.15</v>
      </c>
      <c r="K95" s="393">
        <f ca="1">SUMIF('GSC-DSM-GLT Factors'!$A$11:$A$52,'Mar16-Aug16 FT-TS-Cashout-LG&amp;E'!K$5,'GSC-DSM-GLT Factors'!$F$40:$F$58)</f>
        <v>0.15210000000000001</v>
      </c>
      <c r="L95" s="393">
        <f ca="1">SUMIF('GSC-DSM-GLT Factors'!$A$11:$A$52,'Mar16-Aug16 FT-TS-Cashout-LG&amp;E'!L$5,'GSC-DSM-GLT Factors'!$F$40:$F$58)</f>
        <v>0.15210000000000001</v>
      </c>
      <c r="M95" s="393">
        <f ca="1">SUMIF('GSC-DSM-GLT Factors'!$A$11:$A$52,'Mar16-Aug16 FT-TS-Cashout-LG&amp;E'!M$5,'GSC-DSM-GLT Factors'!$F$40:$F$58)</f>
        <v>0.15210000000000001</v>
      </c>
      <c r="N95" s="393">
        <f ca="1">SUMIF('GSC-DSM-GLT Factors'!$A$11:$A$52,'Mar16-Aug16 FT-TS-Cashout-LG&amp;E'!N$5,'GSC-DSM-GLT Factors'!$F$40:$F$58)</f>
        <v>0.152</v>
      </c>
      <c r="O95" s="393">
        <f ca="1">SUMIF('GSC-DSM-GLT Factors'!$A$11:$A$52,'Mar16-Aug16 FT-TS-Cashout-LG&amp;E'!O$5,'GSC-DSM-GLT Factors'!$F$40:$F$58)</f>
        <v>0.152</v>
      </c>
      <c r="P95" s="327"/>
    </row>
    <row r="96" spans="2:17" x14ac:dyDescent="0.2">
      <c r="B96" s="327"/>
      <c r="C96" s="399" t="s">
        <v>50</v>
      </c>
      <c r="D96" s="328" t="str">
        <f t="shared" si="27"/>
        <v>895</v>
      </c>
      <c r="E96" s="327" t="str">
        <f>VLOOKUP($C96,'Retail Rates'!$B$45:$R$53,3,FALSE)</f>
        <v>FT-C</v>
      </c>
      <c r="F96" s="329" t="s">
        <v>662</v>
      </c>
      <c r="G96" s="332" t="s">
        <v>534</v>
      </c>
      <c r="H96" s="332"/>
      <c r="I96" s="327">
        <f>VLOOKUP($C96,'Retail Rates'!$B$44:$O$53,10,FALSE)</f>
        <v>0.18329999999999999</v>
      </c>
      <c r="J96" s="327">
        <f>VLOOKUP($C96,'Retail Rates'!$B$44:$O$53,10,FALSE)</f>
        <v>0.18329999999999999</v>
      </c>
      <c r="K96" s="327">
        <f>VLOOKUP($C96,'Retail Rates'!$B$44:$O$53,10,FALSE)</f>
        <v>0.18329999999999999</v>
      </c>
      <c r="L96" s="327">
        <f>VLOOKUP($C96,'Retail Rates'!$B$44:$O$53,10,FALSE)</f>
        <v>0.18329999999999999</v>
      </c>
      <c r="M96" s="327">
        <f>VLOOKUP($C96,'Retail Rates'!$B$44:$O$53,10,FALSE)</f>
        <v>0.18329999999999999</v>
      </c>
      <c r="N96" s="327">
        <f>VLOOKUP($C96,'Retail Rates'!$B$44:$O$53,10,FALSE)</f>
        <v>0.18329999999999999</v>
      </c>
      <c r="O96" s="327">
        <f>VLOOKUP($C96,'Retail Rates'!$B$44:$O$53,10,FALSE)</f>
        <v>0.18329999999999999</v>
      </c>
      <c r="P96" s="327"/>
    </row>
    <row r="97" spans="2:18" x14ac:dyDescent="0.2">
      <c r="B97" s="327"/>
      <c r="C97" s="399" t="s">
        <v>50</v>
      </c>
      <c r="D97" s="328" t="str">
        <f t="shared" si="27"/>
        <v>895</v>
      </c>
      <c r="E97" s="327" t="str">
        <f>VLOOKUP($C97,'Retail Rates'!$B$45:$R$53,3,FALSE)</f>
        <v>FT-C</v>
      </c>
      <c r="F97" s="329" t="s">
        <v>662</v>
      </c>
      <c r="G97" s="333"/>
      <c r="H97" s="333"/>
      <c r="I97" s="327"/>
      <c r="J97" s="327"/>
      <c r="K97" s="327"/>
      <c r="L97" s="327"/>
      <c r="M97" s="327"/>
      <c r="N97" s="327"/>
      <c r="O97" s="327"/>
      <c r="P97" s="327"/>
    </row>
    <row r="98" spans="2:18" x14ac:dyDescent="0.2">
      <c r="B98" s="327"/>
      <c r="C98" s="399" t="s">
        <v>50</v>
      </c>
      <c r="D98" s="328" t="str">
        <f t="shared" si="27"/>
        <v>895</v>
      </c>
      <c r="E98" s="327" t="str">
        <f>VLOOKUP($C98,'Retail Rates'!$B$45:$R$53,3,FALSE)</f>
        <v>FT-C</v>
      </c>
      <c r="F98" s="329" t="s">
        <v>662</v>
      </c>
      <c r="G98" s="334" t="s">
        <v>273</v>
      </c>
      <c r="H98" s="334"/>
      <c r="I98" s="327"/>
      <c r="J98" s="327"/>
      <c r="K98" s="327"/>
      <c r="L98" s="327"/>
      <c r="M98" s="327"/>
      <c r="N98" s="327"/>
      <c r="O98" s="327"/>
      <c r="P98" s="327"/>
    </row>
    <row r="99" spans="2:18" x14ac:dyDescent="0.2">
      <c r="B99" s="327"/>
      <c r="C99" s="399" t="s">
        <v>50</v>
      </c>
      <c r="D99" s="328" t="str">
        <f t="shared" si="27"/>
        <v>895</v>
      </c>
      <c r="E99" s="327" t="str">
        <f>VLOOKUP($C99,'Retail Rates'!$B$45:$R$53,3,FALSE)</f>
        <v>FT-C</v>
      </c>
      <c r="F99" s="329" t="s">
        <v>662</v>
      </c>
      <c r="G99" s="329" t="s">
        <v>274</v>
      </c>
      <c r="H99" s="325" t="s">
        <v>524</v>
      </c>
      <c r="I99" s="396">
        <f>SUMIFS('Data FT-TS-Cashout-P'!$I$14:$I$4704,'Data FT-TS-Cashout-P'!$A$14:$A$4704,'Mar16-Aug16 FT-TS-Cashout-LG&amp;E'!I$4,'Data FT-TS-Cashout-P'!$B$14:$B$4704,'Mar16-Aug16 FT-TS-Cashout-LG&amp;E'!$C$99,'Data FT-TS-Cashout-P'!$D$14:$D$4704,'Mar16-Aug16 FT-TS-Cashout-LG&amp;E'!$F$99,'Data FT-TS-Cashout-P'!$E$14:$E$4704,'Mar16-Aug16 FT-TS-Cashout-LG&amp;E'!$H$99,'Data FT-TS-Cashout-P'!$F$14:$F$4704,'Mar16-Aug16 FT-TS-Cashout-LG&amp;E'!I$6)</f>
        <v>1100</v>
      </c>
      <c r="J99" s="396">
        <f>SUMIFS('Data FT-TS-Cashout-P'!$G$14:$G$4704,'Data FT-TS-Cashout-P'!$A$14:$A$4704,'Mar16-Aug16 FT-TS-Cashout-LG&amp;E'!J$4,'Data FT-TS-Cashout-P'!$B$14:$B$4704,'Mar16-Aug16 FT-TS-Cashout-LG&amp;E'!$C$99,'Data FT-TS-Cashout-P'!$D$14:$D$4704,'Mar16-Aug16 FT-TS-Cashout-LG&amp;E'!$F$99,'Data FT-TS-Cashout-P'!$E$14:$E$4704,'Mar16-Aug16 FT-TS-Cashout-LG&amp;E'!$H$99,'Data FT-TS-Cashout-P'!$F$14:$F$4704,'Mar16-Aug16 FT-TS-Cashout-LG&amp;E'!J$6)</f>
        <v>1100</v>
      </c>
      <c r="K99" s="396">
        <f>SUMIFS('Data FT-TS-Cashout-P'!$G$14:$G$4704,'Data FT-TS-Cashout-P'!$A$14:$A$4704,'Mar16-Aug16 FT-TS-Cashout-LG&amp;E'!K$4,'Data FT-TS-Cashout-P'!$B$14:$B$4704,'Mar16-Aug16 FT-TS-Cashout-LG&amp;E'!$C$99,'Data FT-TS-Cashout-P'!$D$14:$D$4704,'Mar16-Aug16 FT-TS-Cashout-LG&amp;E'!$F$99,'Data FT-TS-Cashout-P'!$E$14:$E$4704,'Mar16-Aug16 FT-TS-Cashout-LG&amp;E'!$H$99,'Data FT-TS-Cashout-P'!$F$14:$F$4704,'Mar16-Aug16 FT-TS-Cashout-LG&amp;E'!K$6)</f>
        <v>1100</v>
      </c>
      <c r="L99" s="396">
        <f>SUMIFS('Data FT-TS-Cashout-P'!$G$14:$G$4704,'Data FT-TS-Cashout-P'!$A$14:$A$4704,'Mar16-Aug16 FT-TS-Cashout-LG&amp;E'!L$4,'Data FT-TS-Cashout-P'!$B$14:$B$4704,'Mar16-Aug16 FT-TS-Cashout-LG&amp;E'!$C$99,'Data FT-TS-Cashout-P'!$D$14:$D$4704,'Mar16-Aug16 FT-TS-Cashout-LG&amp;E'!$F$99,'Data FT-TS-Cashout-P'!$E$14:$E$4704,'Mar16-Aug16 FT-TS-Cashout-LG&amp;E'!$H$99,'Data FT-TS-Cashout-P'!$F$14:$F$4704,'Mar16-Aug16 FT-TS-Cashout-LG&amp;E'!L$6)</f>
        <v>1100</v>
      </c>
      <c r="M99" s="396">
        <f>SUMIFS('Data FT-TS-Cashout-P'!$G$14:$G$4704,'Data FT-TS-Cashout-P'!$A$14:$A$4704,'Mar16-Aug16 FT-TS-Cashout-LG&amp;E'!M$4,'Data FT-TS-Cashout-P'!$B$14:$B$4704,'Mar16-Aug16 FT-TS-Cashout-LG&amp;E'!$C$99,'Data FT-TS-Cashout-P'!$D$14:$D$4704,'Mar16-Aug16 FT-TS-Cashout-LG&amp;E'!$F$99,'Data FT-TS-Cashout-P'!$E$14:$E$4704,'Mar16-Aug16 FT-TS-Cashout-LG&amp;E'!$H$99,'Data FT-TS-Cashout-P'!$F$14:$F$4704,'Mar16-Aug16 FT-TS-Cashout-LG&amp;E'!M$6)</f>
        <v>1100</v>
      </c>
      <c r="N99" s="396">
        <f>SUMIFS('Data FT-TS-Cashout-P'!$G$14:$G$4704,'Data FT-TS-Cashout-P'!$A$14:$A$4704,'Mar16-Aug16 FT-TS-Cashout-LG&amp;E'!N$4,'Data FT-TS-Cashout-P'!$B$14:$B$4704,'Mar16-Aug16 FT-TS-Cashout-LG&amp;E'!$C$99,'Data FT-TS-Cashout-P'!$D$14:$D$4704,'Mar16-Aug16 FT-TS-Cashout-LG&amp;E'!$F$99,'Data FT-TS-Cashout-P'!$E$14:$E$4704,'Mar16-Aug16 FT-TS-Cashout-LG&amp;E'!$H$99,'Data FT-TS-Cashout-P'!$F$14:$F$4704,'Mar16-Aug16 FT-TS-Cashout-LG&amp;E'!N$6)</f>
        <v>1100</v>
      </c>
      <c r="O99" s="396">
        <f>SUMIFS('Data FT-TS-Cashout-P'!$G$14:$G$4704,'Data FT-TS-Cashout-P'!$A$14:$A$4704,'Mar16-Aug16 FT-TS-Cashout-LG&amp;E'!O$4,'Data FT-TS-Cashout-P'!$B$14:$B$4704,'Mar16-Aug16 FT-TS-Cashout-LG&amp;E'!$C$99,'Data FT-TS-Cashout-P'!$D$14:$D$4704,'Mar16-Aug16 FT-TS-Cashout-LG&amp;E'!$F$99,'Data FT-TS-Cashout-P'!$E$14:$E$4704,'Mar16-Aug16 FT-TS-Cashout-LG&amp;E'!$H$99,'Data FT-TS-Cashout-P'!$F$14:$F$4704,'Mar16-Aug16 FT-TS-Cashout-LG&amp;E'!O$6)</f>
        <v>1100</v>
      </c>
      <c r="P99" s="574">
        <f t="shared" ref="P99:P108" si="28">SUM(J99:O99)</f>
        <v>6600</v>
      </c>
    </row>
    <row r="100" spans="2:18" x14ac:dyDescent="0.2">
      <c r="B100" s="327"/>
      <c r="C100" s="399" t="s">
        <v>50</v>
      </c>
      <c r="D100" s="328" t="str">
        <f t="shared" si="27"/>
        <v>895</v>
      </c>
      <c r="E100" s="327" t="str">
        <f>VLOOKUP($C100,'Retail Rates'!$B$45:$R$53,3,FALSE)</f>
        <v>FT-C</v>
      </c>
      <c r="F100" s="329" t="s">
        <v>662</v>
      </c>
      <c r="G100" s="329" t="s">
        <v>275</v>
      </c>
      <c r="H100" s="329"/>
      <c r="I100" s="397">
        <f t="shared" ref="I100:O100" si="29">ROUND(I91*I93,2)</f>
        <v>8275.93</v>
      </c>
      <c r="J100" s="397">
        <f t="shared" si="29"/>
        <v>7689.39</v>
      </c>
      <c r="K100" s="397">
        <f t="shared" si="29"/>
        <v>5192.6000000000004</v>
      </c>
      <c r="L100" s="397">
        <f t="shared" si="29"/>
        <v>4359.99</v>
      </c>
      <c r="M100" s="397">
        <f t="shared" si="29"/>
        <v>3406.62</v>
      </c>
      <c r="N100" s="397">
        <f t="shared" si="29"/>
        <v>3093.78</v>
      </c>
      <c r="O100" s="397">
        <f t="shared" si="29"/>
        <v>2548.98</v>
      </c>
      <c r="P100" s="574">
        <f t="shared" si="28"/>
        <v>26291.360000000001</v>
      </c>
    </row>
    <row r="101" spans="2:18" x14ac:dyDescent="0.2">
      <c r="B101" s="327"/>
      <c r="C101" s="399" t="s">
        <v>50</v>
      </c>
      <c r="D101" s="328" t="str">
        <f t="shared" si="27"/>
        <v>895</v>
      </c>
      <c r="E101" s="327" t="str">
        <f>VLOOKUP($C101,'Retail Rates'!$B$45:$R$53,3,FALSE)</f>
        <v>FT-C</v>
      </c>
      <c r="F101" s="329" t="s">
        <v>662</v>
      </c>
      <c r="G101" s="329" t="s">
        <v>276</v>
      </c>
      <c r="H101" s="329"/>
      <c r="I101" s="398">
        <f t="shared" ref="I101:O101" si="30">SUM(I99:I100)</f>
        <v>9375.93</v>
      </c>
      <c r="J101" s="398">
        <f t="shared" si="30"/>
        <v>8789.39</v>
      </c>
      <c r="K101" s="398">
        <f t="shared" si="30"/>
        <v>6292.6</v>
      </c>
      <c r="L101" s="398">
        <f t="shared" si="30"/>
        <v>5459.99</v>
      </c>
      <c r="M101" s="398">
        <f t="shared" si="30"/>
        <v>4506.62</v>
      </c>
      <c r="N101" s="398">
        <f t="shared" si="30"/>
        <v>4193.7800000000007</v>
      </c>
      <c r="O101" s="398">
        <f t="shared" si="30"/>
        <v>3648.98</v>
      </c>
      <c r="P101" s="574">
        <f t="shared" si="28"/>
        <v>32891.360000000001</v>
      </c>
    </row>
    <row r="102" spans="2:18" x14ac:dyDescent="0.2">
      <c r="B102" s="327"/>
      <c r="C102" s="399" t="s">
        <v>50</v>
      </c>
      <c r="D102" s="328" t="str">
        <f t="shared" si="27"/>
        <v>895</v>
      </c>
      <c r="E102" s="327" t="str">
        <f>VLOOKUP($C102,'Retail Rates'!$B$45:$R$53,3,FALSE)</f>
        <v>FT-C</v>
      </c>
      <c r="F102" s="329" t="s">
        <v>662</v>
      </c>
      <c r="G102" s="329" t="s">
        <v>277</v>
      </c>
      <c r="H102" s="329"/>
      <c r="I102" s="573">
        <f t="shared" ref="I102:O102" si="31">I91*I94</f>
        <v>103.88196000000001</v>
      </c>
      <c r="J102" s="573">
        <f t="shared" si="31"/>
        <v>96.519600000000011</v>
      </c>
      <c r="K102" s="573">
        <f t="shared" si="31"/>
        <v>68.800140000000013</v>
      </c>
      <c r="L102" s="573">
        <f t="shared" si="31"/>
        <v>57.768360000000001</v>
      </c>
      <c r="M102" s="573">
        <f t="shared" si="31"/>
        <v>45.136589999999998</v>
      </c>
      <c r="N102" s="573">
        <f t="shared" si="31"/>
        <v>40.991550000000004</v>
      </c>
      <c r="O102" s="573">
        <f t="shared" si="31"/>
        <v>33.773070000000004</v>
      </c>
      <c r="P102" s="574">
        <f t="shared" si="28"/>
        <v>342.98931000000005</v>
      </c>
    </row>
    <row r="103" spans="2:18" x14ac:dyDescent="0.2">
      <c r="B103" s="327"/>
      <c r="C103" s="399" t="s">
        <v>50</v>
      </c>
      <c r="D103" s="328" t="str">
        <f t="shared" si="27"/>
        <v>895</v>
      </c>
      <c r="E103" s="327" t="str">
        <f>VLOOKUP($C103,'Retail Rates'!$B$45:$R$53,3,FALSE)</f>
        <v>FT-C</v>
      </c>
      <c r="F103" s="329" t="s">
        <v>662</v>
      </c>
      <c r="G103" s="329" t="s">
        <v>500</v>
      </c>
      <c r="H103" s="325" t="s">
        <v>676</v>
      </c>
      <c r="I103" s="396">
        <f>SUMIFS('Data FT-TS-Cashout-P'!$U$14:$U$4704,'Data FT-TS-Cashout-P'!$A$14:$A$4704,'Mar16-Aug16 FT-TS-Cashout-LG&amp;E'!I$4,'Data FT-TS-Cashout-P'!$B$14:$B$4704,'Mar16-Aug16 FT-TS-Cashout-LG&amp;E'!$C$103,'Data FT-TS-Cashout-P'!$D$14:$D$4704,'Mar16-Aug16 FT-TS-Cashout-LG&amp;E'!$F$103,'Data FT-TS-Cashout-P'!$E$14:$E$4704,'Mar16-Aug16 FT-TS-Cashout-LG&amp;E'!$H$103,'Data FT-TS-Cashout-P'!$F$14:$F$4704,'Mar16-Aug16 FT-TS-Cashout-LG&amp;E'!I$6)</f>
        <v>58.59</v>
      </c>
      <c r="J103" s="396">
        <f>SUMIFS('Data FT-TS-Cashout-P'!$U$14:$U$4704,'Data FT-TS-Cashout-P'!$A$14:$A$4704,'Mar16-Aug16 FT-TS-Cashout-LG&amp;E'!J$4,'Data FT-TS-Cashout-P'!$B$14:$B$4704,'Mar16-Aug16 FT-TS-Cashout-LG&amp;E'!$C$103,'Data FT-TS-Cashout-P'!$D$14:$D$4704,'Mar16-Aug16 FT-TS-Cashout-LG&amp;E'!$F$103,'Data FT-TS-Cashout-P'!$E$14:$E$4704,'Mar16-Aug16 FT-TS-Cashout-LG&amp;E'!$H$103,'Data FT-TS-Cashout-P'!$F$14:$F$4704,'Mar16-Aug16 FT-TS-Cashout-LG&amp;E'!J$6)</f>
        <v>90.58</v>
      </c>
      <c r="K103" s="396">
        <f>SUMIFS('Data FT-TS-Cashout-P'!$U$14:$U$4704,'Data FT-TS-Cashout-P'!$A$14:$A$4704,'Mar16-Aug16 FT-TS-Cashout-LG&amp;E'!K$4,'Data FT-TS-Cashout-P'!$B$14:$B$4704,'Mar16-Aug16 FT-TS-Cashout-LG&amp;E'!$C$103,'Data FT-TS-Cashout-P'!$D$14:$D$4704,'Mar16-Aug16 FT-TS-Cashout-LG&amp;E'!$F$103,'Data FT-TS-Cashout-P'!$E$14:$E$4704,'Mar16-Aug16 FT-TS-Cashout-LG&amp;E'!$H$103,'Data FT-TS-Cashout-P'!$F$14:$F$4704,'Mar16-Aug16 FT-TS-Cashout-LG&amp;E'!K$6)</f>
        <v>174.49</v>
      </c>
      <c r="L103" s="396">
        <f>SUMIFS('Data FT-TS-Cashout-P'!$U$14:$U$4704,'Data FT-TS-Cashout-P'!$A$14:$A$4704,'Mar16-Aug16 FT-TS-Cashout-LG&amp;E'!L$4,'Data FT-TS-Cashout-P'!$B$14:$B$4704,'Mar16-Aug16 FT-TS-Cashout-LG&amp;E'!$C$103,'Data FT-TS-Cashout-P'!$D$14:$D$4704,'Mar16-Aug16 FT-TS-Cashout-LG&amp;E'!$F$103,'Data FT-TS-Cashout-P'!$E$14:$E$4704,'Mar16-Aug16 FT-TS-Cashout-LG&amp;E'!$H$103,'Data FT-TS-Cashout-P'!$F$14:$F$4704,'Mar16-Aug16 FT-TS-Cashout-LG&amp;E'!L$6)</f>
        <v>41.86</v>
      </c>
      <c r="M103" s="396">
        <f>SUMIFS('Data FT-TS-Cashout-P'!$U$14:$U$4704,'Data FT-TS-Cashout-P'!$A$14:$A$4704,'Mar16-Aug16 FT-TS-Cashout-LG&amp;E'!M$4,'Data FT-TS-Cashout-P'!$B$14:$B$4704,'Mar16-Aug16 FT-TS-Cashout-LG&amp;E'!$C$103,'Data FT-TS-Cashout-P'!$D$14:$D$4704,'Mar16-Aug16 FT-TS-Cashout-LG&amp;E'!$F$103,'Data FT-TS-Cashout-P'!$E$14:$E$4704,'Mar16-Aug16 FT-TS-Cashout-LG&amp;E'!$H$103,'Data FT-TS-Cashout-P'!$F$14:$F$4704,'Mar16-Aug16 FT-TS-Cashout-LG&amp;E'!M$6)</f>
        <v>101.03</v>
      </c>
      <c r="N103" s="396">
        <f>SUMIFS('Data FT-TS-Cashout-P'!$U$14:$U$4704,'Data FT-TS-Cashout-P'!$A$14:$A$4704,'Mar16-Aug16 FT-TS-Cashout-LG&amp;E'!N$4,'Data FT-TS-Cashout-P'!$B$14:$B$4704,'Mar16-Aug16 FT-TS-Cashout-LG&amp;E'!$C$103,'Data FT-TS-Cashout-P'!$D$14:$D$4704,'Mar16-Aug16 FT-TS-Cashout-LG&amp;E'!$F$103,'Data FT-TS-Cashout-P'!$E$14:$E$4704,'Mar16-Aug16 FT-TS-Cashout-LG&amp;E'!$H$103,'Data FT-TS-Cashout-P'!$F$14:$F$4704,'Mar16-Aug16 FT-TS-Cashout-LG&amp;E'!N$6)</f>
        <v>100.56</v>
      </c>
      <c r="O103" s="396">
        <f>SUMIFS('Data FT-TS-Cashout-P'!$U$14:$U$4704,'Data FT-TS-Cashout-P'!$A$14:$A$4704,'Mar16-Aug16 FT-TS-Cashout-LG&amp;E'!O$4,'Data FT-TS-Cashout-P'!$B$14:$B$4704,'Mar16-Aug16 FT-TS-Cashout-LG&amp;E'!$C$103,'Data FT-TS-Cashout-P'!$D$14:$D$4704,'Mar16-Aug16 FT-TS-Cashout-LG&amp;E'!$F$103,'Data FT-TS-Cashout-P'!$E$14:$E$4704,'Mar16-Aug16 FT-TS-Cashout-LG&amp;E'!$H$103,'Data FT-TS-Cashout-P'!$F$14:$F$4704,'Mar16-Aug16 FT-TS-Cashout-LG&amp;E'!O$6)</f>
        <v>8.2799999999999994</v>
      </c>
      <c r="P103" s="574">
        <f t="shared" si="28"/>
        <v>516.80000000000007</v>
      </c>
    </row>
    <row r="104" spans="2:18" x14ac:dyDescent="0.2">
      <c r="B104" s="327"/>
      <c r="C104" s="399" t="s">
        <v>50</v>
      </c>
      <c r="D104" s="328" t="str">
        <f t="shared" si="27"/>
        <v>895</v>
      </c>
      <c r="E104" s="327" t="str">
        <f>VLOOKUP($C104,'Retail Rates'!$B$45:$R$53,3,FALSE)</f>
        <v>FT-C</v>
      </c>
      <c r="F104" s="329" t="s">
        <v>662</v>
      </c>
      <c r="G104" s="329" t="s">
        <v>501</v>
      </c>
      <c r="H104" s="325" t="s">
        <v>677</v>
      </c>
      <c r="I104" s="396">
        <f>SUMIFS('Data FT-TS-Cashout-P'!$V$14:$V$4704,'Data FT-TS-Cashout-P'!$A$14:$A$4704,'Mar16-Aug16 FT-TS-Cashout-LG&amp;E'!I$4,'Data FT-TS-Cashout-P'!$B$14:$B$4704,'Mar16-Aug16 FT-TS-Cashout-LG&amp;E'!$C$104,'Data FT-TS-Cashout-P'!$D$14:$D$4704,'Mar16-Aug16 FT-TS-Cashout-LG&amp;E'!$F$104,'Data FT-TS-Cashout-P'!$E$14:$E$4704,'Mar16-Aug16 FT-TS-Cashout-LG&amp;E'!$H$104,'Data FT-TS-Cashout-P'!$F$14:$F$4704,'Mar16-Aug16 FT-TS-Cashout-LG&amp;E'!I$6)</f>
        <v>64.61</v>
      </c>
      <c r="J104" s="396">
        <f>SUMIFS('Data FT-TS-Cashout-P'!$V$14:$V$4704,'Data FT-TS-Cashout-P'!$A$14:$A$4704,'Mar16-Aug16 FT-TS-Cashout-LG&amp;E'!J$4,'Data FT-TS-Cashout-P'!$B$14:$B$4704,'Mar16-Aug16 FT-TS-Cashout-LG&amp;E'!$C$104,'Data FT-TS-Cashout-P'!$D$14:$D$4704,'Mar16-Aug16 FT-TS-Cashout-LG&amp;E'!$F$104,'Data FT-TS-Cashout-P'!$E$14:$E$4704,'Mar16-Aug16 FT-TS-Cashout-LG&amp;E'!$H$104,'Data FT-TS-Cashout-P'!$F$14:$F$4704,'Mar16-Aug16 FT-TS-Cashout-LG&amp;E'!J$6)</f>
        <v>99.9</v>
      </c>
      <c r="K104" s="396">
        <f>SUMIFS('Data FT-TS-Cashout-P'!$V$14:$V$4704,'Data FT-TS-Cashout-P'!$A$14:$A$4704,'Mar16-Aug16 FT-TS-Cashout-LG&amp;E'!K$4,'Data FT-TS-Cashout-P'!$B$14:$B$4704,'Mar16-Aug16 FT-TS-Cashout-LG&amp;E'!$C$104,'Data FT-TS-Cashout-P'!$D$14:$D$4704,'Mar16-Aug16 FT-TS-Cashout-LG&amp;E'!$F$104,'Data FT-TS-Cashout-P'!$E$14:$E$4704,'Mar16-Aug16 FT-TS-Cashout-LG&amp;E'!$H$104,'Data FT-TS-Cashout-P'!$F$14:$F$4704,'Mar16-Aug16 FT-TS-Cashout-LG&amp;E'!K$6)</f>
        <v>192.45</v>
      </c>
      <c r="L104" s="396">
        <f>SUMIFS('Data FT-TS-Cashout-P'!$V$14:$V$4704,'Data FT-TS-Cashout-P'!$A$14:$A$4704,'Mar16-Aug16 FT-TS-Cashout-LG&amp;E'!L$4,'Data FT-TS-Cashout-P'!$B$14:$B$4704,'Mar16-Aug16 FT-TS-Cashout-LG&amp;E'!$C$104,'Data FT-TS-Cashout-P'!$D$14:$D$4704,'Mar16-Aug16 FT-TS-Cashout-LG&amp;E'!$F$104,'Data FT-TS-Cashout-P'!$E$14:$E$4704,'Mar16-Aug16 FT-TS-Cashout-LG&amp;E'!$H$104,'Data FT-TS-Cashout-P'!$F$14:$F$4704,'Mar16-Aug16 FT-TS-Cashout-LG&amp;E'!L$6)</f>
        <v>45.86</v>
      </c>
      <c r="M104" s="396">
        <f>SUMIFS('Data FT-TS-Cashout-P'!$V$14:$V$4704,'Data FT-TS-Cashout-P'!$A$14:$A$4704,'Mar16-Aug16 FT-TS-Cashout-LG&amp;E'!M$4,'Data FT-TS-Cashout-P'!$B$14:$B$4704,'Mar16-Aug16 FT-TS-Cashout-LG&amp;E'!$C$104,'Data FT-TS-Cashout-P'!$D$14:$D$4704,'Mar16-Aug16 FT-TS-Cashout-LG&amp;E'!$F$104,'Data FT-TS-Cashout-P'!$E$14:$E$4704,'Mar16-Aug16 FT-TS-Cashout-LG&amp;E'!$H$104,'Data FT-TS-Cashout-P'!$F$14:$F$4704,'Mar16-Aug16 FT-TS-Cashout-LG&amp;E'!M$6)</f>
        <v>110.7</v>
      </c>
      <c r="N104" s="396">
        <f>SUMIFS('Data FT-TS-Cashout-P'!$V$14:$V$4704,'Data FT-TS-Cashout-P'!$A$14:$A$4704,'Mar16-Aug16 FT-TS-Cashout-LG&amp;E'!N$4,'Data FT-TS-Cashout-P'!$B$14:$B$4704,'Mar16-Aug16 FT-TS-Cashout-LG&amp;E'!$C$104,'Data FT-TS-Cashout-P'!$D$14:$D$4704,'Mar16-Aug16 FT-TS-Cashout-LG&amp;E'!$F$104,'Data FT-TS-Cashout-P'!$E$14:$E$4704,'Mar16-Aug16 FT-TS-Cashout-LG&amp;E'!$H$104,'Data FT-TS-Cashout-P'!$F$14:$F$4704,'Mar16-Aug16 FT-TS-Cashout-LG&amp;E'!N$6)</f>
        <v>110.19</v>
      </c>
      <c r="O104" s="396">
        <f>SUMIFS('Data FT-TS-Cashout-P'!$V$14:$V$4704,'Data FT-TS-Cashout-P'!$A$14:$A$4704,'Mar16-Aug16 FT-TS-Cashout-LG&amp;E'!O$4,'Data FT-TS-Cashout-P'!$B$14:$B$4704,'Mar16-Aug16 FT-TS-Cashout-LG&amp;E'!$C$104,'Data FT-TS-Cashout-P'!$D$14:$D$4704,'Mar16-Aug16 FT-TS-Cashout-LG&amp;E'!$F$104,'Data FT-TS-Cashout-P'!$E$14:$E$4704,'Mar16-Aug16 FT-TS-Cashout-LG&amp;E'!$H$104,'Data FT-TS-Cashout-P'!$F$14:$F$4704,'Mar16-Aug16 FT-TS-Cashout-LG&amp;E'!O$6)</f>
        <v>9.1300000000000008</v>
      </c>
      <c r="P104" s="574">
        <f t="shared" si="28"/>
        <v>568.23</v>
      </c>
    </row>
    <row r="105" spans="2:18" x14ac:dyDescent="0.2">
      <c r="B105" s="327"/>
      <c r="C105" s="399" t="s">
        <v>50</v>
      </c>
      <c r="D105" s="328" t="str">
        <f t="shared" si="27"/>
        <v>895</v>
      </c>
      <c r="E105" s="327" t="str">
        <f>VLOOKUP($C105,'Retail Rates'!$B$45:$R$53,3,FALSE)</f>
        <v>FT-C</v>
      </c>
      <c r="F105" s="329" t="s">
        <v>662</v>
      </c>
      <c r="G105" s="329" t="s">
        <v>691</v>
      </c>
      <c r="H105" s="325" t="s">
        <v>671</v>
      </c>
      <c r="I105" s="396">
        <f>SUMIFS('Data FT-TS-Cashout-P'!$L$14:$L$4704,'Data FT-TS-Cashout-P'!$A$14:$A$4704,'Mar16-Aug16 FT-TS-Cashout-LG&amp;E'!I$4,'Data FT-TS-Cashout-P'!$B$14:$B$4704,'Mar16-Aug16 FT-TS-Cashout-LG&amp;E'!$C$105,'Data FT-TS-Cashout-P'!$D$14:$D$4704,'Mar16-Aug16 FT-TS-Cashout-LG&amp;E'!$F$105,'Data FT-TS-Cashout-P'!$E$14:$E$4704,'Mar16-Aug16 FT-TS-Cashout-LG&amp;E'!$H$105,'Data FT-TS-Cashout-P'!$F$14:$F$4704,'Mar16-Aug16 FT-TS-Cashout-LG&amp;E'!I$6)</f>
        <v>23.88</v>
      </c>
      <c r="J105" s="396">
        <f>SUMIFS('Data FT-TS-Cashout-P'!$L$14:$L$4704,'Data FT-TS-Cashout-P'!$A$14:$A$4704,'Mar16-Aug16 FT-TS-Cashout-LG&amp;E'!J$4,'Data FT-TS-Cashout-P'!$B$14:$B$4704,'Mar16-Aug16 FT-TS-Cashout-LG&amp;E'!$C$105,'Data FT-TS-Cashout-P'!$D$14:$D$4704,'Mar16-Aug16 FT-TS-Cashout-LG&amp;E'!$F$105,'Data FT-TS-Cashout-P'!$E$14:$E$4704,'Mar16-Aug16 FT-TS-Cashout-LG&amp;E'!$H$105,'Data FT-TS-Cashout-P'!$F$14:$F$4704,'Mar16-Aug16 FT-TS-Cashout-LG&amp;E'!J$6)</f>
        <v>37.08</v>
      </c>
      <c r="K105" s="396">
        <f>SUMIFS('Data FT-TS-Cashout-P'!$L$14:$L$4704,'Data FT-TS-Cashout-P'!$A$14:$A$4704,'Mar16-Aug16 FT-TS-Cashout-LG&amp;E'!K$4,'Data FT-TS-Cashout-P'!$B$14:$B$4704,'Mar16-Aug16 FT-TS-Cashout-LG&amp;E'!$C$105,'Data FT-TS-Cashout-P'!$D$14:$D$4704,'Mar16-Aug16 FT-TS-Cashout-LG&amp;E'!$F$105,'Data FT-TS-Cashout-P'!$E$14:$E$4704,'Mar16-Aug16 FT-TS-Cashout-LG&amp;E'!$H$105,'Data FT-TS-Cashout-P'!$F$14:$F$4704,'Mar16-Aug16 FT-TS-Cashout-LG&amp;E'!K$6)</f>
        <v>107.29</v>
      </c>
      <c r="L105" s="396">
        <f>SUMIFS('Data FT-TS-Cashout-P'!$L$14:$L$4704,'Data FT-TS-Cashout-P'!$A$14:$A$4704,'Mar16-Aug16 FT-TS-Cashout-LG&amp;E'!L$4,'Data FT-TS-Cashout-P'!$B$14:$B$4704,'Mar16-Aug16 FT-TS-Cashout-LG&amp;E'!$C$105,'Data FT-TS-Cashout-P'!$D$14:$D$4704,'Mar16-Aug16 FT-TS-Cashout-LG&amp;E'!$F$105,'Data FT-TS-Cashout-P'!$E$14:$E$4704,'Mar16-Aug16 FT-TS-Cashout-LG&amp;E'!$H$105,'Data FT-TS-Cashout-P'!$F$14:$F$4704,'Mar16-Aug16 FT-TS-Cashout-LG&amp;E'!L$6)</f>
        <v>85.44</v>
      </c>
      <c r="M105" s="396">
        <f>SUMIFS('Data FT-TS-Cashout-P'!$L$14:$L$4704,'Data FT-TS-Cashout-P'!$A$14:$A$4704,'Mar16-Aug16 FT-TS-Cashout-LG&amp;E'!M$4,'Data FT-TS-Cashout-P'!$B$14:$B$4704,'Mar16-Aug16 FT-TS-Cashout-LG&amp;E'!$C$105,'Data FT-TS-Cashout-P'!$D$14:$D$4704,'Mar16-Aug16 FT-TS-Cashout-LG&amp;E'!$F$105,'Data FT-TS-Cashout-P'!$E$14:$E$4704,'Mar16-Aug16 FT-TS-Cashout-LG&amp;E'!$H$105,'Data FT-TS-Cashout-P'!$F$14:$F$4704,'Mar16-Aug16 FT-TS-Cashout-LG&amp;E'!M$6)</f>
        <v>72.83</v>
      </c>
      <c r="N105" s="396">
        <f>SUMIFS('Data FT-TS-Cashout-P'!$L$14:$L$4704,'Data FT-TS-Cashout-P'!$A$14:$A$4704,'Mar16-Aug16 FT-TS-Cashout-LG&amp;E'!N$4,'Data FT-TS-Cashout-P'!$B$14:$B$4704,'Mar16-Aug16 FT-TS-Cashout-LG&amp;E'!$C$105,'Data FT-TS-Cashout-P'!$D$14:$D$4704,'Mar16-Aug16 FT-TS-Cashout-LG&amp;E'!$F$105,'Data FT-TS-Cashout-P'!$E$14:$E$4704,'Mar16-Aug16 FT-TS-Cashout-LG&amp;E'!$H$105,'Data FT-TS-Cashout-P'!$F$14:$F$4704,'Mar16-Aug16 FT-TS-Cashout-LG&amp;E'!N$6)</f>
        <v>47.15</v>
      </c>
      <c r="O105" s="396">
        <f>SUMIFS('Data FT-TS-Cashout-P'!$L$14:$L$4704,'Data FT-TS-Cashout-P'!$A$14:$A$4704,'Mar16-Aug16 FT-TS-Cashout-LG&amp;E'!O$4,'Data FT-TS-Cashout-P'!$B$14:$B$4704,'Mar16-Aug16 FT-TS-Cashout-LG&amp;E'!$C$105,'Data FT-TS-Cashout-P'!$D$14:$D$4704,'Mar16-Aug16 FT-TS-Cashout-LG&amp;E'!$F$105,'Data FT-TS-Cashout-P'!$E$14:$E$4704,'Mar16-Aug16 FT-TS-Cashout-LG&amp;E'!$H$105,'Data FT-TS-Cashout-P'!$F$14:$F$4704,'Mar16-Aug16 FT-TS-Cashout-LG&amp;E'!O$6)</f>
        <v>56.83</v>
      </c>
      <c r="P105" s="574">
        <f t="shared" si="28"/>
        <v>406.61999999999995</v>
      </c>
    </row>
    <row r="106" spans="2:18" x14ac:dyDescent="0.2">
      <c r="B106" s="327"/>
      <c r="C106" s="399" t="s">
        <v>50</v>
      </c>
      <c r="D106" s="328" t="str">
        <f t="shared" si="27"/>
        <v>895</v>
      </c>
      <c r="E106" s="327" t="str">
        <f>VLOOKUP($C106,'Retail Rates'!$B$45:$R$53,3,FALSE)</f>
        <v>FT-C</v>
      </c>
      <c r="F106" s="329" t="s">
        <v>662</v>
      </c>
      <c r="G106" s="329" t="s">
        <v>692</v>
      </c>
      <c r="H106" s="329"/>
      <c r="I106" s="327"/>
      <c r="J106" s="327"/>
      <c r="K106" s="327"/>
      <c r="L106" s="327"/>
      <c r="M106" s="327"/>
      <c r="N106" s="327"/>
      <c r="O106" s="327"/>
      <c r="P106" s="574">
        <f t="shared" si="28"/>
        <v>0</v>
      </c>
    </row>
    <row r="107" spans="2:18" x14ac:dyDescent="0.2">
      <c r="B107" s="327"/>
      <c r="C107" s="399" t="s">
        <v>50</v>
      </c>
      <c r="D107" s="328" t="str">
        <f t="shared" si="27"/>
        <v>895</v>
      </c>
      <c r="E107" s="327" t="str">
        <f>VLOOKUP($C107,'Retail Rates'!$B$45:$R$53,3,FALSE)</f>
        <v>FT-C</v>
      </c>
      <c r="F107" s="329" t="s">
        <v>662</v>
      </c>
      <c r="G107" s="329" t="s">
        <v>682</v>
      </c>
      <c r="H107" s="325" t="s">
        <v>672</v>
      </c>
      <c r="I107" s="396">
        <f>SUMIFS('Data FT-TS-Cashout-P'!$T$14:$T$4704,'Data FT-TS-Cashout-P'!$A$14:$A$4704,'Mar16-Aug16 FT-TS-Cashout-LG&amp;E'!I$4,'Data FT-TS-Cashout-P'!$B$14:$B$4704,'Mar16-Aug16 FT-TS-Cashout-LG&amp;E'!$C$107,'Data FT-TS-Cashout-P'!$D$14:$D$4704,'Mar16-Aug16 FT-TS-Cashout-LG&amp;E'!$F$107,'Data FT-TS-Cashout-P'!$E$14:$E$4704,'Mar16-Aug16 FT-TS-Cashout-LG&amp;E'!$H$107,'Data FT-TS-Cashout-P'!$F$14:$F$4704,'Mar16-Aug16 FT-TS-Cashout-LG&amp;E'!I$6)</f>
        <v>0</v>
      </c>
      <c r="J107" s="396">
        <f>SUMIFS('Data FT-TS-Cashout-P'!$T$14:$T$4704,'Data FT-TS-Cashout-P'!$A$14:$A$4704,'Mar16-Aug16 FT-TS-Cashout-LG&amp;E'!J$4,'Data FT-TS-Cashout-P'!$B$14:$B$4704,'Mar16-Aug16 FT-TS-Cashout-LG&amp;E'!$C$107,'Data FT-TS-Cashout-P'!$D$14:$D$4704,'Mar16-Aug16 FT-TS-Cashout-LG&amp;E'!$F$107,'Data FT-TS-Cashout-P'!$E$14:$E$4704,'Mar16-Aug16 FT-TS-Cashout-LG&amp;E'!$H$107,'Data FT-TS-Cashout-P'!$F$14:$F$4704,'Mar16-Aug16 FT-TS-Cashout-LG&amp;E'!J$6)</f>
        <v>0</v>
      </c>
      <c r="K107" s="396">
        <f>SUMIFS('Data FT-TS-Cashout-P'!$T$14:$T$4704,'Data FT-TS-Cashout-P'!$A$14:$A$4704,'Mar16-Aug16 FT-TS-Cashout-LG&amp;E'!K$4,'Data FT-TS-Cashout-P'!$B$14:$B$4704,'Mar16-Aug16 FT-TS-Cashout-LG&amp;E'!$C$107,'Data FT-TS-Cashout-P'!$D$14:$D$4704,'Mar16-Aug16 FT-TS-Cashout-LG&amp;E'!$F$107,'Data FT-TS-Cashout-P'!$E$14:$E$4704,'Mar16-Aug16 FT-TS-Cashout-LG&amp;E'!$H$107,'Data FT-TS-Cashout-P'!$F$14:$F$4704,'Mar16-Aug16 FT-TS-Cashout-LG&amp;E'!K$6)</f>
        <v>0</v>
      </c>
      <c r="L107" s="396">
        <f>SUMIFS('Data FT-TS-Cashout-P'!$T$14:$T$4704,'Data FT-TS-Cashout-P'!$A$14:$A$4704,'Mar16-Aug16 FT-TS-Cashout-LG&amp;E'!L$4,'Data FT-TS-Cashout-P'!$B$14:$B$4704,'Mar16-Aug16 FT-TS-Cashout-LG&amp;E'!$C$107,'Data FT-TS-Cashout-P'!$D$14:$D$4704,'Mar16-Aug16 FT-TS-Cashout-LG&amp;E'!$F$107,'Data FT-TS-Cashout-P'!$E$14:$E$4704,'Mar16-Aug16 FT-TS-Cashout-LG&amp;E'!$H$107,'Data FT-TS-Cashout-P'!$F$14:$F$4704,'Mar16-Aug16 FT-TS-Cashout-LG&amp;E'!L$6)</f>
        <v>0</v>
      </c>
      <c r="M107" s="396">
        <f>SUMIFS('Data FT-TS-Cashout-P'!$T$14:$T$4704,'Data FT-TS-Cashout-P'!$A$14:$A$4704,'Mar16-Aug16 FT-TS-Cashout-LG&amp;E'!M$4,'Data FT-TS-Cashout-P'!$B$14:$B$4704,'Mar16-Aug16 FT-TS-Cashout-LG&amp;E'!$C$107,'Data FT-TS-Cashout-P'!$D$14:$D$4704,'Mar16-Aug16 FT-TS-Cashout-LG&amp;E'!$F$107,'Data FT-TS-Cashout-P'!$E$14:$E$4704,'Mar16-Aug16 FT-TS-Cashout-LG&amp;E'!$H$107,'Data FT-TS-Cashout-P'!$F$14:$F$4704,'Mar16-Aug16 FT-TS-Cashout-LG&amp;E'!M$6)</f>
        <v>0</v>
      </c>
      <c r="N107" s="396">
        <f>SUMIFS('Data FT-TS-Cashout-P'!$T$14:$T$4704,'Data FT-TS-Cashout-P'!$A$14:$A$4704,'Mar16-Aug16 FT-TS-Cashout-LG&amp;E'!N$4,'Data FT-TS-Cashout-P'!$B$14:$B$4704,'Mar16-Aug16 FT-TS-Cashout-LG&amp;E'!$C$107,'Data FT-TS-Cashout-P'!$D$14:$D$4704,'Mar16-Aug16 FT-TS-Cashout-LG&amp;E'!$F$107,'Data FT-TS-Cashout-P'!$E$14:$E$4704,'Mar16-Aug16 FT-TS-Cashout-LG&amp;E'!$H$107,'Data FT-TS-Cashout-P'!$F$14:$F$4704,'Mar16-Aug16 FT-TS-Cashout-LG&amp;E'!N$6)</f>
        <v>0</v>
      </c>
      <c r="O107" s="396">
        <f>SUMIFS('Data FT-TS-Cashout-P'!$T$14:$T$4704,'Data FT-TS-Cashout-P'!$A$14:$A$4704,'Mar16-Aug16 FT-TS-Cashout-LG&amp;E'!O$4,'Data FT-TS-Cashout-P'!$B$14:$B$4704,'Mar16-Aug16 FT-TS-Cashout-LG&amp;E'!$C$107,'Data FT-TS-Cashout-P'!$D$14:$D$4704,'Mar16-Aug16 FT-TS-Cashout-LG&amp;E'!$F$107,'Data FT-TS-Cashout-P'!$E$14:$E$4704,'Mar16-Aug16 FT-TS-Cashout-LG&amp;E'!$H$107,'Data FT-TS-Cashout-P'!$F$14:$F$4704,'Mar16-Aug16 FT-TS-Cashout-LG&amp;E'!O$6)</f>
        <v>0</v>
      </c>
      <c r="P107" s="574">
        <f t="shared" si="28"/>
        <v>0</v>
      </c>
      <c r="Q107" s="403">
        <f>P103+P105+P106+P107</f>
        <v>923.42000000000007</v>
      </c>
      <c r="R107" s="320" t="s">
        <v>818</v>
      </c>
    </row>
    <row r="108" spans="2:18" x14ac:dyDescent="0.2">
      <c r="B108" s="327"/>
      <c r="C108" s="399" t="s">
        <v>50</v>
      </c>
      <c r="D108" s="328" t="str">
        <f t="shared" si="27"/>
        <v>895</v>
      </c>
      <c r="E108" s="327" t="str">
        <f>VLOOKUP($C108,'Retail Rates'!$B$45:$R$53,3,FALSE)</f>
        <v>FT-C</v>
      </c>
      <c r="F108" s="329" t="s">
        <v>662</v>
      </c>
      <c r="G108" s="329" t="s">
        <v>278</v>
      </c>
      <c r="H108" s="329"/>
      <c r="I108" s="398">
        <f t="shared" ref="I108:O108" si="32">SUM(I101:I107)</f>
        <v>9626.8919600000008</v>
      </c>
      <c r="J108" s="398">
        <f t="shared" si="32"/>
        <v>9113.4695999999985</v>
      </c>
      <c r="K108" s="398">
        <f t="shared" si="32"/>
        <v>6835.6301400000002</v>
      </c>
      <c r="L108" s="398">
        <f t="shared" si="32"/>
        <v>5690.9183599999988</v>
      </c>
      <c r="M108" s="398">
        <f t="shared" si="32"/>
        <v>4836.3165899999995</v>
      </c>
      <c r="N108" s="398">
        <f t="shared" si="32"/>
        <v>4492.67155</v>
      </c>
      <c r="O108" s="398">
        <f t="shared" si="32"/>
        <v>3756.9930700000004</v>
      </c>
      <c r="P108" s="574">
        <f t="shared" si="28"/>
        <v>34725.999309999999</v>
      </c>
    </row>
    <row r="109" spans="2:18" x14ac:dyDescent="0.2">
      <c r="B109" s="327"/>
      <c r="C109" s="399"/>
      <c r="D109" s="328"/>
      <c r="E109" s="327"/>
      <c r="F109" s="329"/>
      <c r="G109" s="329"/>
      <c r="H109" s="329"/>
      <c r="I109" s="327"/>
      <c r="J109" s="327"/>
      <c r="K109" s="327"/>
      <c r="L109" s="327"/>
      <c r="M109" s="327"/>
      <c r="N109" s="327"/>
      <c r="O109" s="327"/>
      <c r="P109" s="327"/>
    </row>
    <row r="110" spans="2:18" x14ac:dyDescent="0.2">
      <c r="B110" s="327"/>
      <c r="C110" s="327"/>
      <c r="D110" s="327"/>
      <c r="E110" s="327"/>
      <c r="F110" s="327"/>
      <c r="G110" s="327"/>
      <c r="H110" s="327"/>
      <c r="I110" s="327"/>
      <c r="J110" s="327"/>
      <c r="K110" s="327"/>
      <c r="L110" s="327"/>
      <c r="M110" s="327"/>
      <c r="N110" s="327"/>
      <c r="O110" s="327"/>
      <c r="P110" s="327"/>
    </row>
    <row r="111" spans="2:18" x14ac:dyDescent="0.2">
      <c r="B111" s="327"/>
      <c r="C111" s="327"/>
      <c r="D111" s="327"/>
      <c r="E111" s="327"/>
      <c r="F111" s="327"/>
      <c r="G111" s="656" t="s">
        <v>702</v>
      </c>
      <c r="H111" s="327"/>
      <c r="I111" s="327"/>
      <c r="J111" s="327"/>
      <c r="K111" s="327"/>
      <c r="L111" s="327"/>
      <c r="M111" s="327"/>
      <c r="N111" s="327"/>
      <c r="O111" s="327"/>
      <c r="P111" s="327"/>
    </row>
    <row r="112" spans="2:18" x14ac:dyDescent="0.2">
      <c r="B112" s="327"/>
      <c r="C112" s="328" t="s">
        <v>52</v>
      </c>
      <c r="D112" s="328" t="str">
        <f>MID(C112,6,3)</f>
        <v>896</v>
      </c>
      <c r="E112" s="327" t="str">
        <f>VLOOKUP($C112,'Retail Rates'!$B$45:$R$53,3,FALSE)</f>
        <v>FT-I</v>
      </c>
      <c r="F112" s="329" t="s">
        <v>662</v>
      </c>
      <c r="G112" s="330" t="s">
        <v>268</v>
      </c>
      <c r="H112" s="331"/>
      <c r="I112" s="327">
        <f>+I120/I114</f>
        <v>1</v>
      </c>
      <c r="J112" s="327">
        <f t="shared" ref="J112:O112" si="33">+J120/J114</f>
        <v>1</v>
      </c>
      <c r="K112" s="327">
        <f t="shared" si="33"/>
        <v>1</v>
      </c>
      <c r="L112" s="327">
        <f t="shared" si="33"/>
        <v>1</v>
      </c>
      <c r="M112" s="327">
        <f t="shared" si="33"/>
        <v>1</v>
      </c>
      <c r="N112" s="327">
        <f t="shared" si="33"/>
        <v>1</v>
      </c>
      <c r="O112" s="327">
        <f t="shared" si="33"/>
        <v>1</v>
      </c>
      <c r="P112" s="574">
        <f>SUM(J112:O112)</f>
        <v>6</v>
      </c>
    </row>
    <row r="113" spans="2:18" x14ac:dyDescent="0.2">
      <c r="B113" s="327"/>
      <c r="C113" s="328" t="s">
        <v>52</v>
      </c>
      <c r="D113" s="328" t="str">
        <f t="shared" ref="D113:D129" si="34">MID(C113,6,3)</f>
        <v>896</v>
      </c>
      <c r="E113" s="327" t="str">
        <f>VLOOKUP($C113,'Retail Rates'!$B$45:$R$53,3,FALSE)</f>
        <v>FT-I</v>
      </c>
      <c r="F113" s="329" t="s">
        <v>662</v>
      </c>
      <c r="G113" s="329" t="s">
        <v>269</v>
      </c>
      <c r="H113" s="325" t="s">
        <v>518</v>
      </c>
      <c r="I113" s="411">
        <f>SUMIFS('Data FT-TS-Cashout-P'!$H$14:$H$4704,'Data FT-TS-Cashout-P'!$A$6:$A$4696,'Mar16-Aug16 FT-TS-Cashout-LG&amp;E'!I$4,'Data FT-TS-Cashout-P'!$B$14:$B$4704,'Mar16-Aug16 FT-TS-Cashout-LG&amp;E'!$C$113,'Data FT-TS-Cashout-P'!$D$14:$D$4704,'Mar16-Aug16 FT-TS-Cashout-LG&amp;E'!$F$113,'Data FT-TS-Cashout-P'!$E$14:$E$4704,'Mar16-Aug16 FT-TS-Cashout-LG&amp;E'!$H$113,'Data FT-TS-Cashout-P'!$F$14:$F$4704,'Mar16-Aug16 FT-TS-Cashout-LG&amp;E'!I$6)/10</f>
        <v>25181.3</v>
      </c>
      <c r="J113" s="396">
        <f>SUMIFS('Data FT-TS-Cashout-P'!$H$14:$H$4704,'Data FT-TS-Cashout-P'!$A$6:$A$4696,'Mar16-Aug16 FT-TS-Cashout-LG&amp;E'!J$4,'Data FT-TS-Cashout-P'!$B$14:$B$4704,'Mar16-Aug16 FT-TS-Cashout-LG&amp;E'!$C$113,'Data FT-TS-Cashout-P'!$D$14:$D$4704,'Mar16-Aug16 FT-TS-Cashout-LG&amp;E'!$F$113,'Data FT-TS-Cashout-P'!$E$14:$E$4704,'Mar16-Aug16 FT-TS-Cashout-LG&amp;E'!$H$113,'Data FT-TS-Cashout-P'!$F$14:$F$4704,'Mar16-Aug16 FT-TS-Cashout-LG&amp;E'!J$6)/10</f>
        <v>24465.8</v>
      </c>
      <c r="K113" s="396">
        <f>SUMIFS('Data FT-TS-Cashout-P'!$H$14:$H$4704,'Data FT-TS-Cashout-P'!$A$6:$A$4696,'Mar16-Aug16 FT-TS-Cashout-LG&amp;E'!K$4,'Data FT-TS-Cashout-P'!$B$14:$B$4704,'Mar16-Aug16 FT-TS-Cashout-LG&amp;E'!$C$113,'Data FT-TS-Cashout-P'!$D$14:$D$4704,'Mar16-Aug16 FT-TS-Cashout-LG&amp;E'!$F$113,'Data FT-TS-Cashout-P'!$E$14:$E$4704,'Mar16-Aug16 FT-TS-Cashout-LG&amp;E'!$H$113,'Data FT-TS-Cashout-P'!$F$14:$F$4704,'Mar16-Aug16 FT-TS-Cashout-LG&amp;E'!K$6)/10</f>
        <v>20216.900000000001</v>
      </c>
      <c r="L113" s="396">
        <f>SUMIFS('Data FT-TS-Cashout-P'!$H$14:$H$4704,'Data FT-TS-Cashout-P'!$A$6:$A$4696,'Mar16-Aug16 FT-TS-Cashout-LG&amp;E'!L$4,'Data FT-TS-Cashout-P'!$B$14:$B$4704,'Mar16-Aug16 FT-TS-Cashout-LG&amp;E'!$C$123,'Data FT-TS-Cashout-P'!$D$14:$D$4704,'Mar16-Aug16 FT-TS-Cashout-LG&amp;E'!$F$113,'Data FT-TS-Cashout-P'!$E$14:$E$4704,'Mar16-Aug16 FT-TS-Cashout-LG&amp;E'!$H$113,'Data FT-TS-Cashout-P'!$F$14:$F$4704,'Mar16-Aug16 FT-TS-Cashout-LG&amp;E'!L$7)/10</f>
        <v>19285.8</v>
      </c>
      <c r="M113" s="396">
        <f>SUMIFS('Data FT-TS-Cashout-P'!$H$14:$H$4704,'Data FT-TS-Cashout-P'!$A$6:$A$4696,'Mar16-Aug16 FT-TS-Cashout-LG&amp;E'!M$4,'Data FT-TS-Cashout-P'!$B$14:$B$4704,'Mar16-Aug16 FT-TS-Cashout-LG&amp;E'!$C$123,'Data FT-TS-Cashout-P'!$D$14:$D$4704,'Mar16-Aug16 FT-TS-Cashout-LG&amp;E'!$F$113,'Data FT-TS-Cashout-P'!$E$14:$E$4704,'Mar16-Aug16 FT-TS-Cashout-LG&amp;E'!$H$113,'Data FT-TS-Cashout-P'!$F$14:$F$4704,'Mar16-Aug16 FT-TS-Cashout-LG&amp;E'!M$6)/10</f>
        <v>16242.1</v>
      </c>
      <c r="N113" s="396">
        <f>SUMIFS('Data FT-TS-Cashout-P'!$H$14:$H$4704,'Data FT-TS-Cashout-P'!$A$6:$A$4696,'Mar16-Aug16 FT-TS-Cashout-LG&amp;E'!N$4,'Data FT-TS-Cashout-P'!$B$14:$B$4704,'Mar16-Aug16 FT-TS-Cashout-LG&amp;E'!$C$123,'Data FT-TS-Cashout-P'!$D$14:$D$4704,'Mar16-Aug16 FT-TS-Cashout-LG&amp;E'!$F$113,'Data FT-TS-Cashout-P'!$E$14:$E$4704,'Mar16-Aug16 FT-TS-Cashout-LG&amp;E'!$H$113,'Data FT-TS-Cashout-P'!$F$14:$F$4704,'Mar16-Aug16 FT-TS-Cashout-LG&amp;E'!N$6)/10</f>
        <v>18914.900000000001</v>
      </c>
      <c r="O113" s="396">
        <f>SUMIFS('Data FT-TS-Cashout-P'!$H$14:$H$4704,'Data FT-TS-Cashout-P'!$A$6:$A$4696,'Mar16-Aug16 FT-TS-Cashout-LG&amp;E'!O$4,'Data FT-TS-Cashout-P'!$B$14:$B$4704,'Mar16-Aug16 FT-TS-Cashout-LG&amp;E'!$C$123,'Data FT-TS-Cashout-P'!$D$14:$D$4704,'Mar16-Aug16 FT-TS-Cashout-LG&amp;E'!$F$113,'Data FT-TS-Cashout-P'!$E$14:$E$4704,'Mar16-Aug16 FT-TS-Cashout-LG&amp;E'!$H$113,'Data FT-TS-Cashout-P'!$F$14:$F$4704,'Mar16-Aug16 FT-TS-Cashout-LG&amp;E'!O$6)/10</f>
        <v>19692.599999999999</v>
      </c>
      <c r="P113" s="574">
        <f>SUM(J113:O113)</f>
        <v>118818.1</v>
      </c>
      <c r="Q113" s="593"/>
    </row>
    <row r="114" spans="2:18" x14ac:dyDescent="0.2">
      <c r="B114" s="327"/>
      <c r="C114" s="328" t="s">
        <v>52</v>
      </c>
      <c r="D114" s="328" t="str">
        <f t="shared" si="34"/>
        <v>896</v>
      </c>
      <c r="E114" s="327" t="str">
        <f>VLOOKUP($C114,'Retail Rates'!$B$45:$R$53,3,FALSE)</f>
        <v>FT-I</v>
      </c>
      <c r="F114" s="329" t="s">
        <v>662</v>
      </c>
      <c r="G114" s="329" t="s">
        <v>270</v>
      </c>
      <c r="H114" s="329"/>
      <c r="I114" s="327">
        <f>VLOOKUP($C114,'Retail Rates'!$B$44:$O$53,6,FALSE)</f>
        <v>550</v>
      </c>
      <c r="J114" s="327">
        <f>VLOOKUP($C114,'Retail Rates'!$B$44:$O$53,6,FALSE)</f>
        <v>550</v>
      </c>
      <c r="K114" s="327">
        <f>VLOOKUP($C114,'Retail Rates'!$B$44:$O$53,6,FALSE)</f>
        <v>550</v>
      </c>
      <c r="L114" s="327">
        <f>VLOOKUP($C114,'Retail Rates'!$B$44:$O$53,6,FALSE)</f>
        <v>550</v>
      </c>
      <c r="M114" s="327">
        <f>VLOOKUP($C114,'Retail Rates'!$B$44:$O$53,6,FALSE)</f>
        <v>550</v>
      </c>
      <c r="N114" s="327">
        <f>VLOOKUP($C114,'Retail Rates'!$B$44:$O$53,6,FALSE)</f>
        <v>550</v>
      </c>
      <c r="O114" s="327">
        <f>VLOOKUP($C114,'Retail Rates'!$B$44:$O$53,6,FALSE)</f>
        <v>550</v>
      </c>
      <c r="P114" s="327"/>
    </row>
    <row r="115" spans="2:18" x14ac:dyDescent="0.2">
      <c r="B115" s="327"/>
      <c r="C115" s="328" t="s">
        <v>52</v>
      </c>
      <c r="D115" s="328" t="str">
        <f t="shared" si="34"/>
        <v>896</v>
      </c>
      <c r="E115" s="327" t="str">
        <f>VLOOKUP($C115,'Retail Rates'!$B$45:$R$53,3,FALSE)</f>
        <v>FT-I</v>
      </c>
      <c r="F115" s="329" t="s">
        <v>662</v>
      </c>
      <c r="G115" s="329" t="s">
        <v>271</v>
      </c>
      <c r="H115" s="329"/>
      <c r="I115" s="327">
        <f>VLOOKUP($C115,'Retail Rates'!$B$44:$O$53,7,FALSE)</f>
        <v>0.43020000000000003</v>
      </c>
      <c r="J115" s="327">
        <f>VLOOKUP($C115,'Retail Rates'!$B$44:$O$53,7,FALSE)</f>
        <v>0.43020000000000003</v>
      </c>
      <c r="K115" s="327">
        <f>VLOOKUP($C115,'Retail Rates'!$B$44:$O$53,7,FALSE)</f>
        <v>0.43020000000000003</v>
      </c>
      <c r="L115" s="327">
        <f>VLOOKUP($C115,'Retail Rates'!$B$44:$O$53,7,FALSE)</f>
        <v>0.43020000000000003</v>
      </c>
      <c r="M115" s="327">
        <f>VLOOKUP($C115,'Retail Rates'!$B$44:$O$53,7,FALSE)</f>
        <v>0.43020000000000003</v>
      </c>
      <c r="N115" s="327">
        <f>VLOOKUP($C115,'Retail Rates'!$B$44:$O$53,7,FALSE)</f>
        <v>0.43020000000000003</v>
      </c>
      <c r="O115" s="327">
        <f>VLOOKUP($C115,'Retail Rates'!$B$44:$O$53,7,FALSE)</f>
        <v>0.43020000000000003</v>
      </c>
      <c r="P115" s="327"/>
    </row>
    <row r="116" spans="2:18" x14ac:dyDescent="0.2">
      <c r="B116" s="327"/>
      <c r="C116" s="328" t="s">
        <v>52</v>
      </c>
      <c r="D116" s="328" t="str">
        <f t="shared" si="34"/>
        <v>896</v>
      </c>
      <c r="E116" s="327" t="str">
        <f>VLOOKUP($C116,'Retail Rates'!$B$45:$R$53,3,FALSE)</f>
        <v>FT-I</v>
      </c>
      <c r="F116" s="329" t="s">
        <v>662</v>
      </c>
      <c r="G116" s="332" t="s">
        <v>533</v>
      </c>
      <c r="H116" s="332"/>
      <c r="I116" s="393">
        <f ca="1">SUMIF('GSC-DSM-GLT Factors'!$A$11:$A$52,'Mar16-Aug16 FT-TS-Cashout-LG&amp;E'!I$5,'GSC-DSM-GLT Factors'!$F$40:$F$58)</f>
        <v>0.15</v>
      </c>
      <c r="J116" s="393">
        <f ca="1">SUMIF('GSC-DSM-GLT Factors'!$A$11:$A$52,'Mar16-Aug16 FT-TS-Cashout-LG&amp;E'!J$5,'GSC-DSM-GLT Factors'!$F$40:$F$58)</f>
        <v>0.15</v>
      </c>
      <c r="K116" s="393">
        <f ca="1">SUMIF('GSC-DSM-GLT Factors'!$A$11:$A$52,'Mar16-Aug16 FT-TS-Cashout-LG&amp;E'!K$5,'GSC-DSM-GLT Factors'!$F$40:$F$58)</f>
        <v>0.15210000000000001</v>
      </c>
      <c r="L116" s="393">
        <f ca="1">SUMIF('GSC-DSM-GLT Factors'!$A$11:$A$52,'Mar16-Aug16 FT-TS-Cashout-LG&amp;E'!L$5,'GSC-DSM-GLT Factors'!$F$40:$F$58)</f>
        <v>0.15210000000000001</v>
      </c>
      <c r="M116" s="393">
        <f ca="1">SUMIF('GSC-DSM-GLT Factors'!$A$11:$A$52,'Mar16-Aug16 FT-TS-Cashout-LG&amp;E'!M$5,'GSC-DSM-GLT Factors'!$F$40:$F$58)</f>
        <v>0.15210000000000001</v>
      </c>
      <c r="N116" s="393">
        <f ca="1">SUMIF('GSC-DSM-GLT Factors'!$A$11:$A$52,'Mar16-Aug16 FT-TS-Cashout-LG&amp;E'!N$5,'GSC-DSM-GLT Factors'!$F$40:$F$58)</f>
        <v>0.152</v>
      </c>
      <c r="O116" s="393">
        <f ca="1">SUMIF('GSC-DSM-GLT Factors'!$A$11:$A$52,'Mar16-Aug16 FT-TS-Cashout-LG&amp;E'!O$5,'GSC-DSM-GLT Factors'!$F$40:$F$58)</f>
        <v>0.152</v>
      </c>
      <c r="P116" s="327"/>
    </row>
    <row r="117" spans="2:18" x14ac:dyDescent="0.2">
      <c r="B117" s="327"/>
      <c r="C117" s="328" t="s">
        <v>52</v>
      </c>
      <c r="D117" s="328" t="str">
        <f t="shared" si="34"/>
        <v>896</v>
      </c>
      <c r="E117" s="327" t="str">
        <f>VLOOKUP($C117,'Retail Rates'!$B$45:$R$53,3,FALSE)</f>
        <v>FT-I</v>
      </c>
      <c r="F117" s="329" t="s">
        <v>662</v>
      </c>
      <c r="G117" s="332" t="s">
        <v>534</v>
      </c>
      <c r="H117" s="332"/>
      <c r="I117" s="327">
        <f>VLOOKUP($C117,'Retail Rates'!$B$44:$O$53,10,FALSE)</f>
        <v>0.18329999999999999</v>
      </c>
      <c r="J117" s="327">
        <f>VLOOKUP($C117,'Retail Rates'!$B$44:$O$53,10,FALSE)</f>
        <v>0.18329999999999999</v>
      </c>
      <c r="K117" s="327">
        <f>VLOOKUP($C117,'Retail Rates'!$B$44:$O$53,10,FALSE)</f>
        <v>0.18329999999999999</v>
      </c>
      <c r="L117" s="327">
        <f>VLOOKUP($C117,'Retail Rates'!$B$44:$O$53,10,FALSE)</f>
        <v>0.18329999999999999</v>
      </c>
      <c r="M117" s="327">
        <f>VLOOKUP($C117,'Retail Rates'!$B$44:$O$53,10,FALSE)</f>
        <v>0.18329999999999999</v>
      </c>
      <c r="N117" s="327">
        <f>VLOOKUP($C117,'Retail Rates'!$B$44:$O$53,10,FALSE)</f>
        <v>0.18329999999999999</v>
      </c>
      <c r="O117" s="327">
        <f>VLOOKUP($C117,'Retail Rates'!$B$44:$O$53,10,FALSE)</f>
        <v>0.18329999999999999</v>
      </c>
      <c r="P117" s="327"/>
    </row>
    <row r="118" spans="2:18" x14ac:dyDescent="0.2">
      <c r="B118" s="327"/>
      <c r="C118" s="328" t="s">
        <v>52</v>
      </c>
      <c r="D118" s="328" t="str">
        <f t="shared" si="34"/>
        <v>896</v>
      </c>
      <c r="E118" s="327" t="str">
        <f>VLOOKUP($C118,'Retail Rates'!$B$45:$R$53,3,FALSE)</f>
        <v>FT-I</v>
      </c>
      <c r="F118" s="329" t="s">
        <v>662</v>
      </c>
      <c r="G118" s="333"/>
      <c r="H118" s="333"/>
      <c r="I118" s="327"/>
      <c r="J118" s="327"/>
      <c r="K118" s="327"/>
      <c r="L118" s="327"/>
      <c r="M118" s="327"/>
      <c r="N118" s="327"/>
      <c r="O118" s="327"/>
      <c r="P118" s="327"/>
    </row>
    <row r="119" spans="2:18" x14ac:dyDescent="0.2">
      <c r="B119" s="327"/>
      <c r="C119" s="328" t="s">
        <v>52</v>
      </c>
      <c r="D119" s="328" t="str">
        <f t="shared" si="34"/>
        <v>896</v>
      </c>
      <c r="E119" s="327" t="str">
        <f>VLOOKUP($C119,'Retail Rates'!$B$45:$R$53,3,FALSE)</f>
        <v>FT-I</v>
      </c>
      <c r="F119" s="329" t="s">
        <v>662</v>
      </c>
      <c r="G119" s="334" t="s">
        <v>273</v>
      </c>
      <c r="H119" s="334"/>
      <c r="I119" s="327"/>
      <c r="J119" s="327"/>
      <c r="K119" s="327"/>
      <c r="L119" s="327"/>
      <c r="M119" s="327"/>
      <c r="N119" s="327"/>
      <c r="O119" s="327"/>
      <c r="P119" s="327"/>
    </row>
    <row r="120" spans="2:18" x14ac:dyDescent="0.2">
      <c r="B120" s="327"/>
      <c r="C120" s="328" t="s">
        <v>52</v>
      </c>
      <c r="D120" s="328" t="str">
        <f t="shared" si="34"/>
        <v>896</v>
      </c>
      <c r="E120" s="327" t="str">
        <f>VLOOKUP($C120,'Retail Rates'!$B$45:$R$53,3,FALSE)</f>
        <v>FT-I</v>
      </c>
      <c r="F120" s="329" t="s">
        <v>662</v>
      </c>
      <c r="G120" s="329" t="s">
        <v>274</v>
      </c>
      <c r="H120" s="325" t="s">
        <v>524</v>
      </c>
      <c r="I120" s="396">
        <f>SUMIFS('Data FT-TS-Cashout-P'!$I$14:$I$4704,'Data FT-TS-Cashout-P'!$A$14:$A$4704,'Mar16-Aug16 FT-TS-Cashout-LG&amp;E'!I$4,'Data FT-TS-Cashout-P'!$B$14:$B$4704,'Mar16-Aug16 FT-TS-Cashout-LG&amp;E'!$C$120,'Data FT-TS-Cashout-P'!$D$14:$D$4704,'Mar16-Aug16 FT-TS-Cashout-LG&amp;E'!$F$120,'Data FT-TS-Cashout-P'!$E$14:$E$4704,'Mar16-Aug16 FT-TS-Cashout-LG&amp;E'!$H$120,'Data FT-TS-Cashout-P'!$F$14:$F$4704,'Mar16-Aug16 FT-TS-Cashout-LG&amp;E'!I$6)</f>
        <v>550</v>
      </c>
      <c r="J120" s="396">
        <f>SUMIFS('Data FT-TS-Cashout-P'!$I$14:$I$4704,'Data FT-TS-Cashout-P'!$A$14:$A$4704,'Mar16-Aug16 FT-TS-Cashout-LG&amp;E'!J$4,'Data FT-TS-Cashout-P'!$B$14:$B$4704,'Mar16-Aug16 FT-TS-Cashout-LG&amp;E'!$C$120,'Data FT-TS-Cashout-P'!$D$14:$D$4704,'Mar16-Aug16 FT-TS-Cashout-LG&amp;E'!$F$120,'Data FT-TS-Cashout-P'!$E$14:$E$4704,'Mar16-Aug16 FT-TS-Cashout-LG&amp;E'!$H$120,'Data FT-TS-Cashout-P'!$F$14:$F$4704,'Mar16-Aug16 FT-TS-Cashout-LG&amp;E'!J$6)</f>
        <v>550</v>
      </c>
      <c r="K120" s="396">
        <f>SUMIFS('Data FT-TS-Cashout-P'!$I$14:$I$4704,'Data FT-TS-Cashout-P'!$A$14:$A$4704,'Mar16-Aug16 FT-TS-Cashout-LG&amp;E'!K$4,'Data FT-TS-Cashout-P'!$B$14:$B$4704,'Mar16-Aug16 FT-TS-Cashout-LG&amp;E'!$C$120,'Data FT-TS-Cashout-P'!$D$14:$D$4704,'Mar16-Aug16 FT-TS-Cashout-LG&amp;E'!$F$120,'Data FT-TS-Cashout-P'!$E$14:$E$4704,'Mar16-Aug16 FT-TS-Cashout-LG&amp;E'!$H$120,'Data FT-TS-Cashout-P'!$F$14:$F$4704,'Mar16-Aug16 FT-TS-Cashout-LG&amp;E'!K$6)</f>
        <v>550</v>
      </c>
      <c r="L120" s="396">
        <f>SUMIFS('Data FT-TS-Cashout-P'!$I$14:$I$4704,'Data FT-TS-Cashout-P'!$A$14:$A$4704,'Mar16-Aug16 FT-TS-Cashout-LG&amp;E'!L$4,'Data FT-TS-Cashout-P'!$B$14:$B$4704,'Mar16-Aug16 FT-TS-Cashout-LG&amp;E'!$C$123,'Data FT-TS-Cashout-P'!$D$14:$D$4704,'Mar16-Aug16 FT-TS-Cashout-LG&amp;E'!$F$120,'Data FT-TS-Cashout-P'!$E$14:$E$4704,'Mar16-Aug16 FT-TS-Cashout-LG&amp;E'!$H$120,'Data FT-TS-Cashout-P'!$F$14:$F$4704,'Mar16-Aug16 FT-TS-Cashout-LG&amp;E'!L$7)</f>
        <v>550</v>
      </c>
      <c r="M120" s="396">
        <f>SUMIFS('Data FT-TS-Cashout-P'!$I$14:$I$4704,'Data FT-TS-Cashout-P'!$A$14:$A$4704,'Mar16-Aug16 FT-TS-Cashout-LG&amp;E'!M$4,'Data FT-TS-Cashout-P'!$B$14:$B$4704,'Mar16-Aug16 FT-TS-Cashout-LG&amp;E'!$C$123,'Data FT-TS-Cashout-P'!$D$14:$D$4704,'Mar16-Aug16 FT-TS-Cashout-LG&amp;E'!$F$120,'Data FT-TS-Cashout-P'!$E$14:$E$4704,'Mar16-Aug16 FT-TS-Cashout-LG&amp;E'!$H$120,'Data FT-TS-Cashout-P'!$F$14:$F$4704,'Mar16-Aug16 FT-TS-Cashout-LG&amp;E'!M$6)</f>
        <v>550</v>
      </c>
      <c r="N120" s="396">
        <f>SUMIFS('Data FT-TS-Cashout-P'!$I$14:$I$4704,'Data FT-TS-Cashout-P'!$A$14:$A$4704,'Mar16-Aug16 FT-TS-Cashout-LG&amp;E'!N$4,'Data FT-TS-Cashout-P'!$B$14:$B$4704,'Mar16-Aug16 FT-TS-Cashout-LG&amp;E'!$C$123,'Data FT-TS-Cashout-P'!$D$14:$D$4704,'Mar16-Aug16 FT-TS-Cashout-LG&amp;E'!$F$120,'Data FT-TS-Cashout-P'!$E$14:$E$4704,'Mar16-Aug16 FT-TS-Cashout-LG&amp;E'!$H$120,'Data FT-TS-Cashout-P'!$F$14:$F$4704,'Mar16-Aug16 FT-TS-Cashout-LG&amp;E'!N$6)</f>
        <v>550</v>
      </c>
      <c r="O120" s="396">
        <f>SUMIFS('Data FT-TS-Cashout-P'!$I$14:$I$4704,'Data FT-TS-Cashout-P'!$A$14:$A$4704,'Mar16-Aug16 FT-TS-Cashout-LG&amp;E'!O$4,'Data FT-TS-Cashout-P'!$B$14:$B$4704,'Mar16-Aug16 FT-TS-Cashout-LG&amp;E'!$C$123,'Data FT-TS-Cashout-P'!$D$14:$D$4704,'Mar16-Aug16 FT-TS-Cashout-LG&amp;E'!$F$120,'Data FT-TS-Cashout-P'!$E$14:$E$4704,'Mar16-Aug16 FT-TS-Cashout-LG&amp;E'!$H$120,'Data FT-TS-Cashout-P'!$F$14:$F$4704,'Mar16-Aug16 FT-TS-Cashout-LG&amp;E'!O$6)</f>
        <v>550</v>
      </c>
      <c r="P120" s="574">
        <f t="shared" ref="P120:P129" si="35">SUM(J120:O120)</f>
        <v>3300</v>
      </c>
    </row>
    <row r="121" spans="2:18" x14ac:dyDescent="0.2">
      <c r="B121" s="327"/>
      <c r="C121" s="328" t="s">
        <v>52</v>
      </c>
      <c r="D121" s="328" t="str">
        <f t="shared" si="34"/>
        <v>896</v>
      </c>
      <c r="E121" s="327" t="str">
        <f>VLOOKUP($C121,'Retail Rates'!$B$45:$R$53,3,FALSE)</f>
        <v>FT-I</v>
      </c>
      <c r="F121" s="329" t="s">
        <v>662</v>
      </c>
      <c r="G121" s="329" t="s">
        <v>275</v>
      </c>
      <c r="H121" s="329"/>
      <c r="I121" s="397">
        <f t="shared" ref="I121:O121" si="36">ROUND(I113*I115,2)</f>
        <v>10833</v>
      </c>
      <c r="J121" s="397">
        <f t="shared" si="36"/>
        <v>10525.19</v>
      </c>
      <c r="K121" s="397">
        <f t="shared" si="36"/>
        <v>8697.31</v>
      </c>
      <c r="L121" s="397">
        <f t="shared" si="36"/>
        <v>8296.75</v>
      </c>
      <c r="M121" s="397">
        <f t="shared" si="36"/>
        <v>6987.35</v>
      </c>
      <c r="N121" s="397">
        <f t="shared" si="36"/>
        <v>8137.19</v>
      </c>
      <c r="O121" s="397">
        <f t="shared" si="36"/>
        <v>8471.76</v>
      </c>
      <c r="P121" s="574">
        <f t="shared" si="35"/>
        <v>51115.55</v>
      </c>
    </row>
    <row r="122" spans="2:18" x14ac:dyDescent="0.2">
      <c r="B122" s="327"/>
      <c r="C122" s="328" t="s">
        <v>52</v>
      </c>
      <c r="D122" s="328" t="str">
        <f t="shared" si="34"/>
        <v>896</v>
      </c>
      <c r="E122" s="327" t="str">
        <f>VLOOKUP($C122,'Retail Rates'!$B$45:$R$53,3,FALSE)</f>
        <v>FT-I</v>
      </c>
      <c r="F122" s="329" t="s">
        <v>662</v>
      </c>
      <c r="G122" s="329" t="s">
        <v>276</v>
      </c>
      <c r="H122" s="329"/>
      <c r="I122" s="398">
        <f t="shared" ref="I122:O122" si="37">SUM(I120:I121)</f>
        <v>11383</v>
      </c>
      <c r="J122" s="398">
        <f t="shared" si="37"/>
        <v>11075.19</v>
      </c>
      <c r="K122" s="398">
        <f t="shared" si="37"/>
        <v>9247.31</v>
      </c>
      <c r="L122" s="398">
        <f t="shared" si="37"/>
        <v>8846.75</v>
      </c>
      <c r="M122" s="398">
        <f t="shared" si="37"/>
        <v>7537.35</v>
      </c>
      <c r="N122" s="398">
        <f t="shared" si="37"/>
        <v>8687.1899999999987</v>
      </c>
      <c r="O122" s="398">
        <f t="shared" si="37"/>
        <v>9021.76</v>
      </c>
      <c r="P122" s="574">
        <f t="shared" si="35"/>
        <v>54415.549999999996</v>
      </c>
    </row>
    <row r="123" spans="2:18" x14ac:dyDescent="0.2">
      <c r="B123" s="327"/>
      <c r="C123" s="328" t="s">
        <v>933</v>
      </c>
      <c r="D123" s="328" t="str">
        <f t="shared" si="34"/>
        <v>896</v>
      </c>
      <c r="E123" s="327" t="s">
        <v>939</v>
      </c>
      <c r="F123" s="329" t="s">
        <v>662</v>
      </c>
      <c r="G123" s="329" t="s">
        <v>277</v>
      </c>
      <c r="H123" s="325" t="s">
        <v>198</v>
      </c>
      <c r="I123" s="396">
        <f>SUMIFS('Data FT-TS-Cashout-P'!$O$14:$O$4704,'Data FT-TS-Cashout-P'!$A$14:$A$4704,'Mar16-Aug16 FT-TS-Cashout-LG&amp;E'!I$4,'Data FT-TS-Cashout-P'!$B$14:$B$4704,'Mar16-Aug16 FT-TS-Cashout-LG&amp;E'!$C$123,'Data FT-TS-Cashout-P'!$D$14:$D$4704,'Mar16-Aug16 FT-TS-Cashout-LG&amp;E'!$F$123,'Data FT-TS-Cashout-P'!$E$14:$E$4704,'Mar16-Aug16 FT-TS-Cashout-LG&amp;E'!$H$123,'Data FT-TS-Cashout-P'!$F$14:$F$4704,'Mar16-Aug16 FT-TS-Cashout-LG&amp;E'!I$6)</f>
        <v>0</v>
      </c>
      <c r="J123" s="396">
        <f>SUMIFS('Data FT-TS-Cashout-P'!$O$14:$O$4704,'Data FT-TS-Cashout-P'!$A$14:$A$4704,'Mar16-Aug16 FT-TS-Cashout-LG&amp;E'!J$4,'Data FT-TS-Cashout-P'!$B$14:$B$4704,'Mar16-Aug16 FT-TS-Cashout-LG&amp;E'!$C$123,'Data FT-TS-Cashout-P'!$D$14:$D$4704,'Mar16-Aug16 FT-TS-Cashout-LG&amp;E'!$F$123,'Data FT-TS-Cashout-P'!$E$14:$E$4704,'Mar16-Aug16 FT-TS-Cashout-LG&amp;E'!$H$123,'Data FT-TS-Cashout-P'!$F$14:$F$4704,'Mar16-Aug16 FT-TS-Cashout-LG&amp;E'!J$6)</f>
        <v>0</v>
      </c>
      <c r="K123" s="396">
        <f>SUMIFS('Data FT-TS-Cashout-P'!$O$14:$O$4704,'Data FT-TS-Cashout-P'!$A$14:$A$4704,'Mar16-Aug16 FT-TS-Cashout-LG&amp;E'!K$4,'Data FT-TS-Cashout-P'!$B$14:$B$4704,'Mar16-Aug16 FT-TS-Cashout-LG&amp;E'!$C$123,'Data FT-TS-Cashout-P'!$D$14:$D$4704,'Mar16-Aug16 FT-TS-Cashout-LG&amp;E'!$F$123,'Data FT-TS-Cashout-P'!$E$14:$E$4704,'Mar16-Aug16 FT-TS-Cashout-LG&amp;E'!$H$123,'Data FT-TS-Cashout-P'!$F$14:$F$4704,'Mar16-Aug16 FT-TS-Cashout-LG&amp;E'!K$6)</f>
        <v>0</v>
      </c>
      <c r="L123" s="396">
        <f>SUMIFS('Data FT-TS-Cashout-P'!$O$14:$O$4704,'Data FT-TS-Cashout-P'!$A$14:$A$4704,'Mar16-Aug16 FT-TS-Cashout-LG&amp;E'!L$4,'Data FT-TS-Cashout-P'!$B$14:$B$4704,'Mar16-Aug16 FT-TS-Cashout-LG&amp;E'!$C$123,'Data FT-TS-Cashout-P'!$D$14:$D$4704,'Mar16-Aug16 FT-TS-Cashout-LG&amp;E'!$F$123,'Data FT-TS-Cashout-P'!$E$14:$E$4704,'Mar16-Aug16 FT-TS-Cashout-LG&amp;E'!$H$123,'Data FT-TS-Cashout-P'!$F$14:$F$4704,'Mar16-Aug16 FT-TS-Cashout-LG&amp;E'!L$6)</f>
        <v>0</v>
      </c>
      <c r="M123" s="396">
        <f>SUMIFS('Data FT-TS-Cashout-P'!$O$14:$O$4704,'Data FT-TS-Cashout-P'!$A$14:$A$4704,'Mar16-Aug16 FT-TS-Cashout-LG&amp;E'!M$4,'Data FT-TS-Cashout-P'!$B$14:$B$4704,'Mar16-Aug16 FT-TS-Cashout-LG&amp;E'!$C$123,'Data FT-TS-Cashout-P'!$D$14:$D$4704,'Mar16-Aug16 FT-TS-Cashout-LG&amp;E'!$F$123,'Data FT-TS-Cashout-P'!$E$14:$E$4704,'Mar16-Aug16 FT-TS-Cashout-LG&amp;E'!$H$123,'Data FT-TS-Cashout-P'!$F$14:$F$4704,'Mar16-Aug16 FT-TS-Cashout-LG&amp;E'!M$6)</f>
        <v>0</v>
      </c>
      <c r="N123" s="396">
        <f>SUMIFS('Data FT-TS-Cashout-P'!$O$14:$O$4704,'Data FT-TS-Cashout-P'!$A$14:$A$4704,'Mar16-Aug16 FT-TS-Cashout-LG&amp;E'!N$4,'Data FT-TS-Cashout-P'!$B$14:$B$4704,'Mar16-Aug16 FT-TS-Cashout-LG&amp;E'!$C$123,'Data FT-TS-Cashout-P'!$D$14:$D$4704,'Mar16-Aug16 FT-TS-Cashout-LG&amp;E'!$F$123,'Data FT-TS-Cashout-P'!$E$14:$E$4704,'Mar16-Aug16 FT-TS-Cashout-LG&amp;E'!$H$123,'Data FT-TS-Cashout-P'!$F$14:$F$4704,'Mar16-Aug16 FT-TS-Cashout-LG&amp;E'!N$6)</f>
        <v>0</v>
      </c>
      <c r="O123" s="396">
        <f>SUMIFS('Data FT-TS-Cashout-P'!$O$14:$O$4704,'Data FT-TS-Cashout-P'!$A$14:$A$4704,'Mar16-Aug16 FT-TS-Cashout-LG&amp;E'!O$4,'Data FT-TS-Cashout-P'!$B$14:$B$4704,'Mar16-Aug16 FT-TS-Cashout-LG&amp;E'!$C$123,'Data FT-TS-Cashout-P'!$D$14:$D$4704,'Mar16-Aug16 FT-TS-Cashout-LG&amp;E'!$F$123,'Data FT-TS-Cashout-P'!$E$14:$E$4704,'Mar16-Aug16 FT-TS-Cashout-LG&amp;E'!$H$123,'Data FT-TS-Cashout-P'!$F$14:$F$4704,'Mar16-Aug16 FT-TS-Cashout-LG&amp;E'!O$6)</f>
        <v>0</v>
      </c>
      <c r="P123" s="574">
        <f t="shared" si="35"/>
        <v>0</v>
      </c>
    </row>
    <row r="124" spans="2:18" x14ac:dyDescent="0.2">
      <c r="B124" s="327"/>
      <c r="C124" s="328" t="s">
        <v>52</v>
      </c>
      <c r="D124" s="328" t="str">
        <f t="shared" si="34"/>
        <v>896</v>
      </c>
      <c r="E124" s="327" t="str">
        <f>VLOOKUP($C124,'Retail Rates'!$B$45:$R$53,3,FALSE)</f>
        <v>FT-I</v>
      </c>
      <c r="F124" s="329" t="s">
        <v>662</v>
      </c>
      <c r="G124" s="329" t="s">
        <v>500</v>
      </c>
      <c r="H124" s="325" t="s">
        <v>676</v>
      </c>
      <c r="I124" s="396">
        <f>SUMIFS('Data FT-TS-Cashout-P'!$U$14:$U$4704,'Data FT-TS-Cashout-P'!$A$14:$A$4704,'Mar16-Aug16 FT-TS-Cashout-LG&amp;E'!I$4,'Data FT-TS-Cashout-P'!$B$14:$B$4704,'Mar16-Aug16 FT-TS-Cashout-LG&amp;E'!$C$124,'Data FT-TS-Cashout-P'!$D$14:$D$4704,'Mar16-Aug16 FT-TS-Cashout-LG&amp;E'!$F$124,'Data FT-TS-Cashout-P'!$E$14:$E$4704,'Mar16-Aug16 FT-TS-Cashout-LG&amp;E'!$H$124,'Data FT-TS-Cashout-P'!$F$14:$F$4704,'Mar16-Aug16 FT-TS-Cashout-LG&amp;E'!I$6)</f>
        <v>0</v>
      </c>
      <c r="J124" s="396">
        <f>SUMIFS('Data FT-TS-Cashout-P'!$U$14:$U$4704,'Data FT-TS-Cashout-P'!$A$14:$A$4704,'Mar16-Aug16 FT-TS-Cashout-LG&amp;E'!J$4,'Data FT-TS-Cashout-P'!$B$14:$B$4704,'Mar16-Aug16 FT-TS-Cashout-LG&amp;E'!$C$124,'Data FT-TS-Cashout-P'!$D$14:$D$4704,'Mar16-Aug16 FT-TS-Cashout-LG&amp;E'!$F$124,'Data FT-TS-Cashout-P'!$E$14:$E$4704,'Mar16-Aug16 FT-TS-Cashout-LG&amp;E'!$H$124,'Data FT-TS-Cashout-P'!$F$14:$F$4704,'Mar16-Aug16 FT-TS-Cashout-LG&amp;E'!J$6)</f>
        <v>0</v>
      </c>
      <c r="K124" s="396">
        <f>SUMIFS('Data FT-TS-Cashout-P'!$U$14:$U$4704,'Data FT-TS-Cashout-P'!$A$14:$A$4704,'Mar16-Aug16 FT-TS-Cashout-LG&amp;E'!K$4,'Data FT-TS-Cashout-P'!$B$14:$B$4704,'Mar16-Aug16 FT-TS-Cashout-LG&amp;E'!$C$124,'Data FT-TS-Cashout-P'!$D$14:$D$4704,'Mar16-Aug16 FT-TS-Cashout-LG&amp;E'!$F$124,'Data FT-TS-Cashout-P'!$E$14:$E$4704,'Mar16-Aug16 FT-TS-Cashout-LG&amp;E'!$H$124,'Data FT-TS-Cashout-P'!$F$14:$F$4704,'Mar16-Aug16 FT-TS-Cashout-LG&amp;E'!K$6)</f>
        <v>0</v>
      </c>
      <c r="L124" s="396">
        <f>SUMIFS('Data FT-TS-Cashout-P'!$U$14:$U$4704,'Data FT-TS-Cashout-P'!$A$14:$A$4704,'Mar16-Aug16 FT-TS-Cashout-LG&amp;E'!L$4,'Data FT-TS-Cashout-P'!$B$14:$B$4704,'Mar16-Aug16 FT-TS-Cashout-LG&amp;E'!$C$124,'Data FT-TS-Cashout-P'!$D$14:$D$4704,'Mar16-Aug16 FT-TS-Cashout-LG&amp;E'!$F$124,'Data FT-TS-Cashout-P'!$E$14:$E$4704,'Mar16-Aug16 FT-TS-Cashout-LG&amp;E'!$H$124,'Data FT-TS-Cashout-P'!$F$14:$F$4704,'Mar16-Aug16 FT-TS-Cashout-LG&amp;E'!L$6)</f>
        <v>0</v>
      </c>
      <c r="M124" s="396">
        <f>SUMIFS('Data FT-TS-Cashout-P'!$U$14:$U$4704,'Data FT-TS-Cashout-P'!$A$14:$A$4704,'Mar16-Aug16 FT-TS-Cashout-LG&amp;E'!M$4,'Data FT-TS-Cashout-P'!$B$14:$B$4704,'Mar16-Aug16 FT-TS-Cashout-LG&amp;E'!$C$124,'Data FT-TS-Cashout-P'!$D$14:$D$4704,'Mar16-Aug16 FT-TS-Cashout-LG&amp;E'!$F$124,'Data FT-TS-Cashout-P'!$E$14:$E$4704,'Mar16-Aug16 FT-TS-Cashout-LG&amp;E'!$H$124,'Data FT-TS-Cashout-P'!$F$14:$F$4704,'Mar16-Aug16 FT-TS-Cashout-LG&amp;E'!M$6)</f>
        <v>0</v>
      </c>
      <c r="N124" s="396">
        <f>SUMIFS('Data FT-TS-Cashout-P'!$U$14:$U$4704,'Data FT-TS-Cashout-P'!$A$14:$A$4704,'Mar16-Aug16 FT-TS-Cashout-LG&amp;E'!N$4,'Data FT-TS-Cashout-P'!$B$14:$B$4704,'Mar16-Aug16 FT-TS-Cashout-LG&amp;E'!$C$124,'Data FT-TS-Cashout-P'!$D$14:$D$4704,'Mar16-Aug16 FT-TS-Cashout-LG&amp;E'!$F$124,'Data FT-TS-Cashout-P'!$E$14:$E$4704,'Mar16-Aug16 FT-TS-Cashout-LG&amp;E'!$H$124,'Data FT-TS-Cashout-P'!$F$14:$F$4704,'Mar16-Aug16 FT-TS-Cashout-LG&amp;E'!N$6)</f>
        <v>0</v>
      </c>
      <c r="O124" s="396">
        <f>SUMIFS('Data FT-TS-Cashout-P'!$U$14:$U$4704,'Data FT-TS-Cashout-P'!$A$14:$A$4704,'Mar16-Aug16 FT-TS-Cashout-LG&amp;E'!O$4,'Data FT-TS-Cashout-P'!$B$14:$B$4704,'Mar16-Aug16 FT-TS-Cashout-LG&amp;E'!$C$124,'Data FT-TS-Cashout-P'!$D$14:$D$4704,'Mar16-Aug16 FT-TS-Cashout-LG&amp;E'!$F$124,'Data FT-TS-Cashout-P'!$E$14:$E$4704,'Mar16-Aug16 FT-TS-Cashout-LG&amp;E'!$H$124,'Data FT-TS-Cashout-P'!$F$14:$F$4704,'Mar16-Aug16 FT-TS-Cashout-LG&amp;E'!O$6)</f>
        <v>0</v>
      </c>
      <c r="P124" s="574">
        <f t="shared" si="35"/>
        <v>0</v>
      </c>
    </row>
    <row r="125" spans="2:18" x14ac:dyDescent="0.2">
      <c r="B125" s="327"/>
      <c r="C125" s="328" t="s">
        <v>52</v>
      </c>
      <c r="D125" s="328" t="str">
        <f t="shared" si="34"/>
        <v>896</v>
      </c>
      <c r="E125" s="327" t="str">
        <f>VLOOKUP($C125,'Retail Rates'!$B$45:$R$53,3,FALSE)</f>
        <v>FT-I</v>
      </c>
      <c r="F125" s="329" t="s">
        <v>662</v>
      </c>
      <c r="G125" s="329" t="s">
        <v>501</v>
      </c>
      <c r="H125" s="325" t="s">
        <v>677</v>
      </c>
      <c r="I125" s="396">
        <f>SUMIFS('Data FT-TS-Cashout-P'!$V$14:$V$4704,'Data FT-TS-Cashout-P'!$A$14:$A$4704,'Mar16-Aug16 FT-TS-Cashout-LG&amp;E'!I$4,'Data FT-TS-Cashout-P'!$B$14:$B$4704,'Mar16-Aug16 FT-TS-Cashout-LG&amp;E'!$C$125,'Data FT-TS-Cashout-P'!$D$14:$D$4704,'Mar16-Aug16 FT-TS-Cashout-LG&amp;E'!$F$125,'Data FT-TS-Cashout-P'!$E$14:$E$4704,'Mar16-Aug16 FT-TS-Cashout-LG&amp;E'!$H$125,'Data FT-TS-Cashout-P'!$F$14:$F$4704,'Mar16-Aug16 FT-TS-Cashout-LG&amp;E'!I$6)</f>
        <v>0</v>
      </c>
      <c r="J125" s="396">
        <f>SUMIFS('Data FT-TS-Cashout-P'!$V$14:$V$4704,'Data FT-TS-Cashout-P'!$A$14:$A$4704,'Mar16-Aug16 FT-TS-Cashout-LG&amp;E'!J$4,'Data FT-TS-Cashout-P'!$B$14:$B$4704,'Mar16-Aug16 FT-TS-Cashout-LG&amp;E'!$C$125,'Data FT-TS-Cashout-P'!$D$14:$D$4704,'Mar16-Aug16 FT-TS-Cashout-LG&amp;E'!$F$125,'Data FT-TS-Cashout-P'!$E$14:$E$4704,'Mar16-Aug16 FT-TS-Cashout-LG&amp;E'!$H$125,'Data FT-TS-Cashout-P'!$F$14:$F$4704,'Mar16-Aug16 FT-TS-Cashout-LG&amp;E'!J$6)</f>
        <v>0</v>
      </c>
      <c r="K125" s="396">
        <f>SUMIFS('Data FT-TS-Cashout-P'!$V$14:$V$4704,'Data FT-TS-Cashout-P'!$A$14:$A$4704,'Mar16-Aug16 FT-TS-Cashout-LG&amp;E'!K$4,'Data FT-TS-Cashout-P'!$B$14:$B$4704,'Mar16-Aug16 FT-TS-Cashout-LG&amp;E'!$C$125,'Data FT-TS-Cashout-P'!$D$14:$D$4704,'Mar16-Aug16 FT-TS-Cashout-LG&amp;E'!$F$125,'Data FT-TS-Cashout-P'!$E$14:$E$4704,'Mar16-Aug16 FT-TS-Cashout-LG&amp;E'!$H$125,'Data FT-TS-Cashout-P'!$F$14:$F$4704,'Mar16-Aug16 FT-TS-Cashout-LG&amp;E'!K$6)</f>
        <v>0</v>
      </c>
      <c r="L125" s="396">
        <f>SUMIFS('Data FT-TS-Cashout-P'!$V$14:$V$4704,'Data FT-TS-Cashout-P'!$A$14:$A$4704,'Mar16-Aug16 FT-TS-Cashout-LG&amp;E'!L$4,'Data FT-TS-Cashout-P'!$B$14:$B$4704,'Mar16-Aug16 FT-TS-Cashout-LG&amp;E'!$C$125,'Data FT-TS-Cashout-P'!$D$14:$D$4704,'Mar16-Aug16 FT-TS-Cashout-LG&amp;E'!$F$125,'Data FT-TS-Cashout-P'!$E$14:$E$4704,'Mar16-Aug16 FT-TS-Cashout-LG&amp;E'!$H$125,'Data FT-TS-Cashout-P'!$F$14:$F$4704,'Mar16-Aug16 FT-TS-Cashout-LG&amp;E'!L$6)</f>
        <v>0</v>
      </c>
      <c r="M125" s="396">
        <f>SUMIFS('Data FT-TS-Cashout-P'!$V$14:$V$4704,'Data FT-TS-Cashout-P'!$A$14:$A$4704,'Mar16-Aug16 FT-TS-Cashout-LG&amp;E'!M$4,'Data FT-TS-Cashout-P'!$B$14:$B$4704,'Mar16-Aug16 FT-TS-Cashout-LG&amp;E'!$C$125,'Data FT-TS-Cashout-P'!$D$14:$D$4704,'Mar16-Aug16 FT-TS-Cashout-LG&amp;E'!$F$125,'Data FT-TS-Cashout-P'!$E$14:$E$4704,'Mar16-Aug16 FT-TS-Cashout-LG&amp;E'!$H$125,'Data FT-TS-Cashout-P'!$F$14:$F$4704,'Mar16-Aug16 FT-TS-Cashout-LG&amp;E'!M$6)</f>
        <v>0</v>
      </c>
      <c r="N125" s="396">
        <f>SUMIFS('Data FT-TS-Cashout-P'!$V$14:$V$4704,'Data FT-TS-Cashout-P'!$A$14:$A$4704,'Mar16-Aug16 FT-TS-Cashout-LG&amp;E'!N$4,'Data FT-TS-Cashout-P'!$B$14:$B$4704,'Mar16-Aug16 FT-TS-Cashout-LG&amp;E'!$C$125,'Data FT-TS-Cashout-P'!$D$14:$D$4704,'Mar16-Aug16 FT-TS-Cashout-LG&amp;E'!$F$125,'Data FT-TS-Cashout-P'!$E$14:$E$4704,'Mar16-Aug16 FT-TS-Cashout-LG&amp;E'!$H$125,'Data FT-TS-Cashout-P'!$F$14:$F$4704,'Mar16-Aug16 FT-TS-Cashout-LG&amp;E'!N$6)</f>
        <v>0</v>
      </c>
      <c r="O125" s="396">
        <f>SUMIFS('Data FT-TS-Cashout-P'!$V$14:$V$4704,'Data FT-TS-Cashout-P'!$A$14:$A$4704,'Mar16-Aug16 FT-TS-Cashout-LG&amp;E'!O$4,'Data FT-TS-Cashout-P'!$B$14:$B$4704,'Mar16-Aug16 FT-TS-Cashout-LG&amp;E'!$C$125,'Data FT-TS-Cashout-P'!$D$14:$D$4704,'Mar16-Aug16 FT-TS-Cashout-LG&amp;E'!$F$125,'Data FT-TS-Cashout-P'!$E$14:$E$4704,'Mar16-Aug16 FT-TS-Cashout-LG&amp;E'!$H$125,'Data FT-TS-Cashout-P'!$F$14:$F$4704,'Mar16-Aug16 FT-TS-Cashout-LG&amp;E'!O$6)</f>
        <v>0</v>
      </c>
      <c r="P125" s="574">
        <f t="shared" si="35"/>
        <v>0</v>
      </c>
    </row>
    <row r="126" spans="2:18" x14ac:dyDescent="0.2">
      <c r="B126" s="327"/>
      <c r="C126" s="328" t="s">
        <v>52</v>
      </c>
      <c r="D126" s="328" t="str">
        <f t="shared" si="34"/>
        <v>896</v>
      </c>
      <c r="E126" s="327" t="str">
        <f>VLOOKUP($C126,'Retail Rates'!$B$45:$R$53,3,FALSE)</f>
        <v>FT-I</v>
      </c>
      <c r="F126" s="329" t="s">
        <v>662</v>
      </c>
      <c r="G126" s="329" t="s">
        <v>691</v>
      </c>
      <c r="H126" s="325" t="s">
        <v>671</v>
      </c>
      <c r="I126" s="396">
        <f>SUMIFS('Data FT-TS-Cashout-P'!$L$14:$L$4704,'Data FT-TS-Cashout-P'!$A$14:$A$4704,'Mar16-Aug16 FT-TS-Cashout-LG&amp;E'!I$4,'Data FT-TS-Cashout-P'!$B$14:$B$4704,'Mar16-Aug16 FT-TS-Cashout-LG&amp;E'!$C$126,'Data FT-TS-Cashout-P'!$D$14:$D$4704,'Mar16-Aug16 FT-TS-Cashout-LG&amp;E'!$F$126,'Data FT-TS-Cashout-P'!$E$14:$E$4704,'Mar16-Aug16 FT-TS-Cashout-LG&amp;E'!$H$126,'Data FT-TS-Cashout-P'!$F$14:$F$4704,'Mar16-Aug16 FT-TS-Cashout-LG&amp;E'!I$6)</f>
        <v>0</v>
      </c>
      <c r="J126" s="396">
        <f>SUMIFS('Data FT-TS-Cashout-P'!$L$14:$L$4704,'Data FT-TS-Cashout-P'!$A$14:$A$4704,'Mar16-Aug16 FT-TS-Cashout-LG&amp;E'!J$4,'Data FT-TS-Cashout-P'!$B$14:$B$4704,'Mar16-Aug16 FT-TS-Cashout-LG&amp;E'!$C$126,'Data FT-TS-Cashout-P'!$D$14:$D$4704,'Mar16-Aug16 FT-TS-Cashout-LG&amp;E'!$F$126,'Data FT-TS-Cashout-P'!$E$14:$E$4704,'Mar16-Aug16 FT-TS-Cashout-LG&amp;E'!$H$126,'Data FT-TS-Cashout-P'!$F$14:$F$4704,'Mar16-Aug16 FT-TS-Cashout-LG&amp;E'!J$6)</f>
        <v>0</v>
      </c>
      <c r="K126" s="396">
        <f>SUMIFS('Data FT-TS-Cashout-P'!$L$14:$L$4704,'Data FT-TS-Cashout-P'!$A$14:$A$4704,'Mar16-Aug16 FT-TS-Cashout-LG&amp;E'!K$4,'Data FT-TS-Cashout-P'!$B$14:$B$4704,'Mar16-Aug16 FT-TS-Cashout-LG&amp;E'!$C$126,'Data FT-TS-Cashout-P'!$D$14:$D$4704,'Mar16-Aug16 FT-TS-Cashout-LG&amp;E'!$F$126,'Data FT-TS-Cashout-P'!$E$14:$E$4704,'Mar16-Aug16 FT-TS-Cashout-LG&amp;E'!$H$126,'Data FT-TS-Cashout-P'!$F$14:$F$4704,'Mar16-Aug16 FT-TS-Cashout-LG&amp;E'!K$6)</f>
        <v>0</v>
      </c>
      <c r="L126" s="396">
        <f>SUMIFS('Data FT-TS-Cashout-P'!$L$14:$L$4704,'Data FT-TS-Cashout-P'!$A$14:$A$4704,'Mar16-Aug16 FT-TS-Cashout-LG&amp;E'!L$4,'Data FT-TS-Cashout-P'!$B$14:$B$4704,'Mar16-Aug16 FT-TS-Cashout-LG&amp;E'!$C$126,'Data FT-TS-Cashout-P'!$D$14:$D$4704,'Mar16-Aug16 FT-TS-Cashout-LG&amp;E'!$F$126,'Data FT-TS-Cashout-P'!$E$14:$E$4704,'Mar16-Aug16 FT-TS-Cashout-LG&amp;E'!$H$126,'Data FT-TS-Cashout-P'!$F$14:$F$4704,'Mar16-Aug16 FT-TS-Cashout-LG&amp;E'!L$6)</f>
        <v>0</v>
      </c>
      <c r="M126" s="396">
        <f>SUMIFS('Data FT-TS-Cashout-P'!$L$14:$L$4704,'Data FT-TS-Cashout-P'!$A$14:$A$4704,'Mar16-Aug16 FT-TS-Cashout-LG&amp;E'!M$4,'Data FT-TS-Cashout-P'!$B$14:$B$4704,'Mar16-Aug16 FT-TS-Cashout-LG&amp;E'!$C$126,'Data FT-TS-Cashout-P'!$D$14:$D$4704,'Mar16-Aug16 FT-TS-Cashout-LG&amp;E'!$F$126,'Data FT-TS-Cashout-P'!$E$14:$E$4704,'Mar16-Aug16 FT-TS-Cashout-LG&amp;E'!$H$126,'Data FT-TS-Cashout-P'!$F$14:$F$4704,'Mar16-Aug16 FT-TS-Cashout-LG&amp;E'!M$6)</f>
        <v>0</v>
      </c>
      <c r="N126" s="396">
        <f>SUMIFS('Data FT-TS-Cashout-P'!$L$14:$L$4704,'Data FT-TS-Cashout-P'!$A$14:$A$4704,'Mar16-Aug16 FT-TS-Cashout-LG&amp;E'!N$4,'Data FT-TS-Cashout-P'!$B$14:$B$4704,'Mar16-Aug16 FT-TS-Cashout-LG&amp;E'!$C$126,'Data FT-TS-Cashout-P'!$D$14:$D$4704,'Mar16-Aug16 FT-TS-Cashout-LG&amp;E'!$F$126,'Data FT-TS-Cashout-P'!$E$14:$E$4704,'Mar16-Aug16 FT-TS-Cashout-LG&amp;E'!$H$126,'Data FT-TS-Cashout-P'!$F$14:$F$4704,'Mar16-Aug16 FT-TS-Cashout-LG&amp;E'!N$6)</f>
        <v>0</v>
      </c>
      <c r="O126" s="396">
        <f>SUMIFS('Data FT-TS-Cashout-P'!$L$14:$L$4704,'Data FT-TS-Cashout-P'!$A$14:$A$4704,'Mar16-Aug16 FT-TS-Cashout-LG&amp;E'!O$4,'Data FT-TS-Cashout-P'!$B$14:$B$4704,'Mar16-Aug16 FT-TS-Cashout-LG&amp;E'!$C$126,'Data FT-TS-Cashout-P'!$D$14:$D$4704,'Mar16-Aug16 FT-TS-Cashout-LG&amp;E'!$F$126,'Data FT-TS-Cashout-P'!$E$14:$E$4704,'Mar16-Aug16 FT-TS-Cashout-LG&amp;E'!$H$126,'Data FT-TS-Cashout-P'!$F$14:$F$4704,'Mar16-Aug16 FT-TS-Cashout-LG&amp;E'!O$6)</f>
        <v>0</v>
      </c>
      <c r="P126" s="574">
        <f t="shared" si="35"/>
        <v>0</v>
      </c>
    </row>
    <row r="127" spans="2:18" x14ac:dyDescent="0.2">
      <c r="B127" s="327"/>
      <c r="C127" s="328" t="s">
        <v>52</v>
      </c>
      <c r="D127" s="328" t="str">
        <f t="shared" si="34"/>
        <v>896</v>
      </c>
      <c r="E127" s="327" t="str">
        <f>VLOOKUP($C127,'Retail Rates'!$B$45:$R$53,3,FALSE)</f>
        <v>FT-I</v>
      </c>
      <c r="F127" s="329" t="s">
        <v>662</v>
      </c>
      <c r="G127" s="329" t="s">
        <v>692</v>
      </c>
      <c r="H127" s="329"/>
      <c r="I127" s="327"/>
      <c r="J127" s="327"/>
      <c r="K127" s="327"/>
      <c r="L127" s="327"/>
      <c r="M127" s="327"/>
      <c r="N127" s="327"/>
      <c r="O127" s="327"/>
      <c r="P127" s="574">
        <f t="shared" si="35"/>
        <v>0</v>
      </c>
    </row>
    <row r="128" spans="2:18" x14ac:dyDescent="0.2">
      <c r="B128" s="327"/>
      <c r="C128" s="328" t="s">
        <v>52</v>
      </c>
      <c r="D128" s="328" t="str">
        <f t="shared" si="34"/>
        <v>896</v>
      </c>
      <c r="E128" s="327" t="str">
        <f>VLOOKUP($C128,'Retail Rates'!$B$45:$R$53,3,FALSE)</f>
        <v>FT-I</v>
      </c>
      <c r="F128" s="329" t="s">
        <v>662</v>
      </c>
      <c r="G128" s="329" t="s">
        <v>682</v>
      </c>
      <c r="H128" s="325" t="s">
        <v>672</v>
      </c>
      <c r="I128" s="396">
        <f>SUMIFS('Data FT-TS-Cashout-P'!$T$14:$T$4704,'Data FT-TS-Cashout-P'!$A$14:$A$4704,'Mar16-Aug16 FT-TS-Cashout-LG&amp;E'!I$4,'Data FT-TS-Cashout-P'!$B$14:$B$4704,'Mar16-Aug16 FT-TS-Cashout-LG&amp;E'!$C$128,'Data FT-TS-Cashout-P'!$D$14:$D$4704,'Mar16-Aug16 FT-TS-Cashout-LG&amp;E'!$F$128,'Data FT-TS-Cashout-P'!$E$14:$E$4704,'Mar16-Aug16 FT-TS-Cashout-LG&amp;E'!$H$128,'Data FT-TS-Cashout-P'!$F$14:$F$4704,'Mar16-Aug16 FT-TS-Cashout-LG&amp;E'!I$6)</f>
        <v>0</v>
      </c>
      <c r="J128" s="396">
        <f>SUMIFS('Data FT-TS-Cashout-P'!$T$14:$T$4704,'Data FT-TS-Cashout-P'!$A$14:$A$4704,'Mar16-Aug16 FT-TS-Cashout-LG&amp;E'!J$4,'Data FT-TS-Cashout-P'!$B$14:$B$4704,'Mar16-Aug16 FT-TS-Cashout-LG&amp;E'!$C$128,'Data FT-TS-Cashout-P'!$D$14:$D$4704,'Mar16-Aug16 FT-TS-Cashout-LG&amp;E'!$F$128,'Data FT-TS-Cashout-P'!$E$14:$E$4704,'Mar16-Aug16 FT-TS-Cashout-LG&amp;E'!$H$128,'Data FT-TS-Cashout-P'!$F$14:$F$4704,'Mar16-Aug16 FT-TS-Cashout-LG&amp;E'!J$6)</f>
        <v>0</v>
      </c>
      <c r="K128" s="396">
        <f>SUMIFS('Data FT-TS-Cashout-P'!$T$14:$T$4704,'Data FT-TS-Cashout-P'!$A$14:$A$4704,'Mar16-Aug16 FT-TS-Cashout-LG&amp;E'!K$4,'Data FT-TS-Cashout-P'!$B$14:$B$4704,'Mar16-Aug16 FT-TS-Cashout-LG&amp;E'!$C$128,'Data FT-TS-Cashout-P'!$D$14:$D$4704,'Mar16-Aug16 FT-TS-Cashout-LG&amp;E'!$F$128,'Data FT-TS-Cashout-P'!$E$14:$E$4704,'Mar16-Aug16 FT-TS-Cashout-LG&amp;E'!$H$128,'Data FT-TS-Cashout-P'!$F$14:$F$4704,'Mar16-Aug16 FT-TS-Cashout-LG&amp;E'!K$6)</f>
        <v>0</v>
      </c>
      <c r="L128" s="396">
        <f>SUMIFS('Data FT-TS-Cashout-P'!$T$14:$T$4704,'Data FT-TS-Cashout-P'!$A$14:$A$4704,'Mar16-Aug16 FT-TS-Cashout-LG&amp;E'!L$4,'Data FT-TS-Cashout-P'!$B$14:$B$4704,'Mar16-Aug16 FT-TS-Cashout-LG&amp;E'!$C$128,'Data FT-TS-Cashout-P'!$D$14:$D$4704,'Mar16-Aug16 FT-TS-Cashout-LG&amp;E'!$F$128,'Data FT-TS-Cashout-P'!$E$14:$E$4704,'Mar16-Aug16 FT-TS-Cashout-LG&amp;E'!$H$128,'Data FT-TS-Cashout-P'!$F$14:$F$4704,'Mar16-Aug16 FT-TS-Cashout-LG&amp;E'!L$6)</f>
        <v>0</v>
      </c>
      <c r="M128" s="396">
        <f>SUMIFS('Data FT-TS-Cashout-P'!$T$14:$T$4704,'Data FT-TS-Cashout-P'!$A$14:$A$4704,'Mar16-Aug16 FT-TS-Cashout-LG&amp;E'!M$4,'Data FT-TS-Cashout-P'!$B$14:$B$4704,'Mar16-Aug16 FT-TS-Cashout-LG&amp;E'!$C$128,'Data FT-TS-Cashout-P'!$D$14:$D$4704,'Mar16-Aug16 FT-TS-Cashout-LG&amp;E'!$F$128,'Data FT-TS-Cashout-P'!$E$14:$E$4704,'Mar16-Aug16 FT-TS-Cashout-LG&amp;E'!$H$128,'Data FT-TS-Cashout-P'!$F$14:$F$4704,'Mar16-Aug16 FT-TS-Cashout-LG&amp;E'!M$6)</f>
        <v>0</v>
      </c>
      <c r="N128" s="396">
        <f>SUMIFS('Data FT-TS-Cashout-P'!$T$14:$T$4704,'Data FT-TS-Cashout-P'!$A$14:$A$4704,'Mar16-Aug16 FT-TS-Cashout-LG&amp;E'!N$4,'Data FT-TS-Cashout-P'!$B$14:$B$4704,'Mar16-Aug16 FT-TS-Cashout-LG&amp;E'!$C$128,'Data FT-TS-Cashout-P'!$D$14:$D$4704,'Mar16-Aug16 FT-TS-Cashout-LG&amp;E'!$F$128,'Data FT-TS-Cashout-P'!$E$14:$E$4704,'Mar16-Aug16 FT-TS-Cashout-LG&amp;E'!$H$128,'Data FT-TS-Cashout-P'!$F$14:$F$4704,'Mar16-Aug16 FT-TS-Cashout-LG&amp;E'!N$6)</f>
        <v>0</v>
      </c>
      <c r="O128" s="396">
        <f>SUMIFS('Data FT-TS-Cashout-P'!$T$14:$T$4704,'Data FT-TS-Cashout-P'!$A$14:$A$4704,'Mar16-Aug16 FT-TS-Cashout-LG&amp;E'!O$4,'Data FT-TS-Cashout-P'!$B$14:$B$4704,'Mar16-Aug16 FT-TS-Cashout-LG&amp;E'!$C$128,'Data FT-TS-Cashout-P'!$D$14:$D$4704,'Mar16-Aug16 FT-TS-Cashout-LG&amp;E'!$F$128,'Data FT-TS-Cashout-P'!$E$14:$E$4704,'Mar16-Aug16 FT-TS-Cashout-LG&amp;E'!$H$128,'Data FT-TS-Cashout-P'!$F$14:$F$4704,'Mar16-Aug16 FT-TS-Cashout-LG&amp;E'!O$6)</f>
        <v>0</v>
      </c>
      <c r="P128" s="574">
        <f t="shared" si="35"/>
        <v>0</v>
      </c>
      <c r="Q128" s="403">
        <f>P124+P126+P127+P128</f>
        <v>0</v>
      </c>
      <c r="R128" s="320" t="s">
        <v>818</v>
      </c>
    </row>
    <row r="129" spans="2:16" x14ac:dyDescent="0.2">
      <c r="B129" s="327"/>
      <c r="C129" s="328" t="s">
        <v>52</v>
      </c>
      <c r="D129" s="328" t="str">
        <f t="shared" si="34"/>
        <v>896</v>
      </c>
      <c r="E129" s="327" t="str">
        <f>VLOOKUP($C129,'Retail Rates'!$B$45:$R$53,3,FALSE)</f>
        <v>FT-I</v>
      </c>
      <c r="F129" s="329" t="s">
        <v>662</v>
      </c>
      <c r="G129" s="329" t="s">
        <v>278</v>
      </c>
      <c r="H129" s="329"/>
      <c r="I129" s="398">
        <f t="shared" ref="I129:O129" si="38">SUM(I122:I128)</f>
        <v>11383</v>
      </c>
      <c r="J129" s="398">
        <f t="shared" si="38"/>
        <v>11075.19</v>
      </c>
      <c r="K129" s="398">
        <f t="shared" si="38"/>
        <v>9247.31</v>
      </c>
      <c r="L129" s="398">
        <f t="shared" si="38"/>
        <v>8846.75</v>
      </c>
      <c r="M129" s="398">
        <f t="shared" si="38"/>
        <v>7537.35</v>
      </c>
      <c r="N129" s="398">
        <f t="shared" si="38"/>
        <v>8687.1899999999987</v>
      </c>
      <c r="O129" s="398">
        <f t="shared" si="38"/>
        <v>9021.76</v>
      </c>
      <c r="P129" s="574">
        <f t="shared" si="35"/>
        <v>54415.549999999996</v>
      </c>
    </row>
    <row r="130" spans="2:16" x14ac:dyDescent="0.2">
      <c r="B130" s="327"/>
      <c r="C130" s="327"/>
      <c r="D130" s="327"/>
      <c r="E130" s="327"/>
      <c r="F130" s="327"/>
      <c r="G130" s="327"/>
      <c r="H130" s="327"/>
      <c r="I130" s="327"/>
      <c r="J130" s="327"/>
      <c r="K130" s="327"/>
      <c r="L130" s="327"/>
      <c r="M130" s="327"/>
      <c r="N130" s="327"/>
      <c r="O130" s="327"/>
      <c r="P130" s="327"/>
    </row>
    <row r="131" spans="2:16" x14ac:dyDescent="0.2">
      <c r="B131" s="327"/>
      <c r="C131" s="327"/>
      <c r="D131" s="327"/>
      <c r="E131" s="327"/>
      <c r="F131" s="327"/>
      <c r="G131" s="337" t="s">
        <v>704</v>
      </c>
      <c r="H131" s="327"/>
      <c r="I131" s="327"/>
      <c r="J131" s="327"/>
      <c r="K131" s="327"/>
      <c r="L131" s="327"/>
      <c r="M131" s="327"/>
      <c r="N131" s="327"/>
      <c r="O131" s="327"/>
      <c r="P131" s="327"/>
    </row>
    <row r="132" spans="2:16" x14ac:dyDescent="0.2">
      <c r="B132" s="327"/>
      <c r="C132" s="327"/>
      <c r="D132" s="327"/>
      <c r="E132" s="327"/>
      <c r="F132" s="327"/>
      <c r="G132" s="329" t="s">
        <v>275</v>
      </c>
      <c r="H132" s="327"/>
      <c r="I132" s="398">
        <f t="shared" ref="I132:O132" si="39">I100+I121</f>
        <v>19108.93</v>
      </c>
      <c r="J132" s="398">
        <f t="shared" si="39"/>
        <v>18214.580000000002</v>
      </c>
      <c r="K132" s="398">
        <f t="shared" si="39"/>
        <v>13889.91</v>
      </c>
      <c r="L132" s="398">
        <f t="shared" si="39"/>
        <v>12656.74</v>
      </c>
      <c r="M132" s="398">
        <f t="shared" si="39"/>
        <v>10393.970000000001</v>
      </c>
      <c r="N132" s="398">
        <f t="shared" si="39"/>
        <v>11230.97</v>
      </c>
      <c r="O132" s="398">
        <f t="shared" si="39"/>
        <v>11020.74</v>
      </c>
      <c r="P132" s="574">
        <f t="shared" ref="P132:P145" si="40">SUM(J132:O132)</f>
        <v>77406.91</v>
      </c>
    </row>
    <row r="133" spans="2:16" x14ac:dyDescent="0.2">
      <c r="B133" s="327"/>
      <c r="C133" s="327"/>
      <c r="D133" s="327"/>
      <c r="E133" s="327"/>
      <c r="F133" s="327"/>
      <c r="G133" s="329" t="s">
        <v>277</v>
      </c>
      <c r="H133" s="327"/>
      <c r="I133" s="397">
        <f t="shared" ref="I133:O133" si="41">I102+I123</f>
        <v>103.88196000000001</v>
      </c>
      <c r="J133" s="397">
        <f t="shared" si="41"/>
        <v>96.519600000000011</v>
      </c>
      <c r="K133" s="397">
        <f t="shared" si="41"/>
        <v>68.800140000000013</v>
      </c>
      <c r="L133" s="397">
        <f t="shared" si="41"/>
        <v>57.768360000000001</v>
      </c>
      <c r="M133" s="397">
        <f t="shared" si="41"/>
        <v>45.136589999999998</v>
      </c>
      <c r="N133" s="397">
        <f t="shared" si="41"/>
        <v>40.991550000000004</v>
      </c>
      <c r="O133" s="397">
        <f t="shared" si="41"/>
        <v>33.773070000000004</v>
      </c>
      <c r="P133" s="574">
        <f t="shared" si="40"/>
        <v>342.98931000000005</v>
      </c>
    </row>
    <row r="134" spans="2:16" x14ac:dyDescent="0.2">
      <c r="B134" s="327"/>
      <c r="C134" s="327"/>
      <c r="D134" s="327"/>
      <c r="E134" s="327"/>
      <c r="F134" s="327"/>
      <c r="G134" s="329" t="s">
        <v>282</v>
      </c>
      <c r="H134" s="327"/>
      <c r="I134" s="398">
        <f t="shared" ref="I134:O134" si="42">SUM(I132:I133)</f>
        <v>19212.811959999999</v>
      </c>
      <c r="J134" s="398">
        <f t="shared" si="42"/>
        <v>18311.099600000001</v>
      </c>
      <c r="K134" s="398">
        <f t="shared" si="42"/>
        <v>13958.710139999999</v>
      </c>
      <c r="L134" s="398">
        <f t="shared" si="42"/>
        <v>12714.50836</v>
      </c>
      <c r="M134" s="398">
        <f t="shared" si="42"/>
        <v>10439.106590000001</v>
      </c>
      <c r="N134" s="398">
        <f t="shared" si="42"/>
        <v>11271.96155</v>
      </c>
      <c r="O134" s="398">
        <f t="shared" si="42"/>
        <v>11054.513069999999</v>
      </c>
      <c r="P134" s="574">
        <f t="shared" si="40"/>
        <v>77749.899310000008</v>
      </c>
    </row>
    <row r="135" spans="2:16" x14ac:dyDescent="0.2">
      <c r="B135" s="327"/>
      <c r="C135" s="327"/>
      <c r="D135" s="327"/>
      <c r="E135" s="327"/>
      <c r="F135" s="327"/>
      <c r="G135" s="329" t="s">
        <v>279</v>
      </c>
      <c r="H135" s="329"/>
      <c r="I135" s="398">
        <f t="shared" ref="I135:O135" si="43">I103+I124</f>
        <v>58.59</v>
      </c>
      <c r="J135" s="398">
        <f t="shared" si="43"/>
        <v>90.58</v>
      </c>
      <c r="K135" s="398">
        <f t="shared" si="43"/>
        <v>174.49</v>
      </c>
      <c r="L135" s="398">
        <f t="shared" si="43"/>
        <v>41.86</v>
      </c>
      <c r="M135" s="398">
        <f t="shared" si="43"/>
        <v>101.03</v>
      </c>
      <c r="N135" s="398">
        <f t="shared" si="43"/>
        <v>100.56</v>
      </c>
      <c r="O135" s="398">
        <f t="shared" si="43"/>
        <v>8.2799999999999994</v>
      </c>
      <c r="P135" s="574">
        <f t="shared" si="40"/>
        <v>516.80000000000007</v>
      </c>
    </row>
    <row r="136" spans="2:16" x14ac:dyDescent="0.2">
      <c r="B136" s="327"/>
      <c r="C136" s="327"/>
      <c r="D136" s="327"/>
      <c r="E136" s="327"/>
      <c r="F136" s="327"/>
      <c r="G136" s="329" t="s">
        <v>280</v>
      </c>
      <c r="H136" s="329"/>
      <c r="I136" s="398">
        <f t="shared" ref="I136:O136" si="44">I104+I125</f>
        <v>64.61</v>
      </c>
      <c r="J136" s="398">
        <f t="shared" si="44"/>
        <v>99.9</v>
      </c>
      <c r="K136" s="398">
        <f t="shared" si="44"/>
        <v>192.45</v>
      </c>
      <c r="L136" s="398">
        <f t="shared" si="44"/>
        <v>45.86</v>
      </c>
      <c r="M136" s="398">
        <f t="shared" si="44"/>
        <v>110.7</v>
      </c>
      <c r="N136" s="398">
        <f t="shared" si="44"/>
        <v>110.19</v>
      </c>
      <c r="O136" s="398">
        <f t="shared" si="44"/>
        <v>9.1300000000000008</v>
      </c>
      <c r="P136" s="574">
        <f t="shared" si="40"/>
        <v>568.23</v>
      </c>
    </row>
    <row r="137" spans="2:16" x14ac:dyDescent="0.2">
      <c r="B137" s="327"/>
      <c r="C137" s="327"/>
      <c r="D137" s="327"/>
      <c r="E137" s="327"/>
      <c r="F137" s="327"/>
      <c r="G137" s="329" t="s">
        <v>703</v>
      </c>
      <c r="H137" s="329"/>
      <c r="I137" s="398">
        <f t="shared" ref="I137:O137" si="45">I105+I126</f>
        <v>23.88</v>
      </c>
      <c r="J137" s="398">
        <f t="shared" si="45"/>
        <v>37.08</v>
      </c>
      <c r="K137" s="398">
        <f t="shared" si="45"/>
        <v>107.29</v>
      </c>
      <c r="L137" s="398">
        <f t="shared" si="45"/>
        <v>85.44</v>
      </c>
      <c r="M137" s="398">
        <f t="shared" si="45"/>
        <v>72.83</v>
      </c>
      <c r="N137" s="398">
        <f t="shared" si="45"/>
        <v>47.15</v>
      </c>
      <c r="O137" s="398">
        <f t="shared" si="45"/>
        <v>56.83</v>
      </c>
      <c r="P137" s="574">
        <f t="shared" si="40"/>
        <v>406.61999999999995</v>
      </c>
    </row>
    <row r="138" spans="2:16" x14ac:dyDescent="0.2">
      <c r="B138" s="327"/>
      <c r="C138" s="327"/>
      <c r="D138" s="327"/>
      <c r="E138" s="327"/>
      <c r="F138" s="327"/>
      <c r="G138" s="329" t="s">
        <v>281</v>
      </c>
      <c r="H138" s="327"/>
      <c r="I138" s="405">
        <f t="shared" ref="I138:O138" si="46">I107+I128</f>
        <v>0</v>
      </c>
      <c r="J138" s="405">
        <f t="shared" si="46"/>
        <v>0</v>
      </c>
      <c r="K138" s="405">
        <f t="shared" si="46"/>
        <v>0</v>
      </c>
      <c r="L138" s="405">
        <f t="shared" si="46"/>
        <v>0</v>
      </c>
      <c r="M138" s="405">
        <f t="shared" si="46"/>
        <v>0</v>
      </c>
      <c r="N138" s="405">
        <f t="shared" si="46"/>
        <v>0</v>
      </c>
      <c r="O138" s="405">
        <f t="shared" si="46"/>
        <v>0</v>
      </c>
      <c r="P138" s="574">
        <f t="shared" si="40"/>
        <v>0</v>
      </c>
    </row>
    <row r="139" spans="2:16" x14ac:dyDescent="0.2">
      <c r="B139" s="327"/>
      <c r="C139" s="327"/>
      <c r="D139" s="327"/>
      <c r="E139" s="327"/>
      <c r="F139" s="327"/>
      <c r="G139" s="329" t="s">
        <v>276</v>
      </c>
      <c r="H139" s="327"/>
      <c r="I139" s="398">
        <f t="shared" ref="I139:O139" si="47">SUM(I134:I138)</f>
        <v>19359.891960000001</v>
      </c>
      <c r="J139" s="398">
        <f t="shared" si="47"/>
        <v>18538.659600000006</v>
      </c>
      <c r="K139" s="398">
        <f t="shared" si="47"/>
        <v>14432.940140000001</v>
      </c>
      <c r="L139" s="398">
        <f t="shared" si="47"/>
        <v>12887.668360000001</v>
      </c>
      <c r="M139" s="398">
        <f t="shared" si="47"/>
        <v>10723.666590000003</v>
      </c>
      <c r="N139" s="398">
        <f t="shared" si="47"/>
        <v>11529.86155</v>
      </c>
      <c r="O139" s="398">
        <f t="shared" si="47"/>
        <v>11128.753069999999</v>
      </c>
      <c r="P139" s="574">
        <f t="shared" si="40"/>
        <v>79241.549310000002</v>
      </c>
    </row>
    <row r="140" spans="2:16" x14ac:dyDescent="0.2">
      <c r="B140" s="327"/>
      <c r="C140" s="327"/>
      <c r="D140" s="327"/>
      <c r="E140" s="327"/>
      <c r="F140" s="327"/>
      <c r="G140" s="329" t="s">
        <v>283</v>
      </c>
      <c r="H140" s="327"/>
      <c r="I140" s="405">
        <f t="shared" ref="I140:O140" si="48">I99+I120</f>
        <v>1650</v>
      </c>
      <c r="J140" s="405">
        <f t="shared" si="48"/>
        <v>1650</v>
      </c>
      <c r="K140" s="405">
        <f t="shared" si="48"/>
        <v>1650</v>
      </c>
      <c r="L140" s="405">
        <f t="shared" si="48"/>
        <v>1650</v>
      </c>
      <c r="M140" s="405">
        <f t="shared" si="48"/>
        <v>1650</v>
      </c>
      <c r="N140" s="405">
        <f t="shared" si="48"/>
        <v>1650</v>
      </c>
      <c r="O140" s="405">
        <f t="shared" si="48"/>
        <v>1650</v>
      </c>
      <c r="P140" s="574">
        <f t="shared" si="40"/>
        <v>9900</v>
      </c>
    </row>
    <row r="141" spans="2:16" x14ac:dyDescent="0.2">
      <c r="B141" s="327"/>
      <c r="C141" s="327"/>
      <c r="D141" s="327"/>
      <c r="E141" s="327"/>
      <c r="F141" s="327"/>
      <c r="G141" s="329" t="s">
        <v>284</v>
      </c>
      <c r="H141" s="327"/>
      <c r="I141" s="398">
        <f t="shared" ref="I141:O141" si="49">SUM(I139:I140)</f>
        <v>21009.891960000001</v>
      </c>
      <c r="J141" s="398">
        <f t="shared" si="49"/>
        <v>20188.659600000006</v>
      </c>
      <c r="K141" s="398">
        <f t="shared" si="49"/>
        <v>16082.940140000001</v>
      </c>
      <c r="L141" s="398">
        <f t="shared" si="49"/>
        <v>14537.668360000001</v>
      </c>
      <c r="M141" s="398">
        <f t="shared" si="49"/>
        <v>12373.666590000003</v>
      </c>
      <c r="N141" s="398">
        <f t="shared" si="49"/>
        <v>13179.86155</v>
      </c>
      <c r="O141" s="398">
        <f t="shared" si="49"/>
        <v>12778.753069999999</v>
      </c>
      <c r="P141" s="574">
        <f t="shared" si="40"/>
        <v>89141.549310000002</v>
      </c>
    </row>
    <row r="142" spans="2:16" ht="15" x14ac:dyDescent="0.25">
      <c r="B142" s="327"/>
      <c r="C142" s="327"/>
      <c r="D142" s="327"/>
      <c r="E142" s="327"/>
      <c r="F142" s="327"/>
      <c r="G142" s="327"/>
      <c r="H142" s="327"/>
      <c r="I142" s="327"/>
      <c r="J142" s="327"/>
      <c r="K142" s="327"/>
      <c r="L142" s="327"/>
      <c r="M142" s="327"/>
      <c r="N142" s="327"/>
      <c r="O142" s="327"/>
      <c r="P142" s="498"/>
    </row>
    <row r="143" spans="2:16" x14ac:dyDescent="0.2">
      <c r="B143" s="327"/>
      <c r="C143" s="327"/>
      <c r="D143" s="327"/>
      <c r="E143" s="327"/>
      <c r="F143" s="327" t="s">
        <v>964</v>
      </c>
      <c r="G143" s="329" t="s">
        <v>532</v>
      </c>
      <c r="H143" s="327"/>
      <c r="I143" s="398">
        <f>SUMIFS('Bruise Report-Tariff'!$C$5:$C$76,'Bruise Report-Tariff'!$A$5:$A$76,'Mar16-Aug16 FT-TS-Cashout-LG&amp;E'!I$4,'Bruise Report-Tariff'!$B$5:$B$76,'Mar16-Aug16 FT-TS-Cashout-LG&amp;E'!$F$143)</f>
        <v>21009.9</v>
      </c>
      <c r="J143" s="398">
        <f>SUMIFS('Bruise Report-Tariff'!$C$5:$C$76,'Bruise Report-Tariff'!$A$5:$A$76,'Mar16-Aug16 FT-TS-Cashout-LG&amp;E'!J$4,'Bruise Report-Tariff'!$B$5:$B$76,'Mar16-Aug16 FT-TS-Cashout-LG&amp;E'!$F$143)</f>
        <v>20188.669999999998</v>
      </c>
      <c r="K143" s="398">
        <f>SUMIFS('Bruise Report-Tariff'!$C$5:$C$76,'Bruise Report-Tariff'!$A$5:$A$76,'Mar16-Aug16 FT-TS-Cashout-LG&amp;E'!K$4,'Bruise Report-Tariff'!$B$5:$B$76,'Mar16-Aug16 FT-TS-Cashout-LG&amp;E'!$F$143)</f>
        <v>16082.95</v>
      </c>
      <c r="L143" s="398">
        <f>SUMIFS('Bruise Report-Tariff'!$C$5:$C$76,'Bruise Report-Tariff'!$A$5:$A$76,'Mar16-Aug16 FT-TS-Cashout-LG&amp;E'!L$4,'Bruise Report-Tariff'!$B$5:$B$76,'Mar16-Aug16 FT-TS-Cashout-LG&amp;E'!$F$143)</f>
        <v>14537.68</v>
      </c>
      <c r="M143" s="398">
        <f>SUMIFS('Bruise Report-Tariff'!$C$5:$C$76,'Bruise Report-Tariff'!$A$5:$A$76,'Mar16-Aug16 FT-TS-Cashout-LG&amp;E'!M$4,'Bruise Report-Tariff'!$B$5:$B$76,'Mar16-Aug16 FT-TS-Cashout-LG&amp;E'!$F$143)</f>
        <v>12373.68</v>
      </c>
      <c r="N143" s="398">
        <f>SUMIFS('Bruise Report-Tariff'!$C$5:$C$76,'Bruise Report-Tariff'!$A$5:$A$76,'Mar16-Aug16 FT-TS-Cashout-LG&amp;E'!N$4,'Bruise Report-Tariff'!$B$5:$B$76,'Mar16-Aug16 FT-TS-Cashout-LG&amp;E'!$F$143)</f>
        <v>13179.87</v>
      </c>
      <c r="O143" s="398">
        <f>SUMIFS('Bruise Report-Tariff'!$C$5:$C$76,'Bruise Report-Tariff'!$A$5:$A$76,'Mar16-Aug16 FT-TS-Cashout-LG&amp;E'!O$4,'Bruise Report-Tariff'!$B$5:$B$76,'Mar16-Aug16 FT-TS-Cashout-LG&amp;E'!$F$143)</f>
        <v>12778.76</v>
      </c>
      <c r="P143" s="574">
        <f t="shared" si="40"/>
        <v>89141.609999999986</v>
      </c>
    </row>
    <row r="144" spans="2:16" ht="15" customHeight="1" x14ac:dyDescent="0.25">
      <c r="B144" s="327"/>
      <c r="C144" s="327"/>
      <c r="D144" s="327"/>
      <c r="E144" s="327"/>
      <c r="F144" s="327"/>
      <c r="G144" s="327"/>
      <c r="H144" s="327"/>
      <c r="I144" s="327"/>
      <c r="J144" s="327"/>
      <c r="K144" s="327"/>
      <c r="L144" s="327"/>
      <c r="M144" s="327"/>
      <c r="N144" s="327"/>
      <c r="O144" s="327"/>
      <c r="P144" s="498"/>
    </row>
    <row r="145" spans="2:19" x14ac:dyDescent="0.2">
      <c r="B145" s="327"/>
      <c r="C145" s="327"/>
      <c r="D145" s="327"/>
      <c r="E145" s="327"/>
      <c r="F145" s="327"/>
      <c r="G145" s="329" t="s">
        <v>262</v>
      </c>
      <c r="H145" s="327"/>
      <c r="I145" s="398">
        <f t="shared" ref="I145:O145" si="50">+I141-I143</f>
        <v>-8.0400000006193295E-3</v>
      </c>
      <c r="J145" s="398">
        <f t="shared" si="50"/>
        <v>-1.0399999991932418E-2</v>
      </c>
      <c r="K145" s="398">
        <f t="shared" si="50"/>
        <v>-9.8600000001169974E-3</v>
      </c>
      <c r="L145" s="398">
        <f t="shared" si="50"/>
        <v>-1.1639999998806161E-2</v>
      </c>
      <c r="M145" s="398">
        <f t="shared" si="50"/>
        <v>-1.3409999997747946E-2</v>
      </c>
      <c r="N145" s="398">
        <f t="shared" si="50"/>
        <v>-8.4500000011757948E-3</v>
      </c>
      <c r="O145" s="398">
        <f t="shared" si="50"/>
        <v>-6.930000001375447E-3</v>
      </c>
      <c r="P145" s="574">
        <f t="shared" si="40"/>
        <v>-6.0689999991154764E-2</v>
      </c>
    </row>
    <row r="146" spans="2:19" x14ac:dyDescent="0.2">
      <c r="B146" s="327"/>
      <c r="C146" s="327"/>
      <c r="D146" s="327"/>
      <c r="E146" s="327"/>
      <c r="F146" s="327"/>
      <c r="G146" s="327"/>
      <c r="H146" s="327"/>
      <c r="I146" s="327"/>
      <c r="J146" s="327"/>
      <c r="K146" s="327"/>
      <c r="L146" s="327"/>
      <c r="M146" s="327"/>
      <c r="N146" s="327"/>
      <c r="O146" s="327"/>
      <c r="P146" s="327"/>
    </row>
    <row r="147" spans="2:19" x14ac:dyDescent="0.2">
      <c r="B147" s="338"/>
      <c r="C147" s="338"/>
      <c r="D147" s="338"/>
      <c r="E147" s="338"/>
      <c r="F147" s="338"/>
      <c r="G147" s="657" t="s">
        <v>945</v>
      </c>
      <c r="H147" s="338"/>
      <c r="I147" s="338"/>
      <c r="J147" s="338"/>
      <c r="K147" s="338"/>
      <c r="L147" s="338"/>
      <c r="M147" s="338"/>
      <c r="N147" s="338"/>
      <c r="O147" s="338"/>
      <c r="P147" s="338"/>
      <c r="Q147" s="338"/>
      <c r="R147" s="338"/>
    </row>
    <row r="148" spans="2:19" x14ac:dyDescent="0.2">
      <c r="B148" s="338"/>
      <c r="C148" s="338"/>
      <c r="D148" s="338"/>
      <c r="E148" s="338"/>
      <c r="F148" s="338"/>
      <c r="G148" s="339" t="s">
        <v>944</v>
      </c>
      <c r="H148" s="338"/>
      <c r="I148" s="340" t="s">
        <v>736</v>
      </c>
      <c r="J148" s="338"/>
      <c r="K148" s="340" t="s">
        <v>937</v>
      </c>
      <c r="L148" s="338"/>
      <c r="M148" s="338"/>
      <c r="N148" s="338"/>
      <c r="O148" s="338"/>
      <c r="P148" s="338"/>
      <c r="Q148" s="338"/>
      <c r="R148" s="338"/>
      <c r="S148" s="338"/>
    </row>
    <row r="149" spans="2:19" x14ac:dyDescent="0.2">
      <c r="B149" s="338"/>
      <c r="C149" s="340" t="s">
        <v>39</v>
      </c>
      <c r="D149" s="340" t="str">
        <f>MID(C149,6,3)</f>
        <v>881</v>
      </c>
      <c r="E149" s="338" t="str">
        <f>VLOOKUP($C149,'Retail Rates'!$B$45:$R$53,3,FALSE)</f>
        <v>CGS-TS</v>
      </c>
      <c r="F149" s="340" t="s">
        <v>661</v>
      </c>
      <c r="G149" s="341" t="s">
        <v>268</v>
      </c>
      <c r="H149" s="338"/>
      <c r="I149" s="338">
        <f t="shared" ref="I149:O149" si="51">+I162/I156</f>
        <v>0</v>
      </c>
      <c r="J149" s="338">
        <f t="shared" si="51"/>
        <v>0</v>
      </c>
      <c r="K149" s="338">
        <f t="shared" si="51"/>
        <v>0</v>
      </c>
      <c r="L149" s="338">
        <f t="shared" si="51"/>
        <v>0</v>
      </c>
      <c r="M149" s="338">
        <f t="shared" si="51"/>
        <v>0</v>
      </c>
      <c r="N149" s="338">
        <f t="shared" si="51"/>
        <v>0</v>
      </c>
      <c r="O149" s="338">
        <f t="shared" si="51"/>
        <v>0</v>
      </c>
      <c r="P149" s="410" t="e">
        <f>SUM(I149:N149,#REF!)</f>
        <v>#REF!</v>
      </c>
      <c r="Q149" s="338"/>
      <c r="R149" s="338"/>
      <c r="S149" s="338"/>
    </row>
    <row r="150" spans="2:19" x14ac:dyDescent="0.2">
      <c r="B150" s="338"/>
      <c r="C150" s="340" t="s">
        <v>39</v>
      </c>
      <c r="D150" s="340" t="str">
        <f t="shared" ref="D150:D168" si="52">MID(C150,6,3)</f>
        <v>881</v>
      </c>
      <c r="E150" s="338" t="str">
        <f>VLOOKUP($C150,'Retail Rates'!$B$45:$R$53,3,FALSE)</f>
        <v>CGS-TS</v>
      </c>
      <c r="F150" s="340" t="s">
        <v>661</v>
      </c>
      <c r="G150" s="341" t="s">
        <v>468</v>
      </c>
      <c r="H150" s="338"/>
      <c r="I150" s="338">
        <f t="shared" ref="I150:O150" si="53">IF(I154=0,I154,IF(I154&gt;=(I149*100),(I149*100),I154))</f>
        <v>0</v>
      </c>
      <c r="J150" s="338">
        <f t="shared" si="53"/>
        <v>0</v>
      </c>
      <c r="K150" s="338">
        <f t="shared" si="53"/>
        <v>0</v>
      </c>
      <c r="L150" s="338">
        <f t="shared" si="53"/>
        <v>0</v>
      </c>
      <c r="M150" s="338">
        <f t="shared" si="53"/>
        <v>0</v>
      </c>
      <c r="N150" s="338">
        <f t="shared" si="53"/>
        <v>0</v>
      </c>
      <c r="O150" s="338">
        <f t="shared" si="53"/>
        <v>0</v>
      </c>
      <c r="P150" s="410" t="e">
        <f>SUM(I150:N150,#REF!)</f>
        <v>#REF!</v>
      </c>
      <c r="Q150" s="338"/>
      <c r="R150" s="338"/>
      <c r="S150" s="338"/>
    </row>
    <row r="151" spans="2:19" x14ac:dyDescent="0.2">
      <c r="B151" s="338"/>
      <c r="C151" s="340" t="s">
        <v>39</v>
      </c>
      <c r="D151" s="340" t="str">
        <f t="shared" si="52"/>
        <v>881</v>
      </c>
      <c r="E151" s="338" t="str">
        <f>VLOOKUP($C151,'Retail Rates'!$B$45:$R$53,3,FALSE)</f>
        <v>CGS-TS</v>
      </c>
      <c r="F151" s="340" t="s">
        <v>661</v>
      </c>
      <c r="G151" s="341" t="s">
        <v>469</v>
      </c>
      <c r="H151" s="338"/>
      <c r="I151" s="408">
        <f t="shared" ref="I151:O151" si="54">+I154-I150</f>
        <v>0</v>
      </c>
      <c r="J151" s="408">
        <f t="shared" si="54"/>
        <v>0</v>
      </c>
      <c r="K151" s="408">
        <f t="shared" si="54"/>
        <v>0</v>
      </c>
      <c r="L151" s="408">
        <f t="shared" si="54"/>
        <v>0</v>
      </c>
      <c r="M151" s="408">
        <f t="shared" si="54"/>
        <v>0</v>
      </c>
      <c r="N151" s="408">
        <f t="shared" si="54"/>
        <v>0</v>
      </c>
      <c r="O151" s="408">
        <f t="shared" si="54"/>
        <v>0</v>
      </c>
      <c r="P151" s="410" t="e">
        <f>SUM(I151:N151,#REF!)</f>
        <v>#REF!</v>
      </c>
      <c r="Q151" s="338"/>
      <c r="R151" s="338"/>
      <c r="S151" s="338"/>
    </row>
    <row r="152" spans="2:19" x14ac:dyDescent="0.2">
      <c r="B152" s="338"/>
      <c r="C152" s="340" t="s">
        <v>39</v>
      </c>
      <c r="D152" s="340" t="str">
        <f>MID(C152,6,3)</f>
        <v>881</v>
      </c>
      <c r="E152" s="338" t="str">
        <f>VLOOKUP($C152,'Retail Rates'!$B$45:$R$53,3,FALSE)</f>
        <v>CGS-TS</v>
      </c>
      <c r="F152" s="340" t="s">
        <v>661</v>
      </c>
      <c r="G152" s="341" t="s">
        <v>737</v>
      </c>
      <c r="H152" s="338"/>
      <c r="I152" s="408">
        <v>0</v>
      </c>
      <c r="J152" s="408">
        <v>0</v>
      </c>
      <c r="K152" s="408">
        <v>0</v>
      </c>
      <c r="L152" s="408">
        <v>0</v>
      </c>
      <c r="M152" s="408">
        <v>0</v>
      </c>
      <c r="N152" s="408">
        <v>0</v>
      </c>
      <c r="O152" s="408">
        <v>0</v>
      </c>
      <c r="P152" s="410" t="e">
        <f>SUM(I152:N152,#REF!)</f>
        <v>#REF!</v>
      </c>
      <c r="Q152" s="338"/>
      <c r="R152" s="338"/>
      <c r="S152" s="338"/>
    </row>
    <row r="153" spans="2:19" x14ac:dyDescent="0.2">
      <c r="B153" s="338"/>
      <c r="C153" s="340" t="s">
        <v>39</v>
      </c>
      <c r="D153" s="340" t="str">
        <f>MID(C153,6,3)</f>
        <v>881</v>
      </c>
      <c r="E153" s="338" t="str">
        <f>VLOOKUP($C153,'Retail Rates'!$B$45:$R$53,3,FALSE)</f>
        <v>CGS-TS</v>
      </c>
      <c r="F153" s="340" t="s">
        <v>661</v>
      </c>
      <c r="G153" s="341" t="s">
        <v>738</v>
      </c>
      <c r="H153" s="338"/>
      <c r="I153" s="408">
        <f t="shared" ref="I153:O153" si="55">I154-I152</f>
        <v>0</v>
      </c>
      <c r="J153" s="408">
        <f t="shared" si="55"/>
        <v>0</v>
      </c>
      <c r="K153" s="408">
        <f t="shared" si="55"/>
        <v>0</v>
      </c>
      <c r="L153" s="408">
        <f t="shared" si="55"/>
        <v>0</v>
      </c>
      <c r="M153" s="408">
        <f t="shared" si="55"/>
        <v>0</v>
      </c>
      <c r="N153" s="408">
        <f t="shared" si="55"/>
        <v>0</v>
      </c>
      <c r="O153" s="408">
        <f t="shared" si="55"/>
        <v>0</v>
      </c>
      <c r="P153" s="410" t="e">
        <f>SUM(I153:N153,#REF!)</f>
        <v>#REF!</v>
      </c>
      <c r="Q153" s="338"/>
      <c r="R153" s="338"/>
      <c r="S153" s="338"/>
    </row>
    <row r="154" spans="2:19" x14ac:dyDescent="0.2">
      <c r="B154" s="338"/>
      <c r="C154" s="340" t="s">
        <v>39</v>
      </c>
      <c r="D154" s="340" t="str">
        <f>MID(C154,6,3)</f>
        <v>881</v>
      </c>
      <c r="E154" s="338" t="str">
        <f>VLOOKUP($C154,'Retail Rates'!$B$45:$R$53,3,FALSE)</f>
        <v>CGS-TS</v>
      </c>
      <c r="F154" s="340" t="s">
        <v>661</v>
      </c>
      <c r="G154" s="341" t="s">
        <v>470</v>
      </c>
      <c r="H154" s="325" t="s">
        <v>518</v>
      </c>
      <c r="I154" s="396">
        <f>SUMIFS('Data FT-TS-Cashout-P'!$H$14:$H$4704,'Data FT-TS-Cashout-P'!$A$6:$A$4696,'Mar16-Aug16 FT-TS-Cashout-LG&amp;E'!I$4,'Data FT-TS-Cashout-P'!$B$14:$B$4704,'Mar16-Aug16 FT-TS-Cashout-LG&amp;E'!$C$154,'Data FT-TS-Cashout-P'!$D$14:$D$4704,'Mar16-Aug16 FT-TS-Cashout-LG&amp;E'!$F$154,'Data FT-TS-Cashout-P'!$E$14:$E$4704,'Mar16-Aug16 FT-TS-Cashout-LG&amp;E'!$H$154,'Data FT-TS-Cashout-P'!$F$14:$F$4704,'Mar16-Aug16 FT-TS-Cashout-LG&amp;E'!I$6)/10</f>
        <v>0</v>
      </c>
      <c r="J154" s="396">
        <f>SUMIFS('Data FT-TS-Cashout-P'!$H$14:$H$4704,'Data FT-TS-Cashout-P'!$A$6:$A$4696,'Mar16-Aug16 FT-TS-Cashout-LG&amp;E'!J$4,'Data FT-TS-Cashout-P'!$B$14:$B$4704,'Mar16-Aug16 FT-TS-Cashout-LG&amp;E'!$C$154,'Data FT-TS-Cashout-P'!$D$14:$D$4704,'Mar16-Aug16 FT-TS-Cashout-LG&amp;E'!$F$154,'Data FT-TS-Cashout-P'!$E$14:$E$4704,'Mar16-Aug16 FT-TS-Cashout-LG&amp;E'!$H$154,'Data FT-TS-Cashout-P'!$F$14:$F$4704,'Mar16-Aug16 FT-TS-Cashout-LG&amp;E'!J$6)</f>
        <v>0</v>
      </c>
      <c r="K154" s="396">
        <f>SUMIFS('Data FT-TS-Cashout-P'!$H$14:$H$4704,'Data FT-TS-Cashout-P'!$A$6:$A$4696,'Mar16-Aug16 FT-TS-Cashout-LG&amp;E'!K$4,'Data FT-TS-Cashout-P'!$B$14:$B$4704,'Mar16-Aug16 FT-TS-Cashout-LG&amp;E'!$C$154,'Data FT-TS-Cashout-P'!$D$14:$D$4704,'Mar16-Aug16 FT-TS-Cashout-LG&amp;E'!$F$154,'Data FT-TS-Cashout-P'!$E$14:$E$4704,'Mar16-Aug16 FT-TS-Cashout-LG&amp;E'!$H$154,'Data FT-TS-Cashout-P'!$F$14:$F$4704,'Mar16-Aug16 FT-TS-Cashout-LG&amp;E'!K$6)</f>
        <v>0</v>
      </c>
      <c r="L154" s="396">
        <f>SUMIFS('Data FT-TS-Cashout-P'!$H$14:$H$4704,'Data FT-TS-Cashout-P'!$A$6:$A$4696,'Mar16-Aug16 FT-TS-Cashout-LG&amp;E'!L$4,'Data FT-TS-Cashout-P'!$B$14:$B$4704,'Mar16-Aug16 FT-TS-Cashout-LG&amp;E'!$C$154,'Data FT-TS-Cashout-P'!$D$14:$D$4704,'Mar16-Aug16 FT-TS-Cashout-LG&amp;E'!$F$154,'Data FT-TS-Cashout-P'!$E$14:$E$4704,'Mar16-Aug16 FT-TS-Cashout-LG&amp;E'!$H$154,'Data FT-TS-Cashout-P'!$F$14:$F$4704,'Mar16-Aug16 FT-TS-Cashout-LG&amp;E'!L$6)</f>
        <v>0</v>
      </c>
      <c r="M154" s="396">
        <f>SUMIFS('Data FT-TS-Cashout-P'!$H$14:$H$4704,'Data FT-TS-Cashout-P'!$A$6:$A$4696,'Mar16-Aug16 FT-TS-Cashout-LG&amp;E'!M$4,'Data FT-TS-Cashout-P'!$B$14:$B$4704,'Mar16-Aug16 FT-TS-Cashout-LG&amp;E'!$C$154,'Data FT-TS-Cashout-P'!$D$14:$D$4704,'Mar16-Aug16 FT-TS-Cashout-LG&amp;E'!$F$154,'Data FT-TS-Cashout-P'!$E$14:$E$4704,'Mar16-Aug16 FT-TS-Cashout-LG&amp;E'!$H$154,'Data FT-TS-Cashout-P'!$F$14:$F$4704,'Mar16-Aug16 FT-TS-Cashout-LG&amp;E'!M$6)</f>
        <v>0</v>
      </c>
      <c r="N154" s="396">
        <f>SUMIFS('Data FT-TS-Cashout-P'!$H$14:$H$4704,'Data FT-TS-Cashout-P'!$A$6:$A$4696,'Mar16-Aug16 FT-TS-Cashout-LG&amp;E'!N$4,'Data FT-TS-Cashout-P'!$B$14:$B$4704,'Mar16-Aug16 FT-TS-Cashout-LG&amp;E'!$C$154,'Data FT-TS-Cashout-P'!$D$14:$D$4704,'Mar16-Aug16 FT-TS-Cashout-LG&amp;E'!$F$154,'Data FT-TS-Cashout-P'!$E$14:$E$4704,'Mar16-Aug16 FT-TS-Cashout-LG&amp;E'!$H$154,'Data FT-TS-Cashout-P'!$F$14:$F$4704,'Mar16-Aug16 FT-TS-Cashout-LG&amp;E'!N$6)</f>
        <v>0</v>
      </c>
      <c r="O154" s="396">
        <f>SUMIFS('Data FT-TS-Cashout-P'!$H$14:$H$4704,'Data FT-TS-Cashout-P'!$A$6:$A$4696,'Mar16-Aug16 FT-TS-Cashout-LG&amp;E'!O$4,'Data FT-TS-Cashout-P'!$B$14:$B$4704,'Mar16-Aug16 FT-TS-Cashout-LG&amp;E'!$C$154,'Data FT-TS-Cashout-P'!$D$14:$D$4704,'Mar16-Aug16 FT-TS-Cashout-LG&amp;E'!$F$154,'Data FT-TS-Cashout-P'!$E$14:$E$4704,'Mar16-Aug16 FT-TS-Cashout-LG&amp;E'!$H$154,'Data FT-TS-Cashout-P'!$F$14:$F$4704,'Mar16-Aug16 FT-TS-Cashout-LG&amp;E'!O$6)</f>
        <v>0</v>
      </c>
      <c r="P154" s="410" t="e">
        <f>SUM(I154:N154,#REF!)</f>
        <v>#REF!</v>
      </c>
      <c r="Q154" s="338"/>
      <c r="R154" s="338"/>
      <c r="S154" s="338"/>
    </row>
    <row r="155" spans="2:19" x14ac:dyDescent="0.2">
      <c r="B155" s="338"/>
      <c r="C155" s="340" t="s">
        <v>39</v>
      </c>
      <c r="D155" s="340" t="str">
        <f t="shared" si="52"/>
        <v>881</v>
      </c>
      <c r="E155" s="338" t="str">
        <f>VLOOKUP($C155,'Retail Rates'!$B$45:$R$53,3,FALSE)</f>
        <v>CGS-TS</v>
      </c>
      <c r="F155" s="340" t="s">
        <v>661</v>
      </c>
      <c r="G155" s="342"/>
      <c r="H155" s="338"/>
      <c r="I155" s="338"/>
      <c r="J155" s="338"/>
      <c r="K155" s="338"/>
      <c r="L155" s="338"/>
      <c r="M155" s="338"/>
      <c r="N155" s="338"/>
      <c r="O155" s="338"/>
      <c r="P155" s="338"/>
    </row>
    <row r="156" spans="2:19" x14ac:dyDescent="0.2">
      <c r="B156" s="338"/>
      <c r="C156" s="340" t="s">
        <v>39</v>
      </c>
      <c r="D156" s="340" t="str">
        <f t="shared" si="52"/>
        <v>881</v>
      </c>
      <c r="E156" s="338" t="str">
        <f>VLOOKUP($C156,'Retail Rates'!$B$45:$R$53,3,FALSE)</f>
        <v>CGS-TS</v>
      </c>
      <c r="F156" s="340" t="s">
        <v>661</v>
      </c>
      <c r="G156" s="341" t="s">
        <v>270</v>
      </c>
      <c r="H156" s="338"/>
      <c r="I156" s="338">
        <f>VLOOKUP($C156,'Retail Rates'!$B$44:$O$53,5,FALSE)</f>
        <v>180</v>
      </c>
      <c r="J156" s="338">
        <f>VLOOKUP($C156,'Retail Rates'!$B$44:$O$53,5,FALSE)</f>
        <v>180</v>
      </c>
      <c r="K156" s="338">
        <f>VLOOKUP($C156,'Retail Rates'!$B$44:$O$53,5,FALSE)</f>
        <v>180</v>
      </c>
      <c r="L156" s="338">
        <f>VLOOKUP($C156,'Retail Rates'!$B$44:$O$53,5,FALSE)</f>
        <v>180</v>
      </c>
      <c r="M156" s="338">
        <f>VLOOKUP($C156,'Retail Rates'!$B$44:$O$53,5,FALSE)</f>
        <v>180</v>
      </c>
      <c r="N156" s="338">
        <f>VLOOKUP($C156,'Retail Rates'!$B$44:$O$53,5,FALSE)</f>
        <v>180</v>
      </c>
      <c r="O156" s="338">
        <f>VLOOKUP($C156,'Retail Rates'!$B$44:$O$53,5,FALSE)</f>
        <v>180</v>
      </c>
      <c r="P156" s="338"/>
    </row>
    <row r="157" spans="2:19" x14ac:dyDescent="0.2">
      <c r="B157" s="338"/>
      <c r="C157" s="340" t="s">
        <v>39</v>
      </c>
      <c r="D157" s="340" t="str">
        <f t="shared" si="52"/>
        <v>881</v>
      </c>
      <c r="E157" s="338" t="str">
        <f>VLOOKUP($C157,'Retail Rates'!$B$45:$R$53,3,FALSE)</f>
        <v>CGS-TS</v>
      </c>
      <c r="F157" s="340" t="s">
        <v>661</v>
      </c>
      <c r="G157" s="341" t="s">
        <v>471</v>
      </c>
      <c r="H157" s="338"/>
      <c r="I157" s="338">
        <f>VLOOKUP($C157,'Retail Rates'!$B$45:$O$59,7,FALSE)</f>
        <v>2.1504000000000003</v>
      </c>
      <c r="J157" s="338">
        <f>VLOOKUP($C157,'Retail Rates'!$B$45:$O$59,7,FALSE)</f>
        <v>2.1504000000000003</v>
      </c>
      <c r="K157" s="338">
        <f>VLOOKUP($C157,'Retail Rates'!$B$45:$O$59,7,FALSE)</f>
        <v>2.1504000000000003</v>
      </c>
      <c r="L157" s="338">
        <f>VLOOKUP($C157,'Retail Rates'!$B$45:$O$59,7,FALSE)</f>
        <v>2.1504000000000003</v>
      </c>
      <c r="M157" s="338">
        <f>VLOOKUP($C157,'Retail Rates'!$B$45:$O$59,7,FALSE)</f>
        <v>2.1504000000000003</v>
      </c>
      <c r="N157" s="338">
        <f>VLOOKUP($C157,'Retail Rates'!$B$45:$O$59,7,FALSE)</f>
        <v>2.1504000000000003</v>
      </c>
      <c r="O157" s="338">
        <f>VLOOKUP($C157,'Retail Rates'!$B$45:$O$59,7,FALSE)</f>
        <v>2.1504000000000003</v>
      </c>
      <c r="P157" s="338"/>
    </row>
    <row r="158" spans="2:19" x14ac:dyDescent="0.2">
      <c r="B158" s="338"/>
      <c r="C158" s="340" t="s">
        <v>39</v>
      </c>
      <c r="D158" s="340" t="str">
        <f t="shared" si="52"/>
        <v>881</v>
      </c>
      <c r="E158" s="338" t="str">
        <f>VLOOKUP($C158,'Retail Rates'!$B$45:$R$53,3,FALSE)</f>
        <v>CGS-TS</v>
      </c>
      <c r="F158" s="340" t="s">
        <v>661</v>
      </c>
      <c r="G158" s="341" t="s">
        <v>472</v>
      </c>
      <c r="H158" s="338"/>
      <c r="I158" s="338">
        <f>+I157-0.5</f>
        <v>1.6504000000000003</v>
      </c>
      <c r="J158" s="338">
        <f t="shared" ref="J158:O158" si="56">+J157-0.5</f>
        <v>1.6504000000000003</v>
      </c>
      <c r="K158" s="338">
        <f t="shared" si="56"/>
        <v>1.6504000000000003</v>
      </c>
      <c r="L158" s="338">
        <f t="shared" si="56"/>
        <v>1.6504000000000003</v>
      </c>
      <c r="M158" s="338">
        <f t="shared" si="56"/>
        <v>1.6504000000000003</v>
      </c>
      <c r="N158" s="338">
        <f t="shared" si="56"/>
        <v>1.6504000000000003</v>
      </c>
      <c r="O158" s="338">
        <f t="shared" si="56"/>
        <v>1.6504000000000003</v>
      </c>
      <c r="P158" s="338"/>
    </row>
    <row r="159" spans="2:19" x14ac:dyDescent="0.2">
      <c r="B159" s="338"/>
      <c r="C159" s="340" t="s">
        <v>39</v>
      </c>
      <c r="D159" s="340" t="str">
        <f t="shared" si="52"/>
        <v>881</v>
      </c>
      <c r="E159" s="338" t="str">
        <f>VLOOKUP($C159,'Retail Rates'!$B$45:$R$53,3,FALSE)</f>
        <v>CGS-TS</v>
      </c>
      <c r="F159" s="340" t="s">
        <v>661</v>
      </c>
      <c r="G159" s="341" t="s">
        <v>257</v>
      </c>
      <c r="H159" s="338"/>
      <c r="I159" s="409">
        <f>SUMIF('GSC-DSM-GLT Factors'!$A$11:$A$52,'Mar16-Aug16 FT-TS-Cashout-LG&amp;E'!I$4,'GSC-DSM-GLT Factors'!$H$11:$H$52)</f>
        <v>0.83650000000000002</v>
      </c>
      <c r="J159" s="409">
        <f>SUMIF('GSC-DSM-GLT Factors'!$A$11:$A$52,'Mar16-Aug16 FT-TS-Cashout-LG&amp;E'!J$4,'GSC-DSM-GLT Factors'!$H$11:$H$52)</f>
        <v>0.83650000000000002</v>
      </c>
      <c r="K159" s="409">
        <f>SUMIF('GSC-DSM-GLT Factors'!$A$11:$A$52,'Mar16-Aug16 FT-TS-Cashout-LG&amp;E'!K$4,'GSC-DSM-GLT Factors'!$H$11:$H$52)</f>
        <v>0.84419999999999995</v>
      </c>
      <c r="L159" s="409">
        <f>SUMIF('GSC-DSM-GLT Factors'!$A$11:$A$52,'Mar16-Aug16 FT-TS-Cashout-LG&amp;E'!L$4,'GSC-DSM-GLT Factors'!$H$11:$H$52)</f>
        <v>0.84419999999999995</v>
      </c>
      <c r="M159" s="409">
        <f>SUMIF('GSC-DSM-GLT Factors'!$A$11:$A$52,'Mar16-Aug16 FT-TS-Cashout-LG&amp;E'!M$4,'GSC-DSM-GLT Factors'!$H$11:$H$52)</f>
        <v>0.84419999999999995</v>
      </c>
      <c r="N159" s="409">
        <f>SUMIF('GSC-DSM-GLT Factors'!$A$11:$A$52,'Mar16-Aug16 FT-TS-Cashout-LG&amp;E'!N$4,'GSC-DSM-GLT Factors'!$H$11:$H$52)</f>
        <v>0.83909999999999996</v>
      </c>
      <c r="O159" s="409">
        <f>SUMIF('GSC-DSM-GLT Factors'!$A$11:$A$52,'Mar16-Aug16 FT-TS-Cashout-LG&amp;E'!O$4,'GSC-DSM-GLT Factors'!$H$11:$H$52)</f>
        <v>0</v>
      </c>
      <c r="P159" s="338"/>
    </row>
    <row r="160" spans="2:19" x14ac:dyDescent="0.2">
      <c r="B160" s="338"/>
      <c r="C160" s="340" t="s">
        <v>39</v>
      </c>
      <c r="D160" s="340" t="str">
        <f t="shared" si="52"/>
        <v>881</v>
      </c>
      <c r="E160" s="338" t="str">
        <f>VLOOKUP($C160,'Retail Rates'!$B$45:$R$53,3,FALSE)</f>
        <v>CGS-TS</v>
      </c>
      <c r="F160" s="340" t="s">
        <v>661</v>
      </c>
      <c r="G160" s="341" t="s">
        <v>272</v>
      </c>
      <c r="H160" s="338"/>
      <c r="I160" s="338">
        <f>SUMIF('GSC-DSM-GLT Factors'!$A$11:$A$58,'Mar16-Aug16 FT-TS-Cashout-LG&amp;E'!I$4,'GSC-DSM-GLT Factors'!$D$11:$D$58)</f>
        <v>5.4000000000000001E-4</v>
      </c>
      <c r="J160" s="338">
        <f>SUMIF('GSC-DSM-GLT Factors'!$A$11:$A$58,'Mar16-Aug16 FT-TS-Cashout-LG&amp;E'!J$4,'GSC-DSM-GLT Factors'!$D$11:$D$58)</f>
        <v>5.6999999999999998E-4</v>
      </c>
      <c r="K160" s="338">
        <f>SUMIF('GSC-DSM-GLT Factors'!$A$11:$A$58,'Mar16-Aug16 FT-TS-Cashout-LG&amp;E'!K$4,'GSC-DSM-GLT Factors'!$D$11:$D$58)</f>
        <v>5.6999999999999998E-4</v>
      </c>
      <c r="L160" s="338">
        <f>SUMIF('GSC-DSM-GLT Factors'!$A$11:$A$58,'Mar16-Aug16 FT-TS-Cashout-LG&amp;E'!L$4,'GSC-DSM-GLT Factors'!$D$11:$D$58)</f>
        <v>5.6999999999999998E-4</v>
      </c>
      <c r="M160" s="338">
        <f>SUMIF('GSC-DSM-GLT Factors'!$A$11:$A$58,'Mar16-Aug16 FT-TS-Cashout-LG&amp;E'!M$4,'GSC-DSM-GLT Factors'!$D$11:$D$58)</f>
        <v>5.6999999999999998E-4</v>
      </c>
      <c r="N160" s="338">
        <f>SUMIF('GSC-DSM-GLT Factors'!$A$11:$A$58,'Mar16-Aug16 FT-TS-Cashout-LG&amp;E'!N$4,'GSC-DSM-GLT Factors'!$D$11:$D$58)</f>
        <v>5.6999999999999998E-4</v>
      </c>
      <c r="O160" s="338">
        <f>SUMIF('GSC-DSM-GLT Factors'!$A$11:$A$58,'Mar16-Aug16 FT-TS-Cashout-LG&amp;E'!O$4,'GSC-DSM-GLT Factors'!$D$11:$D$58)</f>
        <v>0</v>
      </c>
      <c r="P160" s="338"/>
    </row>
    <row r="161" spans="2:21" x14ac:dyDescent="0.2">
      <c r="B161" s="338"/>
      <c r="C161" s="340" t="s">
        <v>39</v>
      </c>
      <c r="D161" s="340" t="str">
        <f t="shared" si="52"/>
        <v>881</v>
      </c>
      <c r="E161" s="338" t="str">
        <f>VLOOKUP($C161,'Retail Rates'!$B$45:$R$53,3,FALSE)</f>
        <v>CGS-TS</v>
      </c>
      <c r="F161" s="340" t="s">
        <v>661</v>
      </c>
      <c r="G161" s="343" t="s">
        <v>273</v>
      </c>
      <c r="H161" s="338"/>
      <c r="I161" s="338"/>
      <c r="J161" s="338"/>
      <c r="K161" s="338"/>
      <c r="L161" s="338"/>
      <c r="M161" s="338"/>
      <c r="N161" s="338"/>
      <c r="O161" s="338"/>
      <c r="P161" s="338"/>
    </row>
    <row r="162" spans="2:21" x14ac:dyDescent="0.2">
      <c r="B162" s="338"/>
      <c r="C162" s="340" t="s">
        <v>39</v>
      </c>
      <c r="D162" s="340" t="str">
        <f>MID(C162,6,3)</f>
        <v>881</v>
      </c>
      <c r="E162" s="338" t="str">
        <f>VLOOKUP($C162,'Retail Rates'!$B$45:$R$53,3,FALSE)</f>
        <v>CGS-TS</v>
      </c>
      <c r="F162" s="340" t="s">
        <v>661</v>
      </c>
      <c r="G162" s="341" t="s">
        <v>270</v>
      </c>
      <c r="H162" s="325" t="s">
        <v>524</v>
      </c>
      <c r="I162" s="396">
        <f>SUMIFS('Data FT-TS-Cashout-P'!$I$14:$I$4704,'Data FT-TS-Cashout-P'!$A$14:$A$4704,'Mar16-Aug16 FT-TS-Cashout-LG&amp;E'!I$4,'Data FT-TS-Cashout-P'!$B$14:$B$4704,'Mar16-Aug16 FT-TS-Cashout-LG&amp;E'!$C$162,'Data FT-TS-Cashout-P'!$D$14:$D$4704,'Mar16-Aug16 FT-TS-Cashout-LG&amp;E'!$F$162,'Data FT-TS-Cashout-P'!$E$14:$E$4704,'Mar16-Aug16 FT-TS-Cashout-LG&amp;E'!$H$162,'Data FT-TS-Cashout-P'!$F$14:$F$4704,'Mar16-Aug16 FT-TS-Cashout-LG&amp;E'!I$6)</f>
        <v>0</v>
      </c>
      <c r="J162" s="396">
        <f>SUMIFS('Data FT-TS-Cashout-P'!$I$14:$I$4704,'Data FT-TS-Cashout-P'!$A$14:$A$4704,'Mar16-Aug16 FT-TS-Cashout-LG&amp;E'!J$4,'Data FT-TS-Cashout-P'!$B$14:$B$4704,'Mar16-Aug16 FT-TS-Cashout-LG&amp;E'!$C$162,'Data FT-TS-Cashout-P'!$D$14:$D$4704,'Mar16-Aug16 FT-TS-Cashout-LG&amp;E'!$F$162,'Data FT-TS-Cashout-P'!$E$14:$E$4704,'Mar16-Aug16 FT-TS-Cashout-LG&amp;E'!$H$162,'Data FT-TS-Cashout-P'!$F$14:$F$4704,'Mar16-Aug16 FT-TS-Cashout-LG&amp;E'!J$6)</f>
        <v>0</v>
      </c>
      <c r="K162" s="396">
        <f>SUMIFS('Data FT-TS-Cashout-P'!$I$14:$I$4704,'Data FT-TS-Cashout-P'!$A$14:$A$4704,'Mar16-Aug16 FT-TS-Cashout-LG&amp;E'!K$4,'Data FT-TS-Cashout-P'!$B$14:$B$4704,'Mar16-Aug16 FT-TS-Cashout-LG&amp;E'!$C$162,'Data FT-TS-Cashout-P'!$D$14:$D$4704,'Mar16-Aug16 FT-TS-Cashout-LG&amp;E'!$F$162,'Data FT-TS-Cashout-P'!$E$14:$E$4704,'Mar16-Aug16 FT-TS-Cashout-LG&amp;E'!$H$162,'Data FT-TS-Cashout-P'!$F$14:$F$4704,'Mar16-Aug16 FT-TS-Cashout-LG&amp;E'!K$6)</f>
        <v>0</v>
      </c>
      <c r="L162" s="396">
        <f>SUMIFS('Data FT-TS-Cashout-P'!$I$14:$I$4704,'Data FT-TS-Cashout-P'!$A$14:$A$4704,'Mar16-Aug16 FT-TS-Cashout-LG&amp;E'!L$4,'Data FT-TS-Cashout-P'!$B$14:$B$4704,'Mar16-Aug16 FT-TS-Cashout-LG&amp;E'!$C$162,'Data FT-TS-Cashout-P'!$D$14:$D$4704,'Mar16-Aug16 FT-TS-Cashout-LG&amp;E'!$F$162,'Data FT-TS-Cashout-P'!$E$14:$E$4704,'Mar16-Aug16 FT-TS-Cashout-LG&amp;E'!$H$162,'Data FT-TS-Cashout-P'!$F$14:$F$4704,'Mar16-Aug16 FT-TS-Cashout-LG&amp;E'!L$6)</f>
        <v>0</v>
      </c>
      <c r="M162" s="396">
        <f>SUMIFS('Data FT-TS-Cashout-P'!$I$14:$I$4704,'Data FT-TS-Cashout-P'!$A$14:$A$4704,'Mar16-Aug16 FT-TS-Cashout-LG&amp;E'!M$4,'Data FT-TS-Cashout-P'!$B$14:$B$4704,'Mar16-Aug16 FT-TS-Cashout-LG&amp;E'!$C$162,'Data FT-TS-Cashout-P'!$D$14:$D$4704,'Mar16-Aug16 FT-TS-Cashout-LG&amp;E'!$F$162,'Data FT-TS-Cashout-P'!$E$14:$E$4704,'Mar16-Aug16 FT-TS-Cashout-LG&amp;E'!$H$162,'Data FT-TS-Cashout-P'!$F$14:$F$4704,'Mar16-Aug16 FT-TS-Cashout-LG&amp;E'!M$6)</f>
        <v>0</v>
      </c>
      <c r="N162" s="396">
        <f>SUMIFS('Data FT-TS-Cashout-P'!$I$14:$I$4704,'Data FT-TS-Cashout-P'!$A$14:$A$4704,'Mar16-Aug16 FT-TS-Cashout-LG&amp;E'!N$4,'Data FT-TS-Cashout-P'!$B$14:$B$4704,'Mar16-Aug16 FT-TS-Cashout-LG&amp;E'!$C$162,'Data FT-TS-Cashout-P'!$D$14:$D$4704,'Mar16-Aug16 FT-TS-Cashout-LG&amp;E'!$F$162,'Data FT-TS-Cashout-P'!$E$14:$E$4704,'Mar16-Aug16 FT-TS-Cashout-LG&amp;E'!$H$162,'Data FT-TS-Cashout-P'!$F$14:$F$4704,'Mar16-Aug16 FT-TS-Cashout-LG&amp;E'!N$6)</f>
        <v>0</v>
      </c>
      <c r="O162" s="396">
        <f>SUMIFS('Data FT-TS-Cashout-P'!$I$14:$I$4704,'Data FT-TS-Cashout-P'!$A$14:$A$4704,'Mar16-Aug16 FT-TS-Cashout-LG&amp;E'!O$4,'Data FT-TS-Cashout-P'!$B$14:$B$4704,'Mar16-Aug16 FT-TS-Cashout-LG&amp;E'!$C$162,'Data FT-TS-Cashout-P'!$D$14:$D$4704,'Mar16-Aug16 FT-TS-Cashout-LG&amp;E'!$F$162,'Data FT-TS-Cashout-P'!$E$14:$E$4704,'Mar16-Aug16 FT-TS-Cashout-LG&amp;E'!$H$162,'Data FT-TS-Cashout-P'!$F$14:$F$4704,'Mar16-Aug16 FT-TS-Cashout-LG&amp;E'!O$6)</f>
        <v>0</v>
      </c>
      <c r="P162" s="410" t="e">
        <f>SUM(I162:N162,#REF!)</f>
        <v>#REF!</v>
      </c>
      <c r="R162" s="320" t="e">
        <f>+P162</f>
        <v>#REF!</v>
      </c>
    </row>
    <row r="163" spans="2:21" x14ac:dyDescent="0.2">
      <c r="B163" s="338"/>
      <c r="C163" s="340" t="s">
        <v>39</v>
      </c>
      <c r="D163" s="340" t="str">
        <f t="shared" si="52"/>
        <v>881</v>
      </c>
      <c r="E163" s="338" t="str">
        <f>VLOOKUP($C163,'Retail Rates'!$B$45:$R$53,3,FALSE)</f>
        <v>CGS-TS</v>
      </c>
      <c r="F163" s="340" t="s">
        <v>661</v>
      </c>
      <c r="G163" s="341" t="s">
        <v>473</v>
      </c>
      <c r="H163" s="338"/>
      <c r="I163" s="338">
        <f t="shared" ref="I163:O163" si="57">ROUND(+I150*I157,2)</f>
        <v>0</v>
      </c>
      <c r="J163" s="338">
        <f t="shared" si="57"/>
        <v>0</v>
      </c>
      <c r="K163" s="338">
        <f t="shared" si="57"/>
        <v>0</v>
      </c>
      <c r="L163" s="338">
        <f t="shared" si="57"/>
        <v>0</v>
      </c>
      <c r="M163" s="338">
        <f t="shared" si="57"/>
        <v>0</v>
      </c>
      <c r="N163" s="338">
        <f t="shared" si="57"/>
        <v>0</v>
      </c>
      <c r="O163" s="338">
        <f t="shared" si="57"/>
        <v>0</v>
      </c>
      <c r="P163" s="410" t="e">
        <f>SUM(I163:N163,#REF!)</f>
        <v>#REF!</v>
      </c>
    </row>
    <row r="164" spans="2:21" x14ac:dyDescent="0.2">
      <c r="B164" s="338"/>
      <c r="C164" s="340" t="s">
        <v>39</v>
      </c>
      <c r="D164" s="340" t="str">
        <f t="shared" si="52"/>
        <v>881</v>
      </c>
      <c r="E164" s="338" t="str">
        <f>VLOOKUP($C164,'Retail Rates'!$B$45:$R$53,3,FALSE)</f>
        <v>CGS-TS</v>
      </c>
      <c r="F164" s="340" t="s">
        <v>661</v>
      </c>
      <c r="G164" s="341" t="s">
        <v>474</v>
      </c>
      <c r="H164" s="338"/>
      <c r="I164" s="344">
        <f t="shared" ref="I164:O164" si="58">ROUND(+I151*I158,2)</f>
        <v>0</v>
      </c>
      <c r="J164" s="344">
        <f t="shared" si="58"/>
        <v>0</v>
      </c>
      <c r="K164" s="344">
        <f t="shared" si="58"/>
        <v>0</v>
      </c>
      <c r="L164" s="344">
        <f t="shared" si="58"/>
        <v>0</v>
      </c>
      <c r="M164" s="344">
        <f t="shared" si="58"/>
        <v>0</v>
      </c>
      <c r="N164" s="344">
        <f t="shared" si="58"/>
        <v>0</v>
      </c>
      <c r="O164" s="344">
        <f t="shared" si="58"/>
        <v>0</v>
      </c>
      <c r="P164" s="410" t="e">
        <f>SUM(I164:N164,#REF!)</f>
        <v>#REF!</v>
      </c>
    </row>
    <row r="165" spans="2:21" x14ac:dyDescent="0.2">
      <c r="B165" s="338"/>
      <c r="C165" s="340" t="s">
        <v>39</v>
      </c>
      <c r="D165" s="340" t="str">
        <f t="shared" si="52"/>
        <v>881</v>
      </c>
      <c r="E165" s="338" t="str">
        <f>VLOOKUP($C165,'Retail Rates'!$B$45:$R$53,3,FALSE)</f>
        <v>CGS-TS</v>
      </c>
      <c r="F165" s="340" t="s">
        <v>661</v>
      </c>
      <c r="G165" s="341" t="s">
        <v>276</v>
      </c>
      <c r="H165" s="338"/>
      <c r="I165" s="338">
        <f t="shared" ref="I165:O165" si="59">SUM(I162:I164)</f>
        <v>0</v>
      </c>
      <c r="J165" s="338">
        <f t="shared" si="59"/>
        <v>0</v>
      </c>
      <c r="K165" s="338">
        <f t="shared" si="59"/>
        <v>0</v>
      </c>
      <c r="L165" s="338">
        <f t="shared" si="59"/>
        <v>0</v>
      </c>
      <c r="M165" s="338">
        <f t="shared" si="59"/>
        <v>0</v>
      </c>
      <c r="N165" s="338">
        <f t="shared" si="59"/>
        <v>0</v>
      </c>
      <c r="O165" s="338">
        <f t="shared" si="59"/>
        <v>0</v>
      </c>
      <c r="P165" s="410" t="e">
        <f>SUM(I165:N165,#REF!)</f>
        <v>#REF!</v>
      </c>
    </row>
    <row r="166" spans="2:21" x14ac:dyDescent="0.2">
      <c r="B166" s="338"/>
      <c r="C166" s="340" t="s">
        <v>39</v>
      </c>
      <c r="D166" s="340" t="str">
        <f t="shared" si="52"/>
        <v>881</v>
      </c>
      <c r="E166" s="338" t="str">
        <f>VLOOKUP($C166,'Retail Rates'!$B$45:$R$53,3,FALSE)</f>
        <v>CGS-TS</v>
      </c>
      <c r="F166" s="340" t="s">
        <v>661</v>
      </c>
      <c r="G166" s="341" t="s">
        <v>257</v>
      </c>
      <c r="H166" s="338"/>
      <c r="I166" s="413">
        <f>I154*I159</f>
        <v>0</v>
      </c>
      <c r="J166" s="413">
        <f t="shared" ref="J166:O166" si="60">J154*J159</f>
        <v>0</v>
      </c>
      <c r="K166" s="413">
        <f t="shared" si="60"/>
        <v>0</v>
      </c>
      <c r="L166" s="413">
        <f t="shared" si="60"/>
        <v>0</v>
      </c>
      <c r="M166" s="413">
        <f t="shared" si="60"/>
        <v>0</v>
      </c>
      <c r="N166" s="413">
        <f t="shared" si="60"/>
        <v>0</v>
      </c>
      <c r="O166" s="413">
        <f t="shared" si="60"/>
        <v>0</v>
      </c>
      <c r="P166" s="410" t="e">
        <f>SUM(I166:N166,#REF!)</f>
        <v>#REF!</v>
      </c>
    </row>
    <row r="167" spans="2:21" x14ac:dyDescent="0.2">
      <c r="B167" s="338"/>
      <c r="C167" s="340" t="s">
        <v>39</v>
      </c>
      <c r="D167" s="340" t="str">
        <f t="shared" si="52"/>
        <v>881</v>
      </c>
      <c r="E167" s="338" t="str">
        <f>VLOOKUP($C167,'Retail Rates'!$B$45:$R$53,3,FALSE)</f>
        <v>CGS-TS</v>
      </c>
      <c r="F167" s="340" t="s">
        <v>661</v>
      </c>
      <c r="G167" s="341" t="s">
        <v>276</v>
      </c>
      <c r="H167" s="338"/>
      <c r="I167" s="338">
        <f t="shared" ref="I167:O167" si="61">+I165+I166</f>
        <v>0</v>
      </c>
      <c r="J167" s="338">
        <f t="shared" si="61"/>
        <v>0</v>
      </c>
      <c r="K167" s="338">
        <f t="shared" si="61"/>
        <v>0</v>
      </c>
      <c r="L167" s="338">
        <f t="shared" si="61"/>
        <v>0</v>
      </c>
      <c r="M167" s="338">
        <f t="shared" si="61"/>
        <v>0</v>
      </c>
      <c r="N167" s="338">
        <f t="shared" si="61"/>
        <v>0</v>
      </c>
      <c r="O167" s="338">
        <f t="shared" si="61"/>
        <v>0</v>
      </c>
      <c r="P167" s="410" t="e">
        <f>SUM(I167:N167,#REF!)</f>
        <v>#REF!</v>
      </c>
    </row>
    <row r="168" spans="2:21" x14ac:dyDescent="0.2">
      <c r="B168" s="338"/>
      <c r="C168" s="340" t="s">
        <v>39</v>
      </c>
      <c r="D168" s="340" t="str">
        <f t="shared" si="52"/>
        <v>881</v>
      </c>
      <c r="E168" s="338" t="str">
        <f>VLOOKUP($C168,'Retail Rates'!$B$45:$R$53,3,FALSE)</f>
        <v>CGS-TS</v>
      </c>
      <c r="F168" s="340" t="s">
        <v>661</v>
      </c>
      <c r="G168" s="345" t="s">
        <v>272</v>
      </c>
      <c r="H168" s="325" t="s">
        <v>198</v>
      </c>
      <c r="I168" s="396">
        <f>SUMIFS('Data FT-TS-Cashout-P'!$O$14:$O$4704,'Data FT-TS-Cashout-P'!$A$14:$A$4704,'Mar16-Aug16 FT-TS-Cashout-LG&amp;E'!I$4,'Data FT-TS-Cashout-P'!$B$14:$B$4704,'Mar16-Aug16 FT-TS-Cashout-LG&amp;E'!$C$168,'Data FT-TS-Cashout-P'!$D$14:$D$4704,'Mar16-Aug16 FT-TS-Cashout-LG&amp;E'!$F$168,'Data FT-TS-Cashout-P'!$E$14:$E$4704,'Mar16-Aug16 FT-TS-Cashout-LG&amp;E'!$H$168,'Data FT-TS-Cashout-P'!$F$14:$F$4704,'Mar16-Aug16 FT-TS-Cashout-LG&amp;E'!I$6)</f>
        <v>0</v>
      </c>
      <c r="J168" s="396">
        <f>SUMIFS('Data FT-TS-Cashout-P'!$O$14:$O$4704,'Data FT-TS-Cashout-P'!$A$14:$A$4704,'Mar16-Aug16 FT-TS-Cashout-LG&amp;E'!J$4,'Data FT-TS-Cashout-P'!$B$14:$B$4704,'Mar16-Aug16 FT-TS-Cashout-LG&amp;E'!$C$168,'Data FT-TS-Cashout-P'!$D$14:$D$4704,'Mar16-Aug16 FT-TS-Cashout-LG&amp;E'!$F$168,'Data FT-TS-Cashout-P'!$E$14:$E$4704,'Mar16-Aug16 FT-TS-Cashout-LG&amp;E'!$H$168,'Data FT-TS-Cashout-P'!$F$14:$F$4704,'Mar16-Aug16 FT-TS-Cashout-LG&amp;E'!J$6)</f>
        <v>0</v>
      </c>
      <c r="K168" s="396">
        <f>SUMIFS('Data FT-TS-Cashout-P'!$O$14:$O$4704,'Data FT-TS-Cashout-P'!$A$14:$A$4704,'Mar16-Aug16 FT-TS-Cashout-LG&amp;E'!K$4,'Data FT-TS-Cashout-P'!$B$14:$B$4704,'Mar16-Aug16 FT-TS-Cashout-LG&amp;E'!$C$168,'Data FT-TS-Cashout-P'!$D$14:$D$4704,'Mar16-Aug16 FT-TS-Cashout-LG&amp;E'!$F$168,'Data FT-TS-Cashout-P'!$E$14:$E$4704,'Mar16-Aug16 FT-TS-Cashout-LG&amp;E'!$H$168,'Data FT-TS-Cashout-P'!$F$14:$F$4704,'Mar16-Aug16 FT-TS-Cashout-LG&amp;E'!K$6)</f>
        <v>0</v>
      </c>
      <c r="L168" s="396">
        <f>SUMIFS('Data FT-TS-Cashout-P'!$O$14:$O$4704,'Data FT-TS-Cashout-P'!$A$14:$A$4704,'Mar16-Aug16 FT-TS-Cashout-LG&amp;E'!L$4,'Data FT-TS-Cashout-P'!$B$14:$B$4704,'Mar16-Aug16 FT-TS-Cashout-LG&amp;E'!$C$168,'Data FT-TS-Cashout-P'!$D$14:$D$4704,'Mar16-Aug16 FT-TS-Cashout-LG&amp;E'!$F$168,'Data FT-TS-Cashout-P'!$E$14:$E$4704,'Mar16-Aug16 FT-TS-Cashout-LG&amp;E'!$H$168,'Data FT-TS-Cashout-P'!$F$14:$F$4704,'Mar16-Aug16 FT-TS-Cashout-LG&amp;E'!L$6)</f>
        <v>0</v>
      </c>
      <c r="M168" s="396">
        <f>SUMIFS('Data FT-TS-Cashout-P'!$O$14:$O$4704,'Data FT-TS-Cashout-P'!$A$14:$A$4704,'Mar16-Aug16 FT-TS-Cashout-LG&amp;E'!M$4,'Data FT-TS-Cashout-P'!$B$14:$B$4704,'Mar16-Aug16 FT-TS-Cashout-LG&amp;E'!$C$168,'Data FT-TS-Cashout-P'!$D$14:$D$4704,'Mar16-Aug16 FT-TS-Cashout-LG&amp;E'!$F$168,'Data FT-TS-Cashout-P'!$E$14:$E$4704,'Mar16-Aug16 FT-TS-Cashout-LG&amp;E'!$H$168,'Data FT-TS-Cashout-P'!$F$14:$F$4704,'Mar16-Aug16 FT-TS-Cashout-LG&amp;E'!M$6)</f>
        <v>0</v>
      </c>
      <c r="N168" s="396">
        <f>SUMIFS('Data FT-TS-Cashout-P'!$O$14:$O$4704,'Data FT-TS-Cashout-P'!$A$14:$A$4704,'Mar16-Aug16 FT-TS-Cashout-LG&amp;E'!N$4,'Data FT-TS-Cashout-P'!$B$14:$B$4704,'Mar16-Aug16 FT-TS-Cashout-LG&amp;E'!$C$168,'Data FT-TS-Cashout-P'!$D$14:$D$4704,'Mar16-Aug16 FT-TS-Cashout-LG&amp;E'!$F$168,'Data FT-TS-Cashout-P'!$E$14:$E$4704,'Mar16-Aug16 FT-TS-Cashout-LG&amp;E'!$H$168,'Data FT-TS-Cashout-P'!$F$14:$F$4704,'Mar16-Aug16 FT-TS-Cashout-LG&amp;E'!N$6)</f>
        <v>0</v>
      </c>
      <c r="O168" s="396">
        <f>SUMIFS('Data FT-TS-Cashout-P'!$O$14:$O$4704,'Data FT-TS-Cashout-P'!$A$14:$A$4704,'Mar16-Aug16 FT-TS-Cashout-LG&amp;E'!O$4,'Data FT-TS-Cashout-P'!$B$14:$B$4704,'Mar16-Aug16 FT-TS-Cashout-LG&amp;E'!$C$168,'Data FT-TS-Cashout-P'!$D$14:$D$4704,'Mar16-Aug16 FT-TS-Cashout-LG&amp;E'!$F$168,'Data FT-TS-Cashout-P'!$E$14:$E$4704,'Mar16-Aug16 FT-TS-Cashout-LG&amp;E'!$H$168,'Data FT-TS-Cashout-P'!$F$14:$F$4704,'Mar16-Aug16 FT-TS-Cashout-LG&amp;E'!O$6)</f>
        <v>0</v>
      </c>
      <c r="P168" s="410" t="e">
        <f>SUM(I168:N168,#REF!)</f>
        <v>#REF!</v>
      </c>
    </row>
    <row r="169" spans="2:21" x14ac:dyDescent="0.2">
      <c r="B169" s="338"/>
      <c r="C169" s="340" t="s">
        <v>39</v>
      </c>
      <c r="D169" s="340" t="str">
        <f>MID(C169,6,3)</f>
        <v>881</v>
      </c>
      <c r="E169" s="338" t="str">
        <f>VLOOKUP($C169,'Retail Rates'!$B$45:$R$53,3,FALSE)</f>
        <v>CGS-TS</v>
      </c>
      <c r="F169" s="340" t="s">
        <v>661</v>
      </c>
      <c r="G169" s="345"/>
      <c r="H169" s="652"/>
      <c r="I169" s="648"/>
      <c r="J169" s="648"/>
      <c r="K169" s="648"/>
      <c r="L169" s="648"/>
      <c r="M169" s="648"/>
      <c r="N169" s="648"/>
      <c r="O169" s="648"/>
      <c r="P169" s="410"/>
    </row>
    <row r="170" spans="2:21" x14ac:dyDescent="0.2">
      <c r="B170" s="338"/>
      <c r="C170" s="340"/>
      <c r="D170" s="340"/>
      <c r="E170" s="338"/>
      <c r="F170" s="340"/>
      <c r="G170" s="341" t="s">
        <v>942</v>
      </c>
      <c r="H170" s="338"/>
      <c r="I170" s="410">
        <f t="shared" ref="I170:O170" si="62">+I167+I168</f>
        <v>0</v>
      </c>
      <c r="J170" s="410">
        <f t="shared" si="62"/>
        <v>0</v>
      </c>
      <c r="K170" s="410">
        <f t="shared" si="62"/>
        <v>0</v>
      </c>
      <c r="L170" s="410">
        <f t="shared" si="62"/>
        <v>0</v>
      </c>
      <c r="M170" s="410">
        <f t="shared" si="62"/>
        <v>0</v>
      </c>
      <c r="N170" s="410">
        <f t="shared" si="62"/>
        <v>0</v>
      </c>
      <c r="O170" s="410">
        <f t="shared" si="62"/>
        <v>0</v>
      </c>
      <c r="P170" s="410" t="e">
        <f>SUM(I170:N170,#REF!)</f>
        <v>#REF!</v>
      </c>
    </row>
    <row r="171" spans="2:21" s="338" customFormat="1" x14ac:dyDescent="0.2"/>
    <row r="172" spans="2:21" x14ac:dyDescent="0.2">
      <c r="B172" s="338"/>
      <c r="C172" s="340"/>
      <c r="D172" s="340"/>
      <c r="E172" s="338"/>
      <c r="F172" s="340"/>
      <c r="G172" s="341"/>
      <c r="H172" s="338"/>
      <c r="I172" s="410"/>
      <c r="J172" s="410"/>
      <c r="K172" s="410"/>
      <c r="L172" s="410"/>
      <c r="M172" s="410"/>
      <c r="N172" s="410"/>
      <c r="O172" s="410"/>
      <c r="P172" s="410"/>
    </row>
    <row r="173" spans="2:21" s="338" customFormat="1" x14ac:dyDescent="0.2">
      <c r="G173" s="657" t="s">
        <v>945</v>
      </c>
    </row>
    <row r="174" spans="2:21" s="338" customFormat="1" x14ac:dyDescent="0.2">
      <c r="G174" s="658" t="s">
        <v>946</v>
      </c>
    </row>
    <row r="175" spans="2:21" ht="15" x14ac:dyDescent="0.25">
      <c r="B175" s="338"/>
      <c r="C175" s="340" t="s">
        <v>75</v>
      </c>
      <c r="D175" s="340" t="str">
        <f>MID(C175,6,3)</f>
        <v>891</v>
      </c>
      <c r="E175" s="338" t="s">
        <v>966</v>
      </c>
      <c r="F175" s="653" t="s">
        <v>965</v>
      </c>
      <c r="G175" s="348" t="s">
        <v>268</v>
      </c>
      <c r="H175" s="338"/>
      <c r="I175" s="553">
        <f>I183/I177</f>
        <v>0</v>
      </c>
      <c r="J175" s="553">
        <f t="shared" ref="J175:O175" si="63">J183/J177</f>
        <v>0</v>
      </c>
      <c r="K175" s="553">
        <f t="shared" si="63"/>
        <v>0</v>
      </c>
      <c r="L175" s="553">
        <f t="shared" si="63"/>
        <v>0</v>
      </c>
      <c r="M175" s="553">
        <f t="shared" si="63"/>
        <v>0</v>
      </c>
      <c r="N175" s="553">
        <f t="shared" si="63"/>
        <v>0</v>
      </c>
      <c r="O175" s="553">
        <f t="shared" si="63"/>
        <v>0</v>
      </c>
      <c r="P175" s="650">
        <f>SUM(I175:O175)</f>
        <v>0</v>
      </c>
      <c r="Q175" s="410">
        <f>SUM(I175:N175,O175:O175)</f>
        <v>0</v>
      </c>
      <c r="R175" s="338"/>
      <c r="S175" s="410">
        <f>SUM(I175:N175,P175:R175)</f>
        <v>0</v>
      </c>
      <c r="T175"/>
      <c r="U175"/>
    </row>
    <row r="176" spans="2:21" x14ac:dyDescent="0.2">
      <c r="B176" s="338"/>
      <c r="C176" s="340" t="s">
        <v>75</v>
      </c>
      <c r="D176" s="340" t="str">
        <f t="shared" ref="D176:D187" si="64">MID(C176,6,3)</f>
        <v>891</v>
      </c>
      <c r="E176" s="338" t="s">
        <v>966</v>
      </c>
      <c r="F176" s="653" t="s">
        <v>965</v>
      </c>
      <c r="G176" s="348" t="s">
        <v>269</v>
      </c>
      <c r="H176" s="325" t="s">
        <v>518</v>
      </c>
      <c r="I176" s="396">
        <f>SUMIFS('Data FT-TS-Cashout-P'!$H$14:$H$4704,'Data FT-TS-Cashout-P'!$A$6:$A$4696,'Mar16-Aug16 FT-TS-Cashout-LG&amp;E'!I$4,'Data FT-TS-Cashout-P'!$B$14:$B$4704,'Mar16-Aug16 FT-TS-Cashout-LG&amp;E'!$C$176,'Data FT-TS-Cashout-P'!$D$14:$D$4704,'Mar16-Aug16 FT-TS-Cashout-LG&amp;E'!$F$176,'Data FT-TS-Cashout-P'!$E$14:$E$4704,'Mar16-Aug16 FT-TS-Cashout-LG&amp;E'!$H$176,'Data FT-TS-Cashout-P'!$F$14:$F$4704,'Mar16-Aug16 FT-TS-Cashout-LG&amp;E'!I$6)/10</f>
        <v>0</v>
      </c>
      <c r="J176" s="396">
        <f>SUMIFS('Data FT-TS-Cashout-P'!$H$14:$H$4704,'Data FT-TS-Cashout-P'!$A$6:$A$4696,'Mar16-Aug16 FT-TS-Cashout-LG&amp;E'!J$4,'Data FT-TS-Cashout-P'!$B$14:$B$4704,'Mar16-Aug16 FT-TS-Cashout-LG&amp;E'!$C$176,'Data FT-TS-Cashout-P'!$D$14:$D$4704,'Mar16-Aug16 FT-TS-Cashout-LG&amp;E'!$F$176,'Data FT-TS-Cashout-P'!$E$14:$E$4704,'Mar16-Aug16 FT-TS-Cashout-LG&amp;E'!$H$176,'Data FT-TS-Cashout-P'!$F$14:$F$4704,'Mar16-Aug16 FT-TS-Cashout-LG&amp;E'!J$6)/10</f>
        <v>0</v>
      </c>
      <c r="K176" s="396">
        <f>SUMIFS('Data FT-TS-Cashout-P'!$H$14:$H$4704,'Data FT-TS-Cashout-P'!$A$6:$A$4696,'Mar16-Aug16 FT-TS-Cashout-LG&amp;E'!K$4,'Data FT-TS-Cashout-P'!$B$14:$B$4704,'Mar16-Aug16 FT-TS-Cashout-LG&amp;E'!$C$176,'Data FT-TS-Cashout-P'!$D$14:$D$4704,'Mar16-Aug16 FT-TS-Cashout-LG&amp;E'!$F$176,'Data FT-TS-Cashout-P'!$E$14:$E$4704,'Mar16-Aug16 FT-TS-Cashout-LG&amp;E'!$H$176,'Data FT-TS-Cashout-P'!$F$14:$F$4704,'Mar16-Aug16 FT-TS-Cashout-LG&amp;E'!K$6)/10</f>
        <v>0</v>
      </c>
      <c r="L176" s="396">
        <f>SUMIFS('Data FT-TS-Cashout-P'!$H$14:$H$4704,'Data FT-TS-Cashout-P'!$A$6:$A$4696,'Mar16-Aug16 FT-TS-Cashout-LG&amp;E'!L$4,'Data FT-TS-Cashout-P'!$B$14:$B$4704,'Mar16-Aug16 FT-TS-Cashout-LG&amp;E'!$C$176,'Data FT-TS-Cashout-P'!$D$14:$D$4704,'Mar16-Aug16 FT-TS-Cashout-LG&amp;E'!$F$176,'Data FT-TS-Cashout-P'!$E$14:$E$4704,'Mar16-Aug16 FT-TS-Cashout-LG&amp;E'!$H$176,'Data FT-TS-Cashout-P'!$F$14:$F$4704,'Mar16-Aug16 FT-TS-Cashout-LG&amp;E'!L$6)/10</f>
        <v>0</v>
      </c>
      <c r="M176" s="396">
        <f>SUMIFS('Data FT-TS-Cashout-P'!$H$14:$H$4704,'Data FT-TS-Cashout-P'!$A$6:$A$4696,'Mar16-Aug16 FT-TS-Cashout-LG&amp;E'!M$4,'Data FT-TS-Cashout-P'!$B$14:$B$4704,'Mar16-Aug16 FT-TS-Cashout-LG&amp;E'!$C$176,'Data FT-TS-Cashout-P'!$D$14:$D$4704,'Mar16-Aug16 FT-TS-Cashout-LG&amp;E'!$F$176,'Data FT-TS-Cashout-P'!$E$14:$E$4704,'Mar16-Aug16 FT-TS-Cashout-LG&amp;E'!$H$176,'Data FT-TS-Cashout-P'!$F$14:$F$4704,'Mar16-Aug16 FT-TS-Cashout-LG&amp;E'!M$6)/10</f>
        <v>0</v>
      </c>
      <c r="N176" s="396">
        <f>SUMIFS('Data FT-TS-Cashout-P'!$H$14:$H$4704,'Data FT-TS-Cashout-P'!$A$6:$A$4696,'Mar16-Aug16 FT-TS-Cashout-LG&amp;E'!N$4,'Data FT-TS-Cashout-P'!$B$14:$B$4704,'Mar16-Aug16 FT-TS-Cashout-LG&amp;E'!$C$176,'Data FT-TS-Cashout-P'!$D$14:$D$4704,'Mar16-Aug16 FT-TS-Cashout-LG&amp;E'!$F$176,'Data FT-TS-Cashout-P'!$E$14:$E$4704,'Mar16-Aug16 FT-TS-Cashout-LG&amp;E'!$H$176,'Data FT-TS-Cashout-P'!$F$14:$F$4704,'Mar16-Aug16 FT-TS-Cashout-LG&amp;E'!N$6)/10</f>
        <v>0</v>
      </c>
      <c r="O176" s="396">
        <f>SUMIFS('Data FT-TS-Cashout-P'!$H$14:$H$4704,'Data FT-TS-Cashout-P'!$A$6:$A$4696,'Mar16-Aug16 FT-TS-Cashout-LG&amp;E'!O$4,'Data FT-TS-Cashout-P'!$B$14:$B$4704,'Mar16-Aug16 FT-TS-Cashout-LG&amp;E'!$C$176,'Data FT-TS-Cashout-P'!$D$14:$D$4704,'Mar16-Aug16 FT-TS-Cashout-LG&amp;E'!$F$176,'Data FT-TS-Cashout-P'!$E$14:$E$4704,'Mar16-Aug16 FT-TS-Cashout-LG&amp;E'!$H$176,'Data FT-TS-Cashout-P'!$F$14:$F$4704,'Mar16-Aug16 FT-TS-Cashout-LG&amp;E'!O$6)/10</f>
        <v>0</v>
      </c>
      <c r="P176" s="650">
        <f>SUM(I176:O176)</f>
        <v>0</v>
      </c>
      <c r="Q176" s="410"/>
      <c r="R176" s="338"/>
      <c r="S176" s="338"/>
    </row>
    <row r="177" spans="2:19" x14ac:dyDescent="0.2">
      <c r="B177" s="338"/>
      <c r="C177" s="340" t="s">
        <v>75</v>
      </c>
      <c r="D177" s="340" t="str">
        <f t="shared" si="64"/>
        <v>891</v>
      </c>
      <c r="E177" s="338" t="s">
        <v>966</v>
      </c>
      <c r="F177" s="653" t="s">
        <v>965</v>
      </c>
      <c r="G177" s="348" t="s">
        <v>808</v>
      </c>
      <c r="H177" s="338"/>
      <c r="I177" s="338">
        <f>VLOOKUP($C177,'Retail Rates'!$B$45:$O$63,6,FALSE)</f>
        <v>550</v>
      </c>
      <c r="J177" s="338">
        <f>VLOOKUP($C177,'Retail Rates'!$B$45:$O$63,6,FALSE)</f>
        <v>550</v>
      </c>
      <c r="K177" s="338">
        <f>VLOOKUP($C177,'Retail Rates'!$B$45:$O$63,6,FALSE)</f>
        <v>550</v>
      </c>
      <c r="L177" s="338">
        <f>VLOOKUP($C177,'Retail Rates'!$B$45:$O$63,6,FALSE)</f>
        <v>550</v>
      </c>
      <c r="M177" s="338">
        <f>VLOOKUP($C177,'Retail Rates'!$B$45:$O$63,6,FALSE)</f>
        <v>550</v>
      </c>
      <c r="N177" s="338">
        <f>VLOOKUP($C177,'Retail Rates'!$B$45:$O$63,6,FALSE)</f>
        <v>550</v>
      </c>
      <c r="O177" s="338">
        <f>VLOOKUP($C177,'Retail Rates'!$B$45:$O$63,6,FALSE)</f>
        <v>550</v>
      </c>
      <c r="P177" s="650"/>
      <c r="Q177" s="338"/>
      <c r="R177" s="338"/>
      <c r="S177" s="338"/>
    </row>
    <row r="178" spans="2:19" x14ac:dyDescent="0.2">
      <c r="B178" s="338"/>
      <c r="C178" s="340" t="s">
        <v>75</v>
      </c>
      <c r="D178" s="340" t="str">
        <f t="shared" si="64"/>
        <v>891</v>
      </c>
      <c r="E178" s="338" t="s">
        <v>966</v>
      </c>
      <c r="F178" s="653" t="s">
        <v>965</v>
      </c>
      <c r="G178" s="348" t="s">
        <v>678</v>
      </c>
      <c r="H178" s="338"/>
      <c r="I178" s="338">
        <f>VLOOKUP($C178,'Retail Rates'!$B$45:$O$63,7,FALSE)</f>
        <v>0.70089999999999997</v>
      </c>
      <c r="J178" s="338">
        <f>VLOOKUP($C178,'Retail Rates'!$B$45:$O$63,7,FALSE)</f>
        <v>0.70089999999999997</v>
      </c>
      <c r="K178" s="338">
        <f>VLOOKUP($C178,'Retail Rates'!$B$45:$O$63,7,FALSE)</f>
        <v>0.70089999999999997</v>
      </c>
      <c r="L178" s="338">
        <f>VLOOKUP($C178,'Retail Rates'!$B$45:$O$63,7,FALSE)</f>
        <v>0.70089999999999997</v>
      </c>
      <c r="M178" s="338">
        <f>VLOOKUP($C178,'Retail Rates'!$B$45:$O$63,7,FALSE)</f>
        <v>0.70089999999999997</v>
      </c>
      <c r="N178" s="338">
        <f>VLOOKUP($C178,'Retail Rates'!$B$45:$O$63,7,FALSE)</f>
        <v>0.70089999999999997</v>
      </c>
      <c r="O178" s="338">
        <f>VLOOKUP($C178,'Retail Rates'!$B$45:$O$63,7,FALSE)</f>
        <v>0.70089999999999997</v>
      </c>
      <c r="P178" s="338"/>
      <c r="Q178" s="338"/>
      <c r="R178" s="338"/>
      <c r="S178" s="338"/>
    </row>
    <row r="179" spans="2:19" x14ac:dyDescent="0.2">
      <c r="B179" s="338"/>
      <c r="C179" s="340" t="s">
        <v>75</v>
      </c>
      <c r="D179" s="340" t="str">
        <f t="shared" si="64"/>
        <v>891</v>
      </c>
      <c r="E179" s="338" t="s">
        <v>966</v>
      </c>
      <c r="F179" s="653" t="s">
        <v>965</v>
      </c>
      <c r="G179" s="348" t="s">
        <v>2</v>
      </c>
      <c r="H179" s="338"/>
      <c r="I179" s="409">
        <f>SUMIF('GSC-DSM-GLT Factors'!$A$11:$A$58,'Mar16-Aug16 FT-TS-Cashout-LG&amp;E'!I$5,'GSC-DSM-GLT Factors'!$H$11:$H$58)</f>
        <v>0.83650000000000002</v>
      </c>
      <c r="J179" s="409">
        <f>SUMIF('GSC-DSM-GLT Factors'!$A$11:$A$58,'Mar16-Aug16 FT-TS-Cashout-LG&amp;E'!J$5,'GSC-DSM-GLT Factors'!$H$11:$H$58)</f>
        <v>0.83650000000000002</v>
      </c>
      <c r="K179" s="409">
        <f>SUMIF('GSC-DSM-GLT Factors'!$A$11:$A$58,'Mar16-Aug16 FT-TS-Cashout-LG&amp;E'!K$5,'GSC-DSM-GLT Factors'!$H$11:$H$58)</f>
        <v>0.83650000000000002</v>
      </c>
      <c r="L179" s="409">
        <f>SUMIF('GSC-DSM-GLT Factors'!$A$11:$A$58,'Mar16-Aug16 FT-TS-Cashout-LG&amp;E'!L$5,'GSC-DSM-GLT Factors'!$H$11:$H$58)</f>
        <v>0.84419999999999995</v>
      </c>
      <c r="M179" s="409">
        <f>SUMIF('GSC-DSM-GLT Factors'!$A$11:$A$58,'Mar16-Aug16 FT-TS-Cashout-LG&amp;E'!M$5,'GSC-DSM-GLT Factors'!$H$11:$H$58)</f>
        <v>0.84419999999999995</v>
      </c>
      <c r="N179" s="409">
        <f>SUMIF('GSC-DSM-GLT Factors'!$A$11:$A$58,'Mar16-Aug16 FT-TS-Cashout-LG&amp;E'!N$5,'GSC-DSM-GLT Factors'!$H$11:$H$58)</f>
        <v>0.84419999999999995</v>
      </c>
      <c r="O179" s="409">
        <f>SUMIF('GSC-DSM-GLT Factors'!$A$11:$A$58,'Mar16-Aug16 FT-TS-Cashout-LG&amp;E'!O$5,'GSC-DSM-GLT Factors'!$H$11:$H$58)</f>
        <v>0.83909999999999996</v>
      </c>
      <c r="P179" s="338"/>
      <c r="Q179" s="338"/>
      <c r="R179" s="648"/>
      <c r="S179" s="410">
        <f>SUM(I179:N179,P179:R179)</f>
        <v>5.0420999999999996</v>
      </c>
    </row>
    <row r="180" spans="2:19" x14ac:dyDescent="0.2">
      <c r="B180" s="338"/>
      <c r="C180" s="340" t="s">
        <v>75</v>
      </c>
      <c r="D180" s="340" t="str">
        <f t="shared" si="64"/>
        <v>891</v>
      </c>
      <c r="E180" s="338" t="s">
        <v>966</v>
      </c>
      <c r="F180" s="653" t="s">
        <v>965</v>
      </c>
      <c r="G180" s="341" t="s">
        <v>257</v>
      </c>
      <c r="H180" s="338"/>
      <c r="I180" s="669">
        <f>SUMIF('GSC-DSM-GLT Factors'!$A$11:$A$58,'Mar16-Aug16 FT-TS-Cashout-LG&amp;E'!I$4,'GSC-DSM-GLT Factors'!$D$11:$D$58)</f>
        <v>5.4000000000000001E-4</v>
      </c>
      <c r="J180" s="669">
        <f>SUMIF('GSC-DSM-GLT Factors'!$A$11:$A$58,'Mar16-Aug16 FT-TS-Cashout-LG&amp;E'!J$4,'GSC-DSM-GLT Factors'!$D$11:$D$58)</f>
        <v>5.6999999999999998E-4</v>
      </c>
      <c r="K180" s="669">
        <f>SUMIF('GSC-DSM-GLT Factors'!$A$11:$A$58,'Mar16-Aug16 FT-TS-Cashout-LG&amp;E'!K$4,'GSC-DSM-GLT Factors'!$D$11:$D$58)</f>
        <v>5.6999999999999998E-4</v>
      </c>
      <c r="L180" s="669">
        <f>SUMIF('GSC-DSM-GLT Factors'!$A$11:$A$58,'Mar16-Aug16 FT-TS-Cashout-LG&amp;E'!L$4,'GSC-DSM-GLT Factors'!$D$11:$D$58)</f>
        <v>5.6999999999999998E-4</v>
      </c>
      <c r="M180" s="669">
        <f>SUMIF('GSC-DSM-GLT Factors'!$A$11:$A$58,'Mar16-Aug16 FT-TS-Cashout-LG&amp;E'!M$4,'GSC-DSM-GLT Factors'!$D$11:$D$58)</f>
        <v>5.6999999999999998E-4</v>
      </c>
      <c r="N180" s="669">
        <f>SUMIF('GSC-DSM-GLT Factors'!$A$11:$A$58,'Mar16-Aug16 FT-TS-Cashout-LG&amp;E'!N$4,'GSC-DSM-GLT Factors'!$D$11:$D$58)</f>
        <v>5.6999999999999998E-4</v>
      </c>
      <c r="O180" s="669">
        <f>SUMIF('GSC-DSM-GLT Factors'!$A$11:$A$58,'Mar16-Aug16 FT-TS-Cashout-LG&amp;E'!O$4,'GSC-DSM-GLT Factors'!$D$11:$D$58)</f>
        <v>0</v>
      </c>
      <c r="P180" s="409"/>
      <c r="Q180" s="338"/>
      <c r="R180" s="648"/>
      <c r="S180" s="410"/>
    </row>
    <row r="181" spans="2:19" x14ac:dyDescent="0.2">
      <c r="B181" s="338"/>
      <c r="C181" s="340" t="s">
        <v>75</v>
      </c>
      <c r="D181" s="340" t="str">
        <f t="shared" si="64"/>
        <v>891</v>
      </c>
      <c r="E181" s="338" t="s">
        <v>966</v>
      </c>
      <c r="F181" s="653" t="s">
        <v>965</v>
      </c>
      <c r="G181" s="348"/>
      <c r="H181" s="338"/>
      <c r="I181" s="651"/>
      <c r="J181" s="651"/>
      <c r="K181" s="651"/>
      <c r="L181" s="651"/>
      <c r="M181" s="651"/>
      <c r="N181" s="651"/>
      <c r="O181" s="651"/>
      <c r="P181" s="338"/>
      <c r="Q181" s="338"/>
      <c r="R181" s="648"/>
      <c r="S181" s="410">
        <f>SUM(I181:N181,P181:R181)</f>
        <v>0</v>
      </c>
    </row>
    <row r="182" spans="2:19" x14ac:dyDescent="0.2">
      <c r="B182" s="338"/>
      <c r="C182" s="340" t="s">
        <v>75</v>
      </c>
      <c r="D182" s="340" t="str">
        <f t="shared" si="64"/>
        <v>891</v>
      </c>
      <c r="E182" s="338" t="s">
        <v>966</v>
      </c>
      <c r="F182" s="653" t="s">
        <v>965</v>
      </c>
      <c r="G182" s="649" t="s">
        <v>273</v>
      </c>
      <c r="H182" s="338"/>
      <c r="I182" s="338"/>
      <c r="J182" s="338"/>
      <c r="K182" s="338"/>
      <c r="L182" s="338"/>
      <c r="M182" s="338"/>
      <c r="N182" s="338"/>
      <c r="O182" s="338"/>
      <c r="P182" s="338"/>
      <c r="Q182" s="338"/>
      <c r="R182" s="648"/>
      <c r="S182" s="410">
        <f>SUM(I182:N182,P182:R182)</f>
        <v>0</v>
      </c>
    </row>
    <row r="183" spans="2:19" x14ac:dyDescent="0.2">
      <c r="B183" s="338"/>
      <c r="C183" s="340" t="s">
        <v>75</v>
      </c>
      <c r="D183" s="340" t="str">
        <f t="shared" si="64"/>
        <v>891</v>
      </c>
      <c r="E183" s="338" t="s">
        <v>966</v>
      </c>
      <c r="F183" s="653" t="s">
        <v>965</v>
      </c>
      <c r="G183" s="348" t="s">
        <v>809</v>
      </c>
      <c r="H183" s="325" t="s">
        <v>524</v>
      </c>
      <c r="I183" s="396">
        <f>SUMIFS('Data FT-TS-Cashout-P'!$G$14:$G$4704,'Data FT-TS-Cashout-P'!$A$14:$A$4704,'Mar16-Aug16 FT-TS-Cashout-LG&amp;E'!I$4,'Data FT-TS-Cashout-P'!$B$14:$B$4704,'Mar16-Aug16 FT-TS-Cashout-LG&amp;E'!$C$183,'Data FT-TS-Cashout-P'!$D$14:$D$4704,'Mar16-Aug16 FT-TS-Cashout-LG&amp;E'!$F$183,'Data FT-TS-Cashout-P'!$E$14:$E$4704,'Mar16-Aug16 FT-TS-Cashout-LG&amp;E'!$H$183,'Data FT-TS-Cashout-P'!$F$14:$F$4704,'Mar16-Aug16 FT-TS-Cashout-LG&amp;E'!I$6)</f>
        <v>0</v>
      </c>
      <c r="J183" s="396">
        <f>SUMIFS('Data FT-TS-Cashout-P'!$G$14:$G$4704,'Data FT-TS-Cashout-P'!$A$14:$A$4704,'Mar16-Aug16 FT-TS-Cashout-LG&amp;E'!J$4,'Data FT-TS-Cashout-P'!$B$14:$B$4704,'Mar16-Aug16 FT-TS-Cashout-LG&amp;E'!$C$183,'Data FT-TS-Cashout-P'!$D$14:$D$4704,'Mar16-Aug16 FT-TS-Cashout-LG&amp;E'!$F$183,'Data FT-TS-Cashout-P'!$E$14:$E$4704,'Mar16-Aug16 FT-TS-Cashout-LG&amp;E'!$H$183,'Data FT-TS-Cashout-P'!$F$14:$F$4704,'Mar16-Aug16 FT-TS-Cashout-LG&amp;E'!J$6)</f>
        <v>0</v>
      </c>
      <c r="K183" s="396">
        <f>SUMIFS('Data FT-TS-Cashout-P'!$G$14:$G$4704,'Data FT-TS-Cashout-P'!$A$14:$A$4704,'Mar16-Aug16 FT-TS-Cashout-LG&amp;E'!K$4,'Data FT-TS-Cashout-P'!$B$14:$B$4704,'Mar16-Aug16 FT-TS-Cashout-LG&amp;E'!$C$183,'Data FT-TS-Cashout-P'!$D$14:$D$4704,'Mar16-Aug16 FT-TS-Cashout-LG&amp;E'!$F$183,'Data FT-TS-Cashout-P'!$E$14:$E$4704,'Mar16-Aug16 FT-TS-Cashout-LG&amp;E'!$H$183,'Data FT-TS-Cashout-P'!$F$14:$F$4704,'Mar16-Aug16 FT-TS-Cashout-LG&amp;E'!K$6)</f>
        <v>0</v>
      </c>
      <c r="L183" s="396">
        <f>SUMIFS('Data FT-TS-Cashout-P'!$G$14:$G$4704,'Data FT-TS-Cashout-P'!$A$14:$A$4704,'Mar16-Aug16 FT-TS-Cashout-LG&amp;E'!L$4,'Data FT-TS-Cashout-P'!$B$14:$B$4704,'Mar16-Aug16 FT-TS-Cashout-LG&amp;E'!$C$183,'Data FT-TS-Cashout-P'!$D$14:$D$4704,'Mar16-Aug16 FT-TS-Cashout-LG&amp;E'!$F$183,'Data FT-TS-Cashout-P'!$E$14:$E$4704,'Mar16-Aug16 FT-TS-Cashout-LG&amp;E'!$H$183,'Data FT-TS-Cashout-P'!$F$14:$F$4704,'Mar16-Aug16 FT-TS-Cashout-LG&amp;E'!L$6)</f>
        <v>0</v>
      </c>
      <c r="M183" s="396">
        <f>SUMIFS('Data FT-TS-Cashout-P'!$G$14:$G$4704,'Data FT-TS-Cashout-P'!$A$14:$A$4704,'Mar16-Aug16 FT-TS-Cashout-LG&amp;E'!M$4,'Data FT-TS-Cashout-P'!$B$14:$B$4704,'Mar16-Aug16 FT-TS-Cashout-LG&amp;E'!$C$183,'Data FT-TS-Cashout-P'!$D$14:$D$4704,'Mar16-Aug16 FT-TS-Cashout-LG&amp;E'!$F$183,'Data FT-TS-Cashout-P'!$E$14:$E$4704,'Mar16-Aug16 FT-TS-Cashout-LG&amp;E'!$H$183,'Data FT-TS-Cashout-P'!$F$14:$F$4704,'Mar16-Aug16 FT-TS-Cashout-LG&amp;E'!M$6)</f>
        <v>0</v>
      </c>
      <c r="N183" s="396">
        <f>SUMIFS('Data FT-TS-Cashout-P'!$G$14:$G$4704,'Data FT-TS-Cashout-P'!$A$14:$A$4704,'Mar16-Aug16 FT-TS-Cashout-LG&amp;E'!N$4,'Data FT-TS-Cashout-P'!$B$14:$B$4704,'Mar16-Aug16 FT-TS-Cashout-LG&amp;E'!$C$183,'Data FT-TS-Cashout-P'!$D$14:$D$4704,'Mar16-Aug16 FT-TS-Cashout-LG&amp;E'!$F$183,'Data FT-TS-Cashout-P'!$E$14:$E$4704,'Mar16-Aug16 FT-TS-Cashout-LG&amp;E'!$H$183,'Data FT-TS-Cashout-P'!$F$14:$F$4704,'Mar16-Aug16 FT-TS-Cashout-LG&amp;E'!N$6)</f>
        <v>0</v>
      </c>
      <c r="O183" s="396">
        <f>SUMIFS('Data FT-TS-Cashout-P'!$G$14:$G$4704,'Data FT-TS-Cashout-P'!$A$14:$A$4704,'Mar16-Aug16 FT-TS-Cashout-LG&amp;E'!O$4,'Data FT-TS-Cashout-P'!$B$14:$B$4704,'Mar16-Aug16 FT-TS-Cashout-LG&amp;E'!$C$183,'Data FT-TS-Cashout-P'!$D$14:$D$4704,'Mar16-Aug16 FT-TS-Cashout-LG&amp;E'!$F$183,'Data FT-TS-Cashout-P'!$E$14:$E$4704,'Mar16-Aug16 FT-TS-Cashout-LG&amp;E'!$H$183,'Data FT-TS-Cashout-P'!$F$14:$F$4704,'Mar16-Aug16 FT-TS-Cashout-LG&amp;E'!O$6)</f>
        <v>0</v>
      </c>
      <c r="P183" s="650">
        <f>SUM(I183:O183)</f>
        <v>0</v>
      </c>
      <c r="Q183" s="410">
        <f>SUM(I183:N183,O183:O183)</f>
        <v>0</v>
      </c>
      <c r="R183" s="648"/>
      <c r="S183" s="410">
        <f>SUM(I183:N183,P183:R183)</f>
        <v>0</v>
      </c>
    </row>
    <row r="184" spans="2:19" x14ac:dyDescent="0.2">
      <c r="B184" s="338"/>
      <c r="C184" s="340" t="s">
        <v>75</v>
      </c>
      <c r="D184" s="340" t="str">
        <f t="shared" si="64"/>
        <v>891</v>
      </c>
      <c r="E184" s="338" t="s">
        <v>966</v>
      </c>
      <c r="F184" s="653" t="s">
        <v>965</v>
      </c>
      <c r="G184" s="348" t="s">
        <v>932</v>
      </c>
      <c r="H184" s="325" t="s">
        <v>528</v>
      </c>
      <c r="I184" s="396">
        <f>SUMIFS('Data FT-TS-Cashout-P'!$G$14:$G$4704,'Data FT-TS-Cashout-P'!$A$14:$A$4704,'Mar16-Aug16 FT-TS-Cashout-LG&amp;E'!I$4,'Data FT-TS-Cashout-P'!$B$14:$B$4704,'Mar16-Aug16 FT-TS-Cashout-LG&amp;E'!$C$184,'Data FT-TS-Cashout-P'!$D$14:$D$4704,'Mar16-Aug16 FT-TS-Cashout-LG&amp;E'!$F$184,'Data FT-TS-Cashout-P'!$E$14:$E$4704,'Mar16-Aug16 FT-TS-Cashout-LG&amp;E'!$H$184,'Data FT-TS-Cashout-P'!$F$14:$F$4704,'Mar16-Aug16 FT-TS-Cashout-LG&amp;E'!I$6)</f>
        <v>0</v>
      </c>
      <c r="J184" s="396">
        <f>SUMIFS('Data FT-TS-Cashout-P'!$G$14:$G$4704,'Data FT-TS-Cashout-P'!$A$14:$A$4704,'Mar16-Aug16 FT-TS-Cashout-LG&amp;E'!J$4,'Data FT-TS-Cashout-P'!$B$14:$B$4704,'Mar16-Aug16 FT-TS-Cashout-LG&amp;E'!$C$184,'Data FT-TS-Cashout-P'!$D$14:$D$4704,'Mar16-Aug16 FT-TS-Cashout-LG&amp;E'!$F$184,'Data FT-TS-Cashout-P'!$E$14:$E$4704,'Mar16-Aug16 FT-TS-Cashout-LG&amp;E'!$H$184,'Data FT-TS-Cashout-P'!$F$14:$F$4704,'Mar16-Aug16 FT-TS-Cashout-LG&amp;E'!J$6)</f>
        <v>0</v>
      </c>
      <c r="K184" s="396">
        <f>SUMIFS('Data FT-TS-Cashout-P'!$G$14:$G$4704,'Data FT-TS-Cashout-P'!$A$14:$A$4704,'Mar16-Aug16 FT-TS-Cashout-LG&amp;E'!K$4,'Data FT-TS-Cashout-P'!$B$14:$B$4704,'Mar16-Aug16 FT-TS-Cashout-LG&amp;E'!$C$184,'Data FT-TS-Cashout-P'!$D$14:$D$4704,'Mar16-Aug16 FT-TS-Cashout-LG&amp;E'!$F$184,'Data FT-TS-Cashout-P'!$E$14:$E$4704,'Mar16-Aug16 FT-TS-Cashout-LG&amp;E'!$H$184,'Data FT-TS-Cashout-P'!$F$14:$F$4704,'Mar16-Aug16 FT-TS-Cashout-LG&amp;E'!K$6)</f>
        <v>0</v>
      </c>
      <c r="L184" s="396">
        <f>SUMIFS('Data FT-TS-Cashout-P'!$G$14:$G$4704,'Data FT-TS-Cashout-P'!$A$14:$A$4704,'Mar16-Aug16 FT-TS-Cashout-LG&amp;E'!L$4,'Data FT-TS-Cashout-P'!$B$14:$B$4704,'Mar16-Aug16 FT-TS-Cashout-LG&amp;E'!$C$184,'Data FT-TS-Cashout-P'!$D$14:$D$4704,'Mar16-Aug16 FT-TS-Cashout-LG&amp;E'!$F$184,'Data FT-TS-Cashout-P'!$E$14:$E$4704,'Mar16-Aug16 FT-TS-Cashout-LG&amp;E'!$H$184,'Data FT-TS-Cashout-P'!$F$14:$F$4704,'Mar16-Aug16 FT-TS-Cashout-LG&amp;E'!L$6)</f>
        <v>0</v>
      </c>
      <c r="M184" s="396">
        <f>SUMIFS('Data FT-TS-Cashout-P'!$G$14:$G$4704,'Data FT-TS-Cashout-P'!$A$14:$A$4704,'Mar16-Aug16 FT-TS-Cashout-LG&amp;E'!M$4,'Data FT-TS-Cashout-P'!$B$14:$B$4704,'Mar16-Aug16 FT-TS-Cashout-LG&amp;E'!$C$184,'Data FT-TS-Cashout-P'!$D$14:$D$4704,'Mar16-Aug16 FT-TS-Cashout-LG&amp;E'!$F$184,'Data FT-TS-Cashout-P'!$E$14:$E$4704,'Mar16-Aug16 FT-TS-Cashout-LG&amp;E'!$H$184,'Data FT-TS-Cashout-P'!$F$14:$F$4704,'Mar16-Aug16 FT-TS-Cashout-LG&amp;E'!M$6)</f>
        <v>0</v>
      </c>
      <c r="N184" s="396">
        <f>SUMIFS('Data FT-TS-Cashout-P'!$G$14:$G$4704,'Data FT-TS-Cashout-P'!$A$14:$A$4704,'Mar16-Aug16 FT-TS-Cashout-LG&amp;E'!N$4,'Data FT-TS-Cashout-P'!$B$14:$B$4704,'Mar16-Aug16 FT-TS-Cashout-LG&amp;E'!$C$184,'Data FT-TS-Cashout-P'!$D$14:$D$4704,'Mar16-Aug16 FT-TS-Cashout-LG&amp;E'!$F$184,'Data FT-TS-Cashout-P'!$E$14:$E$4704,'Mar16-Aug16 FT-TS-Cashout-LG&amp;E'!$H$184,'Data FT-TS-Cashout-P'!$F$14:$F$4704,'Mar16-Aug16 FT-TS-Cashout-LG&amp;E'!N$6)</f>
        <v>0</v>
      </c>
      <c r="O184" s="396">
        <f>SUMIFS('Data FT-TS-Cashout-P'!$G$14:$G$4704,'Data FT-TS-Cashout-P'!$A$14:$A$4704,'Mar16-Aug16 FT-TS-Cashout-LG&amp;E'!O$4,'Data FT-TS-Cashout-P'!$B$14:$B$4704,'Mar16-Aug16 FT-TS-Cashout-LG&amp;E'!$C$184,'Data FT-TS-Cashout-P'!$D$14:$D$4704,'Mar16-Aug16 FT-TS-Cashout-LG&amp;E'!$F$184,'Data FT-TS-Cashout-P'!$E$14:$E$4704,'Mar16-Aug16 FT-TS-Cashout-LG&amp;E'!$H$184,'Data FT-TS-Cashout-P'!$F$14:$F$4704,'Mar16-Aug16 FT-TS-Cashout-LG&amp;E'!O$6)</f>
        <v>0</v>
      </c>
      <c r="P184" s="648"/>
      <c r="Q184" s="410">
        <f>SUM(I184:N184,O184:O184)</f>
        <v>0</v>
      </c>
      <c r="R184" s="416"/>
      <c r="S184" s="410">
        <f>SUM(I184:N184,P184:R184)</f>
        <v>0</v>
      </c>
    </row>
    <row r="185" spans="2:19" x14ac:dyDescent="0.2">
      <c r="B185" s="338"/>
      <c r="C185" s="340" t="s">
        <v>75</v>
      </c>
      <c r="D185" s="340" t="str">
        <f t="shared" si="64"/>
        <v>891</v>
      </c>
      <c r="E185" s="338" t="s">
        <v>966</v>
      </c>
      <c r="F185" s="653" t="s">
        <v>965</v>
      </c>
      <c r="G185" s="348" t="s">
        <v>193</v>
      </c>
      <c r="H185" s="338"/>
      <c r="I185" s="416">
        <f>I176*I179</f>
        <v>0</v>
      </c>
      <c r="J185" s="416">
        <f t="shared" ref="J185:O185" si="65">J176*J179</f>
        <v>0</v>
      </c>
      <c r="K185" s="416">
        <f t="shared" si="65"/>
        <v>0</v>
      </c>
      <c r="L185" s="416">
        <f t="shared" si="65"/>
        <v>0</v>
      </c>
      <c r="M185" s="416">
        <f t="shared" si="65"/>
        <v>0</v>
      </c>
      <c r="N185" s="416">
        <f t="shared" si="65"/>
        <v>0</v>
      </c>
      <c r="O185" s="416">
        <f t="shared" si="65"/>
        <v>0</v>
      </c>
      <c r="P185" s="650">
        <f>SUM(I185:O185)</f>
        <v>0</v>
      </c>
      <c r="Q185" s="410">
        <f>SUM(I185:N185,O185:O185)</f>
        <v>0</v>
      </c>
      <c r="R185" s="338"/>
      <c r="S185" s="338"/>
    </row>
    <row r="186" spans="2:19" x14ac:dyDescent="0.2">
      <c r="B186" s="338"/>
      <c r="C186" s="340" t="s">
        <v>75</v>
      </c>
      <c r="D186" s="340" t="str">
        <f t="shared" si="64"/>
        <v>891</v>
      </c>
      <c r="E186" s="338" t="s">
        <v>966</v>
      </c>
      <c r="F186" s="653" t="s">
        <v>965</v>
      </c>
      <c r="G186" s="348" t="s">
        <v>277</v>
      </c>
      <c r="H186" s="325" t="s">
        <v>198</v>
      </c>
      <c r="I186" s="396">
        <f>SUMIFS('Data FT-TS-Cashout-P'!$O$14:$O$4704,'Data FT-TS-Cashout-P'!$A$14:$A$4704,'Mar16-Aug16 FT-TS-Cashout-LG&amp;E'!I$4,'Data FT-TS-Cashout-P'!$B$14:$B$4704,'Mar16-Aug16 FT-TS-Cashout-LG&amp;E'!$C$186,'Data FT-TS-Cashout-P'!$D$14:$D$4704,'Mar16-Aug16 FT-TS-Cashout-LG&amp;E'!$F$186,'Data FT-TS-Cashout-P'!$E$14:$E$4704,'Mar16-Aug16 FT-TS-Cashout-LG&amp;E'!$H$186,'Data FT-TS-Cashout-P'!$F$14:$F$4704,'Mar16-Aug16 FT-TS-Cashout-LG&amp;E'!I$6)</f>
        <v>0</v>
      </c>
      <c r="J186" s="396">
        <f>SUMIFS('Data FT-TS-Cashout-P'!$O$14:$O$4704,'Data FT-TS-Cashout-P'!$A$14:$A$4704,'Mar16-Aug16 FT-TS-Cashout-LG&amp;E'!J$4,'Data FT-TS-Cashout-P'!$B$14:$B$4704,'Mar16-Aug16 FT-TS-Cashout-LG&amp;E'!$C$186,'Data FT-TS-Cashout-P'!$D$14:$D$4704,'Mar16-Aug16 FT-TS-Cashout-LG&amp;E'!$F$186,'Data FT-TS-Cashout-P'!$E$14:$E$4704,'Mar16-Aug16 FT-TS-Cashout-LG&amp;E'!$H$186,'Data FT-TS-Cashout-P'!$F$14:$F$4704,'Mar16-Aug16 FT-TS-Cashout-LG&amp;E'!J$6)</f>
        <v>0</v>
      </c>
      <c r="K186" s="396">
        <f>SUMIFS('Data FT-TS-Cashout-P'!$O$14:$O$4704,'Data FT-TS-Cashout-P'!$A$14:$A$4704,'Mar16-Aug16 FT-TS-Cashout-LG&amp;E'!K$4,'Data FT-TS-Cashout-P'!$B$14:$B$4704,'Mar16-Aug16 FT-TS-Cashout-LG&amp;E'!$C$186,'Data FT-TS-Cashout-P'!$D$14:$D$4704,'Mar16-Aug16 FT-TS-Cashout-LG&amp;E'!$F$186,'Data FT-TS-Cashout-P'!$E$14:$E$4704,'Mar16-Aug16 FT-TS-Cashout-LG&amp;E'!$H$186,'Data FT-TS-Cashout-P'!$F$14:$F$4704,'Mar16-Aug16 FT-TS-Cashout-LG&amp;E'!K$6)</f>
        <v>0</v>
      </c>
      <c r="L186" s="396">
        <f>SUMIFS('Data FT-TS-Cashout-P'!$O$14:$O$4704,'Data FT-TS-Cashout-P'!$A$14:$A$4704,'Mar16-Aug16 FT-TS-Cashout-LG&amp;E'!L$4,'Data FT-TS-Cashout-P'!$B$14:$B$4704,'Mar16-Aug16 FT-TS-Cashout-LG&amp;E'!$C$186,'Data FT-TS-Cashout-P'!$D$14:$D$4704,'Mar16-Aug16 FT-TS-Cashout-LG&amp;E'!$F$186,'Data FT-TS-Cashout-P'!$E$14:$E$4704,'Mar16-Aug16 FT-TS-Cashout-LG&amp;E'!$H$186,'Data FT-TS-Cashout-P'!$F$14:$F$4704,'Mar16-Aug16 FT-TS-Cashout-LG&amp;E'!L$6)</f>
        <v>0</v>
      </c>
      <c r="M186" s="396">
        <f>SUMIFS('Data FT-TS-Cashout-P'!$O$14:$O$4704,'Data FT-TS-Cashout-P'!$A$14:$A$4704,'Mar16-Aug16 FT-TS-Cashout-LG&amp;E'!M$4,'Data FT-TS-Cashout-P'!$B$14:$B$4704,'Mar16-Aug16 FT-TS-Cashout-LG&amp;E'!$C$186,'Data FT-TS-Cashout-P'!$D$14:$D$4704,'Mar16-Aug16 FT-TS-Cashout-LG&amp;E'!$F$186,'Data FT-TS-Cashout-P'!$E$14:$E$4704,'Mar16-Aug16 FT-TS-Cashout-LG&amp;E'!$H$186,'Data FT-TS-Cashout-P'!$F$14:$F$4704,'Mar16-Aug16 FT-TS-Cashout-LG&amp;E'!M$6)</f>
        <v>0</v>
      </c>
      <c r="N186" s="396">
        <f>SUMIFS('Data FT-TS-Cashout-P'!$O$14:$O$4704,'Data FT-TS-Cashout-P'!$A$14:$A$4704,'Mar16-Aug16 FT-TS-Cashout-LG&amp;E'!N$4,'Data FT-TS-Cashout-P'!$B$14:$B$4704,'Mar16-Aug16 FT-TS-Cashout-LG&amp;E'!$C$186,'Data FT-TS-Cashout-P'!$D$14:$D$4704,'Mar16-Aug16 FT-TS-Cashout-LG&amp;E'!$F$186,'Data FT-TS-Cashout-P'!$E$14:$E$4704,'Mar16-Aug16 FT-TS-Cashout-LG&amp;E'!$H$186,'Data FT-TS-Cashout-P'!$F$14:$F$4704,'Mar16-Aug16 FT-TS-Cashout-LG&amp;E'!N$6)</f>
        <v>0</v>
      </c>
      <c r="O186" s="396">
        <f>SUMIFS('Data FT-TS-Cashout-P'!$O$14:$O$4704,'Data FT-TS-Cashout-P'!$A$14:$A$4704,'Mar16-Aug16 FT-TS-Cashout-LG&amp;E'!O$4,'Data FT-TS-Cashout-P'!$B$14:$B$4704,'Mar16-Aug16 FT-TS-Cashout-LG&amp;E'!$C$186,'Data FT-TS-Cashout-P'!$D$14:$D$4704,'Mar16-Aug16 FT-TS-Cashout-LG&amp;E'!$F$186,'Data FT-TS-Cashout-P'!$E$14:$E$4704,'Mar16-Aug16 FT-TS-Cashout-LG&amp;E'!$H$186,'Data FT-TS-Cashout-P'!$F$14:$F$4704,'Mar16-Aug16 FT-TS-Cashout-LG&amp;E'!O$6)</f>
        <v>0</v>
      </c>
      <c r="P186" s="648"/>
      <c r="Q186" s="410">
        <f>SUM(I186:N186,O186:O186)</f>
        <v>0</v>
      </c>
      <c r="R186" s="416" t="e">
        <f>#REF!+R184</f>
        <v>#REF!</v>
      </c>
      <c r="S186" s="410" t="e">
        <f>SUM(I186:N186,P186:R186)</f>
        <v>#REF!</v>
      </c>
    </row>
    <row r="187" spans="2:19" x14ac:dyDescent="0.2">
      <c r="B187" s="338"/>
      <c r="C187" s="340" t="s">
        <v>75</v>
      </c>
      <c r="D187" s="340" t="str">
        <f t="shared" si="64"/>
        <v>891</v>
      </c>
      <c r="E187" s="338" t="s">
        <v>966</v>
      </c>
      <c r="F187" s="653" t="s">
        <v>965</v>
      </c>
      <c r="G187" s="348" t="s">
        <v>943</v>
      </c>
      <c r="H187" s="325" t="s">
        <v>729</v>
      </c>
      <c r="I187" s="396">
        <f>SUMIFS('Data FT-TS-Cashout-P'!$Q$14:$Q$4704,'Data FT-TS-Cashout-P'!$A$14:$A$4704,'Mar16-Aug16 FT-TS-Cashout-LG&amp;E'!I$4,'Data FT-TS-Cashout-P'!$B$14:$B$4704,'Mar16-Aug16 FT-TS-Cashout-LG&amp;E'!$C$187,'Data FT-TS-Cashout-P'!$D$14:$D$4704,'Mar16-Aug16 FT-TS-Cashout-LG&amp;E'!$F$187,'Data FT-TS-Cashout-P'!$E$14:$E$4704,'Mar16-Aug16 FT-TS-Cashout-LG&amp;E'!$H$187,'Data FT-TS-Cashout-P'!$F$14:$F$4704,'Mar16-Aug16 FT-TS-Cashout-LG&amp;E'!I$6)</f>
        <v>0</v>
      </c>
      <c r="J187" s="396">
        <f>SUMIFS('Data FT-TS-Cashout-P'!$Q$14:$Q$4704,'Data FT-TS-Cashout-P'!$A$14:$A$4704,'Mar16-Aug16 FT-TS-Cashout-LG&amp;E'!J$4,'Data FT-TS-Cashout-P'!$B$14:$B$4704,'Mar16-Aug16 FT-TS-Cashout-LG&amp;E'!$C$187,'Data FT-TS-Cashout-P'!$D$14:$D$4704,'Mar16-Aug16 FT-TS-Cashout-LG&amp;E'!$F$187,'Data FT-TS-Cashout-P'!$E$14:$E$4704,'Mar16-Aug16 FT-TS-Cashout-LG&amp;E'!$H$187,'Data FT-TS-Cashout-P'!$F$14:$F$4704,'Mar16-Aug16 FT-TS-Cashout-LG&amp;E'!J$6)</f>
        <v>0</v>
      </c>
      <c r="K187" s="396">
        <f>SUMIFS('Data FT-TS-Cashout-P'!$Q$14:$Q$4704,'Data FT-TS-Cashout-P'!$A$14:$A$4704,'Mar16-Aug16 FT-TS-Cashout-LG&amp;E'!K$4,'Data FT-TS-Cashout-P'!$B$14:$B$4704,'Mar16-Aug16 FT-TS-Cashout-LG&amp;E'!$C$187,'Data FT-TS-Cashout-P'!$D$14:$D$4704,'Mar16-Aug16 FT-TS-Cashout-LG&amp;E'!$F$187,'Data FT-TS-Cashout-P'!$E$14:$E$4704,'Mar16-Aug16 FT-TS-Cashout-LG&amp;E'!$H$187,'Data FT-TS-Cashout-P'!$F$14:$F$4704,'Mar16-Aug16 FT-TS-Cashout-LG&amp;E'!K$6)</f>
        <v>0</v>
      </c>
      <c r="L187" s="396">
        <f>SUMIFS('Data FT-TS-Cashout-P'!$Q$14:$Q$4704,'Data FT-TS-Cashout-P'!$A$14:$A$4704,'Mar16-Aug16 FT-TS-Cashout-LG&amp;E'!L$4,'Data FT-TS-Cashout-P'!$B$14:$B$4704,'Mar16-Aug16 FT-TS-Cashout-LG&amp;E'!$C$187,'Data FT-TS-Cashout-P'!$D$14:$D$4704,'Mar16-Aug16 FT-TS-Cashout-LG&amp;E'!$F$187,'Data FT-TS-Cashout-P'!$E$14:$E$4704,'Mar16-Aug16 FT-TS-Cashout-LG&amp;E'!$H$187,'Data FT-TS-Cashout-P'!$F$14:$F$4704,'Mar16-Aug16 FT-TS-Cashout-LG&amp;E'!L$6)</f>
        <v>0</v>
      </c>
      <c r="M187" s="396">
        <f>SUMIFS('Data FT-TS-Cashout-P'!$Q$14:$Q$4704,'Data FT-TS-Cashout-P'!$A$14:$A$4704,'Mar16-Aug16 FT-TS-Cashout-LG&amp;E'!M$4,'Data FT-TS-Cashout-P'!$B$14:$B$4704,'Mar16-Aug16 FT-TS-Cashout-LG&amp;E'!$C$187,'Data FT-TS-Cashout-P'!$D$14:$D$4704,'Mar16-Aug16 FT-TS-Cashout-LG&amp;E'!$F$187,'Data FT-TS-Cashout-P'!$E$14:$E$4704,'Mar16-Aug16 FT-TS-Cashout-LG&amp;E'!$H$187,'Data FT-TS-Cashout-P'!$F$14:$F$4704,'Mar16-Aug16 FT-TS-Cashout-LG&amp;E'!M$6)</f>
        <v>0</v>
      </c>
      <c r="N187" s="396">
        <f>SUMIFS('Data FT-TS-Cashout-P'!$Q$14:$Q$4704,'Data FT-TS-Cashout-P'!$A$14:$A$4704,'Mar16-Aug16 FT-TS-Cashout-LG&amp;E'!N$4,'Data FT-TS-Cashout-P'!$B$14:$B$4704,'Mar16-Aug16 FT-TS-Cashout-LG&amp;E'!$C$187,'Data FT-TS-Cashout-P'!$D$14:$D$4704,'Mar16-Aug16 FT-TS-Cashout-LG&amp;E'!$F$187,'Data FT-TS-Cashout-P'!$E$14:$E$4704,'Mar16-Aug16 FT-TS-Cashout-LG&amp;E'!$H$187,'Data FT-TS-Cashout-P'!$F$14:$F$4704,'Mar16-Aug16 FT-TS-Cashout-LG&amp;E'!N$6)</f>
        <v>0</v>
      </c>
      <c r="O187" s="396">
        <f>SUMIFS('Data FT-TS-Cashout-P'!$Q$14:$Q$4704,'Data FT-TS-Cashout-P'!$A$14:$A$4704,'Mar16-Aug16 FT-TS-Cashout-LG&amp;E'!O$4,'Data FT-TS-Cashout-P'!$B$14:$B$4704,'Mar16-Aug16 FT-TS-Cashout-LG&amp;E'!$C$187,'Data FT-TS-Cashout-P'!$D$14:$D$4704,'Mar16-Aug16 FT-TS-Cashout-LG&amp;E'!$F$187,'Data FT-TS-Cashout-P'!$E$14:$E$4704,'Mar16-Aug16 FT-TS-Cashout-LG&amp;E'!$H$187,'Data FT-TS-Cashout-P'!$F$14:$F$4704,'Mar16-Aug16 FT-TS-Cashout-LG&amp;E'!O$6)</f>
        <v>0</v>
      </c>
      <c r="P187" s="648"/>
      <c r="Q187" s="410"/>
      <c r="R187" s="416"/>
      <c r="S187" s="410"/>
    </row>
    <row r="188" spans="2:19" x14ac:dyDescent="0.2">
      <c r="B188" s="338"/>
      <c r="C188" s="340"/>
      <c r="D188" s="340"/>
      <c r="E188" s="338"/>
      <c r="F188" s="653"/>
      <c r="G188" s="348"/>
      <c r="H188" s="652"/>
      <c r="I188" s="648"/>
      <c r="J188" s="648"/>
      <c r="K188" s="648"/>
      <c r="L188" s="648"/>
      <c r="M188" s="648"/>
      <c r="N188" s="648"/>
      <c r="O188" s="648"/>
      <c r="P188" s="648"/>
      <c r="Q188" s="410"/>
      <c r="R188" s="416"/>
      <c r="S188" s="410"/>
    </row>
    <row r="189" spans="2:19" x14ac:dyDescent="0.2">
      <c r="B189" s="338"/>
      <c r="C189" s="340" t="s">
        <v>75</v>
      </c>
      <c r="D189" s="340" t="str">
        <f>MID(C189,6,3)</f>
        <v>891</v>
      </c>
      <c r="E189" s="338" t="s">
        <v>966</v>
      </c>
      <c r="F189" s="653" t="s">
        <v>965</v>
      </c>
      <c r="G189" s="348" t="s">
        <v>810</v>
      </c>
      <c r="H189" s="338"/>
      <c r="I189" s="416">
        <f>SUM(I183:I187)</f>
        <v>0</v>
      </c>
      <c r="J189" s="416">
        <f t="shared" ref="J189:O189" si="66">SUM(J183:J187)</f>
        <v>0</v>
      </c>
      <c r="K189" s="416">
        <f t="shared" si="66"/>
        <v>0</v>
      </c>
      <c r="L189" s="416">
        <f t="shared" si="66"/>
        <v>0</v>
      </c>
      <c r="M189" s="416">
        <f t="shared" si="66"/>
        <v>0</v>
      </c>
      <c r="N189" s="416">
        <f t="shared" si="66"/>
        <v>0</v>
      </c>
      <c r="O189" s="416">
        <f t="shared" si="66"/>
        <v>0</v>
      </c>
      <c r="P189" s="650">
        <f>SUM(I189:O189)</f>
        <v>0</v>
      </c>
      <c r="Q189" s="410">
        <f>SUM(I189:N189,O189:O189)</f>
        <v>0</v>
      </c>
      <c r="R189" s="338"/>
      <c r="S189" s="338"/>
    </row>
    <row r="190" spans="2:19" x14ac:dyDescent="0.2">
      <c r="B190" s="338"/>
      <c r="C190" s="340"/>
      <c r="D190" s="340"/>
      <c r="E190" s="338"/>
      <c r="F190" s="653"/>
      <c r="G190" s="348"/>
      <c r="H190" s="338"/>
      <c r="I190" s="338"/>
      <c r="J190" s="338"/>
      <c r="K190" s="338"/>
      <c r="L190" s="338"/>
      <c r="M190" s="338"/>
      <c r="N190" s="338"/>
      <c r="O190" s="338"/>
      <c r="P190" s="338"/>
      <c r="Q190" s="338"/>
      <c r="R190" s="338"/>
      <c r="S190" s="338"/>
    </row>
    <row r="191" spans="2:19" x14ac:dyDescent="0.2">
      <c r="B191" s="338"/>
      <c r="C191" s="340"/>
      <c r="D191" s="340"/>
      <c r="E191" s="338"/>
      <c r="F191" s="653"/>
      <c r="G191" s="348"/>
      <c r="H191" s="338"/>
      <c r="I191" s="338"/>
      <c r="J191" s="338"/>
      <c r="K191" s="338"/>
      <c r="L191" s="338"/>
      <c r="M191" s="338"/>
      <c r="N191" s="338"/>
      <c r="O191" s="338"/>
      <c r="P191" s="338"/>
      <c r="Q191" s="338"/>
      <c r="R191" s="338"/>
      <c r="S191" s="338"/>
    </row>
    <row r="192" spans="2:19" x14ac:dyDescent="0.2">
      <c r="B192" s="338"/>
      <c r="C192" s="340"/>
      <c r="D192" s="340"/>
      <c r="E192" s="338"/>
      <c r="F192" s="653"/>
      <c r="G192" s="348"/>
      <c r="H192" s="338"/>
      <c r="I192" s="338"/>
      <c r="J192" s="338"/>
      <c r="K192" s="338"/>
      <c r="L192" s="338"/>
      <c r="M192" s="338"/>
      <c r="N192" s="338"/>
      <c r="O192" s="338"/>
      <c r="P192" s="338"/>
      <c r="Q192" s="338"/>
      <c r="R192" s="338"/>
      <c r="S192" s="338"/>
    </row>
    <row r="193" spans="2:21" ht="15" x14ac:dyDescent="0.25">
      <c r="B193" s="338"/>
      <c r="C193" s="340" t="s">
        <v>78</v>
      </c>
      <c r="D193" s="340" t="str">
        <f t="shared" ref="D193:D200" si="67">MID(C193,6,3)</f>
        <v>891</v>
      </c>
      <c r="E193" s="338" t="s">
        <v>967</v>
      </c>
      <c r="F193" s="653" t="s">
        <v>965</v>
      </c>
      <c r="G193" s="348" t="s">
        <v>268</v>
      </c>
      <c r="H193" s="338"/>
      <c r="I193" s="553">
        <f t="shared" ref="I193:O193" si="68">I197/I194</f>
        <v>0</v>
      </c>
      <c r="J193" s="553">
        <f t="shared" si="68"/>
        <v>0</v>
      </c>
      <c r="K193" s="553">
        <f t="shared" si="68"/>
        <v>0</v>
      </c>
      <c r="L193" s="553">
        <f t="shared" si="68"/>
        <v>0</v>
      </c>
      <c r="M193" s="553">
        <f t="shared" si="68"/>
        <v>0</v>
      </c>
      <c r="N193" s="553">
        <f t="shared" si="68"/>
        <v>0</v>
      </c>
      <c r="O193" s="553">
        <f t="shared" si="68"/>
        <v>0</v>
      </c>
      <c r="P193" s="650">
        <f>SUM(I193:O193)</f>
        <v>0</v>
      </c>
      <c r="Q193" s="410">
        <f>SUM(I193:N193,O193:O193)</f>
        <v>0</v>
      </c>
      <c r="R193" s="338"/>
      <c r="S193" s="410">
        <f>SUM(I193:N193,P193:R193)</f>
        <v>0</v>
      </c>
      <c r="T193"/>
      <c r="U193"/>
    </row>
    <row r="194" spans="2:21" x14ac:dyDescent="0.2">
      <c r="B194" s="338"/>
      <c r="C194" s="340" t="s">
        <v>78</v>
      </c>
      <c r="D194" s="340" t="str">
        <f t="shared" si="67"/>
        <v>891</v>
      </c>
      <c r="E194" s="338" t="s">
        <v>967</v>
      </c>
      <c r="F194" s="653" t="s">
        <v>965</v>
      </c>
      <c r="G194" s="348" t="s">
        <v>808</v>
      </c>
      <c r="H194" s="338"/>
      <c r="I194" s="338">
        <f>VLOOKUP($C194,'Retail Rates'!$B$45:$O$59,9,FALSE)</f>
        <v>75</v>
      </c>
      <c r="J194" s="338">
        <f>VLOOKUP($C194,'Retail Rates'!$B$45:$O$59,9,FALSE)</f>
        <v>75</v>
      </c>
      <c r="K194" s="338">
        <f>VLOOKUP($C194,'Retail Rates'!$B$45:$O$59,9,FALSE)</f>
        <v>75</v>
      </c>
      <c r="L194" s="338">
        <f>VLOOKUP($C194,'Retail Rates'!$B$45:$O$59,9,FALSE)</f>
        <v>75</v>
      </c>
      <c r="M194" s="338">
        <f>VLOOKUP($C194,'Retail Rates'!$B$45:$O$59,9,FALSE)</f>
        <v>75</v>
      </c>
      <c r="N194" s="338">
        <f>VLOOKUP($C194,'Retail Rates'!$B$45:$O$59,9,FALSE)</f>
        <v>75</v>
      </c>
      <c r="O194" s="338">
        <f>VLOOKUP($C194,'Retail Rates'!$B$45:$O$59,9,FALSE)</f>
        <v>75</v>
      </c>
      <c r="P194" s="650"/>
      <c r="Q194" s="338"/>
      <c r="R194" s="338"/>
      <c r="S194" s="338"/>
    </row>
    <row r="195" spans="2:21" x14ac:dyDescent="0.2">
      <c r="B195" s="338"/>
      <c r="C195" s="340" t="s">
        <v>78</v>
      </c>
      <c r="D195" s="340" t="str">
        <f t="shared" si="67"/>
        <v>891</v>
      </c>
      <c r="E195" s="338" t="s">
        <v>967</v>
      </c>
      <c r="F195" s="653" t="s">
        <v>965</v>
      </c>
      <c r="G195" s="348"/>
      <c r="H195" s="338"/>
      <c r="I195" s="651"/>
      <c r="J195" s="338"/>
      <c r="K195" s="338"/>
      <c r="L195" s="338"/>
      <c r="M195" s="338"/>
      <c r="N195" s="338"/>
      <c r="O195" s="338"/>
      <c r="P195" s="338"/>
      <c r="Q195" s="338"/>
      <c r="R195" s="648"/>
      <c r="S195" s="410">
        <f>SUM(I195:N195,P195:R195)</f>
        <v>0</v>
      </c>
    </row>
    <row r="196" spans="2:21" x14ac:dyDescent="0.2">
      <c r="B196" s="338"/>
      <c r="C196" s="340" t="s">
        <v>78</v>
      </c>
      <c r="D196" s="340" t="str">
        <f t="shared" si="67"/>
        <v>891</v>
      </c>
      <c r="E196" s="338" t="s">
        <v>967</v>
      </c>
      <c r="F196" s="653" t="s">
        <v>965</v>
      </c>
      <c r="G196" s="649" t="s">
        <v>273</v>
      </c>
      <c r="H196" s="338"/>
      <c r="I196" s="338"/>
      <c r="J196" s="338"/>
      <c r="K196" s="338"/>
      <c r="L196" s="338"/>
      <c r="M196" s="338"/>
      <c r="N196" s="338"/>
      <c r="O196" s="338"/>
      <c r="P196" s="338"/>
      <c r="Q196" s="338"/>
      <c r="R196" s="648"/>
      <c r="S196" s="410">
        <f>SUM(I196:N196,P196:R196)</f>
        <v>0</v>
      </c>
    </row>
    <row r="197" spans="2:21" x14ac:dyDescent="0.2">
      <c r="B197" s="338"/>
      <c r="C197" s="340" t="s">
        <v>78</v>
      </c>
      <c r="D197" s="340" t="str">
        <f t="shared" si="67"/>
        <v>891</v>
      </c>
      <c r="E197" s="338" t="s">
        <v>967</v>
      </c>
      <c r="F197" s="653" t="s">
        <v>965</v>
      </c>
      <c r="G197" s="348" t="s">
        <v>809</v>
      </c>
      <c r="H197" s="325" t="s">
        <v>524</v>
      </c>
      <c r="I197" s="396">
        <f>SUMIFS('Data FT-TS-Cashout-P'!$I$14:$I$4704,'Data FT-TS-Cashout-P'!$A$14:$A$4704,'Mar16-Aug16 FT-TS-Cashout-LG&amp;E'!I$4,'Data FT-TS-Cashout-P'!$B$14:$B$4704,'Mar16-Aug16 FT-TS-Cashout-LG&amp;E'!$C$197,'Data FT-TS-Cashout-P'!$D$14:$D$4704,'Mar16-Aug16 FT-TS-Cashout-LG&amp;E'!$F$197,'Data FT-TS-Cashout-P'!$E$14:$E$4704,'Mar16-Aug16 FT-TS-Cashout-LG&amp;E'!$H$197,'Data FT-TS-Cashout-P'!$F$14:$F$4704,'Mar16-Aug16 FT-TS-Cashout-LG&amp;E'!I$7)</f>
        <v>0</v>
      </c>
      <c r="J197" s="396">
        <f>SUMIFS('Data FT-TS-Cashout-P'!$I$14:$I$4704,'Data FT-TS-Cashout-P'!$A$14:$A$4704,'Mar16-Aug16 FT-TS-Cashout-LG&amp;E'!J$4,'Data FT-TS-Cashout-P'!$B$14:$B$4704,'Mar16-Aug16 FT-TS-Cashout-LG&amp;E'!$C$197,'Data FT-TS-Cashout-P'!$D$14:$D$4704,'Mar16-Aug16 FT-TS-Cashout-LG&amp;E'!$F$197,'Data FT-TS-Cashout-P'!$E$14:$E$4704,'Mar16-Aug16 FT-TS-Cashout-LG&amp;E'!$H$197,'Data FT-TS-Cashout-P'!$F$14:$F$4704,'Mar16-Aug16 FT-TS-Cashout-LG&amp;E'!J$7)</f>
        <v>0</v>
      </c>
      <c r="K197" s="396">
        <f>SUMIFS('Data FT-TS-Cashout-P'!$I$14:$I$4704,'Data FT-TS-Cashout-P'!$A$14:$A$4704,'Mar16-Aug16 FT-TS-Cashout-LG&amp;E'!K$4,'Data FT-TS-Cashout-P'!$B$14:$B$4704,'Mar16-Aug16 FT-TS-Cashout-LG&amp;E'!$C$197,'Data FT-TS-Cashout-P'!$D$14:$D$4704,'Mar16-Aug16 FT-TS-Cashout-LG&amp;E'!$F$197,'Data FT-TS-Cashout-P'!$E$14:$E$4704,'Mar16-Aug16 FT-TS-Cashout-LG&amp;E'!$H$197,'Data FT-TS-Cashout-P'!$F$14:$F$4704,'Mar16-Aug16 FT-TS-Cashout-LG&amp;E'!K$7)</f>
        <v>0</v>
      </c>
      <c r="L197" s="396">
        <f>SUMIFS('Data FT-TS-Cashout-P'!$I$14:$I$4704,'Data FT-TS-Cashout-P'!$A$14:$A$4704,'Mar16-Aug16 FT-TS-Cashout-LG&amp;E'!L$4,'Data FT-TS-Cashout-P'!$B$14:$B$4704,'Mar16-Aug16 FT-TS-Cashout-LG&amp;E'!$C$197,'Data FT-TS-Cashout-P'!$D$14:$D$4704,'Mar16-Aug16 FT-TS-Cashout-LG&amp;E'!$F$197,'Data FT-TS-Cashout-P'!$E$14:$E$4704,'Mar16-Aug16 FT-TS-Cashout-LG&amp;E'!$H$197,'Data FT-TS-Cashout-P'!$F$14:$F$4704,'Mar16-Aug16 FT-TS-Cashout-LG&amp;E'!L$7)</f>
        <v>0</v>
      </c>
      <c r="M197" s="396">
        <f>SUMIFS('Data FT-TS-Cashout-P'!$I$14:$I$4704,'Data FT-TS-Cashout-P'!$A$14:$A$4704,'Mar16-Aug16 FT-TS-Cashout-LG&amp;E'!M$4,'Data FT-TS-Cashout-P'!$B$14:$B$4704,'Mar16-Aug16 FT-TS-Cashout-LG&amp;E'!$C$197,'Data FT-TS-Cashout-P'!$D$14:$D$4704,'Mar16-Aug16 FT-TS-Cashout-LG&amp;E'!$F$197,'Data FT-TS-Cashout-P'!$E$14:$E$4704,'Mar16-Aug16 FT-TS-Cashout-LG&amp;E'!$H$197,'Data FT-TS-Cashout-P'!$F$14:$F$4704,'Mar16-Aug16 FT-TS-Cashout-LG&amp;E'!M$7)</f>
        <v>0</v>
      </c>
      <c r="N197" s="396">
        <f>SUMIFS('Data FT-TS-Cashout-P'!$I$14:$I$4704,'Data FT-TS-Cashout-P'!$A$14:$A$4704,'Mar16-Aug16 FT-TS-Cashout-LG&amp;E'!N$4,'Data FT-TS-Cashout-P'!$B$14:$B$4704,'Mar16-Aug16 FT-TS-Cashout-LG&amp;E'!$C$197,'Data FT-TS-Cashout-P'!$D$14:$D$4704,'Mar16-Aug16 FT-TS-Cashout-LG&amp;E'!$F$197,'Data FT-TS-Cashout-P'!$E$14:$E$4704,'Mar16-Aug16 FT-TS-Cashout-LG&amp;E'!$H$197,'Data FT-TS-Cashout-P'!$F$14:$F$4704,'Mar16-Aug16 FT-TS-Cashout-LG&amp;E'!N$7)</f>
        <v>0</v>
      </c>
      <c r="O197" s="396">
        <f>SUMIFS('Data FT-TS-Cashout-P'!$I$14:$I$4704,'Data FT-TS-Cashout-P'!$A$14:$A$4704,'Mar16-Aug16 FT-TS-Cashout-LG&amp;E'!O$4,'Data FT-TS-Cashout-P'!$B$14:$B$4704,'Mar16-Aug16 FT-TS-Cashout-LG&amp;E'!$C$197,'Data FT-TS-Cashout-P'!$D$14:$D$4704,'Mar16-Aug16 FT-TS-Cashout-LG&amp;E'!$F$197,'Data FT-TS-Cashout-P'!$E$14:$E$4704,'Mar16-Aug16 FT-TS-Cashout-LG&amp;E'!$H$197,'Data FT-TS-Cashout-P'!$F$14:$F$4704,'Mar16-Aug16 FT-TS-Cashout-LG&amp;E'!O$7)</f>
        <v>0</v>
      </c>
      <c r="P197" s="650">
        <f>SUM(I197:O197)</f>
        <v>0</v>
      </c>
      <c r="Q197" s="410">
        <f>SUM(I197:N197,O197:O197)</f>
        <v>0</v>
      </c>
      <c r="R197" s="648"/>
      <c r="S197" s="410">
        <f>SUM(I197:N197,P197:R197)</f>
        <v>0</v>
      </c>
    </row>
    <row r="198" spans="2:21" x14ac:dyDescent="0.2">
      <c r="B198" s="338"/>
      <c r="C198" s="340" t="s">
        <v>78</v>
      </c>
      <c r="D198" s="340" t="str">
        <f t="shared" si="67"/>
        <v>891</v>
      </c>
      <c r="E198" s="338" t="s">
        <v>967</v>
      </c>
      <c r="F198" s="653" t="s">
        <v>965</v>
      </c>
      <c r="G198" s="348" t="s">
        <v>257</v>
      </c>
      <c r="H198" s="652"/>
      <c r="I198" s="648">
        <f>I180*I176</f>
        <v>0</v>
      </c>
      <c r="J198" s="648">
        <f t="shared" ref="J198:O198" si="69">J180*J176</f>
        <v>0</v>
      </c>
      <c r="K198" s="648">
        <f t="shared" si="69"/>
        <v>0</v>
      </c>
      <c r="L198" s="648">
        <f t="shared" si="69"/>
        <v>0</v>
      </c>
      <c r="M198" s="648">
        <f t="shared" si="69"/>
        <v>0</v>
      </c>
      <c r="N198" s="648">
        <f t="shared" si="69"/>
        <v>0</v>
      </c>
      <c r="O198" s="648">
        <f t="shared" si="69"/>
        <v>0</v>
      </c>
      <c r="P198" s="650"/>
      <c r="Q198" s="410"/>
      <c r="R198" s="648"/>
      <c r="S198" s="410"/>
    </row>
    <row r="199" spans="2:21" x14ac:dyDescent="0.2">
      <c r="B199" s="338"/>
      <c r="C199" s="340" t="s">
        <v>78</v>
      </c>
      <c r="D199" s="340" t="str">
        <f t="shared" si="67"/>
        <v>891</v>
      </c>
      <c r="E199" s="338" t="s">
        <v>967</v>
      </c>
      <c r="F199" s="653" t="s">
        <v>965</v>
      </c>
      <c r="G199" s="348"/>
      <c r="H199" s="652"/>
      <c r="I199" s="648"/>
      <c r="J199" s="648"/>
      <c r="K199" s="648"/>
      <c r="L199" s="648"/>
      <c r="M199" s="648"/>
      <c r="N199" s="648"/>
      <c r="O199" s="648"/>
      <c r="P199" s="650"/>
      <c r="Q199" s="410"/>
      <c r="R199" s="648"/>
      <c r="S199" s="410"/>
    </row>
    <row r="200" spans="2:21" x14ac:dyDescent="0.2">
      <c r="B200" s="338"/>
      <c r="C200" s="340" t="s">
        <v>78</v>
      </c>
      <c r="D200" s="340" t="str">
        <f t="shared" si="67"/>
        <v>891</v>
      </c>
      <c r="E200" s="338" t="s">
        <v>967</v>
      </c>
      <c r="F200" s="653" t="s">
        <v>965</v>
      </c>
      <c r="G200" s="348" t="s">
        <v>940</v>
      </c>
      <c r="H200" s="338"/>
      <c r="I200" s="416">
        <f>I189+I197+I198</f>
        <v>0</v>
      </c>
      <c r="J200" s="416">
        <f t="shared" ref="J200:O200" si="70">J189+J197+J198</f>
        <v>0</v>
      </c>
      <c r="K200" s="416">
        <f t="shared" si="70"/>
        <v>0</v>
      </c>
      <c r="L200" s="416">
        <f t="shared" si="70"/>
        <v>0</v>
      </c>
      <c r="M200" s="416">
        <f t="shared" si="70"/>
        <v>0</v>
      </c>
      <c r="N200" s="416">
        <f t="shared" si="70"/>
        <v>0</v>
      </c>
      <c r="O200" s="416">
        <f t="shared" si="70"/>
        <v>0</v>
      </c>
      <c r="P200" s="650">
        <f>SUM(I200:O200)</f>
        <v>0</v>
      </c>
      <c r="Q200" s="410">
        <f>SUM(I200:N200,O200:O200)</f>
        <v>0</v>
      </c>
      <c r="R200" s="338"/>
      <c r="S200" s="338"/>
    </row>
    <row r="201" spans="2:21" x14ac:dyDescent="0.2">
      <c r="B201" s="338"/>
      <c r="C201" s="340"/>
      <c r="D201" s="340"/>
      <c r="E201" s="338"/>
      <c r="F201" s="653"/>
      <c r="G201" s="348"/>
      <c r="H201" s="338"/>
      <c r="I201" s="338"/>
      <c r="J201" s="338"/>
      <c r="K201" s="338"/>
      <c r="L201" s="338"/>
      <c r="M201" s="338"/>
      <c r="N201" s="338"/>
      <c r="O201" s="338"/>
      <c r="P201" s="338"/>
      <c r="Q201" s="338"/>
      <c r="R201" s="410"/>
      <c r="S201" s="410">
        <f>SUM(I201:N201,P201:R201)</f>
        <v>0</v>
      </c>
    </row>
    <row r="202" spans="2:21" x14ac:dyDescent="0.2">
      <c r="B202" s="338"/>
      <c r="C202" s="340"/>
      <c r="D202" s="340"/>
      <c r="E202" s="338"/>
      <c r="F202" s="653"/>
      <c r="G202" s="348" t="s">
        <v>970</v>
      </c>
      <c r="H202" s="338"/>
      <c r="I202" s="416">
        <f>I170+I200</f>
        <v>0</v>
      </c>
      <c r="J202" s="416">
        <f t="shared" ref="J202:O202" si="71">J170+J200</f>
        <v>0</v>
      </c>
      <c r="K202" s="416">
        <f t="shared" si="71"/>
        <v>0</v>
      </c>
      <c r="L202" s="416">
        <f t="shared" si="71"/>
        <v>0</v>
      </c>
      <c r="M202" s="416">
        <f t="shared" si="71"/>
        <v>0</v>
      </c>
      <c r="N202" s="416">
        <f t="shared" si="71"/>
        <v>0</v>
      </c>
      <c r="O202" s="416">
        <f t="shared" si="71"/>
        <v>0</v>
      </c>
      <c r="P202" s="338"/>
      <c r="Q202" s="338"/>
      <c r="R202" s="410"/>
      <c r="S202" s="410"/>
    </row>
    <row r="203" spans="2:21" x14ac:dyDescent="0.2">
      <c r="B203" s="338"/>
      <c r="C203" s="340"/>
      <c r="D203" s="340"/>
      <c r="E203" s="338"/>
      <c r="F203" s="653"/>
      <c r="G203" s="34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410"/>
      <c r="S203" s="410"/>
    </row>
    <row r="204" spans="2:21" x14ac:dyDescent="0.2">
      <c r="B204" s="338"/>
      <c r="C204" s="340"/>
      <c r="D204" s="340"/>
      <c r="E204" s="338"/>
      <c r="F204" s="653" t="s">
        <v>925</v>
      </c>
      <c r="G204" s="348" t="s">
        <v>532</v>
      </c>
      <c r="H204" s="338"/>
      <c r="I204" s="416">
        <f>SUMIFS('Bruise Report-Tariff'!$C$5:$C$2994,'Bruise Report-Tariff'!$A$5:$A$2994,'Mar16-Aug16 FT-TS-Cashout-LG&amp;E'!I$4,'Bruise Report-Tariff'!$B$5:$B$2994,'Mar16-Aug16 FT-TS-Cashout-LG&amp;E'!$F$204)</f>
        <v>0</v>
      </c>
      <c r="J204" s="416">
        <f>SUMIFS('Bruise Report-Tariff'!$C$5:$C$2994,'Bruise Report-Tariff'!$A$5:$A$2994,'Mar16-Aug16 FT-TS-Cashout-LG&amp;E'!J$4,'Bruise Report-Tariff'!$B$5:$B$2994,'Mar16-Aug16 FT-TS-Cashout-LG&amp;E'!$F$204)</f>
        <v>0</v>
      </c>
      <c r="K204" s="416">
        <f>SUMIFS('Bruise Report-Tariff'!$C$5:$C$2994,'Bruise Report-Tariff'!$A$5:$A$2994,'Mar16-Aug16 FT-TS-Cashout-LG&amp;E'!K$4,'Bruise Report-Tariff'!$B$5:$B$2994,'Mar16-Aug16 FT-TS-Cashout-LG&amp;E'!$F$204)</f>
        <v>0</v>
      </c>
      <c r="L204" s="416">
        <f>SUMIFS('Bruise Report-Tariff'!$C$5:$C$2994,'Bruise Report-Tariff'!$A$5:$A$2994,'Mar16-Aug16 FT-TS-Cashout-LG&amp;E'!L$4,'Bruise Report-Tariff'!$B$5:$B$2994,'Mar16-Aug16 FT-TS-Cashout-LG&amp;E'!$F$204)</f>
        <v>0</v>
      </c>
      <c r="M204" s="416">
        <f>SUMIFS('Bruise Report-Tariff'!$C$5:$C$2994,'Bruise Report-Tariff'!$A$5:$A$2994,'Mar16-Aug16 FT-TS-Cashout-LG&amp;E'!M$4,'Bruise Report-Tariff'!$B$5:$B$2994,'Mar16-Aug16 FT-TS-Cashout-LG&amp;E'!$F$204)</f>
        <v>0</v>
      </c>
      <c r="N204" s="416">
        <f>SUMIFS('Bruise Report-Tariff'!$C$5:$C$2994,'Bruise Report-Tariff'!$A$5:$A$2994,'Mar16-Aug16 FT-TS-Cashout-LG&amp;E'!N$4,'Bruise Report-Tariff'!$B$5:$B$2994,'Mar16-Aug16 FT-TS-Cashout-LG&amp;E'!$F$204)</f>
        <v>0</v>
      </c>
      <c r="O204" s="416">
        <f>SUMIFS('Bruise Report-Tariff'!$C$5:$C$2994,'Bruise Report-Tariff'!$A$5:$A$2994,'Mar16-Aug16 FT-TS-Cashout-LG&amp;E'!O$4,'Bruise Report-Tariff'!$B$5:$B$2994,'Mar16-Aug16 FT-TS-Cashout-LG&amp;E'!$F$204)</f>
        <v>0</v>
      </c>
      <c r="P204" s="338"/>
      <c r="Q204" s="338"/>
      <c r="R204" s="410"/>
      <c r="S204" s="410"/>
    </row>
    <row r="205" spans="2:21" x14ac:dyDescent="0.2">
      <c r="B205" s="338"/>
      <c r="C205" s="340"/>
      <c r="D205" s="340"/>
      <c r="E205" s="338"/>
      <c r="F205" s="653"/>
      <c r="G205" s="348"/>
      <c r="H205" s="338"/>
      <c r="I205" s="338"/>
      <c r="J205" s="338"/>
      <c r="K205" s="338"/>
      <c r="L205" s="338"/>
      <c r="M205" s="338"/>
      <c r="N205" s="338"/>
      <c r="O205" s="338"/>
      <c r="P205" s="338"/>
      <c r="Q205" s="338"/>
      <c r="R205" s="410"/>
      <c r="S205" s="410"/>
    </row>
    <row r="206" spans="2:21" x14ac:dyDescent="0.2">
      <c r="B206" s="338"/>
      <c r="C206" s="340"/>
      <c r="D206" s="340"/>
      <c r="E206" s="338"/>
      <c r="F206" s="653"/>
      <c r="G206" s="348" t="s">
        <v>262</v>
      </c>
      <c r="H206" s="338"/>
      <c r="I206" s="416">
        <f>I202-I204</f>
        <v>0</v>
      </c>
      <c r="J206" s="416">
        <f t="shared" ref="J206:O206" si="72">J202-J204</f>
        <v>0</v>
      </c>
      <c r="K206" s="416">
        <f t="shared" si="72"/>
        <v>0</v>
      </c>
      <c r="L206" s="416">
        <f t="shared" si="72"/>
        <v>0</v>
      </c>
      <c r="M206" s="416">
        <f t="shared" si="72"/>
        <v>0</v>
      </c>
      <c r="N206" s="416">
        <f t="shared" si="72"/>
        <v>0</v>
      </c>
      <c r="O206" s="416">
        <f t="shared" si="72"/>
        <v>0</v>
      </c>
      <c r="P206" s="338"/>
      <c r="Q206" s="338"/>
      <c r="R206" s="410"/>
      <c r="S206" s="410"/>
    </row>
    <row r="207" spans="2:21" x14ac:dyDescent="0.2">
      <c r="B207" s="338"/>
      <c r="C207" s="340"/>
      <c r="D207" s="340"/>
      <c r="E207" s="338"/>
      <c r="F207" s="348"/>
      <c r="G207" s="348"/>
      <c r="H207" s="338"/>
      <c r="I207" s="416"/>
      <c r="J207" s="416"/>
      <c r="K207" s="416"/>
      <c r="L207" s="416"/>
      <c r="M207" s="416"/>
      <c r="N207" s="416"/>
      <c r="O207" s="416"/>
      <c r="P207" s="410"/>
      <c r="Q207" s="410"/>
      <c r="R207" s="338"/>
      <c r="S207" s="338"/>
    </row>
    <row r="208" spans="2:21" x14ac:dyDescent="0.2">
      <c r="B208" s="338"/>
      <c r="C208" s="340"/>
      <c r="D208" s="340"/>
      <c r="E208" s="338"/>
      <c r="F208" s="348"/>
      <c r="G208" s="348"/>
      <c r="H208" s="338"/>
      <c r="I208" s="416"/>
      <c r="J208" s="416"/>
      <c r="K208" s="416"/>
      <c r="L208" s="416"/>
      <c r="M208" s="416"/>
      <c r="N208" s="416"/>
      <c r="O208" s="416"/>
      <c r="P208" s="410"/>
      <c r="Q208" s="410"/>
      <c r="R208" s="338"/>
      <c r="S208" s="338"/>
    </row>
    <row r="209" spans="2:25" x14ac:dyDescent="0.2">
      <c r="B209" s="338"/>
      <c r="C209" s="340"/>
      <c r="D209" s="340"/>
      <c r="E209" s="338"/>
      <c r="F209" s="340"/>
      <c r="G209" s="346"/>
      <c r="H209" s="338"/>
      <c r="I209" s="338"/>
      <c r="J209" s="338"/>
      <c r="K209" s="338"/>
      <c r="L209" s="338"/>
      <c r="M209" s="338"/>
      <c r="N209" s="338"/>
      <c r="O209" s="338"/>
      <c r="P209" s="338"/>
    </row>
    <row r="210" spans="2:25" ht="15" x14ac:dyDescent="0.25">
      <c r="B210" s="338"/>
      <c r="C210" s="340"/>
      <c r="D210" s="340"/>
      <c r="E210" s="338"/>
      <c r="F210" s="338"/>
      <c r="G210" s="657" t="s">
        <v>945</v>
      </c>
      <c r="H210" s="338"/>
      <c r="I210" s="338"/>
      <c r="J210" s="338"/>
      <c r="K210" s="338"/>
      <c r="L210" s="338"/>
      <c r="M210" s="338"/>
      <c r="N210" s="338"/>
      <c r="O210" s="338"/>
      <c r="P210" s="338"/>
      <c r="T210"/>
      <c r="U210"/>
      <c r="V210"/>
      <c r="W210"/>
      <c r="X210"/>
      <c r="Y210"/>
    </row>
    <row r="211" spans="2:25" ht="15" x14ac:dyDescent="0.25">
      <c r="B211" s="338"/>
      <c r="C211" s="338"/>
      <c r="D211" s="338"/>
      <c r="E211" s="338"/>
      <c r="F211" s="338"/>
      <c r="G211" s="339" t="s">
        <v>462</v>
      </c>
      <c r="H211" s="338"/>
      <c r="I211" s="340" t="s">
        <v>736</v>
      </c>
      <c r="J211" s="340"/>
      <c r="K211" s="340" t="s">
        <v>937</v>
      </c>
      <c r="L211" s="340"/>
      <c r="M211" s="340"/>
      <c r="N211" s="340"/>
      <c r="O211" s="340"/>
      <c r="P211" s="338"/>
      <c r="T211"/>
      <c r="U211"/>
      <c r="V211"/>
      <c r="W211"/>
      <c r="X211"/>
      <c r="Y211"/>
    </row>
    <row r="212" spans="2:25" ht="15" x14ac:dyDescent="0.25">
      <c r="B212" s="338"/>
      <c r="C212" s="340" t="s">
        <v>42</v>
      </c>
      <c r="D212" s="340" t="str">
        <f t="shared" ref="D212:D233" si="73">MID(C212,6,3)</f>
        <v>882</v>
      </c>
      <c r="E212" s="338" t="str">
        <f>VLOOKUP($C212,'Retail Rates'!$B$45:$R$53,3,FALSE)</f>
        <v>IGS-TS</v>
      </c>
      <c r="F212" s="340" t="s">
        <v>663</v>
      </c>
      <c r="G212" s="341" t="s">
        <v>268</v>
      </c>
      <c r="H212" s="338"/>
      <c r="I212" s="647">
        <f>+I225/I218</f>
        <v>4</v>
      </c>
      <c r="J212" s="647">
        <f>+J225/J218</f>
        <v>4</v>
      </c>
      <c r="K212" s="647">
        <f>K225/K218</f>
        <v>4</v>
      </c>
      <c r="L212" s="647">
        <f>+L225/L218</f>
        <v>4</v>
      </c>
      <c r="M212" s="647">
        <f>+M225/M218</f>
        <v>4</v>
      </c>
      <c r="N212" s="647">
        <f>+N225/N218</f>
        <v>4</v>
      </c>
      <c r="O212" s="647">
        <f>+O225/O218</f>
        <v>4</v>
      </c>
      <c r="P212" s="574">
        <f>SUM(J212:O212)</f>
        <v>24</v>
      </c>
      <c r="T212"/>
      <c r="U212"/>
      <c r="V212"/>
      <c r="W212"/>
      <c r="X212"/>
      <c r="Y212"/>
    </row>
    <row r="213" spans="2:25" ht="15" x14ac:dyDescent="0.25">
      <c r="B213" s="338"/>
      <c r="C213" s="340" t="s">
        <v>93</v>
      </c>
      <c r="D213" s="340" t="str">
        <f t="shared" si="73"/>
        <v>882</v>
      </c>
      <c r="E213" s="338" t="str">
        <f>VLOOKUP($C213,'Retail Rates'!$B$45:$R$58,3,FALSE)</f>
        <v>IGS-TS-PM</v>
      </c>
      <c r="F213" s="340" t="s">
        <v>663</v>
      </c>
      <c r="G213" s="341" t="s">
        <v>772</v>
      </c>
      <c r="H213" s="338"/>
      <c r="I213" s="446">
        <f>I226/I219</f>
        <v>7</v>
      </c>
      <c r="J213" s="446">
        <f>J226/J219</f>
        <v>7</v>
      </c>
      <c r="K213" s="446">
        <f>K226/K219</f>
        <v>7</v>
      </c>
      <c r="L213" s="446">
        <f>L226/L219</f>
        <v>7</v>
      </c>
      <c r="M213" s="446">
        <f>M226/M219</f>
        <v>7</v>
      </c>
      <c r="N213" s="446">
        <f>N226/N219</f>
        <v>7</v>
      </c>
      <c r="O213" s="446">
        <f>O226/O219</f>
        <v>7</v>
      </c>
      <c r="P213" s="574">
        <f>SUM(J213:O213)</f>
        <v>42</v>
      </c>
      <c r="T213"/>
      <c r="U213"/>
      <c r="V213"/>
      <c r="W213"/>
      <c r="X213"/>
      <c r="Y213"/>
    </row>
    <row r="214" spans="2:25" ht="15" x14ac:dyDescent="0.25">
      <c r="B214" s="338"/>
      <c r="C214" s="340" t="s">
        <v>42</v>
      </c>
      <c r="D214" s="340" t="str">
        <f t="shared" si="73"/>
        <v>882</v>
      </c>
      <c r="E214" s="338" t="str">
        <f>VLOOKUP($C214,'Retail Rates'!$B$45:$R$53,3,FALSE)</f>
        <v>IGS-TS</v>
      </c>
      <c r="F214" s="340" t="s">
        <v>663</v>
      </c>
      <c r="G214" s="341" t="s">
        <v>733</v>
      </c>
      <c r="H214" s="338"/>
      <c r="I214" s="408">
        <f>I216</f>
        <v>6427.1</v>
      </c>
      <c r="J214" s="408">
        <f>J216</f>
        <v>16641.3</v>
      </c>
      <c r="K214" s="408">
        <f>IF(K216=0,K216,IF(K216&gt;=(K212*100),(K212*100),K216))+1257.2</f>
        <v>1657.2</v>
      </c>
      <c r="L214" s="408">
        <f>IF(L216=0,L216,IF(L216&gt;=(L212*100),(L212*100),L216))</f>
        <v>400</v>
      </c>
      <c r="M214" s="408">
        <f>IF(M216=0,M216,IF(M216&gt;=(M212*100),(M212*100),M216))</f>
        <v>400</v>
      </c>
      <c r="N214" s="408">
        <f>IF(N216=0,N216,IF(N216&gt;=(N212*100),(N212*100),N216))</f>
        <v>400</v>
      </c>
      <c r="O214" s="408">
        <f>IF(O216=0,O216,IF(O216&gt;=(O212*100),(O212*100),O216))</f>
        <v>400</v>
      </c>
      <c r="P214" s="574">
        <f>SUM(J214:O214)</f>
        <v>19898.5</v>
      </c>
      <c r="T214"/>
      <c r="U214"/>
      <c r="V214"/>
      <c r="W214"/>
      <c r="X214"/>
      <c r="Y214"/>
    </row>
    <row r="215" spans="2:25" ht="15" x14ac:dyDescent="0.25">
      <c r="B215" s="338"/>
      <c r="C215" s="340" t="s">
        <v>42</v>
      </c>
      <c r="D215" s="340" t="str">
        <f t="shared" si="73"/>
        <v>882</v>
      </c>
      <c r="E215" s="338" t="str">
        <f>VLOOKUP($C215,'Retail Rates'!$B$45:$R$53,3,FALSE)</f>
        <v>IGS-TS</v>
      </c>
      <c r="F215" s="340" t="s">
        <v>663</v>
      </c>
      <c r="G215" s="341" t="s">
        <v>469</v>
      </c>
      <c r="H215" s="338"/>
      <c r="I215" s="408">
        <f t="shared" ref="I215:O215" si="74">+I216-I214</f>
        <v>0</v>
      </c>
      <c r="J215" s="408">
        <f t="shared" si="74"/>
        <v>0</v>
      </c>
      <c r="K215" s="408">
        <f t="shared" si="74"/>
        <v>24990.7</v>
      </c>
      <c r="L215" s="408">
        <f t="shared" si="74"/>
        <v>26889.7</v>
      </c>
      <c r="M215" s="408">
        <f t="shared" si="74"/>
        <v>34071</v>
      </c>
      <c r="N215" s="408">
        <f t="shared" si="74"/>
        <v>33881.5</v>
      </c>
      <c r="O215" s="408">
        <f t="shared" si="74"/>
        <v>40894</v>
      </c>
      <c r="P215" s="574">
        <f>SUM(J215:O215)</f>
        <v>160726.9</v>
      </c>
      <c r="T215"/>
      <c r="U215"/>
      <c r="V215"/>
      <c r="W215"/>
      <c r="X215"/>
      <c r="Y215"/>
    </row>
    <row r="216" spans="2:25" ht="15" x14ac:dyDescent="0.25">
      <c r="B216" s="338"/>
      <c r="C216" s="340" t="s">
        <v>42</v>
      </c>
      <c r="D216" s="340" t="str">
        <f t="shared" si="73"/>
        <v>882</v>
      </c>
      <c r="E216" s="338" t="str">
        <f>VLOOKUP($C216,'Retail Rates'!$B$45:$R$53,3,FALSE)</f>
        <v>IGS-TS</v>
      </c>
      <c r="F216" s="340" t="s">
        <v>663</v>
      </c>
      <c r="G216" s="341" t="s">
        <v>470</v>
      </c>
      <c r="H216" s="325" t="s">
        <v>518</v>
      </c>
      <c r="I216" s="411">
        <f>SUMIFS('Data FT-TS-Cashout-P'!$H$14:$H$4704,'Data FT-TS-Cashout-P'!$A$6:$A$4696,'Mar16-Aug16 FT-TS-Cashout-LG&amp;E'!I$4,'Data FT-TS-Cashout-P'!$B$14:$B$4704,'Mar16-Aug16 FT-TS-Cashout-LG&amp;E'!$C$216,'Data FT-TS-Cashout-P'!$D$14:$D$4704,'Mar16-Aug16 FT-TS-Cashout-LG&amp;E'!$F$216,'Data FT-TS-Cashout-P'!$E$14:$E$4704,'Mar16-Aug16 FT-TS-Cashout-LG&amp;E'!$H$216,'Data FT-TS-Cashout-P'!$F$14:$F$4704,'Mar16-Aug16 FT-TS-Cashout-LG&amp;E'!I$6)/10</f>
        <v>6427.1</v>
      </c>
      <c r="J216" s="411">
        <f>SUMIFS('Data FT-TS-Cashout-P'!$H$14:$H$4704,'Data FT-TS-Cashout-P'!$A$6:$A$4696,'Mar16-Aug16 FT-TS-Cashout-LG&amp;E'!J$4,'Data FT-TS-Cashout-P'!$B$14:$B$4704,'Mar16-Aug16 FT-TS-Cashout-LG&amp;E'!$C$216,'Data FT-TS-Cashout-P'!$D$14:$D$4704,'Mar16-Aug16 FT-TS-Cashout-LG&amp;E'!$F$216,'Data FT-TS-Cashout-P'!$E$14:$E$4704,'Mar16-Aug16 FT-TS-Cashout-LG&amp;E'!$H$216,'Data FT-TS-Cashout-P'!$F$14:$F$4704,'Mar16-Aug16 FT-TS-Cashout-LG&amp;E'!J$6)/10</f>
        <v>16641.3</v>
      </c>
      <c r="K216" s="411">
        <f>SUMIFS('Data FT-TS-Cashout-P'!$H$14:$H$4704,'Data FT-TS-Cashout-P'!$A$6:$A$4696,'Mar16-Aug16 FT-TS-Cashout-LG&amp;E'!K$4,'Data FT-TS-Cashout-P'!$B$14:$B$4704,'Mar16-Aug16 FT-TS-Cashout-LG&amp;E'!$C$216,'Data FT-TS-Cashout-P'!$D$14:$D$4704,'Mar16-Aug16 FT-TS-Cashout-LG&amp;E'!$F$216,'Data FT-TS-Cashout-P'!$E$14:$E$4704,'Mar16-Aug16 FT-TS-Cashout-LG&amp;E'!$H$216,'Data FT-TS-Cashout-P'!$F$14:$F$4704,'Mar16-Aug16 FT-TS-Cashout-LG&amp;E'!K$6)/10</f>
        <v>26647.9</v>
      </c>
      <c r="L216" s="411">
        <f>SUMIFS('Data FT-TS-Cashout-P'!$H$14:$H$4704,'Data FT-TS-Cashout-P'!$A$6:$A$4696,'Mar16-Aug16 FT-TS-Cashout-LG&amp;E'!L$4,'Data FT-TS-Cashout-P'!$B$14:$B$4704,'Mar16-Aug16 FT-TS-Cashout-LG&amp;E'!$C$234,'Data FT-TS-Cashout-P'!$D$14:$D$4704,'Mar16-Aug16 FT-TS-Cashout-LG&amp;E'!$F$216,'Data FT-TS-Cashout-P'!$E$14:$E$4704,'Mar16-Aug16 FT-TS-Cashout-LG&amp;E'!$H$216,'Data FT-TS-Cashout-P'!$F$14:$F$4704,'Mar16-Aug16 FT-TS-Cashout-LG&amp;E'!L$7)/10</f>
        <v>27289.7</v>
      </c>
      <c r="M216" s="411">
        <f>SUMIFS('Data FT-TS-Cashout-P'!$H$14:$H$4704,'Data FT-TS-Cashout-P'!$A$6:$A$4696,'Mar16-Aug16 FT-TS-Cashout-LG&amp;E'!M$4,'Data FT-TS-Cashout-P'!$B$14:$B$4704,'Mar16-Aug16 FT-TS-Cashout-LG&amp;E'!$C$234,'Data FT-TS-Cashout-P'!$D$14:$D$4704,'Mar16-Aug16 FT-TS-Cashout-LG&amp;E'!$F$216,'Data FT-TS-Cashout-P'!$E$14:$E$4704,'Mar16-Aug16 FT-TS-Cashout-LG&amp;E'!$H$216,'Data FT-TS-Cashout-P'!$F$14:$F$4704,'Mar16-Aug16 FT-TS-Cashout-LG&amp;E'!M$6)/10</f>
        <v>34471</v>
      </c>
      <c r="N216" s="411">
        <f>SUMIFS('Data FT-TS-Cashout-P'!$H$14:$H$4704,'Data FT-TS-Cashout-P'!$A$6:$A$4696,'Mar16-Aug16 FT-TS-Cashout-LG&amp;E'!N$4,'Data FT-TS-Cashout-P'!$B$14:$B$4704,'Mar16-Aug16 FT-TS-Cashout-LG&amp;E'!$C$234,'Data FT-TS-Cashout-P'!$D$14:$D$4704,'Mar16-Aug16 FT-TS-Cashout-LG&amp;E'!$F$216,'Data FT-TS-Cashout-P'!$E$14:$E$4704,'Mar16-Aug16 FT-TS-Cashout-LG&amp;E'!$H$216,'Data FT-TS-Cashout-P'!$F$14:$F$4704,'Mar16-Aug16 FT-TS-Cashout-LG&amp;E'!N$6)/10</f>
        <v>34281.5</v>
      </c>
      <c r="O216" s="411">
        <f>SUMIFS('Data FT-TS-Cashout-P'!$H$14:$H$4704,'Data FT-TS-Cashout-P'!$A$6:$A$4696,'Mar16-Aug16 FT-TS-Cashout-LG&amp;E'!O$4,'Data FT-TS-Cashout-P'!$B$14:$B$4704,'Mar16-Aug16 FT-TS-Cashout-LG&amp;E'!$C$234,'Data FT-TS-Cashout-P'!$D$14:$D$4704,'Mar16-Aug16 FT-TS-Cashout-LG&amp;E'!$F$216,'Data FT-TS-Cashout-P'!$E$14:$E$4704,'Mar16-Aug16 FT-TS-Cashout-LG&amp;E'!$H$216,'Data FT-TS-Cashout-P'!$F$14:$F$4704,'Mar16-Aug16 FT-TS-Cashout-LG&amp;E'!O$6)/10</f>
        <v>41294</v>
      </c>
      <c r="P216" s="574">
        <f>SUM(J216:O216)</f>
        <v>180625.4</v>
      </c>
      <c r="R216" s="412"/>
      <c r="T216"/>
      <c r="U216"/>
      <c r="V216"/>
      <c r="W216"/>
      <c r="X216"/>
      <c r="Y216"/>
    </row>
    <row r="217" spans="2:25" ht="15" x14ac:dyDescent="0.25">
      <c r="B217" s="338"/>
      <c r="C217" s="340" t="s">
        <v>42</v>
      </c>
      <c r="D217" s="340" t="str">
        <f t="shared" si="73"/>
        <v>882</v>
      </c>
      <c r="E217" s="338" t="str">
        <f>VLOOKUP($C217,'Retail Rates'!$B$45:$R$53,3,FALSE)</f>
        <v>IGS-TS</v>
      </c>
      <c r="F217" s="340" t="s">
        <v>663</v>
      </c>
      <c r="G217" s="342"/>
      <c r="H217" s="338"/>
      <c r="I217" s="338"/>
      <c r="J217" s="338"/>
      <c r="K217" s="338"/>
      <c r="L217" s="338"/>
      <c r="M217" s="338"/>
      <c r="N217" s="338"/>
      <c r="O217" s="338"/>
      <c r="P217" s="338"/>
      <c r="T217"/>
      <c r="U217"/>
      <c r="V217"/>
      <c r="W217"/>
      <c r="X217"/>
      <c r="Y217"/>
    </row>
    <row r="218" spans="2:25" ht="15" x14ac:dyDescent="0.25">
      <c r="B218" s="338"/>
      <c r="C218" s="340" t="s">
        <v>42</v>
      </c>
      <c r="D218" s="340" t="str">
        <f t="shared" si="73"/>
        <v>882</v>
      </c>
      <c r="E218" s="338" t="str">
        <f>VLOOKUP($C218,'Retail Rates'!$B$45:$R$53,3,FALSE)</f>
        <v>IGS-TS</v>
      </c>
      <c r="F218" s="340" t="s">
        <v>663</v>
      </c>
      <c r="G218" s="341" t="s">
        <v>270</v>
      </c>
      <c r="H218" s="338"/>
      <c r="I218" s="338">
        <f>VLOOKUP($C218,'Retail Rates'!$B$44:$O$53,6,FALSE)</f>
        <v>550</v>
      </c>
      <c r="J218" s="338">
        <f>VLOOKUP($C218,'Retail Rates'!$B$44:$O$53,6,FALSE)</f>
        <v>550</v>
      </c>
      <c r="K218" s="338">
        <f>VLOOKUP($C218,'Retail Rates'!$B$44:$O$53,6,FALSE)</f>
        <v>550</v>
      </c>
      <c r="L218" s="338">
        <f>VLOOKUP($C218,'Retail Rates'!$B$44:$O$53,6,FALSE)</f>
        <v>550</v>
      </c>
      <c r="M218" s="338">
        <f>VLOOKUP($C218,'Retail Rates'!$B$44:$O$53,6,FALSE)</f>
        <v>550</v>
      </c>
      <c r="N218" s="338">
        <f>VLOOKUP($C218,'Retail Rates'!$B$44:$O$53,6,FALSE)</f>
        <v>550</v>
      </c>
      <c r="O218" s="338">
        <f>VLOOKUP($C218,'Retail Rates'!$B$44:$O$53,6,FALSE)</f>
        <v>550</v>
      </c>
      <c r="P218" s="338"/>
      <c r="T218"/>
      <c r="U218"/>
      <c r="V218"/>
      <c r="W218"/>
      <c r="X218"/>
      <c r="Y218"/>
    </row>
    <row r="219" spans="2:25" ht="15" x14ac:dyDescent="0.25">
      <c r="B219" s="338"/>
      <c r="C219" s="340" t="s">
        <v>93</v>
      </c>
      <c r="D219" s="340" t="str">
        <f>MID(C219,6,3)</f>
        <v>882</v>
      </c>
      <c r="E219" s="338" t="str">
        <f>VLOOKUP($C219,'Retail Rates'!$B$45:$R$58,3,FALSE)</f>
        <v>IGS-TS-PM</v>
      </c>
      <c r="F219" s="340" t="s">
        <v>663</v>
      </c>
      <c r="G219" s="341" t="s">
        <v>732</v>
      </c>
      <c r="H219" s="338"/>
      <c r="I219" s="338">
        <f>VLOOKUP($C219,'Retail Rates'!$B$44:$O$58,9,FALSE)</f>
        <v>75</v>
      </c>
      <c r="J219" s="338">
        <f>VLOOKUP($C219,'Retail Rates'!$B$44:$O$58,9,FALSE)</f>
        <v>75</v>
      </c>
      <c r="K219" s="338">
        <f>VLOOKUP($C219,'Retail Rates'!$B$44:$O$58,9,FALSE)</f>
        <v>75</v>
      </c>
      <c r="L219" s="338">
        <f>VLOOKUP($C219,'Retail Rates'!$B$44:$O$58,9,FALSE)</f>
        <v>75</v>
      </c>
      <c r="M219" s="338">
        <f>VLOOKUP($C219,'Retail Rates'!$B$44:$O$58,9,FALSE)</f>
        <v>75</v>
      </c>
      <c r="N219" s="338">
        <f>VLOOKUP($C219,'Retail Rates'!$B$44:$O$58,9,FALSE)</f>
        <v>75</v>
      </c>
      <c r="O219" s="338">
        <f>VLOOKUP($C219,'Retail Rates'!$B$44:$O$58,9,FALSE)</f>
        <v>75</v>
      </c>
      <c r="P219" s="338"/>
      <c r="T219"/>
      <c r="U219"/>
      <c r="V219"/>
      <c r="W219"/>
      <c r="X219"/>
      <c r="Y219"/>
    </row>
    <row r="220" spans="2:25" ht="15" x14ac:dyDescent="0.25">
      <c r="B220" s="338"/>
      <c r="C220" s="340" t="s">
        <v>42</v>
      </c>
      <c r="D220" s="340" t="str">
        <f t="shared" si="73"/>
        <v>882</v>
      </c>
      <c r="E220" s="338" t="str">
        <f>VLOOKUP($C220,'Retail Rates'!$B$45:$R$53,3,FALSE)</f>
        <v>IGS-TS</v>
      </c>
      <c r="F220" s="340" t="s">
        <v>663</v>
      </c>
      <c r="G220" s="341" t="s">
        <v>734</v>
      </c>
      <c r="H220" s="338"/>
      <c r="I220" s="338">
        <f>VLOOKUP($C220,'Retail Rates'!$B$44:$O$53,7,FALSE)</f>
        <v>2.2778999999999998</v>
      </c>
      <c r="J220" s="338">
        <f>VLOOKUP($C220,'Retail Rates'!$B$44:$O$53,7,FALSE)</f>
        <v>2.2778999999999998</v>
      </c>
      <c r="K220" s="338">
        <f>VLOOKUP($C220,'Retail Rates'!$B$44:$O$53,7,FALSE)</f>
        <v>2.2778999999999998</v>
      </c>
      <c r="L220" s="338">
        <f>VLOOKUP($C220,'Retail Rates'!$B$44:$O$53,7,FALSE)</f>
        <v>2.2778999999999998</v>
      </c>
      <c r="M220" s="338">
        <f>VLOOKUP($C220,'Retail Rates'!$B$44:$O$53,7,FALSE)</f>
        <v>2.2778999999999998</v>
      </c>
      <c r="N220" s="338">
        <f>VLOOKUP($C220,'Retail Rates'!$B$44:$O$53,7,FALSE)</f>
        <v>2.2778999999999998</v>
      </c>
      <c r="O220" s="338">
        <f>VLOOKUP($C220,'Retail Rates'!$B$44:$O$53,7,FALSE)</f>
        <v>2.2778999999999998</v>
      </c>
      <c r="P220" s="338"/>
      <c r="T220"/>
      <c r="U220"/>
      <c r="V220"/>
      <c r="W220"/>
      <c r="X220"/>
      <c r="Y220"/>
    </row>
    <row r="221" spans="2:25" x14ac:dyDescent="0.2">
      <c r="B221" s="338"/>
      <c r="C221" s="340" t="s">
        <v>42</v>
      </c>
      <c r="D221" s="340" t="str">
        <f t="shared" si="73"/>
        <v>882</v>
      </c>
      <c r="E221" s="338" t="str">
        <f>VLOOKUP($C221,'Retail Rates'!$B$45:$R$53,3,FALSE)</f>
        <v>IGS-TS</v>
      </c>
      <c r="F221" s="340" t="s">
        <v>663</v>
      </c>
      <c r="G221" s="341" t="s">
        <v>735</v>
      </c>
      <c r="H221" s="338"/>
      <c r="I221" s="338">
        <f t="shared" ref="I221:O221" si="75">+I220-0.5</f>
        <v>1.7778999999999998</v>
      </c>
      <c r="J221" s="338">
        <f t="shared" si="75"/>
        <v>1.7778999999999998</v>
      </c>
      <c r="K221" s="338">
        <f t="shared" si="75"/>
        <v>1.7778999999999998</v>
      </c>
      <c r="L221" s="338">
        <f t="shared" si="75"/>
        <v>1.7778999999999998</v>
      </c>
      <c r="M221" s="338">
        <f t="shared" si="75"/>
        <v>1.7778999999999998</v>
      </c>
      <c r="N221" s="338">
        <f t="shared" si="75"/>
        <v>1.7778999999999998</v>
      </c>
      <c r="O221" s="338">
        <f t="shared" si="75"/>
        <v>1.7778999999999998</v>
      </c>
      <c r="P221" s="338"/>
      <c r="T221" s="587"/>
      <c r="U221" s="587"/>
      <c r="V221" s="587"/>
      <c r="W221" s="587"/>
      <c r="X221" s="587"/>
      <c r="Y221" s="587"/>
    </row>
    <row r="222" spans="2:25" x14ac:dyDescent="0.2">
      <c r="B222" s="338"/>
      <c r="C222" s="340" t="s">
        <v>42</v>
      </c>
      <c r="D222" s="340" t="str">
        <f t="shared" si="73"/>
        <v>882</v>
      </c>
      <c r="E222" s="338" t="str">
        <f>VLOOKUP($C222,'Retail Rates'!$B$45:$R$53,3,FALSE)</f>
        <v>IGS-TS</v>
      </c>
      <c r="F222" s="340" t="s">
        <v>663</v>
      </c>
      <c r="G222" s="341" t="s">
        <v>257</v>
      </c>
      <c r="H222" s="338"/>
      <c r="I222" s="409">
        <f>SUMIF('GSC-DSM-GLT Factors'!$A$11:$A$58,'Mar16-Aug16 FT-TS-Cashout-LG&amp;E'!I$5,'GSC-DSM-GLT Factors'!$H$11:$H$58)</f>
        <v>0.83650000000000002</v>
      </c>
      <c r="J222" s="409">
        <f>SUMIF('GSC-DSM-GLT Factors'!$A$11:$A$58,'Mar16-Aug16 FT-TS-Cashout-LG&amp;E'!J$5,'GSC-DSM-GLT Factors'!$H$11:$H$58)</f>
        <v>0.83650000000000002</v>
      </c>
      <c r="K222" s="409">
        <f>SUMIF('GSC-DSM-GLT Factors'!$A$11:$A$58,'Mar16-Aug16 FT-TS-Cashout-LG&amp;E'!K$5,'GSC-DSM-GLT Factors'!$H$11:$H$58)</f>
        <v>0.83650000000000002</v>
      </c>
      <c r="L222" s="409">
        <f>SUMIF('GSC-DSM-GLT Factors'!$A$11:$A$58,'Mar16-Aug16 FT-TS-Cashout-LG&amp;E'!L$5,'GSC-DSM-GLT Factors'!$H$11:$H$58)</f>
        <v>0.84419999999999995</v>
      </c>
      <c r="M222" s="409">
        <f>SUMIF('GSC-DSM-GLT Factors'!$A$11:$A$58,'Mar16-Aug16 FT-TS-Cashout-LG&amp;E'!M$5,'GSC-DSM-GLT Factors'!$H$11:$H$58)</f>
        <v>0.84419999999999995</v>
      </c>
      <c r="N222" s="409">
        <f>SUMIF('GSC-DSM-GLT Factors'!$A$11:$A$58,'Mar16-Aug16 FT-TS-Cashout-LG&amp;E'!N$5,'GSC-DSM-GLT Factors'!$H$11:$H$58)</f>
        <v>0.84419999999999995</v>
      </c>
      <c r="O222" s="409">
        <f>SUMIF('GSC-DSM-GLT Factors'!$A$11:$A$58,'Mar16-Aug16 FT-TS-Cashout-LG&amp;E'!O$5,'GSC-DSM-GLT Factors'!$H$11:$H$58)</f>
        <v>0.83909999999999996</v>
      </c>
      <c r="P222" s="338"/>
    </row>
    <row r="223" spans="2:25" x14ac:dyDescent="0.2">
      <c r="B223" s="338"/>
      <c r="C223" s="340" t="s">
        <v>42</v>
      </c>
      <c r="D223" s="340" t="str">
        <f t="shared" si="73"/>
        <v>882</v>
      </c>
      <c r="E223" s="338" t="str">
        <f>VLOOKUP($C223,'Retail Rates'!$B$45:$R$53,3,FALSE)</f>
        <v>IGS-TS</v>
      </c>
      <c r="F223" s="340" t="s">
        <v>663</v>
      </c>
      <c r="G223" s="341"/>
      <c r="H223" s="338"/>
      <c r="I223" s="338"/>
      <c r="J223" s="338"/>
      <c r="K223" s="338"/>
      <c r="L223" s="338"/>
      <c r="M223" s="338"/>
      <c r="N223" s="338"/>
      <c r="O223" s="338"/>
      <c r="P223" s="338"/>
    </row>
    <row r="224" spans="2:25" x14ac:dyDescent="0.2">
      <c r="B224" s="338"/>
      <c r="C224" s="340" t="s">
        <v>42</v>
      </c>
      <c r="D224" s="340" t="str">
        <f t="shared" si="73"/>
        <v>882</v>
      </c>
      <c r="E224" s="338" t="str">
        <f>VLOOKUP($C224,'Retail Rates'!$B$45:$R$53,3,FALSE)</f>
        <v>IGS-TS</v>
      </c>
      <c r="F224" s="340" t="s">
        <v>663</v>
      </c>
      <c r="G224" s="343" t="s">
        <v>273</v>
      </c>
      <c r="H224" s="338"/>
      <c r="I224" s="338"/>
      <c r="J224" s="338"/>
      <c r="K224" s="338"/>
      <c r="L224" s="338"/>
      <c r="M224" s="338"/>
      <c r="N224" s="338"/>
      <c r="O224" s="338"/>
      <c r="P224" s="410"/>
    </row>
    <row r="225" spans="2:25" x14ac:dyDescent="0.2">
      <c r="B225" s="338"/>
      <c r="C225" s="340" t="s">
        <v>42</v>
      </c>
      <c r="D225" s="340" t="str">
        <f t="shared" si="73"/>
        <v>882</v>
      </c>
      <c r="E225" s="338" t="str">
        <f>VLOOKUP($C225,'Retail Rates'!$B$45:$R$53,3,FALSE)</f>
        <v>IGS-TS</v>
      </c>
      <c r="F225" s="340" t="s">
        <v>663</v>
      </c>
      <c r="G225" s="341" t="s">
        <v>270</v>
      </c>
      <c r="H225" s="325" t="s">
        <v>524</v>
      </c>
      <c r="I225" s="396">
        <f>SUMIFS('Data FT-TS-Cashout-P'!$I$14:$I$4704,'Data FT-TS-Cashout-P'!$A$14:$A$4704,'Mar16-Aug16 FT-TS-Cashout-LG&amp;E'!I$4,'Data FT-TS-Cashout-P'!$B$14:$B$4704,'Mar16-Aug16 FT-TS-Cashout-LG&amp;E'!$C$225,'Data FT-TS-Cashout-P'!$D$14:$D$4704,'Mar16-Aug16 FT-TS-Cashout-LG&amp;E'!$F$225,'Data FT-TS-Cashout-P'!$E$14:$E$4704,'Mar16-Aug16 FT-TS-Cashout-LG&amp;E'!$H$225,'Data FT-TS-Cashout-P'!$F$14:$F$4704,'Mar16-Aug16 FT-TS-Cashout-LG&amp;E'!I$6)</f>
        <v>2200</v>
      </c>
      <c r="J225" s="396">
        <f>SUMIFS('Data FT-TS-Cashout-P'!$I$14:$I$4704,'Data FT-TS-Cashout-P'!$A$14:$A$4704,'Mar16-Aug16 FT-TS-Cashout-LG&amp;E'!J$4,'Data FT-TS-Cashout-P'!$B$14:$B$4704,'Mar16-Aug16 FT-TS-Cashout-LG&amp;E'!$C$225,'Data FT-TS-Cashout-P'!$D$14:$D$4704,'Mar16-Aug16 FT-TS-Cashout-LG&amp;E'!$F$225,'Data FT-TS-Cashout-P'!$E$14:$E$4704,'Mar16-Aug16 FT-TS-Cashout-LG&amp;E'!$H$225,'Data FT-TS-Cashout-P'!$F$14:$F$4704,'Mar16-Aug16 FT-TS-Cashout-LG&amp;E'!J$6)</f>
        <v>2200</v>
      </c>
      <c r="K225" s="396">
        <f>SUMIFS('Data FT-TS-Cashout-P'!$I$14:$I$4704,'Data FT-TS-Cashout-P'!$A$14:$A$4704,'Mar16-Aug16 FT-TS-Cashout-LG&amp;E'!K$4,'Data FT-TS-Cashout-P'!$B$14:$B$4704,'Mar16-Aug16 FT-TS-Cashout-LG&amp;E'!$C$225,'Data FT-TS-Cashout-P'!$D$14:$D$4704,'Mar16-Aug16 FT-TS-Cashout-LG&amp;E'!$F$225,'Data FT-TS-Cashout-P'!$E$14:$E$4704,'Mar16-Aug16 FT-TS-Cashout-LG&amp;E'!$H$225,'Data FT-TS-Cashout-P'!$F$14:$F$4704,'Mar16-Aug16 FT-TS-Cashout-LG&amp;E'!K$6)</f>
        <v>2200</v>
      </c>
      <c r="L225" s="396">
        <f>SUMIFS('Data FT-TS-Cashout-P'!$I$14:$I$4704,'Data FT-TS-Cashout-P'!$A$14:$A$4704,'Mar16-Aug16 FT-TS-Cashout-LG&amp;E'!L$4,'Data FT-TS-Cashout-P'!$B$14:$B$4704,'Mar16-Aug16 FT-TS-Cashout-LG&amp;E'!$C$234,'Data FT-TS-Cashout-P'!$D$14:$D$4704,'Mar16-Aug16 FT-TS-Cashout-LG&amp;E'!$F$225,'Data FT-TS-Cashout-P'!$E$14:$E$4704,'Mar16-Aug16 FT-TS-Cashout-LG&amp;E'!$H$225,'Data FT-TS-Cashout-P'!$F$14:$F$4704,'Mar16-Aug16 FT-TS-Cashout-LG&amp;E'!L$7)</f>
        <v>2200</v>
      </c>
      <c r="M225" s="396">
        <f>SUMIFS('Data FT-TS-Cashout-P'!$I$14:$I$4704,'Data FT-TS-Cashout-P'!$A$14:$A$4704,'Mar16-Aug16 FT-TS-Cashout-LG&amp;E'!M$4,'Data FT-TS-Cashout-P'!$B$14:$B$4704,'Mar16-Aug16 FT-TS-Cashout-LG&amp;E'!$C$234,'Data FT-TS-Cashout-P'!$D$14:$D$4704,'Mar16-Aug16 FT-TS-Cashout-LG&amp;E'!$F$225,'Data FT-TS-Cashout-P'!$E$14:$E$4704,'Mar16-Aug16 FT-TS-Cashout-LG&amp;E'!$H$225,'Data FT-TS-Cashout-P'!$F$14:$F$4704,'Mar16-Aug16 FT-TS-Cashout-LG&amp;E'!M$6)</f>
        <v>2200</v>
      </c>
      <c r="N225" s="396">
        <f>SUMIFS('Data FT-TS-Cashout-P'!$I$14:$I$4704,'Data FT-TS-Cashout-P'!$A$14:$A$4704,'Mar16-Aug16 FT-TS-Cashout-LG&amp;E'!N$4,'Data FT-TS-Cashout-P'!$B$14:$B$4704,'Mar16-Aug16 FT-TS-Cashout-LG&amp;E'!$C$234,'Data FT-TS-Cashout-P'!$D$14:$D$4704,'Mar16-Aug16 FT-TS-Cashout-LG&amp;E'!$F$225,'Data FT-TS-Cashout-P'!$E$14:$E$4704,'Mar16-Aug16 FT-TS-Cashout-LG&amp;E'!$H$225,'Data FT-TS-Cashout-P'!$F$14:$F$4704,'Mar16-Aug16 FT-TS-Cashout-LG&amp;E'!N$6)</f>
        <v>2200</v>
      </c>
      <c r="O225" s="396">
        <f>SUMIFS('Data FT-TS-Cashout-P'!$I$14:$I$4704,'Data FT-TS-Cashout-P'!$A$14:$A$4704,'Mar16-Aug16 FT-TS-Cashout-LG&amp;E'!O$4,'Data FT-TS-Cashout-P'!$B$14:$B$4704,'Mar16-Aug16 FT-TS-Cashout-LG&amp;E'!$C$234,'Data FT-TS-Cashout-P'!$D$14:$D$4704,'Mar16-Aug16 FT-TS-Cashout-LG&amp;E'!$F$225,'Data FT-TS-Cashout-P'!$E$14:$E$4704,'Mar16-Aug16 FT-TS-Cashout-LG&amp;E'!$H$225,'Data FT-TS-Cashout-P'!$F$14:$F$4704,'Mar16-Aug16 FT-TS-Cashout-LG&amp;E'!O$6)</f>
        <v>2200</v>
      </c>
      <c r="P225" s="574">
        <f t="shared" ref="P225:P233" si="76">SUM(J225:O225)</f>
        <v>13200</v>
      </c>
      <c r="Q225" s="320">
        <f>+P225</f>
        <v>13200</v>
      </c>
    </row>
    <row r="226" spans="2:25" x14ac:dyDescent="0.2">
      <c r="B226" s="338"/>
      <c r="C226" s="340" t="s">
        <v>93</v>
      </c>
      <c r="D226" s="340" t="str">
        <f>MID(C226,6,3)</f>
        <v>882</v>
      </c>
      <c r="E226" s="338" t="str">
        <f>VLOOKUP($C226,'Retail Rates'!$B$45:$R$58,3,FALSE)</f>
        <v>IGS-TS-PM</v>
      </c>
      <c r="F226" s="340" t="s">
        <v>663</v>
      </c>
      <c r="G226" s="341" t="s">
        <v>731</v>
      </c>
      <c r="H226" s="325" t="s">
        <v>524</v>
      </c>
      <c r="I226" s="396">
        <f>SUMIFS('Data FT-TS-Cashout-P'!$I$14:$I$4704,'Data FT-TS-Cashout-P'!$A$14:$A$4704,'Mar16-Aug16 FT-TS-Cashout-LG&amp;E'!I$4,'Data FT-TS-Cashout-P'!$B$14:$B$4704,'Mar16-Aug16 FT-TS-Cashout-LG&amp;E'!$C$226,'Data FT-TS-Cashout-P'!$D$14:$D$4704,'Mar16-Aug16 FT-TS-Cashout-LG&amp;E'!$F$226,'Data FT-TS-Cashout-P'!$E$14:$E$4704,'Mar16-Aug16 FT-TS-Cashout-LG&amp;E'!$H$226,'Data FT-TS-Cashout-P'!$F$14:$F$4704,'Mar16-Aug16 FT-TS-Cashout-LG&amp;E'!I$6)</f>
        <v>525</v>
      </c>
      <c r="J226" s="396">
        <f>SUMIFS('Data FT-TS-Cashout-P'!$I$14:$I$4704,'Data FT-TS-Cashout-P'!$A$14:$A$4704,'Mar16-Aug16 FT-TS-Cashout-LG&amp;E'!J$4,'Data FT-TS-Cashout-P'!$B$14:$B$4704,'Mar16-Aug16 FT-TS-Cashout-LG&amp;E'!$C$226,'Data FT-TS-Cashout-P'!$D$14:$D$4704,'Mar16-Aug16 FT-TS-Cashout-LG&amp;E'!$F$226,'Data FT-TS-Cashout-P'!$E$14:$E$4704,'Mar16-Aug16 FT-TS-Cashout-LG&amp;E'!$H$226,'Data FT-TS-Cashout-P'!$F$14:$F$4704,'Mar16-Aug16 FT-TS-Cashout-LG&amp;E'!J$6)</f>
        <v>525</v>
      </c>
      <c r="K226" s="396">
        <f>SUMIFS('Data FT-TS-Cashout-P'!$I$14:$I$4704,'Data FT-TS-Cashout-P'!$A$14:$A$4704,'Mar16-Aug16 FT-TS-Cashout-LG&amp;E'!K$4,'Data FT-TS-Cashout-P'!$B$14:$B$4704,'Mar16-Aug16 FT-TS-Cashout-LG&amp;E'!$C$226,'Data FT-TS-Cashout-P'!$D$14:$D$4704,'Mar16-Aug16 FT-TS-Cashout-LG&amp;E'!$F$226,'Data FT-TS-Cashout-P'!$E$14:$E$4704,'Mar16-Aug16 FT-TS-Cashout-LG&amp;E'!$H$226,'Data FT-TS-Cashout-P'!$F$14:$F$4704,'Mar16-Aug16 FT-TS-Cashout-LG&amp;E'!K$6)</f>
        <v>525</v>
      </c>
      <c r="L226" s="396">
        <f>SUMIFS('Data FT-TS-Cashout-P'!$I$14:$I$4704,'Data FT-TS-Cashout-P'!$A$14:$A$4704,'Mar16-Aug16 FT-TS-Cashout-LG&amp;E'!L$4,'Data FT-TS-Cashout-P'!$B$14:$B$4704,'Mar16-Aug16 FT-TS-Cashout-LG&amp;E'!$C$226,'Data FT-TS-Cashout-P'!$D$14:$D$4704,'Mar16-Aug16 FT-TS-Cashout-LG&amp;E'!$F$226,'Data FT-TS-Cashout-P'!$E$14:$E$4704,'Mar16-Aug16 FT-TS-Cashout-LG&amp;E'!$H$226,'Data FT-TS-Cashout-P'!$F$14:$F$4704,'Mar16-Aug16 FT-TS-Cashout-LG&amp;E'!L$7)</f>
        <v>525</v>
      </c>
      <c r="M226" s="396">
        <f>SUMIFS('Data FT-TS-Cashout-P'!$I$14:$I$4704,'Data FT-TS-Cashout-P'!$A$14:$A$4704,'Mar16-Aug16 FT-TS-Cashout-LG&amp;E'!M$4,'Data FT-TS-Cashout-P'!$B$14:$B$4704,'Mar16-Aug16 FT-TS-Cashout-LG&amp;E'!$C$226,'Data FT-TS-Cashout-P'!$D$14:$D$4704,'Mar16-Aug16 FT-TS-Cashout-LG&amp;E'!$F$226,'Data FT-TS-Cashout-P'!$E$14:$E$4704,'Mar16-Aug16 FT-TS-Cashout-LG&amp;E'!$H$226,'Data FT-TS-Cashout-P'!$F$14:$F$4704,'Mar16-Aug16 FT-TS-Cashout-LG&amp;E'!M$6)</f>
        <v>525</v>
      </c>
      <c r="N226" s="396">
        <f>SUMIFS('Data FT-TS-Cashout-P'!$I$14:$I$4704,'Data FT-TS-Cashout-P'!$A$14:$A$4704,'Mar16-Aug16 FT-TS-Cashout-LG&amp;E'!N$4,'Data FT-TS-Cashout-P'!$B$14:$B$4704,'Mar16-Aug16 FT-TS-Cashout-LG&amp;E'!$C$226,'Data FT-TS-Cashout-P'!$D$14:$D$4704,'Mar16-Aug16 FT-TS-Cashout-LG&amp;E'!$F$226,'Data FT-TS-Cashout-P'!$E$14:$E$4704,'Mar16-Aug16 FT-TS-Cashout-LG&amp;E'!$H$226,'Data FT-TS-Cashout-P'!$F$14:$F$4704,'Mar16-Aug16 FT-TS-Cashout-LG&amp;E'!N$6)</f>
        <v>525</v>
      </c>
      <c r="O226" s="396">
        <f>SUMIFS('Data FT-TS-Cashout-P'!$I$14:$I$4704,'Data FT-TS-Cashout-P'!$A$14:$A$4704,'Mar16-Aug16 FT-TS-Cashout-LG&amp;E'!O$4,'Data FT-TS-Cashout-P'!$B$14:$B$4704,'Mar16-Aug16 FT-TS-Cashout-LG&amp;E'!$C$226,'Data FT-TS-Cashout-P'!$D$14:$D$4704,'Mar16-Aug16 FT-TS-Cashout-LG&amp;E'!$F$226,'Data FT-TS-Cashout-P'!$E$14:$E$4704,'Mar16-Aug16 FT-TS-Cashout-LG&amp;E'!$H$226,'Data FT-TS-Cashout-P'!$F$14:$F$4704,'Mar16-Aug16 FT-TS-Cashout-LG&amp;E'!O$6)</f>
        <v>525</v>
      </c>
      <c r="P226" s="574">
        <f t="shared" si="76"/>
        <v>3150</v>
      </c>
    </row>
    <row r="227" spans="2:25" x14ac:dyDescent="0.2">
      <c r="B227" s="338"/>
      <c r="C227" s="340" t="s">
        <v>42</v>
      </c>
      <c r="D227" s="340" t="str">
        <f t="shared" si="73"/>
        <v>882</v>
      </c>
      <c r="E227" s="338" t="str">
        <f>VLOOKUP($C227,'Retail Rates'!$B$45:$R$53,3,FALSE)</f>
        <v>IGS-TS</v>
      </c>
      <c r="F227" s="340" t="s">
        <v>663</v>
      </c>
      <c r="G227" s="341" t="s">
        <v>473</v>
      </c>
      <c r="H227" s="338"/>
      <c r="I227" s="410">
        <f>ROUND(+I214*I220,2)</f>
        <v>14640.29</v>
      </c>
      <c r="J227" s="410">
        <f>ROUND(+J214*J220,2)</f>
        <v>37907.22</v>
      </c>
      <c r="K227" s="410">
        <f>ROUND((K214)*K220,2)</f>
        <v>3774.94</v>
      </c>
      <c r="L227" s="410">
        <f t="shared" ref="L227:O228" si="77">ROUND(+L214*L220,2)</f>
        <v>911.16</v>
      </c>
      <c r="M227" s="410">
        <f t="shared" si="77"/>
        <v>911.16</v>
      </c>
      <c r="N227" s="410">
        <f t="shared" si="77"/>
        <v>911.16</v>
      </c>
      <c r="O227" s="410">
        <f t="shared" si="77"/>
        <v>911.16</v>
      </c>
      <c r="P227" s="574">
        <f t="shared" si="76"/>
        <v>45326.800000000017</v>
      </c>
      <c r="Q227" s="320">
        <f>+P227</f>
        <v>45326.800000000017</v>
      </c>
    </row>
    <row r="228" spans="2:25" x14ac:dyDescent="0.2">
      <c r="B228" s="338"/>
      <c r="C228" s="340" t="s">
        <v>42</v>
      </c>
      <c r="D228" s="340" t="str">
        <f t="shared" si="73"/>
        <v>882</v>
      </c>
      <c r="E228" s="338" t="str">
        <f>VLOOKUP($C228,'Retail Rates'!$B$45:$R$53,3,FALSE)</f>
        <v>IGS-TS</v>
      </c>
      <c r="F228" s="340" t="s">
        <v>663</v>
      </c>
      <c r="G228" s="341" t="s">
        <v>474</v>
      </c>
      <c r="H228" s="338"/>
      <c r="I228" s="413">
        <f>ROUND(+I215*I221,2)</f>
        <v>0</v>
      </c>
      <c r="J228" s="413">
        <f>ROUND(+J215*J221,2)</f>
        <v>0</v>
      </c>
      <c r="K228" s="413">
        <f>ROUND((K215)*K221,2)</f>
        <v>44430.97</v>
      </c>
      <c r="L228" s="413">
        <f t="shared" si="77"/>
        <v>47807.199999999997</v>
      </c>
      <c r="M228" s="413">
        <f t="shared" si="77"/>
        <v>60574.83</v>
      </c>
      <c r="N228" s="413">
        <f t="shared" si="77"/>
        <v>60237.919999999998</v>
      </c>
      <c r="O228" s="413">
        <f t="shared" si="77"/>
        <v>72705.440000000002</v>
      </c>
      <c r="P228" s="574">
        <f t="shared" si="76"/>
        <v>285756.36</v>
      </c>
      <c r="Q228" s="320">
        <f>+P228</f>
        <v>285756.36</v>
      </c>
      <c r="R228" s="320">
        <f>SUM(Q225:Q228)</f>
        <v>344283.16000000003</v>
      </c>
    </row>
    <row r="229" spans="2:25" x14ac:dyDescent="0.2">
      <c r="B229" s="338"/>
      <c r="C229" s="340" t="s">
        <v>42</v>
      </c>
      <c r="D229" s="340" t="str">
        <f t="shared" si="73"/>
        <v>882</v>
      </c>
      <c r="E229" s="338" t="str">
        <f>VLOOKUP($C229,'Retail Rates'!$B$45:$R$53,3,FALSE)</f>
        <v>IGS-TS</v>
      </c>
      <c r="F229" s="340" t="s">
        <v>663</v>
      </c>
      <c r="G229" s="341" t="s">
        <v>276</v>
      </c>
      <c r="H229" s="338"/>
      <c r="I229" s="410">
        <f t="shared" ref="I229:O229" si="78">SUM(I225:I228)</f>
        <v>17365.29</v>
      </c>
      <c r="J229" s="410">
        <f t="shared" si="78"/>
        <v>40632.22</v>
      </c>
      <c r="K229" s="410">
        <f t="shared" si="78"/>
        <v>50930.91</v>
      </c>
      <c r="L229" s="410">
        <f t="shared" si="78"/>
        <v>51443.360000000001</v>
      </c>
      <c r="M229" s="410">
        <f t="shared" si="78"/>
        <v>64210.990000000005</v>
      </c>
      <c r="N229" s="410">
        <f t="shared" si="78"/>
        <v>63874.080000000002</v>
      </c>
      <c r="O229" s="410">
        <f t="shared" si="78"/>
        <v>76341.600000000006</v>
      </c>
      <c r="P229" s="574">
        <f t="shared" si="76"/>
        <v>347433.16000000003</v>
      </c>
    </row>
    <row r="230" spans="2:25" x14ac:dyDescent="0.2">
      <c r="B230" s="338"/>
      <c r="C230" s="340" t="s">
        <v>42</v>
      </c>
      <c r="D230" s="340" t="str">
        <f t="shared" si="73"/>
        <v>882</v>
      </c>
      <c r="E230" s="338" t="str">
        <f>VLOOKUP($C230,'Retail Rates'!$B$45:$R$53,3,FALSE)</f>
        <v>IGS-TS</v>
      </c>
      <c r="F230" s="340" t="s">
        <v>663</v>
      </c>
      <c r="G230" s="341" t="s">
        <v>257</v>
      </c>
      <c r="H230" s="338"/>
      <c r="I230" s="654">
        <f>I216*I222</f>
        <v>5376.2691500000001</v>
      </c>
      <c r="J230" s="654">
        <f t="shared" ref="J230:O230" si="79">J216*J222</f>
        <v>13920.44745</v>
      </c>
      <c r="K230" s="654">
        <f t="shared" si="79"/>
        <v>22290.968350000003</v>
      </c>
      <c r="L230" s="654">
        <f t="shared" si="79"/>
        <v>23037.964739999999</v>
      </c>
      <c r="M230" s="654">
        <f t="shared" si="79"/>
        <v>29100.4182</v>
      </c>
      <c r="N230" s="654">
        <f t="shared" si="79"/>
        <v>28940.442299999999</v>
      </c>
      <c r="O230" s="654">
        <f t="shared" si="79"/>
        <v>34649.795399999995</v>
      </c>
      <c r="P230" s="574">
        <f t="shared" si="76"/>
        <v>151940.03644</v>
      </c>
      <c r="R230" s="403"/>
    </row>
    <row r="231" spans="2:25" x14ac:dyDescent="0.2">
      <c r="B231" s="338"/>
      <c r="C231" s="340" t="s">
        <v>42</v>
      </c>
      <c r="D231" s="340" t="str">
        <f>MID(C231,6,3)</f>
        <v>882</v>
      </c>
      <c r="E231" s="338" t="str">
        <f>VLOOKUP($C231,'Retail Rates'!$B$45:$R$53,3,FALSE)</f>
        <v>IGS-TS</v>
      </c>
      <c r="F231" s="340" t="s">
        <v>663</v>
      </c>
      <c r="G231" s="341" t="s">
        <v>943</v>
      </c>
      <c r="H231" s="325" t="s">
        <v>729</v>
      </c>
      <c r="I231" s="655">
        <f>SUMIFS('Data FT-TS-Cashout-P'!$Q$14:$Q$4704,'Data FT-TS-Cashout-P'!$A$14:$A$4704,'Mar16-Aug16 FT-TS-Cashout-LG&amp;E'!I$4,'Data FT-TS-Cashout-P'!$B$14:$B$4704,'Mar16-Aug16 FT-TS-Cashout-LG&amp;E'!$C$231,'Data FT-TS-Cashout-P'!$D$14:$D$4704,'Mar16-Aug16 FT-TS-Cashout-LG&amp;E'!$F$231,'Data FT-TS-Cashout-P'!$E$14:$E$4704,'Mar16-Aug16 FT-TS-Cashout-LG&amp;E'!$H$231,'Data FT-TS-Cashout-P'!$F$14:$F$4704,'Mar16-Aug16 FT-TS-Cashout-LG&amp;E'!I$6)</f>
        <v>-994.51</v>
      </c>
      <c r="J231" s="655">
        <f>SUMIFS('Data FT-TS-Cashout-P'!$Q$14:$Q$4704,'Data FT-TS-Cashout-P'!$A$14:$A$4704,'Mar16-Aug16 FT-TS-Cashout-LG&amp;E'!J$4,'Data FT-TS-Cashout-P'!$B$14:$B$4704,'Mar16-Aug16 FT-TS-Cashout-LG&amp;E'!$C$231,'Data FT-TS-Cashout-P'!$D$14:$D$4704,'Mar16-Aug16 FT-TS-Cashout-LG&amp;E'!$F$231,'Data FT-TS-Cashout-P'!$E$14:$E$4704,'Mar16-Aug16 FT-TS-Cashout-LG&amp;E'!$H$231,'Data FT-TS-Cashout-P'!$F$14:$F$4704,'Mar16-Aug16 FT-TS-Cashout-LG&amp;E'!J$6)</f>
        <v>-904.59</v>
      </c>
      <c r="K231" s="655">
        <f>SUMIFS('Data FT-TS-Cashout-P'!$Q$14:$Q$4704,'Data FT-TS-Cashout-P'!$A$14:$A$4704,'Mar16-Aug16 FT-TS-Cashout-LG&amp;E'!K$4,'Data FT-TS-Cashout-P'!$B$14:$B$4704,'Mar16-Aug16 FT-TS-Cashout-LG&amp;E'!$C$231,'Data FT-TS-Cashout-P'!$D$14:$D$4704,'Mar16-Aug16 FT-TS-Cashout-LG&amp;E'!$F$231,'Data FT-TS-Cashout-P'!$E$14:$E$4704,'Mar16-Aug16 FT-TS-Cashout-LG&amp;E'!$H$231,'Data FT-TS-Cashout-P'!$F$14:$F$4704,'Mar16-Aug16 FT-TS-Cashout-LG&amp;E'!K$6)</f>
        <v>-1658.61</v>
      </c>
      <c r="L231" s="655">
        <f>SUMIFS('Data FT-TS-Cashout-P'!$Q$14:$Q$4704,'Data FT-TS-Cashout-P'!$A$14:$A$4704,'Mar16-Aug16 FT-TS-Cashout-LG&amp;E'!L$4,'Data FT-TS-Cashout-P'!$B$14:$B$4704,'Mar16-Aug16 FT-TS-Cashout-LG&amp;E'!$C$234,'Data FT-TS-Cashout-P'!$D$14:$D$4704,'Mar16-Aug16 FT-TS-Cashout-LG&amp;E'!$F$231,'Data FT-TS-Cashout-P'!$E$14:$E$4704,'Mar16-Aug16 FT-TS-Cashout-LG&amp;E'!$H$231,'Data FT-TS-Cashout-P'!$F$14:$F$4704,'Mar16-Aug16 FT-TS-Cashout-LG&amp;E'!L$7)</f>
        <v>3679.92</v>
      </c>
      <c r="M231" s="655">
        <f>SUMIFS('Data FT-TS-Cashout-P'!$Q$14:$Q$4704,'Data FT-TS-Cashout-P'!$A$14:$A$4704,'Mar16-Aug16 FT-TS-Cashout-LG&amp;E'!M$4,'Data FT-TS-Cashout-P'!$B$14:$B$4704,'Mar16-Aug16 FT-TS-Cashout-LG&amp;E'!$C$234,'Data FT-TS-Cashout-P'!$D$14:$D$4704,'Mar16-Aug16 FT-TS-Cashout-LG&amp;E'!$F$231,'Data FT-TS-Cashout-P'!$E$14:$E$4704,'Mar16-Aug16 FT-TS-Cashout-LG&amp;E'!$H$231,'Data FT-TS-Cashout-P'!$F$14:$F$4704,'Mar16-Aug16 FT-TS-Cashout-LG&amp;E'!M$6)</f>
        <v>6019.87</v>
      </c>
      <c r="N231" s="655">
        <f>SUMIFS('Data FT-TS-Cashout-P'!$Q$14:$Q$4704,'Data FT-TS-Cashout-P'!$A$14:$A$4704,'Mar16-Aug16 FT-TS-Cashout-LG&amp;E'!N$4,'Data FT-TS-Cashout-P'!$B$14:$B$4704,'Mar16-Aug16 FT-TS-Cashout-LG&amp;E'!$C$234,'Data FT-TS-Cashout-P'!$D$14:$D$4704,'Mar16-Aug16 FT-TS-Cashout-LG&amp;E'!$F$231,'Data FT-TS-Cashout-P'!$E$14:$E$4704,'Mar16-Aug16 FT-TS-Cashout-LG&amp;E'!$H$231,'Data FT-TS-Cashout-P'!$F$14:$F$4704,'Mar16-Aug16 FT-TS-Cashout-LG&amp;E'!N$6)</f>
        <v>5454.62</v>
      </c>
      <c r="O231" s="655">
        <f>SUMIFS('Data FT-TS-Cashout-P'!$Q$14:$Q$4704,'Data FT-TS-Cashout-P'!$A$14:$A$4704,'Mar16-Aug16 FT-TS-Cashout-LG&amp;E'!O$4,'Data FT-TS-Cashout-P'!$B$14:$B$4704,'Mar16-Aug16 FT-TS-Cashout-LG&amp;E'!$C$234,'Data FT-TS-Cashout-P'!$D$14:$D$4704,'Mar16-Aug16 FT-TS-Cashout-LG&amp;E'!$F$231,'Data FT-TS-Cashout-P'!$E$14:$E$4704,'Mar16-Aug16 FT-TS-Cashout-LG&amp;E'!$H$231,'Data FT-TS-Cashout-P'!$F$14:$F$4704,'Mar16-Aug16 FT-TS-Cashout-LG&amp;E'!O$6)</f>
        <v>-1764.27</v>
      </c>
      <c r="P231" s="574">
        <f t="shared" si="76"/>
        <v>10826.939999999999</v>
      </c>
      <c r="R231" s="403"/>
    </row>
    <row r="232" spans="2:25" x14ac:dyDescent="0.2">
      <c r="B232" s="338"/>
      <c r="C232" s="340" t="s">
        <v>42</v>
      </c>
      <c r="D232" s="340" t="str">
        <f>MID(C232,6,3)</f>
        <v>882</v>
      </c>
      <c r="E232" s="338" t="str">
        <f>VLOOKUP($C232,'Retail Rates'!$B$45:$R$53,3,FALSE)</f>
        <v>IGS-TS</v>
      </c>
      <c r="F232" s="340" t="s">
        <v>663</v>
      </c>
      <c r="G232" s="341"/>
      <c r="H232" s="338"/>
      <c r="I232" s="654"/>
      <c r="J232" s="654"/>
      <c r="K232" s="654"/>
      <c r="L232" s="654"/>
      <c r="M232" s="654"/>
      <c r="N232" s="654"/>
      <c r="O232" s="654"/>
      <c r="P232" s="574"/>
      <c r="R232" s="403"/>
    </row>
    <row r="233" spans="2:25" x14ac:dyDescent="0.2">
      <c r="B233" s="338"/>
      <c r="C233" s="340" t="s">
        <v>42</v>
      </c>
      <c r="D233" s="340" t="str">
        <f t="shared" si="73"/>
        <v>882</v>
      </c>
      <c r="E233" s="338" t="str">
        <f>VLOOKUP($C233,'Retail Rates'!$B$45:$R$53,3,FALSE)</f>
        <v>IGS-TS</v>
      </c>
      <c r="F233" s="340" t="s">
        <v>663</v>
      </c>
      <c r="G233" s="341" t="s">
        <v>288</v>
      </c>
      <c r="H233" s="338"/>
      <c r="I233" s="410">
        <f t="shared" ref="I233:O233" si="80">+I229+I230+I231</f>
        <v>21747.049150000003</v>
      </c>
      <c r="J233" s="410">
        <f t="shared" si="80"/>
        <v>53648.077450000004</v>
      </c>
      <c r="K233" s="410">
        <f t="shared" si="80"/>
        <v>71563.268350000013</v>
      </c>
      <c r="L233" s="410">
        <f t="shared" si="80"/>
        <v>78161.244739999995</v>
      </c>
      <c r="M233" s="410">
        <f t="shared" si="80"/>
        <v>99331.278200000001</v>
      </c>
      <c r="N233" s="410">
        <f t="shared" si="80"/>
        <v>98269.142299999992</v>
      </c>
      <c r="O233" s="410">
        <f t="shared" si="80"/>
        <v>109227.1254</v>
      </c>
      <c r="P233" s="574">
        <f t="shared" si="76"/>
        <v>510200.13644000003</v>
      </c>
    </row>
    <row r="234" spans="2:25" x14ac:dyDescent="0.2">
      <c r="B234" s="338"/>
      <c r="C234" s="340" t="s">
        <v>1001</v>
      </c>
      <c r="D234" s="340"/>
      <c r="E234" s="338"/>
      <c r="F234" s="340"/>
      <c r="G234" s="341"/>
      <c r="H234" s="338"/>
      <c r="I234" s="410"/>
      <c r="J234" s="410"/>
      <c r="K234" s="410"/>
      <c r="L234" s="410"/>
      <c r="M234" s="410"/>
      <c r="N234" s="410"/>
      <c r="O234" s="410"/>
      <c r="P234" s="398"/>
    </row>
    <row r="235" spans="2:25" x14ac:dyDescent="0.2">
      <c r="B235" s="338"/>
      <c r="C235" s="340"/>
      <c r="D235" s="340"/>
      <c r="E235" s="338"/>
      <c r="F235" s="340"/>
      <c r="G235" s="341"/>
      <c r="H235" s="338"/>
      <c r="I235" s="410"/>
      <c r="J235" s="410"/>
      <c r="K235" s="410"/>
      <c r="L235" s="410"/>
      <c r="M235" s="410"/>
      <c r="N235" s="410"/>
      <c r="O235" s="410"/>
      <c r="P235" s="398"/>
    </row>
    <row r="236" spans="2:25" ht="15" x14ac:dyDescent="0.25">
      <c r="B236" s="338"/>
      <c r="C236" s="338"/>
      <c r="D236" s="338"/>
      <c r="E236" s="338"/>
      <c r="F236" s="338"/>
      <c r="G236" s="339" t="s">
        <v>984</v>
      </c>
      <c r="H236" s="338"/>
      <c r="I236" s="340"/>
      <c r="J236" s="340"/>
      <c r="K236" s="340"/>
      <c r="L236" s="340"/>
      <c r="M236" s="340"/>
      <c r="N236" s="340"/>
      <c r="O236" s="340"/>
      <c r="P236" s="338"/>
      <c r="T236"/>
      <c r="U236"/>
      <c r="V236"/>
      <c r="W236"/>
      <c r="X236"/>
      <c r="Y236"/>
    </row>
    <row r="237" spans="2:25" ht="15" x14ac:dyDescent="0.25">
      <c r="B237" s="338"/>
      <c r="C237" s="340" t="s">
        <v>96</v>
      </c>
      <c r="D237" s="340" t="str">
        <f>MID(C237,6,3)</f>
        <v>892</v>
      </c>
      <c r="E237" s="338" t="s">
        <v>948</v>
      </c>
      <c r="F237" s="340" t="s">
        <v>663</v>
      </c>
      <c r="G237" s="341" t="s">
        <v>268</v>
      </c>
      <c r="H237" s="338"/>
      <c r="I237" s="647">
        <f>+I247/I241</f>
        <v>1</v>
      </c>
      <c r="J237" s="647">
        <f t="shared" ref="J237:O237" si="81">+J247/J241</f>
        <v>1</v>
      </c>
      <c r="K237" s="647">
        <f t="shared" si="81"/>
        <v>1</v>
      </c>
      <c r="L237" s="647">
        <f t="shared" si="81"/>
        <v>1</v>
      </c>
      <c r="M237" s="647">
        <f t="shared" si="81"/>
        <v>1</v>
      </c>
      <c r="N237" s="647">
        <f t="shared" si="81"/>
        <v>1</v>
      </c>
      <c r="O237" s="647">
        <f t="shared" si="81"/>
        <v>1</v>
      </c>
      <c r="P237" s="574">
        <f>SUM(J237:O237)</f>
        <v>6</v>
      </c>
      <c r="T237"/>
      <c r="U237"/>
      <c r="V237"/>
      <c r="W237"/>
      <c r="X237"/>
      <c r="Y237"/>
    </row>
    <row r="238" spans="2:25" ht="15" x14ac:dyDescent="0.25">
      <c r="B238" s="338"/>
      <c r="C238" s="340" t="s">
        <v>99</v>
      </c>
      <c r="D238" s="340" t="str">
        <f>MID(C238,6,3)</f>
        <v>892</v>
      </c>
      <c r="E238" s="338" t="s">
        <v>983</v>
      </c>
      <c r="F238" s="340" t="s">
        <v>663</v>
      </c>
      <c r="G238" s="341" t="s">
        <v>772</v>
      </c>
      <c r="H238" s="338"/>
      <c r="I238" s="338">
        <f>I248/I242</f>
        <v>0</v>
      </c>
      <c r="J238" s="338">
        <f t="shared" ref="J238:O238" si="82">J248/J242</f>
        <v>0</v>
      </c>
      <c r="K238" s="338">
        <f t="shared" si="82"/>
        <v>0</v>
      </c>
      <c r="L238" s="338">
        <f t="shared" si="82"/>
        <v>0</v>
      </c>
      <c r="M238" s="338">
        <f t="shared" si="82"/>
        <v>0</v>
      </c>
      <c r="N238" s="338">
        <f t="shared" si="82"/>
        <v>0</v>
      </c>
      <c r="O238" s="338">
        <f t="shared" si="82"/>
        <v>0</v>
      </c>
      <c r="P238" s="574">
        <f>SUM(J238:O238)</f>
        <v>0</v>
      </c>
      <c r="T238"/>
      <c r="U238"/>
      <c r="V238"/>
      <c r="W238"/>
      <c r="X238"/>
      <c r="Y238"/>
    </row>
    <row r="239" spans="2:25" ht="15" x14ac:dyDescent="0.25">
      <c r="B239" s="338"/>
      <c r="C239" s="340" t="s">
        <v>96</v>
      </c>
      <c r="D239" s="340" t="str">
        <f t="shared" ref="D239:D252" si="83">MID(C239,6,3)</f>
        <v>892</v>
      </c>
      <c r="E239" s="338" t="s">
        <v>948</v>
      </c>
      <c r="F239" s="340" t="s">
        <v>663</v>
      </c>
      <c r="G239" s="341" t="s">
        <v>470</v>
      </c>
      <c r="H239" s="325" t="s">
        <v>518</v>
      </c>
      <c r="I239" s="411">
        <f>SUMIFS('Data FT-TS-Cashout-P'!$H$14:$H$4704,'Data FT-TS-Cashout-P'!$A$6:$A$4696,'Mar16-Aug16 FT-TS-Cashout-LG&amp;E'!I$4,'Data FT-TS-Cashout-P'!$B$14:$B$4704,'Mar16-Aug16 FT-TS-Cashout-LG&amp;E'!$C$239,'Data FT-TS-Cashout-P'!$D$14:$D$4704,'Mar16-Aug16 FT-TS-Cashout-LG&amp;E'!$F$239,'Data FT-TS-Cashout-P'!$E$14:$E$4704,'Mar16-Aug16 FT-TS-Cashout-LG&amp;E'!$H$239,'Data FT-TS-Cashout-P'!$F$14:$F$4704,'Mar16-Aug16 FT-TS-Cashout-LG&amp;E'!I$6)/10</f>
        <v>10770.3</v>
      </c>
      <c r="J239" s="411">
        <f>SUMIFS('Data FT-TS-Cashout-P'!$H$14:$H$4704,'Data FT-TS-Cashout-P'!$A$6:$A$4696,'Mar16-Aug16 FT-TS-Cashout-LG&amp;E'!J$4,'Data FT-TS-Cashout-P'!$B$14:$B$4704,'Mar16-Aug16 FT-TS-Cashout-LG&amp;E'!$C$239,'Data FT-TS-Cashout-P'!$D$14:$D$4704,'Mar16-Aug16 FT-TS-Cashout-LG&amp;E'!$F$239,'Data FT-TS-Cashout-P'!$E$14:$E$4704,'Mar16-Aug16 FT-TS-Cashout-LG&amp;E'!$H$239,'Data FT-TS-Cashout-P'!$F$14:$F$4704,'Mar16-Aug16 FT-TS-Cashout-LG&amp;E'!J$6)/10</f>
        <v>11616.3</v>
      </c>
      <c r="K239" s="411">
        <f>SUMIFS('Data FT-TS-Cashout-P'!$H$14:$H$4704,'Data FT-TS-Cashout-P'!$A$6:$A$4696,'Mar16-Aug16 FT-TS-Cashout-LG&amp;E'!K$4,'Data FT-TS-Cashout-P'!$B$14:$B$4704,'Mar16-Aug16 FT-TS-Cashout-LG&amp;E'!$C$239,'Data FT-TS-Cashout-P'!$D$14:$D$4704,'Mar16-Aug16 FT-TS-Cashout-LG&amp;E'!$F$239,'Data FT-TS-Cashout-P'!$E$14:$E$4704,'Mar16-Aug16 FT-TS-Cashout-LG&amp;E'!$H$239,'Data FT-TS-Cashout-P'!$F$14:$F$4704,'Mar16-Aug16 FT-TS-Cashout-LG&amp;E'!K$6)/10</f>
        <v>6832.1</v>
      </c>
      <c r="L239" s="411">
        <f>SUMIFS('Data FT-TS-Cashout-P'!$H$14:$H$4704,'Data FT-TS-Cashout-P'!$A$6:$A$4696,'Mar16-Aug16 FT-TS-Cashout-LG&amp;E'!L$4,'Data FT-TS-Cashout-P'!$B$14:$B$4704,'Mar16-Aug16 FT-TS-Cashout-LG&amp;E'!$C$253,'Data FT-TS-Cashout-P'!$D$14:$D$4704,'Mar16-Aug16 FT-TS-Cashout-LG&amp;E'!$F$239,'Data FT-TS-Cashout-P'!$E$14:$E$4704,'Mar16-Aug16 FT-TS-Cashout-LG&amp;E'!$H$239,'Data FT-TS-Cashout-P'!$F$14:$F$4704,'Mar16-Aug16 FT-TS-Cashout-LG&amp;E'!L$7)/10</f>
        <v>2999</v>
      </c>
      <c r="M239" s="411">
        <f>SUMIFS('Data FT-TS-Cashout-P'!$H$14:$H$4704,'Data FT-TS-Cashout-P'!$A$6:$A$4696,'Mar16-Aug16 FT-TS-Cashout-LG&amp;E'!M$4,'Data FT-TS-Cashout-P'!$B$14:$B$4704,'Mar16-Aug16 FT-TS-Cashout-LG&amp;E'!$C$253,'Data FT-TS-Cashout-P'!$D$14:$D$4704,'Mar16-Aug16 FT-TS-Cashout-LG&amp;E'!$F$239,'Data FT-TS-Cashout-P'!$E$14:$E$4704,'Mar16-Aug16 FT-TS-Cashout-LG&amp;E'!$H$239,'Data FT-TS-Cashout-P'!$F$14:$F$4704,'Mar16-Aug16 FT-TS-Cashout-LG&amp;E'!M$6)/10</f>
        <v>4659.2</v>
      </c>
      <c r="N239" s="411">
        <f>SUMIFS('Data FT-TS-Cashout-P'!$H$14:$H$4704,'Data FT-TS-Cashout-P'!$A$6:$A$4696,'Mar16-Aug16 FT-TS-Cashout-LG&amp;E'!N$4,'Data FT-TS-Cashout-P'!$B$14:$B$4704,'Mar16-Aug16 FT-TS-Cashout-LG&amp;E'!$C$253,'Data FT-TS-Cashout-P'!$D$14:$D$4704,'Mar16-Aug16 FT-TS-Cashout-LG&amp;E'!$F$239,'Data FT-TS-Cashout-P'!$E$14:$E$4704,'Mar16-Aug16 FT-TS-Cashout-LG&amp;E'!$H$239,'Data FT-TS-Cashout-P'!$F$14:$F$4704,'Mar16-Aug16 FT-TS-Cashout-LG&amp;E'!N$6)/10</f>
        <v>5926.1</v>
      </c>
      <c r="O239" s="411">
        <f>SUMIFS('Data FT-TS-Cashout-P'!$H$14:$H$4704,'Data FT-TS-Cashout-P'!$A$6:$A$4696,'Mar16-Aug16 FT-TS-Cashout-LG&amp;E'!O$4,'Data FT-TS-Cashout-P'!$B$14:$B$4704,'Mar16-Aug16 FT-TS-Cashout-LG&amp;E'!$C$253,'Data FT-TS-Cashout-P'!$D$14:$D$4704,'Mar16-Aug16 FT-TS-Cashout-LG&amp;E'!$F$239,'Data FT-TS-Cashout-P'!$E$14:$E$4704,'Mar16-Aug16 FT-TS-Cashout-LG&amp;E'!$H$239,'Data FT-TS-Cashout-P'!$F$14:$F$4704,'Mar16-Aug16 FT-TS-Cashout-LG&amp;E'!O$6)/10</f>
        <v>1598.3</v>
      </c>
      <c r="P239" s="574">
        <f>SUM(J239:O239)</f>
        <v>33631.000000000007</v>
      </c>
      <c r="R239" s="412"/>
      <c r="T239"/>
      <c r="U239"/>
      <c r="V239"/>
      <c r="W239"/>
      <c r="X239"/>
      <c r="Y239"/>
    </row>
    <row r="240" spans="2:25" ht="15" x14ac:dyDescent="0.25">
      <c r="B240" s="338"/>
      <c r="C240" s="340" t="s">
        <v>96</v>
      </c>
      <c r="D240" s="340" t="str">
        <f t="shared" si="83"/>
        <v>892</v>
      </c>
      <c r="E240" s="338" t="s">
        <v>948</v>
      </c>
      <c r="F240" s="340" t="s">
        <v>663</v>
      </c>
      <c r="G240" s="342"/>
      <c r="H240" s="338"/>
      <c r="I240" s="338"/>
      <c r="J240" s="338"/>
      <c r="K240" s="338"/>
      <c r="L240" s="338"/>
      <c r="M240" s="338"/>
      <c r="N240" s="338"/>
      <c r="O240" s="338"/>
      <c r="P240" s="338"/>
      <c r="T240"/>
      <c r="U240"/>
      <c r="V240"/>
      <c r="W240"/>
      <c r="X240"/>
      <c r="Y240"/>
    </row>
    <row r="241" spans="2:25" ht="15" x14ac:dyDescent="0.25">
      <c r="B241" s="338"/>
      <c r="C241" s="340" t="s">
        <v>96</v>
      </c>
      <c r="D241" s="340" t="str">
        <f t="shared" si="83"/>
        <v>892</v>
      </c>
      <c r="E241" s="338" t="s">
        <v>948</v>
      </c>
      <c r="F241" s="340" t="s">
        <v>663</v>
      </c>
      <c r="G241" s="341" t="s">
        <v>270</v>
      </c>
      <c r="H241" s="338"/>
      <c r="I241" s="338">
        <f>VLOOKUP($C241,'Retail Rates'!$B$44:$O$61,6,FALSE)</f>
        <v>550</v>
      </c>
      <c r="J241" s="338">
        <f>VLOOKUP($C241,'Retail Rates'!$B$44:$O$61,6,FALSE)</f>
        <v>550</v>
      </c>
      <c r="K241" s="338">
        <f>VLOOKUP($C241,'Retail Rates'!$B$44:$O$61,6,FALSE)</f>
        <v>550</v>
      </c>
      <c r="L241" s="338">
        <f>VLOOKUP($C241,'Retail Rates'!$B$44:$O$61,6,FALSE)</f>
        <v>550</v>
      </c>
      <c r="M241" s="338">
        <f>VLOOKUP($C241,'Retail Rates'!$B$44:$O$61,6,FALSE)</f>
        <v>550</v>
      </c>
      <c r="N241" s="338">
        <f>VLOOKUP($C241,'Retail Rates'!$B$44:$O$61,6,FALSE)</f>
        <v>550</v>
      </c>
      <c r="O241" s="338">
        <f>VLOOKUP($C241,'Retail Rates'!$B$44:$O$61,6,FALSE)</f>
        <v>550</v>
      </c>
      <c r="P241" s="338"/>
      <c r="T241"/>
      <c r="U241"/>
      <c r="V241"/>
      <c r="W241"/>
      <c r="X241"/>
      <c r="Y241"/>
    </row>
    <row r="242" spans="2:25" ht="15" x14ac:dyDescent="0.25">
      <c r="B242" s="338"/>
      <c r="C242" s="340" t="s">
        <v>99</v>
      </c>
      <c r="D242" s="340" t="str">
        <f t="shared" si="83"/>
        <v>892</v>
      </c>
      <c r="E242" s="338" t="s">
        <v>948</v>
      </c>
      <c r="F242" s="340" t="s">
        <v>663</v>
      </c>
      <c r="G242" s="341" t="s">
        <v>732</v>
      </c>
      <c r="H242" s="338"/>
      <c r="I242" s="338">
        <f>VLOOKUP($C242,'Retail Rates'!$B$44:$O$61,9,FALSE)</f>
        <v>75</v>
      </c>
      <c r="J242" s="338">
        <f>VLOOKUP($C242,'Retail Rates'!$B$44:$O$61,9,FALSE)</f>
        <v>75</v>
      </c>
      <c r="K242" s="338">
        <f>VLOOKUP($C242,'Retail Rates'!$B$44:$O$61,9,FALSE)</f>
        <v>75</v>
      </c>
      <c r="L242" s="338">
        <f>VLOOKUP($C242,'Retail Rates'!$B$44:$O$61,9,FALSE)</f>
        <v>75</v>
      </c>
      <c r="M242" s="338">
        <f>VLOOKUP($C242,'Retail Rates'!$B$44:$O$61,9,FALSE)</f>
        <v>75</v>
      </c>
      <c r="N242" s="338">
        <f>VLOOKUP($C242,'Retail Rates'!$B$44:$O$61,9,FALSE)</f>
        <v>75</v>
      </c>
      <c r="O242" s="338">
        <f>VLOOKUP($C242,'Retail Rates'!$B$44:$O$61,9,FALSE)</f>
        <v>75</v>
      </c>
      <c r="P242" s="338"/>
      <c r="T242"/>
      <c r="U242"/>
      <c r="V242"/>
      <c r="W242"/>
      <c r="X242"/>
      <c r="Y242"/>
    </row>
    <row r="243" spans="2:25" ht="15" x14ac:dyDescent="0.25">
      <c r="B243" s="338"/>
      <c r="C243" s="340" t="s">
        <v>96</v>
      </c>
      <c r="D243" s="340" t="str">
        <f t="shared" si="83"/>
        <v>892</v>
      </c>
      <c r="E243" s="338" t="s">
        <v>948</v>
      </c>
      <c r="F243" s="340" t="s">
        <v>663</v>
      </c>
      <c r="G243" s="341" t="s">
        <v>949</v>
      </c>
      <c r="H243" s="338"/>
      <c r="I243" s="338">
        <f>VLOOKUP($C243,'Retail Rates'!$B$44:$O$61,7,FALSE)</f>
        <v>0.70089999999999997</v>
      </c>
      <c r="J243" s="338">
        <f>VLOOKUP($C243,'Retail Rates'!$B$44:$O$61,7,FALSE)</f>
        <v>0.70089999999999997</v>
      </c>
      <c r="K243" s="338">
        <f>VLOOKUP($C243,'Retail Rates'!$B$44:$O$61,7,FALSE)</f>
        <v>0.70089999999999997</v>
      </c>
      <c r="L243" s="338">
        <f>VLOOKUP($C243,'Retail Rates'!$B$44:$O$61,7,FALSE)</f>
        <v>0.70089999999999997</v>
      </c>
      <c r="M243" s="338">
        <f>VLOOKUP($C243,'Retail Rates'!$B$44:$O$61,7,FALSE)</f>
        <v>0.70089999999999997</v>
      </c>
      <c r="N243" s="338">
        <f>VLOOKUP($C243,'Retail Rates'!$B$44:$O$61,7,FALSE)</f>
        <v>0.70089999999999997</v>
      </c>
      <c r="O243" s="338">
        <f>VLOOKUP($C243,'Retail Rates'!$B$44:$O$61,7,FALSE)</f>
        <v>0.70089999999999997</v>
      </c>
      <c r="P243" s="338"/>
      <c r="T243"/>
      <c r="U243"/>
      <c r="V243"/>
      <c r="W243"/>
      <c r="X243"/>
      <c r="Y243"/>
    </row>
    <row r="244" spans="2:25" x14ac:dyDescent="0.2">
      <c r="B244" s="338"/>
      <c r="C244" s="340" t="s">
        <v>96</v>
      </c>
      <c r="D244" s="340" t="str">
        <f t="shared" si="83"/>
        <v>892</v>
      </c>
      <c r="E244" s="338" t="s">
        <v>948</v>
      </c>
      <c r="F244" s="340" t="s">
        <v>663</v>
      </c>
      <c r="G244" s="341" t="s">
        <v>257</v>
      </c>
      <c r="H244" s="338"/>
      <c r="I244" s="409">
        <f>SUMIF('GSC-DSM-GLT Factors'!$A$11:$A$58,'Mar16-Aug16 FT-TS-Cashout-LG&amp;E'!I$5,'GSC-DSM-GLT Factors'!$H$11:$H$58)</f>
        <v>0.83650000000000002</v>
      </c>
      <c r="J244" s="409">
        <f>SUMIF('GSC-DSM-GLT Factors'!$A$11:$A$58,'Mar16-Aug16 FT-TS-Cashout-LG&amp;E'!J$5,'GSC-DSM-GLT Factors'!$H$11:$H$58)</f>
        <v>0.83650000000000002</v>
      </c>
      <c r="K244" s="409">
        <f>SUMIF('GSC-DSM-GLT Factors'!$A$11:$A$58,'Mar16-Aug16 FT-TS-Cashout-LG&amp;E'!K$5,'GSC-DSM-GLT Factors'!$H$11:$H$58)</f>
        <v>0.83650000000000002</v>
      </c>
      <c r="L244" s="409">
        <f>SUMIF('GSC-DSM-GLT Factors'!$A$11:$A$58,'Mar16-Aug16 FT-TS-Cashout-LG&amp;E'!L$5,'GSC-DSM-GLT Factors'!$H$11:$H$58)</f>
        <v>0.84419999999999995</v>
      </c>
      <c r="M244" s="409">
        <f>SUMIF('GSC-DSM-GLT Factors'!$A$11:$A$58,'Mar16-Aug16 FT-TS-Cashout-LG&amp;E'!M$5,'GSC-DSM-GLT Factors'!$H$11:$H$58)</f>
        <v>0.84419999999999995</v>
      </c>
      <c r="N244" s="409">
        <f>SUMIF('GSC-DSM-GLT Factors'!$A$11:$A$58,'Mar16-Aug16 FT-TS-Cashout-LG&amp;E'!N$5,'GSC-DSM-GLT Factors'!$H$11:$H$58)</f>
        <v>0.84419999999999995</v>
      </c>
      <c r="O244" s="409">
        <f>SUMIF('GSC-DSM-GLT Factors'!$A$11:$A$58,'Mar16-Aug16 FT-TS-Cashout-LG&amp;E'!O$5,'GSC-DSM-GLT Factors'!$H$11:$H$58)</f>
        <v>0.83909999999999996</v>
      </c>
      <c r="P244" s="338"/>
    </row>
    <row r="245" spans="2:25" x14ac:dyDescent="0.2">
      <c r="B245" s="338"/>
      <c r="C245" s="340" t="s">
        <v>96</v>
      </c>
      <c r="D245" s="340" t="str">
        <f t="shared" si="83"/>
        <v>892</v>
      </c>
      <c r="E245" s="338" t="s">
        <v>948</v>
      </c>
      <c r="F245" s="340" t="s">
        <v>663</v>
      </c>
      <c r="G245" s="341"/>
      <c r="H245" s="338"/>
      <c r="I245" s="338"/>
      <c r="J245" s="338"/>
      <c r="K245" s="338"/>
      <c r="L245" s="338"/>
      <c r="M245" s="338"/>
      <c r="N245" s="338"/>
      <c r="O245" s="338"/>
      <c r="P245" s="338"/>
    </row>
    <row r="246" spans="2:25" x14ac:dyDescent="0.2">
      <c r="B246" s="338"/>
      <c r="C246" s="340" t="s">
        <v>96</v>
      </c>
      <c r="D246" s="340" t="str">
        <f t="shared" si="83"/>
        <v>892</v>
      </c>
      <c r="E246" s="338" t="s">
        <v>948</v>
      </c>
      <c r="F246" s="340" t="s">
        <v>663</v>
      </c>
      <c r="G246" s="343" t="s">
        <v>273</v>
      </c>
      <c r="H246" s="338"/>
      <c r="I246" s="338"/>
      <c r="J246" s="338"/>
      <c r="K246" s="338"/>
      <c r="L246" s="338"/>
      <c r="M246" s="338"/>
      <c r="N246" s="338"/>
      <c r="O246" s="338"/>
      <c r="P246" s="410"/>
    </row>
    <row r="247" spans="2:25" x14ac:dyDescent="0.2">
      <c r="B247" s="338"/>
      <c r="C247" s="340" t="s">
        <v>96</v>
      </c>
      <c r="D247" s="340" t="str">
        <f t="shared" si="83"/>
        <v>892</v>
      </c>
      <c r="E247" s="338" t="s">
        <v>948</v>
      </c>
      <c r="F247" s="340" t="s">
        <v>663</v>
      </c>
      <c r="G247" s="341" t="s">
        <v>270</v>
      </c>
      <c r="H247" s="325" t="s">
        <v>524</v>
      </c>
      <c r="I247" s="396">
        <f>SUMIFS('Data FT-TS-Cashout-P'!$I$14:$I$4704,'Data FT-TS-Cashout-P'!$A$14:$A$4704,'Mar16-Aug16 FT-TS-Cashout-LG&amp;E'!I$4,'Data FT-TS-Cashout-P'!$B$14:$B$4704,'Mar16-Aug16 FT-TS-Cashout-LG&amp;E'!$C$247,'Data FT-TS-Cashout-P'!$D$14:$D$4704,'Mar16-Aug16 FT-TS-Cashout-LG&amp;E'!$F$247,'Data FT-TS-Cashout-P'!$E$14:$E$4704,'Mar16-Aug16 FT-TS-Cashout-LG&amp;E'!$H$247,'Data FT-TS-Cashout-P'!$F$14:$F$4704,'Mar16-Aug16 FT-TS-Cashout-LG&amp;E'!I$6)</f>
        <v>550</v>
      </c>
      <c r="J247" s="396">
        <f>SUMIFS('Data FT-TS-Cashout-P'!$I$14:$I$4704,'Data FT-TS-Cashout-P'!$A$14:$A$4704,'Mar16-Aug16 FT-TS-Cashout-LG&amp;E'!J$4,'Data FT-TS-Cashout-P'!$B$14:$B$4704,'Mar16-Aug16 FT-TS-Cashout-LG&amp;E'!$C$247,'Data FT-TS-Cashout-P'!$D$14:$D$4704,'Mar16-Aug16 FT-TS-Cashout-LG&amp;E'!$F$247,'Data FT-TS-Cashout-P'!$E$14:$E$4704,'Mar16-Aug16 FT-TS-Cashout-LG&amp;E'!$H$247,'Data FT-TS-Cashout-P'!$F$14:$F$4704,'Mar16-Aug16 FT-TS-Cashout-LG&amp;E'!J$6)</f>
        <v>550</v>
      </c>
      <c r="K247" s="396">
        <f>SUMIFS('Data FT-TS-Cashout-P'!$I$14:$I$4704,'Data FT-TS-Cashout-P'!$A$14:$A$4704,'Mar16-Aug16 FT-TS-Cashout-LG&amp;E'!K$4,'Data FT-TS-Cashout-P'!$B$14:$B$4704,'Mar16-Aug16 FT-TS-Cashout-LG&amp;E'!$C$247,'Data FT-TS-Cashout-P'!$D$14:$D$4704,'Mar16-Aug16 FT-TS-Cashout-LG&amp;E'!$F$247,'Data FT-TS-Cashout-P'!$E$14:$E$4704,'Mar16-Aug16 FT-TS-Cashout-LG&amp;E'!$H$247,'Data FT-TS-Cashout-P'!$F$14:$F$4704,'Mar16-Aug16 FT-TS-Cashout-LG&amp;E'!K$6)</f>
        <v>550</v>
      </c>
      <c r="L247" s="396">
        <f>SUMIFS('Data FT-TS-Cashout-P'!$I$14:$I$4704,'Data FT-TS-Cashout-P'!$A$14:$A$4704,'Mar16-Aug16 FT-TS-Cashout-LG&amp;E'!L$4,'Data FT-TS-Cashout-P'!$B$14:$B$4704,'Mar16-Aug16 FT-TS-Cashout-LG&amp;E'!$C$253,'Data FT-TS-Cashout-P'!$D$14:$D$4704,'Mar16-Aug16 FT-TS-Cashout-LG&amp;E'!$F$247,'Data FT-TS-Cashout-P'!$E$14:$E$4704,'Mar16-Aug16 FT-TS-Cashout-LG&amp;E'!$H$247,'Data FT-TS-Cashout-P'!$F$14:$F$4704,'Mar16-Aug16 FT-TS-Cashout-LG&amp;E'!L$7)</f>
        <v>550</v>
      </c>
      <c r="M247" s="396">
        <f>SUMIFS('Data FT-TS-Cashout-P'!$I$14:$I$4704,'Data FT-TS-Cashout-P'!$A$14:$A$4704,'Mar16-Aug16 FT-TS-Cashout-LG&amp;E'!M$4,'Data FT-TS-Cashout-P'!$B$14:$B$4704,'Mar16-Aug16 FT-TS-Cashout-LG&amp;E'!$C$253,'Data FT-TS-Cashout-P'!$D$14:$D$4704,'Mar16-Aug16 FT-TS-Cashout-LG&amp;E'!$F$247,'Data FT-TS-Cashout-P'!$E$14:$E$4704,'Mar16-Aug16 FT-TS-Cashout-LG&amp;E'!$H$247,'Data FT-TS-Cashout-P'!$F$14:$F$4704,'Mar16-Aug16 FT-TS-Cashout-LG&amp;E'!M$6)</f>
        <v>550</v>
      </c>
      <c r="N247" s="396">
        <f>SUMIFS('Data FT-TS-Cashout-P'!$I$14:$I$4704,'Data FT-TS-Cashout-P'!$A$14:$A$4704,'Mar16-Aug16 FT-TS-Cashout-LG&amp;E'!N$4,'Data FT-TS-Cashout-P'!$B$14:$B$4704,'Mar16-Aug16 FT-TS-Cashout-LG&amp;E'!$C$253,'Data FT-TS-Cashout-P'!$D$14:$D$4704,'Mar16-Aug16 FT-TS-Cashout-LG&amp;E'!$F$247,'Data FT-TS-Cashout-P'!$E$14:$E$4704,'Mar16-Aug16 FT-TS-Cashout-LG&amp;E'!$H$247,'Data FT-TS-Cashout-P'!$F$14:$F$4704,'Mar16-Aug16 FT-TS-Cashout-LG&amp;E'!N$6)</f>
        <v>550</v>
      </c>
      <c r="O247" s="396">
        <f>SUMIFS('Data FT-TS-Cashout-P'!$I$14:$I$4704,'Data FT-TS-Cashout-P'!$A$14:$A$4704,'Mar16-Aug16 FT-TS-Cashout-LG&amp;E'!O$4,'Data FT-TS-Cashout-P'!$B$14:$B$4704,'Mar16-Aug16 FT-TS-Cashout-LG&amp;E'!$C$253,'Data FT-TS-Cashout-P'!$D$14:$D$4704,'Mar16-Aug16 FT-TS-Cashout-LG&amp;E'!$F$247,'Data FT-TS-Cashout-P'!$E$14:$E$4704,'Mar16-Aug16 FT-TS-Cashout-LG&amp;E'!$H$247,'Data FT-TS-Cashout-P'!$F$14:$F$4704,'Mar16-Aug16 FT-TS-Cashout-LG&amp;E'!O$6)</f>
        <v>550</v>
      </c>
      <c r="P247" s="574">
        <f t="shared" ref="P247:P258" si="84">SUM(J247:O247)</f>
        <v>3300</v>
      </c>
      <c r="Q247" s="320">
        <f>+P247</f>
        <v>3300</v>
      </c>
    </row>
    <row r="248" spans="2:25" x14ac:dyDescent="0.2">
      <c r="B248" s="338"/>
      <c r="C248" s="340" t="s">
        <v>99</v>
      </c>
      <c r="D248" s="340" t="str">
        <f t="shared" si="83"/>
        <v>892</v>
      </c>
      <c r="E248" s="338" t="s">
        <v>948</v>
      </c>
      <c r="F248" s="340" t="s">
        <v>663</v>
      </c>
      <c r="G248" s="341" t="s">
        <v>731</v>
      </c>
      <c r="H248" s="325" t="s">
        <v>524</v>
      </c>
      <c r="I248" s="396">
        <f>SUMIFS('Data FT-TS-Cashout-P'!$I$14:$I$4704,'Data FT-TS-Cashout-P'!$A$14:$A$4704,'Mar16-Aug16 FT-TS-Cashout-LG&amp;E'!I$4,'Data FT-TS-Cashout-P'!$B$14:$B$4704,'Mar16-Aug16 FT-TS-Cashout-LG&amp;E'!$C$248,'Data FT-TS-Cashout-P'!$D$14:$D$4704,'Mar16-Aug16 FT-TS-Cashout-LG&amp;E'!$F$248,'Data FT-TS-Cashout-P'!$E$14:$E$4704,'Mar16-Aug16 FT-TS-Cashout-LG&amp;E'!$H$248,'Data FT-TS-Cashout-P'!$F$14:$F$4704,'Mar16-Aug16 FT-TS-Cashout-LG&amp;E'!I$6)</f>
        <v>0</v>
      </c>
      <c r="J248" s="396">
        <f>SUMIFS('Data FT-TS-Cashout-P'!$I$14:$I$4704,'Data FT-TS-Cashout-P'!$A$14:$A$4704,'Mar16-Aug16 FT-TS-Cashout-LG&amp;E'!J$4,'Data FT-TS-Cashout-P'!$B$14:$B$4704,'Mar16-Aug16 FT-TS-Cashout-LG&amp;E'!$C$248,'Data FT-TS-Cashout-P'!$D$14:$D$4704,'Mar16-Aug16 FT-TS-Cashout-LG&amp;E'!$F$248,'Data FT-TS-Cashout-P'!$E$14:$E$4704,'Mar16-Aug16 FT-TS-Cashout-LG&amp;E'!$H$248,'Data FT-TS-Cashout-P'!$F$14:$F$4704,'Mar16-Aug16 FT-TS-Cashout-LG&amp;E'!J$6)</f>
        <v>0</v>
      </c>
      <c r="K248" s="396">
        <f>SUMIFS('Data FT-TS-Cashout-P'!$I$14:$I$4704,'Data FT-TS-Cashout-P'!$A$14:$A$4704,'Mar16-Aug16 FT-TS-Cashout-LG&amp;E'!K$4,'Data FT-TS-Cashout-P'!$B$14:$B$4704,'Mar16-Aug16 FT-TS-Cashout-LG&amp;E'!$C$248,'Data FT-TS-Cashout-P'!$D$14:$D$4704,'Mar16-Aug16 FT-TS-Cashout-LG&amp;E'!$F$248,'Data FT-TS-Cashout-P'!$E$14:$E$4704,'Mar16-Aug16 FT-TS-Cashout-LG&amp;E'!$H$248,'Data FT-TS-Cashout-P'!$F$14:$F$4704,'Mar16-Aug16 FT-TS-Cashout-LG&amp;E'!K$6)</f>
        <v>0</v>
      </c>
      <c r="L248" s="396">
        <f>SUMIFS('Data FT-TS-Cashout-P'!$I$14:$I$4704,'Data FT-TS-Cashout-P'!$A$14:$A$4704,'Mar16-Aug16 FT-TS-Cashout-LG&amp;E'!L$4,'Data FT-TS-Cashout-P'!$B$14:$B$4704,'Mar16-Aug16 FT-TS-Cashout-LG&amp;E'!$C$248,'Data FT-TS-Cashout-P'!$D$14:$D$4704,'Mar16-Aug16 FT-TS-Cashout-LG&amp;E'!$F$248,'Data FT-TS-Cashout-P'!$E$14:$E$4704,'Mar16-Aug16 FT-TS-Cashout-LG&amp;E'!$H$248,'Data FT-TS-Cashout-P'!$F$14:$F$4704,'Mar16-Aug16 FT-TS-Cashout-LG&amp;E'!L$7)</f>
        <v>0</v>
      </c>
      <c r="M248" s="396">
        <f>SUMIFS('Data FT-TS-Cashout-P'!$I$14:$I$4704,'Data FT-TS-Cashout-P'!$A$14:$A$4704,'Mar16-Aug16 FT-TS-Cashout-LG&amp;E'!M$4,'Data FT-TS-Cashout-P'!$B$14:$B$4704,'Mar16-Aug16 FT-TS-Cashout-LG&amp;E'!$C$248,'Data FT-TS-Cashout-P'!$D$14:$D$4704,'Mar16-Aug16 FT-TS-Cashout-LG&amp;E'!$F$248,'Data FT-TS-Cashout-P'!$E$14:$E$4704,'Mar16-Aug16 FT-TS-Cashout-LG&amp;E'!$H$248,'Data FT-TS-Cashout-P'!$F$14:$F$4704,'Mar16-Aug16 FT-TS-Cashout-LG&amp;E'!M$6)</f>
        <v>0</v>
      </c>
      <c r="N248" s="396">
        <f>SUMIFS('Data FT-TS-Cashout-P'!$I$14:$I$4704,'Data FT-TS-Cashout-P'!$A$14:$A$4704,'Mar16-Aug16 FT-TS-Cashout-LG&amp;E'!N$4,'Data FT-TS-Cashout-P'!$B$14:$B$4704,'Mar16-Aug16 FT-TS-Cashout-LG&amp;E'!$C$248,'Data FT-TS-Cashout-P'!$D$14:$D$4704,'Mar16-Aug16 FT-TS-Cashout-LG&amp;E'!$F$248,'Data FT-TS-Cashout-P'!$E$14:$E$4704,'Mar16-Aug16 FT-TS-Cashout-LG&amp;E'!$H$248,'Data FT-TS-Cashout-P'!$F$14:$F$4704,'Mar16-Aug16 FT-TS-Cashout-LG&amp;E'!N$6)</f>
        <v>0</v>
      </c>
      <c r="O248" s="396">
        <f>SUMIFS('Data FT-TS-Cashout-P'!$I$14:$I$4704,'Data FT-TS-Cashout-P'!$A$14:$A$4704,'Mar16-Aug16 FT-TS-Cashout-LG&amp;E'!O$4,'Data FT-TS-Cashout-P'!$B$14:$B$4704,'Mar16-Aug16 FT-TS-Cashout-LG&amp;E'!$C$248,'Data FT-TS-Cashout-P'!$D$14:$D$4704,'Mar16-Aug16 FT-TS-Cashout-LG&amp;E'!$F$248,'Data FT-TS-Cashout-P'!$E$14:$E$4704,'Mar16-Aug16 FT-TS-Cashout-LG&amp;E'!$H$248,'Data FT-TS-Cashout-P'!$F$14:$F$4704,'Mar16-Aug16 FT-TS-Cashout-LG&amp;E'!O$6)</f>
        <v>0</v>
      </c>
      <c r="P248" s="574">
        <f t="shared" si="84"/>
        <v>0</v>
      </c>
    </row>
    <row r="249" spans="2:25" x14ac:dyDescent="0.2">
      <c r="B249" s="338"/>
      <c r="C249" s="340" t="s">
        <v>96</v>
      </c>
      <c r="D249" s="340" t="str">
        <f t="shared" si="83"/>
        <v>892</v>
      </c>
      <c r="E249" s="338" t="s">
        <v>948</v>
      </c>
      <c r="F249" s="340" t="s">
        <v>663</v>
      </c>
      <c r="G249" s="341" t="s">
        <v>275</v>
      </c>
      <c r="H249" s="338"/>
      <c r="I249" s="410">
        <f>I239*I243</f>
        <v>7548.9032699999989</v>
      </c>
      <c r="J249" s="410">
        <f t="shared" ref="J249:O249" si="85">J239*J243</f>
        <v>8141.864669999999</v>
      </c>
      <c r="K249" s="410">
        <f t="shared" si="85"/>
        <v>4788.6188899999997</v>
      </c>
      <c r="L249" s="410">
        <f t="shared" si="85"/>
        <v>2101.9991</v>
      </c>
      <c r="M249" s="410">
        <f t="shared" si="85"/>
        <v>3265.6332799999996</v>
      </c>
      <c r="N249" s="410">
        <f t="shared" si="85"/>
        <v>4153.6034900000004</v>
      </c>
      <c r="O249" s="410">
        <f t="shared" si="85"/>
        <v>1120.24847</v>
      </c>
      <c r="P249" s="574">
        <f t="shared" si="84"/>
        <v>23571.967899999996</v>
      </c>
      <c r="Q249" s="320">
        <f>+P249</f>
        <v>23571.967899999996</v>
      </c>
    </row>
    <row r="250" spans="2:25" x14ac:dyDescent="0.2">
      <c r="B250" s="338"/>
      <c r="C250" s="340" t="s">
        <v>96</v>
      </c>
      <c r="D250" s="340" t="str">
        <f t="shared" si="83"/>
        <v>892</v>
      </c>
      <c r="E250" s="338" t="s">
        <v>948</v>
      </c>
      <c r="F250" s="340" t="s">
        <v>663</v>
      </c>
      <c r="G250" s="341" t="s">
        <v>257</v>
      </c>
      <c r="H250" s="338"/>
      <c r="I250" s="654">
        <f>I239*I244</f>
        <v>9009.3559499999992</v>
      </c>
      <c r="J250" s="654">
        <f t="shared" ref="J250:O250" si="86">J239*J244</f>
        <v>9717.0349499999993</v>
      </c>
      <c r="K250" s="654">
        <f t="shared" si="86"/>
        <v>5715.0516500000003</v>
      </c>
      <c r="L250" s="654">
        <f t="shared" si="86"/>
        <v>2531.7557999999999</v>
      </c>
      <c r="M250" s="654">
        <f t="shared" si="86"/>
        <v>3933.2966399999996</v>
      </c>
      <c r="N250" s="654">
        <f t="shared" si="86"/>
        <v>5002.8136199999999</v>
      </c>
      <c r="O250" s="654">
        <f t="shared" si="86"/>
        <v>1341.1335299999998</v>
      </c>
      <c r="P250" s="574">
        <f t="shared" si="84"/>
        <v>28241.086189999998</v>
      </c>
      <c r="R250" s="403"/>
    </row>
    <row r="251" spans="2:25" x14ac:dyDescent="0.2">
      <c r="B251" s="338"/>
      <c r="C251" s="340" t="s">
        <v>96</v>
      </c>
      <c r="D251" s="340" t="str">
        <f t="shared" si="83"/>
        <v>892</v>
      </c>
      <c r="E251" s="338" t="s">
        <v>948</v>
      </c>
      <c r="F251" s="340" t="s">
        <v>663</v>
      </c>
      <c r="G251" s="341" t="s">
        <v>943</v>
      </c>
      <c r="H251" s="325" t="s">
        <v>729</v>
      </c>
      <c r="I251" s="655">
        <f>SUMIFS('Data FT-TS-Cashout-P'!$Q$14:$Q$4704,'Data FT-TS-Cashout-P'!$A$14:$A$4704,'Mar16-Aug16 FT-TS-Cashout-LG&amp;E'!I$4,'Data FT-TS-Cashout-P'!$B$14:$B$4704,'Mar16-Aug16 FT-TS-Cashout-LG&amp;E'!$C$251,'Data FT-TS-Cashout-P'!$D$14:$D$4704,'Mar16-Aug16 FT-TS-Cashout-LG&amp;E'!$F$251,'Data FT-TS-Cashout-P'!$E$14:$E$4704,'Mar16-Aug16 FT-TS-Cashout-LG&amp;E'!$H$251,'Data FT-TS-Cashout-P'!$F$14:$F$4704,'Mar16-Aug16 FT-TS-Cashout-LG&amp;E'!I$6)</f>
        <v>-98.01</v>
      </c>
      <c r="J251" s="655">
        <f>SUMIFS('Data FT-TS-Cashout-P'!$Q$14:$Q$4704,'Data FT-TS-Cashout-P'!$A$14:$A$4704,'Mar16-Aug16 FT-TS-Cashout-LG&amp;E'!J$4,'Data FT-TS-Cashout-P'!$B$14:$B$4704,'Mar16-Aug16 FT-TS-Cashout-LG&amp;E'!$C$251,'Data FT-TS-Cashout-P'!$D$14:$D$4704,'Mar16-Aug16 FT-TS-Cashout-LG&amp;E'!$F$251,'Data FT-TS-Cashout-P'!$E$14:$E$4704,'Mar16-Aug16 FT-TS-Cashout-LG&amp;E'!$H$251,'Data FT-TS-Cashout-P'!$F$14:$F$4704,'Mar16-Aug16 FT-TS-Cashout-LG&amp;E'!J$6)</f>
        <v>-105.71</v>
      </c>
      <c r="K251" s="655">
        <f>SUMIFS('Data FT-TS-Cashout-P'!$Q$14:$Q$4704,'Data FT-TS-Cashout-P'!$A$14:$A$4704,'Mar16-Aug16 FT-TS-Cashout-LG&amp;E'!K$4,'Data FT-TS-Cashout-P'!$B$14:$B$4704,'Mar16-Aug16 FT-TS-Cashout-LG&amp;E'!$C$251,'Data FT-TS-Cashout-P'!$D$14:$D$4704,'Mar16-Aug16 FT-TS-Cashout-LG&amp;E'!$F$251,'Data FT-TS-Cashout-P'!$E$14:$E$4704,'Mar16-Aug16 FT-TS-Cashout-LG&amp;E'!$H$251,'Data FT-TS-Cashout-P'!$F$14:$F$4704,'Mar16-Aug16 FT-TS-Cashout-LG&amp;E'!K$6)</f>
        <v>-62.17</v>
      </c>
      <c r="L251" s="655">
        <f>SUMIFS('Data FT-TS-Cashout-P'!$Q$14:$Q$4704,'Data FT-TS-Cashout-P'!$A$14:$A$4704,'Mar16-Aug16 FT-TS-Cashout-LG&amp;E'!L$4,'Data FT-TS-Cashout-P'!$B$14:$B$4704,'Mar16-Aug16 FT-TS-Cashout-LG&amp;E'!$C$253,'Data FT-TS-Cashout-P'!$D$14:$D$4704,'Mar16-Aug16 FT-TS-Cashout-LG&amp;E'!$F$251,'Data FT-TS-Cashout-P'!$E$14:$E$4704,'Mar16-Aug16 FT-TS-Cashout-LG&amp;E'!$H$251,'Data FT-TS-Cashout-P'!$F$14:$F$4704,'Mar16-Aug16 FT-TS-Cashout-LG&amp;E'!L$7)</f>
        <v>0</v>
      </c>
      <c r="M251" s="655">
        <f>SUMIFS('Data FT-TS-Cashout-P'!$Q$14:$Q$4704,'Data FT-TS-Cashout-P'!$A$14:$A$4704,'Mar16-Aug16 FT-TS-Cashout-LG&amp;E'!M$4,'Data FT-TS-Cashout-P'!$B$14:$B$4704,'Mar16-Aug16 FT-TS-Cashout-LG&amp;E'!$C$253,'Data FT-TS-Cashout-P'!$D$14:$D$4704,'Mar16-Aug16 FT-TS-Cashout-LG&amp;E'!$F$251,'Data FT-TS-Cashout-P'!$E$14:$E$4704,'Mar16-Aug16 FT-TS-Cashout-LG&amp;E'!$H$251,'Data FT-TS-Cashout-P'!$F$14:$F$4704,'Mar16-Aug16 FT-TS-Cashout-LG&amp;E'!M$6)</f>
        <v>0</v>
      </c>
      <c r="N251" s="655">
        <f>SUMIFS('Data FT-TS-Cashout-P'!$Q$14:$Q$4704,'Data FT-TS-Cashout-P'!$A$14:$A$4704,'Mar16-Aug16 FT-TS-Cashout-LG&amp;E'!N$4,'Data FT-TS-Cashout-P'!$B$14:$B$4704,'Mar16-Aug16 FT-TS-Cashout-LG&amp;E'!$C$251,'Data FT-TS-Cashout-P'!$D$14:$D$4704,'Mar16-Aug16 FT-TS-Cashout-LG&amp;E'!$F$251,'Data FT-TS-Cashout-P'!$E$14:$E$4704,'Mar16-Aug16 FT-TS-Cashout-LG&amp;E'!$H$251,'Data FT-TS-Cashout-P'!$F$14:$F$4704,'Mar16-Aug16 FT-TS-Cashout-LG&amp;E'!N$6)</f>
        <v>0</v>
      </c>
      <c r="O251" s="655">
        <f>SUMIFS('Data FT-TS-Cashout-P'!$Q$14:$Q$4704,'Data FT-TS-Cashout-P'!$A$14:$A$4704,'Mar16-Aug16 FT-TS-Cashout-LG&amp;E'!O$4,'Data FT-TS-Cashout-P'!$B$14:$B$4704,'Mar16-Aug16 FT-TS-Cashout-LG&amp;E'!$C$251,'Data FT-TS-Cashout-P'!$D$14:$D$4704,'Mar16-Aug16 FT-TS-Cashout-LG&amp;E'!$F$251,'Data FT-TS-Cashout-P'!$E$14:$E$4704,'Mar16-Aug16 FT-TS-Cashout-LG&amp;E'!$H$251,'Data FT-TS-Cashout-P'!$F$14:$F$4704,'Mar16-Aug16 FT-TS-Cashout-LG&amp;E'!O$6)</f>
        <v>0</v>
      </c>
      <c r="P251" s="574">
        <f t="shared" si="84"/>
        <v>-167.88</v>
      </c>
      <c r="R251" s="403"/>
    </row>
    <row r="252" spans="2:25" x14ac:dyDescent="0.2">
      <c r="B252" s="338"/>
      <c r="C252" s="340" t="s">
        <v>96</v>
      </c>
      <c r="D252" s="340" t="str">
        <f t="shared" si="83"/>
        <v>892</v>
      </c>
      <c r="E252" s="338" t="s">
        <v>948</v>
      </c>
      <c r="F252" s="340" t="s">
        <v>663</v>
      </c>
      <c r="G252" s="341" t="s">
        <v>288</v>
      </c>
      <c r="H252" s="338"/>
      <c r="I252" s="410">
        <f>SUM(I247:I251)</f>
        <v>17010.249220000002</v>
      </c>
      <c r="J252" s="410">
        <f t="shared" ref="J252:O252" si="87">SUM(J247:J251)</f>
        <v>18303.189619999997</v>
      </c>
      <c r="K252" s="410">
        <f t="shared" si="87"/>
        <v>10991.500539999999</v>
      </c>
      <c r="L252" s="410">
        <f t="shared" si="87"/>
        <v>5183.7548999999999</v>
      </c>
      <c r="M252" s="410">
        <f t="shared" si="87"/>
        <v>7748.9299199999987</v>
      </c>
      <c r="N252" s="410">
        <f t="shared" si="87"/>
        <v>9706.4171100000003</v>
      </c>
      <c r="O252" s="410">
        <f t="shared" si="87"/>
        <v>3011.3819999999996</v>
      </c>
      <c r="P252" s="574">
        <f t="shared" si="84"/>
        <v>54945.174089999993</v>
      </c>
    </row>
    <row r="253" spans="2:25" x14ac:dyDescent="0.2">
      <c r="B253" s="338"/>
      <c r="C253" s="340" t="s">
        <v>1003</v>
      </c>
      <c r="D253" s="340"/>
      <c r="E253" s="338"/>
      <c r="F253" s="340"/>
      <c r="G253" s="341"/>
      <c r="H253" s="338"/>
      <c r="I253" s="410"/>
      <c r="J253" s="410"/>
      <c r="K253" s="410"/>
      <c r="L253" s="410"/>
      <c r="M253" s="410"/>
      <c r="N253" s="410"/>
      <c r="O253" s="410"/>
      <c r="P253" s="398"/>
    </row>
    <row r="254" spans="2:25" x14ac:dyDescent="0.2">
      <c r="B254" s="338"/>
      <c r="C254" s="340"/>
      <c r="D254" s="340"/>
      <c r="E254" s="338"/>
      <c r="F254" s="340"/>
      <c r="G254" s="347" t="s">
        <v>941</v>
      </c>
      <c r="H254" s="338"/>
      <c r="I254" s="416">
        <f>I233+I252</f>
        <v>38757.298370000004</v>
      </c>
      <c r="J254" s="416">
        <f t="shared" ref="J254:O254" si="88">J233+J252</f>
        <v>71951.267070000002</v>
      </c>
      <c r="K254" s="416">
        <f t="shared" si="88"/>
        <v>82554.768890000007</v>
      </c>
      <c r="L254" s="416">
        <f t="shared" si="88"/>
        <v>83344.999639999995</v>
      </c>
      <c r="M254" s="416">
        <f t="shared" si="88"/>
        <v>107080.20812</v>
      </c>
      <c r="N254" s="416">
        <f t="shared" si="88"/>
        <v>107975.55940999999</v>
      </c>
      <c r="O254" s="416">
        <f t="shared" si="88"/>
        <v>112238.5074</v>
      </c>
      <c r="P254" s="574">
        <f t="shared" si="84"/>
        <v>565145.31053000002</v>
      </c>
    </row>
    <row r="255" spans="2:25" x14ac:dyDescent="0.2">
      <c r="B255" s="338"/>
      <c r="C255" s="340"/>
      <c r="D255" s="340"/>
      <c r="E255" s="338"/>
      <c r="F255" s="340"/>
      <c r="G255" s="347"/>
      <c r="H255" s="338"/>
      <c r="I255" s="416"/>
      <c r="J255" s="416"/>
      <c r="K255" s="416"/>
      <c r="L255" s="416"/>
      <c r="M255" s="416"/>
      <c r="N255" s="416"/>
      <c r="O255" s="416"/>
      <c r="P255" s="410"/>
    </row>
    <row r="256" spans="2:25" x14ac:dyDescent="0.2">
      <c r="B256" s="338"/>
      <c r="C256" s="340"/>
      <c r="D256" s="340"/>
      <c r="E256" s="338"/>
      <c r="F256" s="340" t="s">
        <v>926</v>
      </c>
      <c r="G256" s="348" t="s">
        <v>532</v>
      </c>
      <c r="H256" s="338"/>
      <c r="I256" s="416">
        <f>SUMIFS('Bruise Report-Tariff'!$C$5:$C$2994,'Bruise Report-Tariff'!$A$5:$A$2994,'Mar16-Aug16 FT-TS-Cashout-LG&amp;E'!I$4,'Bruise Report-Tariff'!$B$5:$B$2994,'Mar16-Aug16 FT-TS-Cashout-LG&amp;E'!$F$256)</f>
        <v>38757.300000000003</v>
      </c>
      <c r="J256" s="416">
        <f>SUMIFS('Bruise Report-Tariff'!$C$5:$C$2994,'Bruise Report-Tariff'!$A$5:$A$2994,'Mar16-Aug16 FT-TS-Cashout-LG&amp;E'!J$4,'Bruise Report-Tariff'!$B$5:$B$2994,'Mar16-Aug16 FT-TS-Cashout-LG&amp;E'!$F$256)</f>
        <v>71951.240000000005</v>
      </c>
      <c r="K256" s="416">
        <f>SUMIFS('Bruise Report-Tariff'!$C$5:$C$2994,'Bruise Report-Tariff'!$A$5:$A$2994,'Mar16-Aug16 FT-TS-Cashout-LG&amp;E'!K$4,'Bruise Report-Tariff'!$B$5:$B$2994,'Mar16-Aug16 FT-TS-Cashout-LG&amp;E'!$F$256)</f>
        <v>82554.759999999995</v>
      </c>
      <c r="L256" s="416">
        <f>SUMIFS('Bruise Report-Tariff'!$C$5:$C$2994,'Bruise Report-Tariff'!$A$5:$A$2994,'Mar16-Aug16 FT-TS-Cashout-LG&amp;E'!L$4,'Bruise Report-Tariff'!$B$5:$B$2994,'Mar16-Aug16 FT-TS-Cashout-LG&amp;E'!$F$256)</f>
        <v>83345</v>
      </c>
      <c r="M256" s="416">
        <f>SUMIFS('Bruise Report-Tariff'!$C$5:$C$2994,'Bruise Report-Tariff'!$A$5:$A$2994,'Mar16-Aug16 FT-TS-Cashout-LG&amp;E'!M$4,'Bruise Report-Tariff'!$B$5:$B$2994,'Mar16-Aug16 FT-TS-Cashout-LG&amp;E'!$F$256)</f>
        <v>107080.20999999999</v>
      </c>
      <c r="N256" s="416">
        <f>SUMIFS('Bruise Report-Tariff'!$C$5:$C$2994,'Bruise Report-Tariff'!$A$5:$A$2994,'Mar16-Aug16 FT-TS-Cashout-LG&amp;E'!N$4,'Bruise Report-Tariff'!$B$5:$B$2994,'Mar16-Aug16 FT-TS-Cashout-LG&amp;E'!$F$256)</f>
        <v>107975.55</v>
      </c>
      <c r="O256" s="416">
        <f>SUMIFS('Bruise Report-Tariff'!$C$5:$C$2994,'Bruise Report-Tariff'!$A$5:$A$2994,'Mar16-Aug16 FT-TS-Cashout-LG&amp;E'!O$4,'Bruise Report-Tariff'!$B$5:$B$2994,'Mar16-Aug16 FT-TS-Cashout-LG&amp;E'!$F$256)</f>
        <v>112238.52</v>
      </c>
      <c r="P256" s="574">
        <f t="shared" si="84"/>
        <v>565145.27999999991</v>
      </c>
      <c r="R256" s="415"/>
    </row>
    <row r="257" spans="2:21" x14ac:dyDescent="0.2">
      <c r="B257" s="338"/>
      <c r="C257" s="340"/>
      <c r="D257" s="340"/>
      <c r="E257" s="338"/>
      <c r="F257" s="340"/>
      <c r="G257" s="338"/>
      <c r="H257" s="338"/>
      <c r="I257" s="338"/>
      <c r="J257" s="338"/>
      <c r="K257" s="338"/>
      <c r="L257" s="338"/>
      <c r="M257" s="338"/>
      <c r="N257" s="338"/>
      <c r="O257" s="338"/>
      <c r="P257" s="410"/>
    </row>
    <row r="258" spans="2:21" x14ac:dyDescent="0.2">
      <c r="B258" s="338"/>
      <c r="C258" s="340"/>
      <c r="D258" s="340"/>
      <c r="E258" s="338"/>
      <c r="F258" s="340"/>
      <c r="G258" s="348" t="s">
        <v>262</v>
      </c>
      <c r="H258" s="338"/>
      <c r="I258" s="410">
        <f>+I254-I256</f>
        <v>-1.6299999988405034E-3</v>
      </c>
      <c r="J258" s="410">
        <f t="shared" ref="J258:O258" si="89">+J254-J256</f>
        <v>2.7069999996456318E-2</v>
      </c>
      <c r="K258" s="410">
        <f t="shared" si="89"/>
        <v>8.8900000118883327E-3</v>
      </c>
      <c r="L258" s="410">
        <f t="shared" si="89"/>
        <v>-3.6000000545755029E-4</v>
      </c>
      <c r="M258" s="410">
        <f t="shared" si="89"/>
        <v>-1.879999996162951E-3</v>
      </c>
      <c r="N258" s="410">
        <f t="shared" si="89"/>
        <v>9.4099999842001125E-3</v>
      </c>
      <c r="O258" s="410">
        <f t="shared" si="89"/>
        <v>-1.2600000001839362E-2</v>
      </c>
      <c r="P258" s="574">
        <f t="shared" si="84"/>
        <v>3.0529999989084899E-2</v>
      </c>
    </row>
    <row r="259" spans="2:21" x14ac:dyDescent="0.2">
      <c r="B259" s="338"/>
      <c r="C259" s="340"/>
      <c r="D259" s="340"/>
      <c r="E259" s="338"/>
      <c r="F259" s="340"/>
      <c r="G259" s="348"/>
      <c r="H259" s="338"/>
      <c r="I259" s="410"/>
      <c r="J259" s="410"/>
      <c r="K259" s="410"/>
      <c r="L259" s="410"/>
      <c r="M259" s="410"/>
      <c r="N259" s="410"/>
      <c r="O259" s="410"/>
      <c r="P259" s="338"/>
    </row>
    <row r="260" spans="2:21" x14ac:dyDescent="0.2">
      <c r="B260" s="338"/>
      <c r="C260" s="338"/>
      <c r="D260" s="338"/>
      <c r="E260" s="338"/>
      <c r="F260" s="338"/>
      <c r="G260" s="338"/>
      <c r="H260" s="338"/>
      <c r="I260" s="338"/>
      <c r="J260" s="338"/>
      <c r="K260" s="338"/>
      <c r="L260" s="338"/>
      <c r="M260" s="338"/>
      <c r="N260" s="338"/>
      <c r="O260" s="338"/>
      <c r="P260" s="338"/>
    </row>
    <row r="261" spans="2:21" x14ac:dyDescent="0.2">
      <c r="B261" s="338"/>
      <c r="C261" s="338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U261" s="349"/>
    </row>
    <row r="262" spans="2:21" x14ac:dyDescent="0.2">
      <c r="B262" s="338"/>
      <c r="C262" s="338"/>
      <c r="D262" s="338"/>
      <c r="E262" s="338"/>
      <c r="F262" s="338"/>
      <c r="G262" s="339" t="s">
        <v>709</v>
      </c>
      <c r="H262" s="338"/>
      <c r="I262" s="338"/>
      <c r="J262" s="338"/>
      <c r="K262" s="338"/>
      <c r="L262" s="338"/>
      <c r="M262" s="338"/>
      <c r="N262" s="338"/>
      <c r="O262" s="338"/>
      <c r="P262" s="338"/>
      <c r="U262" s="349"/>
    </row>
    <row r="263" spans="2:21" x14ac:dyDescent="0.2">
      <c r="B263" s="338"/>
      <c r="C263" s="340" t="s">
        <v>39</v>
      </c>
      <c r="D263" s="340" t="str">
        <f t="shared" ref="D263:D279" si="90">MID(C263,6,3)</f>
        <v>881</v>
      </c>
      <c r="E263" s="338" t="str">
        <f>VLOOKUP($C263,'Retail Rates'!$B$45:$R$53,3,FALSE)</f>
        <v>CGS-TS</v>
      </c>
      <c r="F263" s="340" t="s">
        <v>662</v>
      </c>
      <c r="G263" s="341" t="s">
        <v>268</v>
      </c>
      <c r="H263" s="338"/>
      <c r="I263" s="338">
        <f t="shared" ref="I263:O263" si="91">+I274/I268</f>
        <v>0</v>
      </c>
      <c r="J263" s="338">
        <f t="shared" si="91"/>
        <v>0</v>
      </c>
      <c r="K263" s="338">
        <f t="shared" si="91"/>
        <v>0</v>
      </c>
      <c r="L263" s="338">
        <f t="shared" si="91"/>
        <v>0</v>
      </c>
      <c r="M263" s="338">
        <f t="shared" si="91"/>
        <v>0</v>
      </c>
      <c r="N263" s="338">
        <f t="shared" si="91"/>
        <v>0</v>
      </c>
      <c r="O263" s="338">
        <f t="shared" si="91"/>
        <v>0</v>
      </c>
      <c r="P263" s="398" t="e">
        <f>SUM(I263:N263,#REF!)</f>
        <v>#REF!</v>
      </c>
      <c r="U263" s="349"/>
    </row>
    <row r="264" spans="2:21" x14ac:dyDescent="0.2">
      <c r="B264" s="338"/>
      <c r="C264" s="340" t="s">
        <v>39</v>
      </c>
      <c r="D264" s="340" t="str">
        <f t="shared" si="90"/>
        <v>881</v>
      </c>
      <c r="E264" s="338" t="str">
        <f>VLOOKUP($C264,'Retail Rates'!$B$45:$R$53,3,FALSE)</f>
        <v>CGS-TS</v>
      </c>
      <c r="F264" s="340" t="s">
        <v>662</v>
      </c>
      <c r="G264" s="341" t="s">
        <v>468</v>
      </c>
      <c r="H264" s="338"/>
      <c r="I264" s="338">
        <f t="shared" ref="I264:O264" si="92">IF(I266=0,I266,IF(I266&gt;=(I263*100),(I263*100),I266))</f>
        <v>0</v>
      </c>
      <c r="J264" s="338">
        <f t="shared" si="92"/>
        <v>0</v>
      </c>
      <c r="K264" s="338">
        <f t="shared" si="92"/>
        <v>0</v>
      </c>
      <c r="L264" s="338">
        <f t="shared" si="92"/>
        <v>0</v>
      </c>
      <c r="M264" s="338">
        <f t="shared" si="92"/>
        <v>0</v>
      </c>
      <c r="N264" s="338">
        <f t="shared" si="92"/>
        <v>0</v>
      </c>
      <c r="O264" s="338">
        <f t="shared" si="92"/>
        <v>0</v>
      </c>
      <c r="P264" s="398" t="e">
        <f>SUM(I264:N264,#REF!)</f>
        <v>#REF!</v>
      </c>
      <c r="U264" s="349"/>
    </row>
    <row r="265" spans="2:21" x14ac:dyDescent="0.2">
      <c r="B265" s="338"/>
      <c r="C265" s="340" t="s">
        <v>39</v>
      </c>
      <c r="D265" s="340" t="str">
        <f t="shared" si="90"/>
        <v>881</v>
      </c>
      <c r="E265" s="338" t="str">
        <f>VLOOKUP($C265,'Retail Rates'!$B$45:$R$53,3,FALSE)</f>
        <v>CGS-TS</v>
      </c>
      <c r="F265" s="340" t="s">
        <v>662</v>
      </c>
      <c r="G265" s="341" t="s">
        <v>469</v>
      </c>
      <c r="H265" s="338"/>
      <c r="I265" s="408">
        <f t="shared" ref="I265:O265" si="93">+I266-I264</f>
        <v>0</v>
      </c>
      <c r="J265" s="408">
        <f t="shared" si="93"/>
        <v>0</v>
      </c>
      <c r="K265" s="408">
        <f t="shared" si="93"/>
        <v>0</v>
      </c>
      <c r="L265" s="408">
        <f t="shared" si="93"/>
        <v>0</v>
      </c>
      <c r="M265" s="408">
        <f t="shared" si="93"/>
        <v>0</v>
      </c>
      <c r="N265" s="408">
        <f t="shared" si="93"/>
        <v>0</v>
      </c>
      <c r="O265" s="408">
        <f t="shared" si="93"/>
        <v>0</v>
      </c>
      <c r="P265" s="398" t="e">
        <f>SUM(I265:N265,#REF!)</f>
        <v>#REF!</v>
      </c>
      <c r="U265" s="349"/>
    </row>
    <row r="266" spans="2:21" x14ac:dyDescent="0.2">
      <c r="B266" s="338"/>
      <c r="C266" s="340" t="s">
        <v>39</v>
      </c>
      <c r="D266" s="340" t="str">
        <f t="shared" si="90"/>
        <v>881</v>
      </c>
      <c r="E266" s="338" t="str">
        <f>VLOOKUP($C266,'Retail Rates'!$B$45:$R$53,3,FALSE)</f>
        <v>CGS-TS</v>
      </c>
      <c r="F266" s="340" t="s">
        <v>662</v>
      </c>
      <c r="G266" s="341" t="s">
        <v>470</v>
      </c>
      <c r="H266" s="325" t="s">
        <v>518</v>
      </c>
      <c r="I266" s="411">
        <f>SUMIFS('Data FT-TS-Cashout-P'!$H$14:$H$4704,'Data FT-TS-Cashout-P'!$A$6:$A$4696,'Mar16-Aug16 FT-TS-Cashout-LG&amp;E'!I$4,'Data FT-TS-Cashout-P'!$B$14:$B$4704,'Mar16-Aug16 FT-TS-Cashout-LG&amp;E'!$C$266,'Data FT-TS-Cashout-P'!$D$14:$D$4704,'Mar16-Aug16 FT-TS-Cashout-LG&amp;E'!$F$266,'Data FT-TS-Cashout-P'!$E$14:$E$4704,'Mar16-Aug16 FT-TS-Cashout-LG&amp;E'!$H$266,'Data FT-TS-Cashout-P'!$F$14:$F$4704,'Mar16-Aug16 FT-TS-Cashout-LG&amp;E'!I$6)/10</f>
        <v>0</v>
      </c>
      <c r="J266" s="411">
        <f>SUMIFS('Data FT-TS-Cashout-P'!$H$14:$H$4704,'Data FT-TS-Cashout-P'!$A$6:$A$4696,'Mar16-Aug16 FT-TS-Cashout-LG&amp;E'!J$4,'Data FT-TS-Cashout-P'!$B$14:$B$4704,'Mar16-Aug16 FT-TS-Cashout-LG&amp;E'!$C$266,'Data FT-TS-Cashout-P'!$D$14:$D$4704,'Mar16-Aug16 FT-TS-Cashout-LG&amp;E'!$F$266,'Data FT-TS-Cashout-P'!$E$14:$E$4704,'Mar16-Aug16 FT-TS-Cashout-LG&amp;E'!$H$266,'Data FT-TS-Cashout-P'!$F$14:$F$4704,'Mar16-Aug16 FT-TS-Cashout-LG&amp;E'!J$6)/10</f>
        <v>0</v>
      </c>
      <c r="K266" s="411">
        <f>SUMIFS('Data FT-TS-Cashout-P'!$H$14:$H$4704,'Data FT-TS-Cashout-P'!$A$6:$A$4696,'Mar16-Aug16 FT-TS-Cashout-LG&amp;E'!K$4,'Data FT-TS-Cashout-P'!$B$14:$B$4704,'Mar16-Aug16 FT-TS-Cashout-LG&amp;E'!$C$266,'Data FT-TS-Cashout-P'!$D$14:$D$4704,'Mar16-Aug16 FT-TS-Cashout-LG&amp;E'!$F$266,'Data FT-TS-Cashout-P'!$E$14:$E$4704,'Mar16-Aug16 FT-TS-Cashout-LG&amp;E'!$H$266,'Data FT-TS-Cashout-P'!$F$14:$F$4704,'Mar16-Aug16 FT-TS-Cashout-LG&amp;E'!K$6)/10</f>
        <v>0</v>
      </c>
      <c r="L266" s="411">
        <f>SUMIFS('Data FT-TS-Cashout-P'!$H$14:$H$4704,'Data FT-TS-Cashout-P'!$A$6:$A$4696,'Mar16-Aug16 FT-TS-Cashout-LG&amp;E'!L$4,'Data FT-TS-Cashout-P'!$B$14:$B$4704,'Mar16-Aug16 FT-TS-Cashout-LG&amp;E'!$C$266,'Data FT-TS-Cashout-P'!$D$14:$D$4704,'Mar16-Aug16 FT-TS-Cashout-LG&amp;E'!$F$266,'Data FT-TS-Cashout-P'!$E$14:$E$4704,'Mar16-Aug16 FT-TS-Cashout-LG&amp;E'!$H$266,'Data FT-TS-Cashout-P'!$F$14:$F$4704,'Mar16-Aug16 FT-TS-Cashout-LG&amp;E'!L$6)/10</f>
        <v>0</v>
      </c>
      <c r="M266" s="411">
        <f>SUMIFS('Data FT-TS-Cashout-P'!$H$14:$H$4704,'Data FT-TS-Cashout-P'!$A$6:$A$4696,'Mar16-Aug16 FT-TS-Cashout-LG&amp;E'!M$4,'Data FT-TS-Cashout-P'!$B$14:$B$4704,'Mar16-Aug16 FT-TS-Cashout-LG&amp;E'!$C$266,'Data FT-TS-Cashout-P'!$D$14:$D$4704,'Mar16-Aug16 FT-TS-Cashout-LG&amp;E'!$F$266,'Data FT-TS-Cashout-P'!$E$14:$E$4704,'Mar16-Aug16 FT-TS-Cashout-LG&amp;E'!$H$266,'Data FT-TS-Cashout-P'!$F$14:$F$4704,'Mar16-Aug16 FT-TS-Cashout-LG&amp;E'!M$6)/10</f>
        <v>0</v>
      </c>
      <c r="N266" s="411">
        <f>SUMIFS('Data FT-TS-Cashout-P'!$H$14:$H$4704,'Data FT-TS-Cashout-P'!$A$6:$A$4696,'Mar16-Aug16 FT-TS-Cashout-LG&amp;E'!N$4,'Data FT-TS-Cashout-P'!$B$14:$B$4704,'Mar16-Aug16 FT-TS-Cashout-LG&amp;E'!$C$266,'Data FT-TS-Cashout-P'!$D$14:$D$4704,'Mar16-Aug16 FT-TS-Cashout-LG&amp;E'!$F$266,'Data FT-TS-Cashout-P'!$E$14:$E$4704,'Mar16-Aug16 FT-TS-Cashout-LG&amp;E'!$H$266,'Data FT-TS-Cashout-P'!$F$14:$F$4704,'Mar16-Aug16 FT-TS-Cashout-LG&amp;E'!N$6)/10</f>
        <v>0</v>
      </c>
      <c r="O266" s="411">
        <f>SUMIFS('Data FT-TS-Cashout-P'!$H$14:$H$4704,'Data FT-TS-Cashout-P'!$A$6:$A$4696,'Mar16-Aug16 FT-TS-Cashout-LG&amp;E'!O$4,'Data FT-TS-Cashout-P'!$B$14:$B$4704,'Mar16-Aug16 FT-TS-Cashout-LG&amp;E'!$C$266,'Data FT-TS-Cashout-P'!$D$14:$D$4704,'Mar16-Aug16 FT-TS-Cashout-LG&amp;E'!$F$266,'Data FT-TS-Cashout-P'!$E$14:$E$4704,'Mar16-Aug16 FT-TS-Cashout-LG&amp;E'!$H$266,'Data FT-TS-Cashout-P'!$F$14:$F$4704,'Mar16-Aug16 FT-TS-Cashout-LG&amp;E'!O$6)/10</f>
        <v>0</v>
      </c>
      <c r="P266" s="398" t="e">
        <f>SUM(I266:N266,#REF!)</f>
        <v>#REF!</v>
      </c>
      <c r="U266" s="349"/>
    </row>
    <row r="267" spans="2:21" x14ac:dyDescent="0.2">
      <c r="B267" s="338"/>
      <c r="C267" s="340" t="s">
        <v>39</v>
      </c>
      <c r="D267" s="340" t="str">
        <f t="shared" si="90"/>
        <v>881</v>
      </c>
      <c r="E267" s="338" t="str">
        <f>VLOOKUP($C267,'Retail Rates'!$B$45:$R$53,3,FALSE)</f>
        <v>CGS-TS</v>
      </c>
      <c r="F267" s="340" t="s">
        <v>662</v>
      </c>
      <c r="G267" s="342"/>
      <c r="H267" s="338"/>
      <c r="I267" s="338"/>
      <c r="J267" s="338"/>
      <c r="K267" s="338"/>
      <c r="L267" s="338"/>
      <c r="M267" s="338"/>
      <c r="N267" s="338"/>
      <c r="O267" s="338"/>
      <c r="P267" s="338"/>
      <c r="U267" s="349"/>
    </row>
    <row r="268" spans="2:21" x14ac:dyDescent="0.2">
      <c r="B268" s="338"/>
      <c r="C268" s="340" t="s">
        <v>39</v>
      </c>
      <c r="D268" s="340" t="str">
        <f t="shared" si="90"/>
        <v>881</v>
      </c>
      <c r="E268" s="338" t="str">
        <f>VLOOKUP($C268,'Retail Rates'!$B$45:$R$53,3,FALSE)</f>
        <v>CGS-TS</v>
      </c>
      <c r="F268" s="340" t="s">
        <v>662</v>
      </c>
      <c r="G268" s="341" t="s">
        <v>270</v>
      </c>
      <c r="H268" s="338"/>
      <c r="I268" s="338">
        <f>VLOOKUP($C268,'Retail Rates'!$B$44:$O$53,5,FALSE)</f>
        <v>180</v>
      </c>
      <c r="J268" s="338">
        <f>VLOOKUP($C268,'Retail Rates'!$B$44:$O$53,5,FALSE)</f>
        <v>180</v>
      </c>
      <c r="K268" s="338">
        <f>VLOOKUP($C268,'Retail Rates'!$B$44:$O$53,5,FALSE)</f>
        <v>180</v>
      </c>
      <c r="L268" s="338">
        <f>VLOOKUP($C268,'Retail Rates'!$B$44:$O$53,5,FALSE)</f>
        <v>180</v>
      </c>
      <c r="M268" s="338">
        <f>VLOOKUP($C268,'Retail Rates'!$B$44:$O$53,5,FALSE)</f>
        <v>180</v>
      </c>
      <c r="N268" s="338">
        <f>VLOOKUP($C268,'Retail Rates'!$B$44:$O$53,5,FALSE)</f>
        <v>180</v>
      </c>
      <c r="O268" s="338">
        <f>VLOOKUP($C268,'Retail Rates'!$B$44:$O$53,5,FALSE)</f>
        <v>180</v>
      </c>
      <c r="P268" s="338"/>
      <c r="U268" s="349"/>
    </row>
    <row r="269" spans="2:21" x14ac:dyDescent="0.2">
      <c r="B269" s="338"/>
      <c r="C269" s="340" t="s">
        <v>39</v>
      </c>
      <c r="D269" s="340" t="str">
        <f t="shared" si="90"/>
        <v>881</v>
      </c>
      <c r="E269" s="338" t="str">
        <f>VLOOKUP($C269,'Retail Rates'!$B$45:$R$53,3,FALSE)</f>
        <v>CGS-TS</v>
      </c>
      <c r="F269" s="340" t="s">
        <v>662</v>
      </c>
      <c r="G269" s="341" t="s">
        <v>471</v>
      </c>
      <c r="H269" s="338"/>
      <c r="I269" s="338">
        <f>VLOOKUP($C269,'Retail Rates'!$B$44:$O$53,7,FALSE)</f>
        <v>2.1504000000000003</v>
      </c>
      <c r="J269" s="338">
        <f>VLOOKUP($C269,'Retail Rates'!$B$44:$O$53,7,FALSE)</f>
        <v>2.1504000000000003</v>
      </c>
      <c r="K269" s="338">
        <f>VLOOKUP($C269,'Retail Rates'!$B$44:$O$53,7,FALSE)</f>
        <v>2.1504000000000003</v>
      </c>
      <c r="L269" s="338">
        <f>VLOOKUP($C269,'Retail Rates'!$B$44:$O$53,7,FALSE)</f>
        <v>2.1504000000000003</v>
      </c>
      <c r="M269" s="338">
        <f>VLOOKUP($C269,'Retail Rates'!$B$44:$O$53,7,FALSE)</f>
        <v>2.1504000000000003</v>
      </c>
      <c r="N269" s="338">
        <f>VLOOKUP($C269,'Retail Rates'!$B$44:$O$53,7,FALSE)</f>
        <v>2.1504000000000003</v>
      </c>
      <c r="O269" s="338">
        <f>VLOOKUP($C269,'Retail Rates'!$B$44:$O$53,7,FALSE)</f>
        <v>2.1504000000000003</v>
      </c>
      <c r="P269" s="338"/>
      <c r="U269" s="349"/>
    </row>
    <row r="270" spans="2:21" x14ac:dyDescent="0.2">
      <c r="B270" s="338"/>
      <c r="C270" s="340" t="s">
        <v>39</v>
      </c>
      <c r="D270" s="340" t="str">
        <f t="shared" si="90"/>
        <v>881</v>
      </c>
      <c r="E270" s="338" t="str">
        <f>VLOOKUP($C270,'Retail Rates'!$B$45:$R$53,3,FALSE)</f>
        <v>CGS-TS</v>
      </c>
      <c r="F270" s="340" t="s">
        <v>662</v>
      </c>
      <c r="G270" s="341" t="s">
        <v>472</v>
      </c>
      <c r="H270" s="338"/>
      <c r="I270" s="338">
        <f t="shared" ref="I270:O270" si="94">+I269-0.5</f>
        <v>1.6504000000000003</v>
      </c>
      <c r="J270" s="338">
        <f t="shared" si="94"/>
        <v>1.6504000000000003</v>
      </c>
      <c r="K270" s="338">
        <f t="shared" si="94"/>
        <v>1.6504000000000003</v>
      </c>
      <c r="L270" s="338">
        <f t="shared" si="94"/>
        <v>1.6504000000000003</v>
      </c>
      <c r="M270" s="338">
        <f t="shared" si="94"/>
        <v>1.6504000000000003</v>
      </c>
      <c r="N270" s="338">
        <f t="shared" si="94"/>
        <v>1.6504000000000003</v>
      </c>
      <c r="O270" s="338">
        <f t="shared" si="94"/>
        <v>1.6504000000000003</v>
      </c>
      <c r="P270" s="338"/>
      <c r="U270" s="349"/>
    </row>
    <row r="271" spans="2:21" x14ac:dyDescent="0.2">
      <c r="B271" s="338"/>
      <c r="C271" s="340" t="s">
        <v>39</v>
      </c>
      <c r="D271" s="340" t="str">
        <f t="shared" si="90"/>
        <v>881</v>
      </c>
      <c r="E271" s="338" t="str">
        <f>VLOOKUP($C271,'Retail Rates'!$B$45:$R$53,3,FALSE)</f>
        <v>CGS-TS</v>
      </c>
      <c r="F271" s="340" t="s">
        <v>662</v>
      </c>
      <c r="G271" s="341" t="s">
        <v>257</v>
      </c>
      <c r="H271" s="338"/>
      <c r="I271" s="409">
        <f>SUMIF('GSC-DSM-GLT Factors'!$A$11:$A$58,'Mar16-Aug16 FT-TS-Cashout-LG&amp;E'!I$5,'GSC-DSM-GLT Factors'!$H$11:$H$58)</f>
        <v>0.83650000000000002</v>
      </c>
      <c r="J271" s="409">
        <f>SUMIF('GSC-DSM-GLT Factors'!$A$8:$A$58,'Mar16-Aug16 FT-TS-Cashout-LG&amp;E'!J$4,'GSC-DSM-GLT Factors'!$H$8:$H$58)</f>
        <v>0.83650000000000002</v>
      </c>
      <c r="K271" s="409">
        <f>SUMIF('GSC-DSM-GLT Factors'!$A$8:$A$58,'Mar16-Aug16 FT-TS-Cashout-LG&amp;E'!K$4,'GSC-DSM-GLT Factors'!$H$8:$H$58)</f>
        <v>0.84419999999999995</v>
      </c>
      <c r="L271" s="409">
        <f>SUMIF('GSC-DSM-GLT Factors'!$A$8:$A$58,'Mar16-Aug16 FT-TS-Cashout-LG&amp;E'!L$4,'GSC-DSM-GLT Factors'!$H$8:$H$58)</f>
        <v>0.84419999999999995</v>
      </c>
      <c r="M271" s="409">
        <f>SUMIF('GSC-DSM-GLT Factors'!$A$8:$A$58,'Mar16-Aug16 FT-TS-Cashout-LG&amp;E'!M$4,'GSC-DSM-GLT Factors'!$H$8:$H$58)</f>
        <v>0.84419999999999995</v>
      </c>
      <c r="N271" s="409">
        <f>SUMIF('GSC-DSM-GLT Factors'!$A$8:$A$58,'Mar16-Aug16 FT-TS-Cashout-LG&amp;E'!N$4,'GSC-DSM-GLT Factors'!$H$8:$H$58)</f>
        <v>0.83909999999999996</v>
      </c>
      <c r="O271" s="409">
        <f>SUMIF('GSC-DSM-GLT Factors'!$A$8:$A$58,'Mar16-Aug16 FT-TS-Cashout-LG&amp;E'!O$4,'GSC-DSM-GLT Factors'!$H$8:$H$58)</f>
        <v>0.83909999999999996</v>
      </c>
      <c r="P271" s="338"/>
      <c r="U271" s="349"/>
    </row>
    <row r="272" spans="2:21" x14ac:dyDescent="0.2">
      <c r="B272" s="338"/>
      <c r="C272" s="340" t="s">
        <v>39</v>
      </c>
      <c r="D272" s="340" t="str">
        <f t="shared" si="90"/>
        <v>881</v>
      </c>
      <c r="E272" s="338" t="str">
        <f>VLOOKUP($C272,'Retail Rates'!$B$45:$R$53,3,FALSE)</f>
        <v>CGS-TS</v>
      </c>
      <c r="F272" s="340" t="s">
        <v>662</v>
      </c>
      <c r="G272" s="341" t="s">
        <v>710</v>
      </c>
      <c r="H272" s="338"/>
      <c r="I272" s="338">
        <f>SUMIF('GSC-DSM-GLT Factors'!$A$11:$A$58,'Mar16-Aug16 FT-TS-Cashout-LG&amp;E'!I$4,'GSC-DSM-GLT Factors'!$D$11:$D$58)</f>
        <v>5.4000000000000001E-4</v>
      </c>
      <c r="J272" s="409">
        <f>SUMIF('GSC-DSM-GLT Factors'!M35:M52,'Mar16-Aug16 FT-TS-Cashout-LG&amp;E'!J4,'GSC-DSM-GLT Factors'!P35:P52)*10</f>
        <v>0</v>
      </c>
      <c r="K272" s="409">
        <f>SUMIF('GSC-DSM-GLT Factors'!N1:N60,'Mar16-Aug16 FT-TS-Cashout-LG&amp;E'!K4,'GSC-DSM-GLT Factors'!Q1:Q60)*10</f>
        <v>0</v>
      </c>
      <c r="L272" s="409">
        <f>SUMIF('GSC-DSM-GLT Factors'!O35:O52,'Mar16-Aug16 FT-TS-Cashout-LG&amp;E'!L4,'GSC-DSM-GLT Factors'!R35:R52)*10</f>
        <v>0</v>
      </c>
      <c r="M272" s="409">
        <f>SUMIF('GSC-DSM-GLT Factors'!P35:P52,'Mar16-Aug16 FT-TS-Cashout-LG&amp;E'!M4,'GSC-DSM-GLT Factors'!S35:S52)*10</f>
        <v>0</v>
      </c>
      <c r="N272" s="409">
        <f>SUMIF('GSC-DSM-GLT Factors'!Q35:Q52,'Mar16-Aug16 FT-TS-Cashout-LG&amp;E'!N4,'GSC-DSM-GLT Factors'!T35:T52)*10</f>
        <v>0</v>
      </c>
      <c r="O272" s="409">
        <f>SUMIF('GSC-DSM-GLT Factors'!R35:R52,'Mar16-Aug16 FT-TS-Cashout-LG&amp;E'!O4,'GSC-DSM-GLT Factors'!U35:U52)*10</f>
        <v>0</v>
      </c>
      <c r="P272" s="338"/>
      <c r="U272" s="349"/>
    </row>
    <row r="273" spans="2:21" x14ac:dyDescent="0.2">
      <c r="B273" s="338"/>
      <c r="C273" s="340" t="s">
        <v>39</v>
      </c>
      <c r="D273" s="340" t="str">
        <f t="shared" si="90"/>
        <v>881</v>
      </c>
      <c r="E273" s="338" t="str">
        <f>VLOOKUP($C273,'Retail Rates'!$B$45:$R$53,3,FALSE)</f>
        <v>CGS-TS</v>
      </c>
      <c r="F273" s="340" t="s">
        <v>662</v>
      </c>
      <c r="G273" s="343" t="s">
        <v>273</v>
      </c>
      <c r="H273" s="338"/>
      <c r="I273" s="338"/>
      <c r="J273" s="338"/>
      <c r="K273" s="338"/>
      <c r="L273" s="338"/>
      <c r="M273" s="338"/>
      <c r="N273" s="338"/>
      <c r="O273" s="338"/>
      <c r="P273" s="338"/>
      <c r="U273" s="349"/>
    </row>
    <row r="274" spans="2:21" x14ac:dyDescent="0.2">
      <c r="B274" s="338"/>
      <c r="C274" s="340" t="s">
        <v>39</v>
      </c>
      <c r="D274" s="340" t="str">
        <f t="shared" si="90"/>
        <v>881</v>
      </c>
      <c r="E274" s="338" t="str">
        <f>VLOOKUP($C274,'Retail Rates'!$B$45:$R$53,3,FALSE)</f>
        <v>CGS-TS</v>
      </c>
      <c r="F274" s="340" t="s">
        <v>662</v>
      </c>
      <c r="G274" s="341" t="s">
        <v>270</v>
      </c>
      <c r="H274" s="325" t="s">
        <v>524</v>
      </c>
      <c r="I274" s="396">
        <f>SUMIFS('Data FT-TS-Cashout-P'!$I$14:$I$4704,'Data FT-TS-Cashout-P'!$A$14:$A$4704,'Mar16-Aug16 FT-TS-Cashout-LG&amp;E'!I$4,'Data FT-TS-Cashout-P'!$B$14:$B$4704,'Mar16-Aug16 FT-TS-Cashout-LG&amp;E'!$C$274,'Data FT-TS-Cashout-P'!$D$14:$D$4704,'Mar16-Aug16 FT-TS-Cashout-LG&amp;E'!$F$274,'Data FT-TS-Cashout-P'!$E$14:$E$4704,'Mar16-Aug16 FT-TS-Cashout-LG&amp;E'!$H$274,'Data FT-TS-Cashout-P'!$F$14:$F$4704,'Mar16-Aug16 FT-TS-Cashout-LG&amp;E'!I$6)</f>
        <v>0</v>
      </c>
      <c r="J274" s="396">
        <f>SUMIFS('Data FT-TS-Cashout-P'!$I$14:$I$4704,'Data FT-TS-Cashout-P'!$A$14:$A$4704,'Mar16-Aug16 FT-TS-Cashout-LG&amp;E'!J$4,'Data FT-TS-Cashout-P'!$B$14:$B$4704,'Mar16-Aug16 FT-TS-Cashout-LG&amp;E'!$C$274,'Data FT-TS-Cashout-P'!$D$14:$D$4704,'Mar16-Aug16 FT-TS-Cashout-LG&amp;E'!$F$274,'Data FT-TS-Cashout-P'!$E$14:$E$4704,'Mar16-Aug16 FT-TS-Cashout-LG&amp;E'!$H$274,'Data FT-TS-Cashout-P'!$F$14:$F$4704,'Mar16-Aug16 FT-TS-Cashout-LG&amp;E'!J$6)</f>
        <v>0</v>
      </c>
      <c r="K274" s="396">
        <f>SUMIFS('Data FT-TS-Cashout-P'!$I$14:$I$4704,'Data FT-TS-Cashout-P'!$A$14:$A$4704,'Mar16-Aug16 FT-TS-Cashout-LG&amp;E'!K$4,'Data FT-TS-Cashout-P'!$B$14:$B$4704,'Mar16-Aug16 FT-TS-Cashout-LG&amp;E'!$C$274,'Data FT-TS-Cashout-P'!$D$14:$D$4704,'Mar16-Aug16 FT-TS-Cashout-LG&amp;E'!$F$274,'Data FT-TS-Cashout-P'!$E$14:$E$4704,'Mar16-Aug16 FT-TS-Cashout-LG&amp;E'!$H$274,'Data FT-TS-Cashout-P'!$F$14:$F$4704,'Mar16-Aug16 FT-TS-Cashout-LG&amp;E'!K$6)</f>
        <v>0</v>
      </c>
      <c r="L274" s="396">
        <f>SUMIFS('Data FT-TS-Cashout-P'!$I$14:$I$4704,'Data FT-TS-Cashout-P'!$A$14:$A$4704,'Mar16-Aug16 FT-TS-Cashout-LG&amp;E'!L$4,'Data FT-TS-Cashout-P'!$B$14:$B$4704,'Mar16-Aug16 FT-TS-Cashout-LG&amp;E'!$C$274,'Data FT-TS-Cashout-P'!$D$14:$D$4704,'Mar16-Aug16 FT-TS-Cashout-LG&amp;E'!$F$274,'Data FT-TS-Cashout-P'!$E$14:$E$4704,'Mar16-Aug16 FT-TS-Cashout-LG&amp;E'!$H$274,'Data FT-TS-Cashout-P'!$F$14:$F$4704,'Mar16-Aug16 FT-TS-Cashout-LG&amp;E'!L$6)</f>
        <v>0</v>
      </c>
      <c r="M274" s="396">
        <f>SUMIFS('Data FT-TS-Cashout-P'!$I$14:$I$4704,'Data FT-TS-Cashout-P'!$A$14:$A$4704,'Mar16-Aug16 FT-TS-Cashout-LG&amp;E'!M$4,'Data FT-TS-Cashout-P'!$B$14:$B$4704,'Mar16-Aug16 FT-TS-Cashout-LG&amp;E'!$C$274,'Data FT-TS-Cashout-P'!$D$14:$D$4704,'Mar16-Aug16 FT-TS-Cashout-LG&amp;E'!$F$274,'Data FT-TS-Cashout-P'!$E$14:$E$4704,'Mar16-Aug16 FT-TS-Cashout-LG&amp;E'!$H$274,'Data FT-TS-Cashout-P'!$F$14:$F$4704,'Mar16-Aug16 FT-TS-Cashout-LG&amp;E'!M$6)</f>
        <v>0</v>
      </c>
      <c r="N274" s="396">
        <f>SUMIFS('Data FT-TS-Cashout-P'!$I$14:$I$4704,'Data FT-TS-Cashout-P'!$A$14:$A$4704,'Mar16-Aug16 FT-TS-Cashout-LG&amp;E'!N$4,'Data FT-TS-Cashout-P'!$B$14:$B$4704,'Mar16-Aug16 FT-TS-Cashout-LG&amp;E'!$C$274,'Data FT-TS-Cashout-P'!$D$14:$D$4704,'Mar16-Aug16 FT-TS-Cashout-LG&amp;E'!$F$274,'Data FT-TS-Cashout-P'!$E$14:$E$4704,'Mar16-Aug16 FT-TS-Cashout-LG&amp;E'!$H$274,'Data FT-TS-Cashout-P'!$F$14:$F$4704,'Mar16-Aug16 FT-TS-Cashout-LG&amp;E'!N$6)</f>
        <v>0</v>
      </c>
      <c r="O274" s="396">
        <f>SUMIFS('Data FT-TS-Cashout-P'!$I$14:$I$4704,'Data FT-TS-Cashout-P'!$A$14:$A$4704,'Mar16-Aug16 FT-TS-Cashout-LG&amp;E'!O$4,'Data FT-TS-Cashout-P'!$B$14:$B$4704,'Mar16-Aug16 FT-TS-Cashout-LG&amp;E'!$C$274,'Data FT-TS-Cashout-P'!$D$14:$D$4704,'Mar16-Aug16 FT-TS-Cashout-LG&amp;E'!$F$274,'Data FT-TS-Cashout-P'!$E$14:$E$4704,'Mar16-Aug16 FT-TS-Cashout-LG&amp;E'!$H$274,'Data FT-TS-Cashout-P'!$F$14:$F$4704,'Mar16-Aug16 FT-TS-Cashout-LG&amp;E'!O$6)</f>
        <v>0</v>
      </c>
      <c r="P274" s="398" t="e">
        <f>SUM(I274:N274,#REF!)</f>
        <v>#REF!</v>
      </c>
      <c r="U274" s="349"/>
    </row>
    <row r="275" spans="2:21" x14ac:dyDescent="0.2">
      <c r="B275" s="338"/>
      <c r="C275" s="340" t="s">
        <v>39</v>
      </c>
      <c r="D275" s="340" t="str">
        <f t="shared" si="90"/>
        <v>881</v>
      </c>
      <c r="E275" s="338" t="str">
        <f>VLOOKUP($C275,'Retail Rates'!$B$45:$R$53,3,FALSE)</f>
        <v>CGS-TS</v>
      </c>
      <c r="F275" s="340" t="s">
        <v>662</v>
      </c>
      <c r="G275" s="341" t="s">
        <v>473</v>
      </c>
      <c r="H275" s="338"/>
      <c r="I275" s="410">
        <f t="shared" ref="I275:O275" si="95">ROUND(+I264*I269,2)</f>
        <v>0</v>
      </c>
      <c r="J275" s="410">
        <f t="shared" si="95"/>
        <v>0</v>
      </c>
      <c r="K275" s="410">
        <f t="shared" si="95"/>
        <v>0</v>
      </c>
      <c r="L275" s="410">
        <f t="shared" si="95"/>
        <v>0</v>
      </c>
      <c r="M275" s="410">
        <f t="shared" si="95"/>
        <v>0</v>
      </c>
      <c r="N275" s="410">
        <f t="shared" si="95"/>
        <v>0</v>
      </c>
      <c r="O275" s="410">
        <f t="shared" si="95"/>
        <v>0</v>
      </c>
      <c r="P275" s="398" t="e">
        <f>SUM(I275:N275,#REF!)</f>
        <v>#REF!</v>
      </c>
      <c r="U275" s="349"/>
    </row>
    <row r="276" spans="2:21" x14ac:dyDescent="0.2">
      <c r="B276" s="338"/>
      <c r="C276" s="340" t="s">
        <v>39</v>
      </c>
      <c r="D276" s="340" t="str">
        <f t="shared" si="90"/>
        <v>881</v>
      </c>
      <c r="E276" s="338" t="str">
        <f>VLOOKUP($C276,'Retail Rates'!$B$45:$R$53,3,FALSE)</f>
        <v>CGS-TS</v>
      </c>
      <c r="F276" s="340" t="s">
        <v>662</v>
      </c>
      <c r="G276" s="341" t="s">
        <v>474</v>
      </c>
      <c r="H276" s="338"/>
      <c r="I276" s="413">
        <f t="shared" ref="I276:O276" si="96">ROUND(+I265*I270,2)</f>
        <v>0</v>
      </c>
      <c r="J276" s="413">
        <f t="shared" si="96"/>
        <v>0</v>
      </c>
      <c r="K276" s="413">
        <f t="shared" si="96"/>
        <v>0</v>
      </c>
      <c r="L276" s="413">
        <f t="shared" si="96"/>
        <v>0</v>
      </c>
      <c r="M276" s="413">
        <f t="shared" si="96"/>
        <v>0</v>
      </c>
      <c r="N276" s="413">
        <f t="shared" si="96"/>
        <v>0</v>
      </c>
      <c r="O276" s="413">
        <f t="shared" si="96"/>
        <v>0</v>
      </c>
      <c r="P276" s="398" t="e">
        <f>SUM(I276:N276,#REF!)</f>
        <v>#REF!</v>
      </c>
      <c r="U276" s="349"/>
    </row>
    <row r="277" spans="2:21" x14ac:dyDescent="0.2">
      <c r="B277" s="338"/>
      <c r="C277" s="340" t="s">
        <v>39</v>
      </c>
      <c r="D277" s="340" t="str">
        <f t="shared" si="90"/>
        <v>881</v>
      </c>
      <c r="E277" s="338" t="str">
        <f>VLOOKUP($C277,'Retail Rates'!$B$45:$R$53,3,FALSE)</f>
        <v>CGS-TS</v>
      </c>
      <c r="F277" s="340" t="s">
        <v>662</v>
      </c>
      <c r="G277" s="341" t="s">
        <v>276</v>
      </c>
      <c r="H277" s="338"/>
      <c r="I277" s="410">
        <f t="shared" ref="I277:O277" si="97">SUM(I274:I276)</f>
        <v>0</v>
      </c>
      <c r="J277" s="410">
        <f t="shared" si="97"/>
        <v>0</v>
      </c>
      <c r="K277" s="410">
        <f t="shared" si="97"/>
        <v>0</v>
      </c>
      <c r="L277" s="410">
        <f t="shared" si="97"/>
        <v>0</v>
      </c>
      <c r="M277" s="410">
        <f t="shared" si="97"/>
        <v>0</v>
      </c>
      <c r="N277" s="410">
        <f t="shared" si="97"/>
        <v>0</v>
      </c>
      <c r="O277" s="410">
        <f t="shared" si="97"/>
        <v>0</v>
      </c>
      <c r="P277" s="398" t="e">
        <f>SUM(I277:N277,#REF!)</f>
        <v>#REF!</v>
      </c>
      <c r="U277" s="349"/>
    </row>
    <row r="278" spans="2:21" x14ac:dyDescent="0.2">
      <c r="B278" s="338"/>
      <c r="C278" s="340" t="s">
        <v>39</v>
      </c>
      <c r="D278" s="340" t="str">
        <f>MID(C278,6,3)</f>
        <v>881</v>
      </c>
      <c r="E278" s="338" t="str">
        <f>VLOOKUP($C278,'Retail Rates'!$B$45:$R$53,3,FALSE)</f>
        <v>CGS-TS</v>
      </c>
      <c r="F278" s="340" t="s">
        <v>662</v>
      </c>
      <c r="G278" s="341" t="s">
        <v>710</v>
      </c>
      <c r="H278" s="338"/>
      <c r="I278" s="410">
        <f t="shared" ref="I278:O278" si="98">I266*I272</f>
        <v>0</v>
      </c>
      <c r="J278" s="410">
        <f t="shared" si="98"/>
        <v>0</v>
      </c>
      <c r="K278" s="410">
        <f t="shared" si="98"/>
        <v>0</v>
      </c>
      <c r="L278" s="410">
        <f t="shared" si="98"/>
        <v>0</v>
      </c>
      <c r="M278" s="410">
        <f t="shared" si="98"/>
        <v>0</v>
      </c>
      <c r="N278" s="410">
        <f t="shared" si="98"/>
        <v>0</v>
      </c>
      <c r="O278" s="410">
        <f t="shared" si="98"/>
        <v>0</v>
      </c>
      <c r="P278" s="398" t="e">
        <f>SUM(I278:N278,#REF!)</f>
        <v>#REF!</v>
      </c>
      <c r="U278" s="349"/>
    </row>
    <row r="279" spans="2:21" x14ac:dyDescent="0.2">
      <c r="B279" s="338"/>
      <c r="C279" s="340" t="s">
        <v>39</v>
      </c>
      <c r="D279" s="340" t="str">
        <f t="shared" si="90"/>
        <v>881</v>
      </c>
      <c r="E279" s="338" t="str">
        <f>VLOOKUP($C279,'Retail Rates'!$B$45:$R$53,3,FALSE)</f>
        <v>CGS-TS</v>
      </c>
      <c r="F279" s="340" t="s">
        <v>662</v>
      </c>
      <c r="G279" s="341" t="s">
        <v>257</v>
      </c>
      <c r="H279" s="338"/>
      <c r="I279" s="413">
        <f>I266*I271</f>
        <v>0</v>
      </c>
      <c r="J279" s="413">
        <f t="shared" ref="J279:O279" si="99">J266*J271</f>
        <v>0</v>
      </c>
      <c r="K279" s="413">
        <f t="shared" si="99"/>
        <v>0</v>
      </c>
      <c r="L279" s="413">
        <f t="shared" si="99"/>
        <v>0</v>
      </c>
      <c r="M279" s="413">
        <f t="shared" si="99"/>
        <v>0</v>
      </c>
      <c r="N279" s="413">
        <f t="shared" si="99"/>
        <v>0</v>
      </c>
      <c r="O279" s="413">
        <f t="shared" si="99"/>
        <v>0</v>
      </c>
      <c r="P279" s="398" t="e">
        <f>SUM(I279:N279,#REF!)</f>
        <v>#REF!</v>
      </c>
      <c r="U279" s="349"/>
    </row>
    <row r="280" spans="2:21" x14ac:dyDescent="0.2">
      <c r="B280" s="338"/>
      <c r="C280" s="340" t="s">
        <v>39</v>
      </c>
      <c r="D280" s="340" t="str">
        <f>MID(C280,6,3)</f>
        <v>881</v>
      </c>
      <c r="E280" s="338" t="str">
        <f>VLOOKUP($C280,'Retail Rates'!$B$45:$R$53,3,FALSE)</f>
        <v>CGS-TS</v>
      </c>
      <c r="F280" s="340" t="s">
        <v>662</v>
      </c>
      <c r="G280" s="341" t="s">
        <v>288</v>
      </c>
      <c r="H280" s="338"/>
      <c r="I280" s="410">
        <f t="shared" ref="I280:O280" si="100">I277+I278+I279</f>
        <v>0</v>
      </c>
      <c r="J280" s="410">
        <f t="shared" si="100"/>
        <v>0</v>
      </c>
      <c r="K280" s="410">
        <f t="shared" si="100"/>
        <v>0</v>
      </c>
      <c r="L280" s="410">
        <f t="shared" si="100"/>
        <v>0</v>
      </c>
      <c r="M280" s="410">
        <f t="shared" si="100"/>
        <v>0</v>
      </c>
      <c r="N280" s="410">
        <f t="shared" si="100"/>
        <v>0</v>
      </c>
      <c r="O280" s="410">
        <f t="shared" si="100"/>
        <v>0</v>
      </c>
      <c r="P280" s="398" t="e">
        <f>SUM(I280:N280,#REF!)</f>
        <v>#REF!</v>
      </c>
      <c r="U280" s="349"/>
    </row>
    <row r="281" spans="2:21" x14ac:dyDescent="0.2">
      <c r="B281" s="338"/>
      <c r="C281" s="340"/>
      <c r="D281" s="340"/>
      <c r="E281" s="338"/>
      <c r="F281" s="340"/>
      <c r="G281" s="341"/>
      <c r="H281" s="338"/>
      <c r="I281" s="410"/>
      <c r="J281" s="410"/>
      <c r="K281" s="410"/>
      <c r="L281" s="410"/>
      <c r="M281" s="410"/>
      <c r="N281" s="410"/>
      <c r="O281" s="410"/>
      <c r="P281" s="398"/>
      <c r="U281" s="349"/>
    </row>
    <row r="282" spans="2:21" x14ac:dyDescent="0.2">
      <c r="B282" s="338"/>
      <c r="C282" s="340" t="s">
        <v>75</v>
      </c>
      <c r="D282" s="340" t="str">
        <f t="shared" ref="D282:D294" si="101">MID(C282,6,3)</f>
        <v>891</v>
      </c>
      <c r="E282" s="338" t="s">
        <v>887</v>
      </c>
      <c r="F282" s="340" t="s">
        <v>662</v>
      </c>
      <c r="G282" s="341" t="s">
        <v>268</v>
      </c>
      <c r="H282" s="338"/>
      <c r="I282" s="338">
        <f>+I290/I285</f>
        <v>0</v>
      </c>
      <c r="J282" s="338">
        <f t="shared" ref="J282:O282" si="102">+J290/J285</f>
        <v>0</v>
      </c>
      <c r="K282" s="338">
        <f t="shared" si="102"/>
        <v>0</v>
      </c>
      <c r="L282" s="338">
        <f t="shared" si="102"/>
        <v>0</v>
      </c>
      <c r="M282" s="338">
        <f t="shared" si="102"/>
        <v>0</v>
      </c>
      <c r="N282" s="338">
        <f t="shared" si="102"/>
        <v>0</v>
      </c>
      <c r="O282" s="338">
        <f t="shared" si="102"/>
        <v>0</v>
      </c>
      <c r="P282" s="398" t="e">
        <f>SUM(I282:N282,#REF!)</f>
        <v>#REF!</v>
      </c>
      <c r="U282" s="349"/>
    </row>
    <row r="283" spans="2:21" x14ac:dyDescent="0.2">
      <c r="B283" s="338"/>
      <c r="C283" s="340" t="s">
        <v>75</v>
      </c>
      <c r="D283" s="340" t="str">
        <f t="shared" si="101"/>
        <v>891</v>
      </c>
      <c r="E283" s="338" t="s">
        <v>887</v>
      </c>
      <c r="F283" s="340" t="s">
        <v>662</v>
      </c>
      <c r="G283" s="341" t="s">
        <v>470</v>
      </c>
      <c r="H283" s="325" t="s">
        <v>518</v>
      </c>
      <c r="I283" s="411">
        <f>SUMIFS('Data FT-TS-Cashout-P'!$H$14:$H$4704,'Data FT-TS-Cashout-P'!$A$6:$A$4696,'Mar16-Aug16 FT-TS-Cashout-LG&amp;E'!I$4,'Data FT-TS-Cashout-P'!$B$14:$B$4704,'Mar16-Aug16 FT-TS-Cashout-LG&amp;E'!$C$283,'Data FT-TS-Cashout-P'!$D$14:$D$4704,'Mar16-Aug16 FT-TS-Cashout-LG&amp;E'!$F$283,'Data FT-TS-Cashout-P'!$E$14:$E$4704,'Mar16-Aug16 FT-TS-Cashout-LG&amp;E'!$H$283,'Data FT-TS-Cashout-P'!$F$14:$F$4704,'Mar16-Aug16 FT-TS-Cashout-LG&amp;E'!I$6)/10</f>
        <v>0</v>
      </c>
      <c r="J283" s="411">
        <f>SUMIFS('Data FT-TS-Cashout-P'!$H$14:$H$4704,'Data FT-TS-Cashout-P'!$A$6:$A$4696,'Mar16-Aug16 FT-TS-Cashout-LG&amp;E'!J$4,'Data FT-TS-Cashout-P'!$B$14:$B$4704,'Mar16-Aug16 FT-TS-Cashout-LG&amp;E'!$C$283,'Data FT-TS-Cashout-P'!$D$14:$D$4704,'Mar16-Aug16 FT-TS-Cashout-LG&amp;E'!$F$283,'Data FT-TS-Cashout-P'!$E$14:$E$4704,'Mar16-Aug16 FT-TS-Cashout-LG&amp;E'!$H$283,'Data FT-TS-Cashout-P'!$F$14:$F$4704,'Mar16-Aug16 FT-TS-Cashout-LG&amp;E'!J$6)/10</f>
        <v>0</v>
      </c>
      <c r="K283" s="411">
        <f>SUMIFS('Data FT-TS-Cashout-P'!$H$14:$H$4704,'Data FT-TS-Cashout-P'!$A$6:$A$4696,'Mar16-Aug16 FT-TS-Cashout-LG&amp;E'!K$4,'Data FT-TS-Cashout-P'!$B$14:$B$4704,'Mar16-Aug16 FT-TS-Cashout-LG&amp;E'!$C$283,'Data FT-TS-Cashout-P'!$D$14:$D$4704,'Mar16-Aug16 FT-TS-Cashout-LG&amp;E'!$F$283,'Data FT-TS-Cashout-P'!$E$14:$E$4704,'Mar16-Aug16 FT-TS-Cashout-LG&amp;E'!$H$283,'Data FT-TS-Cashout-P'!$F$14:$F$4704,'Mar16-Aug16 FT-TS-Cashout-LG&amp;E'!K$6)/10</f>
        <v>0</v>
      </c>
      <c r="L283" s="411">
        <f>SUMIFS('Data FT-TS-Cashout-P'!$H$14:$H$4704,'Data FT-TS-Cashout-P'!$A$6:$A$4696,'Mar16-Aug16 FT-TS-Cashout-LG&amp;E'!L$4,'Data FT-TS-Cashout-P'!$B$14:$B$4704,'Mar16-Aug16 FT-TS-Cashout-LG&amp;E'!$C$283,'Data FT-TS-Cashout-P'!$D$14:$D$4704,'Mar16-Aug16 FT-TS-Cashout-LG&amp;E'!$F$283,'Data FT-TS-Cashout-P'!$E$14:$E$4704,'Mar16-Aug16 FT-TS-Cashout-LG&amp;E'!$H$283,'Data FT-TS-Cashout-P'!$F$14:$F$4704,'Mar16-Aug16 FT-TS-Cashout-LG&amp;E'!L$6)/10</f>
        <v>0</v>
      </c>
      <c r="M283" s="411">
        <f>SUMIFS('Data FT-TS-Cashout-P'!$H$14:$H$4704,'Data FT-TS-Cashout-P'!$A$6:$A$4696,'Mar16-Aug16 FT-TS-Cashout-LG&amp;E'!M$4,'Data FT-TS-Cashout-P'!$B$14:$B$4704,'Mar16-Aug16 FT-TS-Cashout-LG&amp;E'!$C$283,'Data FT-TS-Cashout-P'!$D$14:$D$4704,'Mar16-Aug16 FT-TS-Cashout-LG&amp;E'!$F$283,'Data FT-TS-Cashout-P'!$E$14:$E$4704,'Mar16-Aug16 FT-TS-Cashout-LG&amp;E'!$H$283,'Data FT-TS-Cashout-P'!$F$14:$F$4704,'Mar16-Aug16 FT-TS-Cashout-LG&amp;E'!M$6)/10</f>
        <v>0</v>
      </c>
      <c r="N283" s="411">
        <f>SUMIFS('Data FT-TS-Cashout-P'!$H$14:$H$4704,'Data FT-TS-Cashout-P'!$A$6:$A$4696,'Mar16-Aug16 FT-TS-Cashout-LG&amp;E'!N$4,'Data FT-TS-Cashout-P'!$B$14:$B$4704,'Mar16-Aug16 FT-TS-Cashout-LG&amp;E'!$C$283,'Data FT-TS-Cashout-P'!$D$14:$D$4704,'Mar16-Aug16 FT-TS-Cashout-LG&amp;E'!$F$283,'Data FT-TS-Cashout-P'!$E$14:$E$4704,'Mar16-Aug16 FT-TS-Cashout-LG&amp;E'!$H$283,'Data FT-TS-Cashout-P'!$F$14:$F$4704,'Mar16-Aug16 FT-TS-Cashout-LG&amp;E'!N$6)/10</f>
        <v>0</v>
      </c>
      <c r="O283" s="411">
        <f>SUMIFS('Data FT-TS-Cashout-P'!$H$14:$H$4704,'Data FT-TS-Cashout-P'!$A$6:$A$4696,'Mar16-Aug16 FT-TS-Cashout-LG&amp;E'!O$4,'Data FT-TS-Cashout-P'!$B$14:$B$4704,'Mar16-Aug16 FT-TS-Cashout-LG&amp;E'!$C$283,'Data FT-TS-Cashout-P'!$D$14:$D$4704,'Mar16-Aug16 FT-TS-Cashout-LG&amp;E'!$F$283,'Data FT-TS-Cashout-P'!$E$14:$E$4704,'Mar16-Aug16 FT-TS-Cashout-LG&amp;E'!$H$283,'Data FT-TS-Cashout-P'!$F$14:$F$4704,'Mar16-Aug16 FT-TS-Cashout-LG&amp;E'!O$6)/10</f>
        <v>0</v>
      </c>
      <c r="P283" s="398" t="e">
        <f>SUM(I283:N283,#REF!)</f>
        <v>#REF!</v>
      </c>
      <c r="U283" s="349"/>
    </row>
    <row r="284" spans="2:21" x14ac:dyDescent="0.2">
      <c r="B284" s="338"/>
      <c r="C284" s="340" t="s">
        <v>75</v>
      </c>
      <c r="D284" s="340" t="str">
        <f t="shared" si="101"/>
        <v>891</v>
      </c>
      <c r="E284" s="338" t="s">
        <v>887</v>
      </c>
      <c r="F284" s="340" t="s">
        <v>662</v>
      </c>
      <c r="G284" s="342"/>
      <c r="H284" s="338"/>
      <c r="I284" s="338"/>
      <c r="J284" s="338"/>
      <c r="K284" s="338"/>
      <c r="L284" s="338"/>
      <c r="M284" s="338"/>
      <c r="N284" s="338"/>
      <c r="O284" s="338"/>
      <c r="P284" s="338"/>
      <c r="U284" s="349"/>
    </row>
    <row r="285" spans="2:21" x14ac:dyDescent="0.2">
      <c r="B285" s="338"/>
      <c r="C285" s="340" t="s">
        <v>75</v>
      </c>
      <c r="D285" s="340" t="str">
        <f t="shared" si="101"/>
        <v>891</v>
      </c>
      <c r="E285" s="338" t="s">
        <v>887</v>
      </c>
      <c r="F285" s="340" t="s">
        <v>662</v>
      </c>
      <c r="G285" s="341" t="s">
        <v>270</v>
      </c>
      <c r="H285" s="338"/>
      <c r="I285" s="338">
        <f>VLOOKUP($C285,'Retail Rates'!$B$45:$O$61,6,FALSE)</f>
        <v>550</v>
      </c>
      <c r="J285" s="338">
        <f>VLOOKUP($C285,'Retail Rates'!$B$45:$O$61,6,FALSE)</f>
        <v>550</v>
      </c>
      <c r="K285" s="338">
        <f>VLOOKUP($C285,'Retail Rates'!$B$45:$O$61,6,FALSE)</f>
        <v>550</v>
      </c>
      <c r="L285" s="338">
        <f>VLOOKUP($C285,'Retail Rates'!$B$45:$O$61,6,FALSE)</f>
        <v>550</v>
      </c>
      <c r="M285" s="338">
        <f>VLOOKUP($C285,'Retail Rates'!$B$45:$O$61,6,FALSE)</f>
        <v>550</v>
      </c>
      <c r="N285" s="338">
        <f>VLOOKUP($C285,'Retail Rates'!$B$45:$O$61,6,FALSE)</f>
        <v>550</v>
      </c>
      <c r="O285" s="338">
        <f>VLOOKUP($C285,'Retail Rates'!$B$45:$O$61,6,FALSE)</f>
        <v>550</v>
      </c>
      <c r="P285" s="338"/>
      <c r="U285" s="349"/>
    </row>
    <row r="286" spans="2:21" x14ac:dyDescent="0.2">
      <c r="B286" s="338"/>
      <c r="C286" s="340" t="s">
        <v>75</v>
      </c>
      <c r="D286" s="340" t="str">
        <f t="shared" si="101"/>
        <v>891</v>
      </c>
      <c r="E286" s="338" t="s">
        <v>887</v>
      </c>
      <c r="F286" s="340" t="s">
        <v>662</v>
      </c>
      <c r="G286" s="341" t="s">
        <v>471</v>
      </c>
      <c r="H286" s="338"/>
      <c r="I286" s="338">
        <f>VLOOKUP($C286,'Retail Rates'!$B$45:$O$61,7,FALSE)</f>
        <v>0.70089999999999997</v>
      </c>
      <c r="J286" s="338">
        <f>VLOOKUP($C286,'Retail Rates'!$B$45:$O$61,7,FALSE)</f>
        <v>0.70089999999999997</v>
      </c>
      <c r="K286" s="338">
        <f>VLOOKUP($C286,'Retail Rates'!$B$45:$O$61,7,FALSE)</f>
        <v>0.70089999999999997</v>
      </c>
      <c r="L286" s="338">
        <f>VLOOKUP($C286,'Retail Rates'!$B$45:$O$61,7,FALSE)</f>
        <v>0.70089999999999997</v>
      </c>
      <c r="M286" s="338">
        <f>VLOOKUP($C286,'Retail Rates'!$B$45:$O$61,7,FALSE)</f>
        <v>0.70089999999999997</v>
      </c>
      <c r="N286" s="338">
        <f>VLOOKUP($C286,'Retail Rates'!$B$45:$O$61,7,FALSE)</f>
        <v>0.70089999999999997</v>
      </c>
      <c r="O286" s="338">
        <f>VLOOKUP($C286,'Retail Rates'!$B$45:$O$61,7,FALSE)</f>
        <v>0.70089999999999997</v>
      </c>
      <c r="P286" s="338"/>
      <c r="U286" s="349"/>
    </row>
    <row r="287" spans="2:21" x14ac:dyDescent="0.2">
      <c r="B287" s="338"/>
      <c r="C287" s="340" t="s">
        <v>75</v>
      </c>
      <c r="D287" s="340" t="str">
        <f t="shared" si="101"/>
        <v>891</v>
      </c>
      <c r="E287" s="338" t="s">
        <v>887</v>
      </c>
      <c r="F287" s="340" t="s">
        <v>662</v>
      </c>
      <c r="G287" s="341" t="s">
        <v>257</v>
      </c>
      <c r="H287" s="338"/>
      <c r="I287" s="409">
        <f>SUMIF('GSC-DSM-GLT Factors'!$A$11:$A$58,'Mar16-Aug16 FT-TS-Cashout-LG&amp;E'!I$5,'GSC-DSM-GLT Factors'!$H$11:$H$58)</f>
        <v>0.83650000000000002</v>
      </c>
      <c r="J287" s="409">
        <f>SUMIF('GSC-DSM-GLT Factors'!$A$11:$A$58,'Mar16-Aug16 FT-TS-Cashout-LG&amp;E'!J$5,'GSC-DSM-GLT Factors'!$H$11:$H$58)</f>
        <v>0.83650000000000002</v>
      </c>
      <c r="K287" s="409">
        <f>SUMIF('GSC-DSM-GLT Factors'!$A$11:$A$58,'Mar16-Aug16 FT-TS-Cashout-LG&amp;E'!K$5,'GSC-DSM-GLT Factors'!$H$11:$H$58)</f>
        <v>0.83650000000000002</v>
      </c>
      <c r="L287" s="409">
        <f>SUMIF('GSC-DSM-GLT Factors'!$A$11:$A$58,'Mar16-Aug16 FT-TS-Cashout-LG&amp;E'!L$5,'GSC-DSM-GLT Factors'!$H$11:$H$58)</f>
        <v>0.84419999999999995</v>
      </c>
      <c r="M287" s="409">
        <f>SUMIF('GSC-DSM-GLT Factors'!$A$11:$A$58,'Mar16-Aug16 FT-TS-Cashout-LG&amp;E'!M$5,'GSC-DSM-GLT Factors'!$H$11:$H$58)</f>
        <v>0.84419999999999995</v>
      </c>
      <c r="N287" s="409">
        <f>SUMIF('GSC-DSM-GLT Factors'!$A$11:$A$58,'Mar16-Aug16 FT-TS-Cashout-LG&amp;E'!N$5,'GSC-DSM-GLT Factors'!$H$11:$H$58)</f>
        <v>0.84419999999999995</v>
      </c>
      <c r="O287" s="409">
        <f>SUMIF('GSC-DSM-GLT Factors'!$A$11:$A$58,'Mar16-Aug16 FT-TS-Cashout-LG&amp;E'!O$5,'GSC-DSM-GLT Factors'!$H$11:$H$58)</f>
        <v>0.83909999999999996</v>
      </c>
      <c r="P287" s="338"/>
      <c r="U287" s="349"/>
    </row>
    <row r="288" spans="2:21" x14ac:dyDescent="0.2">
      <c r="B288" s="338"/>
      <c r="C288" s="340" t="s">
        <v>75</v>
      </c>
      <c r="D288" s="340" t="str">
        <f t="shared" si="101"/>
        <v>891</v>
      </c>
      <c r="E288" s="338" t="s">
        <v>887</v>
      </c>
      <c r="F288" s="340" t="s">
        <v>662</v>
      </c>
      <c r="G288" s="341" t="s">
        <v>710</v>
      </c>
      <c r="H288" s="338"/>
      <c r="I288" s="338">
        <f>SUMIF('GSC-DSM-GLT Factors'!$A$11:$A$58,'Mar16-Aug16 FT-TS-Cashout-LG&amp;E'!I$4,'GSC-DSM-GLT Factors'!$D$11:$D$58)</f>
        <v>5.4000000000000001E-4</v>
      </c>
      <c r="J288" s="338">
        <f>SUMIF('GSC-DSM-GLT Factors'!$A$11:$A$58,'Mar16-Aug16 FT-TS-Cashout-LG&amp;E'!J$4,'GSC-DSM-GLT Factors'!$D$11:$D$58)</f>
        <v>5.6999999999999998E-4</v>
      </c>
      <c r="K288" s="338">
        <f>SUMIF('GSC-DSM-GLT Factors'!$A$11:$A$58,'Mar16-Aug16 FT-TS-Cashout-LG&amp;E'!K$4,'GSC-DSM-GLT Factors'!$D$11:$D$58)</f>
        <v>5.6999999999999998E-4</v>
      </c>
      <c r="L288" s="338">
        <f>SUMIF('GSC-DSM-GLT Factors'!$A$11:$A$58,'Mar16-Aug16 FT-TS-Cashout-LG&amp;E'!L$4,'GSC-DSM-GLT Factors'!$D$11:$D$58)</f>
        <v>5.6999999999999998E-4</v>
      </c>
      <c r="M288" s="338">
        <f>SUMIF('GSC-DSM-GLT Factors'!$A$11:$A$58,'Mar16-Aug16 FT-TS-Cashout-LG&amp;E'!M$4,'GSC-DSM-GLT Factors'!$D$11:$D$58)</f>
        <v>5.6999999999999998E-4</v>
      </c>
      <c r="N288" s="338">
        <f>SUMIF('GSC-DSM-GLT Factors'!$A$11:$A$58,'Mar16-Aug16 FT-TS-Cashout-LG&amp;E'!N$4,'GSC-DSM-GLT Factors'!$D$11:$D$58)</f>
        <v>5.6999999999999998E-4</v>
      </c>
      <c r="O288" s="338">
        <f>SUMIF('GSC-DSM-GLT Factors'!$A$11:$A$58,'Mar16-Aug16 FT-TS-Cashout-LG&amp;E'!O$4,'GSC-DSM-GLT Factors'!$D$11:$D$58)</f>
        <v>0</v>
      </c>
      <c r="P288" s="338"/>
      <c r="U288" s="349"/>
    </row>
    <row r="289" spans="2:21" x14ac:dyDescent="0.2">
      <c r="B289" s="338"/>
      <c r="C289" s="340" t="s">
        <v>75</v>
      </c>
      <c r="D289" s="340" t="str">
        <f t="shared" si="101"/>
        <v>891</v>
      </c>
      <c r="E289" s="338" t="s">
        <v>887</v>
      </c>
      <c r="F289" s="340" t="s">
        <v>662</v>
      </c>
      <c r="G289" s="343" t="s">
        <v>273</v>
      </c>
      <c r="H289" s="338"/>
      <c r="I289" s="338"/>
      <c r="J289" s="338"/>
      <c r="K289" s="338"/>
      <c r="L289" s="338"/>
      <c r="M289" s="338"/>
      <c r="N289" s="338"/>
      <c r="O289" s="338"/>
      <c r="P289" s="338"/>
      <c r="U289" s="349"/>
    </row>
    <row r="290" spans="2:21" x14ac:dyDescent="0.2">
      <c r="B290" s="338"/>
      <c r="C290" s="340" t="s">
        <v>75</v>
      </c>
      <c r="D290" s="340" t="str">
        <f t="shared" si="101"/>
        <v>891</v>
      </c>
      <c r="E290" s="338" t="s">
        <v>887</v>
      </c>
      <c r="F290" s="340" t="s">
        <v>662</v>
      </c>
      <c r="G290" s="341" t="s">
        <v>270</v>
      </c>
      <c r="H290" s="325" t="s">
        <v>524</v>
      </c>
      <c r="I290" s="396">
        <f>SUMIFS('Data FT-TS-Cashout-P'!$I$14:$I$4704,'Data FT-TS-Cashout-P'!$A$14:$A$4704,'Mar16-Aug16 FT-TS-Cashout-LG&amp;E'!I$4,'Data FT-TS-Cashout-P'!$B$14:$B$4704,'Mar16-Aug16 FT-TS-Cashout-LG&amp;E'!$C$290,'Data FT-TS-Cashout-P'!$D$14:$D$4704,'Mar16-Aug16 FT-TS-Cashout-LG&amp;E'!$F$290,'Data FT-TS-Cashout-P'!$E$14:$E$4704,'Mar16-Aug16 FT-TS-Cashout-LG&amp;E'!$H$290,'Data FT-TS-Cashout-P'!$F$14:$F$4704,'Mar16-Aug16 FT-TS-Cashout-LG&amp;E'!I$6)</f>
        <v>0</v>
      </c>
      <c r="J290" s="396">
        <f>SUMIFS('Data FT-TS-Cashout-P'!$I$14:$I$4704,'Data FT-TS-Cashout-P'!$A$14:$A$4704,'Mar16-Aug16 FT-TS-Cashout-LG&amp;E'!J$4,'Data FT-TS-Cashout-P'!$B$14:$B$4704,'Mar16-Aug16 FT-TS-Cashout-LG&amp;E'!$C$290,'Data FT-TS-Cashout-P'!$D$14:$D$4704,'Mar16-Aug16 FT-TS-Cashout-LG&amp;E'!$F$290,'Data FT-TS-Cashout-P'!$E$14:$E$4704,'Mar16-Aug16 FT-TS-Cashout-LG&amp;E'!$H$290,'Data FT-TS-Cashout-P'!$F$14:$F$4704,'Mar16-Aug16 FT-TS-Cashout-LG&amp;E'!J$6)</f>
        <v>0</v>
      </c>
      <c r="K290" s="396">
        <f>SUMIFS('Data FT-TS-Cashout-P'!$I$14:$I$4704,'Data FT-TS-Cashout-P'!$A$14:$A$4704,'Mar16-Aug16 FT-TS-Cashout-LG&amp;E'!K$4,'Data FT-TS-Cashout-P'!$B$14:$B$4704,'Mar16-Aug16 FT-TS-Cashout-LG&amp;E'!$C$290,'Data FT-TS-Cashout-P'!$D$14:$D$4704,'Mar16-Aug16 FT-TS-Cashout-LG&amp;E'!$F$290,'Data FT-TS-Cashout-P'!$E$14:$E$4704,'Mar16-Aug16 FT-TS-Cashout-LG&amp;E'!$H$290,'Data FT-TS-Cashout-P'!$F$14:$F$4704,'Mar16-Aug16 FT-TS-Cashout-LG&amp;E'!K$6)</f>
        <v>0</v>
      </c>
      <c r="L290" s="396">
        <f>SUMIFS('Data FT-TS-Cashout-P'!$I$14:$I$4704,'Data FT-TS-Cashout-P'!$A$14:$A$4704,'Mar16-Aug16 FT-TS-Cashout-LG&amp;E'!L$4,'Data FT-TS-Cashout-P'!$B$14:$B$4704,'Mar16-Aug16 FT-TS-Cashout-LG&amp;E'!$C$290,'Data FT-TS-Cashout-P'!$D$14:$D$4704,'Mar16-Aug16 FT-TS-Cashout-LG&amp;E'!$F$290,'Data FT-TS-Cashout-P'!$E$14:$E$4704,'Mar16-Aug16 FT-TS-Cashout-LG&amp;E'!$H$290,'Data FT-TS-Cashout-P'!$F$14:$F$4704,'Mar16-Aug16 FT-TS-Cashout-LG&amp;E'!L$6)</f>
        <v>0</v>
      </c>
      <c r="M290" s="396">
        <f>SUMIFS('Data FT-TS-Cashout-P'!$I$14:$I$4704,'Data FT-TS-Cashout-P'!$A$14:$A$4704,'Mar16-Aug16 FT-TS-Cashout-LG&amp;E'!M$4,'Data FT-TS-Cashout-P'!$B$14:$B$4704,'Mar16-Aug16 FT-TS-Cashout-LG&amp;E'!$C$290,'Data FT-TS-Cashout-P'!$D$14:$D$4704,'Mar16-Aug16 FT-TS-Cashout-LG&amp;E'!$F$290,'Data FT-TS-Cashout-P'!$E$14:$E$4704,'Mar16-Aug16 FT-TS-Cashout-LG&amp;E'!$H$290,'Data FT-TS-Cashout-P'!$F$14:$F$4704,'Mar16-Aug16 FT-TS-Cashout-LG&amp;E'!M$6)</f>
        <v>0</v>
      </c>
      <c r="N290" s="396">
        <f>SUMIFS('Data FT-TS-Cashout-P'!$I$14:$I$4704,'Data FT-TS-Cashout-P'!$A$14:$A$4704,'Mar16-Aug16 FT-TS-Cashout-LG&amp;E'!N$4,'Data FT-TS-Cashout-P'!$B$14:$B$4704,'Mar16-Aug16 FT-TS-Cashout-LG&amp;E'!$C$290,'Data FT-TS-Cashout-P'!$D$14:$D$4704,'Mar16-Aug16 FT-TS-Cashout-LG&amp;E'!$F$290,'Data FT-TS-Cashout-P'!$E$14:$E$4704,'Mar16-Aug16 FT-TS-Cashout-LG&amp;E'!$H$290,'Data FT-TS-Cashout-P'!$F$14:$F$4704,'Mar16-Aug16 FT-TS-Cashout-LG&amp;E'!N$6)</f>
        <v>0</v>
      </c>
      <c r="O290" s="396">
        <f>SUMIFS('Data FT-TS-Cashout-P'!$I$14:$I$4704,'Data FT-TS-Cashout-P'!$A$14:$A$4704,'Mar16-Aug16 FT-TS-Cashout-LG&amp;E'!O$4,'Data FT-TS-Cashout-P'!$B$14:$B$4704,'Mar16-Aug16 FT-TS-Cashout-LG&amp;E'!$C$290,'Data FT-TS-Cashout-P'!$D$14:$D$4704,'Mar16-Aug16 FT-TS-Cashout-LG&amp;E'!$F$290,'Data FT-TS-Cashout-P'!$E$14:$E$4704,'Mar16-Aug16 FT-TS-Cashout-LG&amp;E'!$H$290,'Data FT-TS-Cashout-P'!$F$14:$F$4704,'Mar16-Aug16 FT-TS-Cashout-LG&amp;E'!O$6)</f>
        <v>0</v>
      </c>
      <c r="P290" s="398" t="e">
        <f>SUM(I290:N290,#REF!)</f>
        <v>#REF!</v>
      </c>
      <c r="U290" s="349"/>
    </row>
    <row r="291" spans="2:21" x14ac:dyDescent="0.2">
      <c r="B291" s="338"/>
      <c r="C291" s="340" t="s">
        <v>75</v>
      </c>
      <c r="D291" s="340" t="str">
        <f t="shared" si="101"/>
        <v>891</v>
      </c>
      <c r="E291" s="338" t="s">
        <v>887</v>
      </c>
      <c r="F291" s="340" t="s">
        <v>662</v>
      </c>
      <c r="G291" s="341" t="s">
        <v>973</v>
      </c>
      <c r="H291" s="338"/>
      <c r="I291" s="413">
        <f>I283*I286</f>
        <v>0</v>
      </c>
      <c r="J291" s="413">
        <f t="shared" ref="J291:O291" si="103">J283*J286</f>
        <v>0</v>
      </c>
      <c r="K291" s="413">
        <f t="shared" si="103"/>
        <v>0</v>
      </c>
      <c r="L291" s="413">
        <f t="shared" si="103"/>
        <v>0</v>
      </c>
      <c r="M291" s="413">
        <f t="shared" si="103"/>
        <v>0</v>
      </c>
      <c r="N291" s="413">
        <f t="shared" si="103"/>
        <v>0</v>
      </c>
      <c r="O291" s="413">
        <f t="shared" si="103"/>
        <v>0</v>
      </c>
      <c r="P291" s="398" t="e">
        <f>SUM(I291:N291,#REF!)</f>
        <v>#REF!</v>
      </c>
      <c r="U291" s="349"/>
    </row>
    <row r="292" spans="2:21" x14ac:dyDescent="0.2">
      <c r="B292" s="338"/>
      <c r="C292" s="340" t="s">
        <v>75</v>
      </c>
      <c r="D292" s="340" t="str">
        <f t="shared" si="101"/>
        <v>891</v>
      </c>
      <c r="E292" s="338" t="s">
        <v>887</v>
      </c>
      <c r="F292" s="340" t="s">
        <v>662</v>
      </c>
      <c r="G292" s="341" t="s">
        <v>276</v>
      </c>
      <c r="H292" s="338"/>
      <c r="I292" s="410">
        <f>SUM(I290:I291)</f>
        <v>0</v>
      </c>
      <c r="J292" s="410">
        <f t="shared" ref="J292:O292" si="104">SUM(J290:J291)</f>
        <v>0</v>
      </c>
      <c r="K292" s="410">
        <f t="shared" si="104"/>
        <v>0</v>
      </c>
      <c r="L292" s="410">
        <f t="shared" si="104"/>
        <v>0</v>
      </c>
      <c r="M292" s="410">
        <f t="shared" si="104"/>
        <v>0</v>
      </c>
      <c r="N292" s="410">
        <f t="shared" si="104"/>
        <v>0</v>
      </c>
      <c r="O292" s="410">
        <f t="shared" si="104"/>
        <v>0</v>
      </c>
      <c r="P292" s="398" t="e">
        <f>SUM(I292:N292,#REF!)</f>
        <v>#REF!</v>
      </c>
      <c r="U292" s="349"/>
    </row>
    <row r="293" spans="2:21" x14ac:dyDescent="0.2">
      <c r="B293" s="338"/>
      <c r="C293" s="340" t="s">
        <v>75</v>
      </c>
      <c r="D293" s="340" t="str">
        <f t="shared" si="101"/>
        <v>891</v>
      </c>
      <c r="E293" s="338" t="s">
        <v>887</v>
      </c>
      <c r="F293" s="340" t="s">
        <v>662</v>
      </c>
      <c r="G293" s="341" t="s">
        <v>710</v>
      </c>
      <c r="H293" s="338"/>
      <c r="I293" s="410">
        <f>I283*I288</f>
        <v>0</v>
      </c>
      <c r="J293" s="410">
        <f t="shared" ref="J293:O293" si="105">J283*J288</f>
        <v>0</v>
      </c>
      <c r="K293" s="410">
        <f t="shared" si="105"/>
        <v>0</v>
      </c>
      <c r="L293" s="410">
        <f t="shared" si="105"/>
        <v>0</v>
      </c>
      <c r="M293" s="410">
        <f t="shared" si="105"/>
        <v>0</v>
      </c>
      <c r="N293" s="410">
        <f t="shared" si="105"/>
        <v>0</v>
      </c>
      <c r="O293" s="410">
        <f t="shared" si="105"/>
        <v>0</v>
      </c>
      <c r="P293" s="398" t="e">
        <f>SUM(I293:N293,#REF!)</f>
        <v>#REF!</v>
      </c>
      <c r="U293" s="349"/>
    </row>
    <row r="294" spans="2:21" x14ac:dyDescent="0.2">
      <c r="B294" s="338"/>
      <c r="C294" s="340" t="s">
        <v>75</v>
      </c>
      <c r="D294" s="340" t="str">
        <f t="shared" si="101"/>
        <v>891</v>
      </c>
      <c r="E294" s="338" t="s">
        <v>887</v>
      </c>
      <c r="F294" s="340" t="s">
        <v>662</v>
      </c>
      <c r="G294" s="341" t="s">
        <v>257</v>
      </c>
      <c r="H294" s="338"/>
      <c r="I294" s="413">
        <f>I283*I287</f>
        <v>0</v>
      </c>
      <c r="J294" s="413">
        <f t="shared" ref="J294:O294" si="106">J283*J287</f>
        <v>0</v>
      </c>
      <c r="K294" s="413">
        <f t="shared" si="106"/>
        <v>0</v>
      </c>
      <c r="L294" s="413">
        <f t="shared" si="106"/>
        <v>0</v>
      </c>
      <c r="M294" s="413">
        <f t="shared" si="106"/>
        <v>0</v>
      </c>
      <c r="N294" s="413">
        <f t="shared" si="106"/>
        <v>0</v>
      </c>
      <c r="O294" s="413">
        <f t="shared" si="106"/>
        <v>0</v>
      </c>
      <c r="P294" s="398" t="e">
        <f>SUM(I294:N294,#REF!)</f>
        <v>#REF!</v>
      </c>
      <c r="U294" s="349"/>
    </row>
    <row r="295" spans="2:21" x14ac:dyDescent="0.2">
      <c r="B295" s="338"/>
      <c r="C295" s="340" t="s">
        <v>75</v>
      </c>
      <c r="D295" s="340" t="str">
        <f>MID(C295,6,3)</f>
        <v>891</v>
      </c>
      <c r="E295" s="338" t="s">
        <v>887</v>
      </c>
      <c r="F295" s="340" t="s">
        <v>662</v>
      </c>
      <c r="G295" s="341" t="s">
        <v>288</v>
      </c>
      <c r="H295" s="338"/>
      <c r="I295" s="410">
        <f>I292+I293+I294</f>
        <v>0</v>
      </c>
      <c r="J295" s="410">
        <f t="shared" ref="J295:O295" si="107">J292+J293+J294</f>
        <v>0</v>
      </c>
      <c r="K295" s="410">
        <f t="shared" si="107"/>
        <v>0</v>
      </c>
      <c r="L295" s="410">
        <f t="shared" si="107"/>
        <v>0</v>
      </c>
      <c r="M295" s="410">
        <f t="shared" si="107"/>
        <v>0</v>
      </c>
      <c r="N295" s="410">
        <f t="shared" si="107"/>
        <v>0</v>
      </c>
      <c r="O295" s="410">
        <f t="shared" si="107"/>
        <v>0</v>
      </c>
      <c r="P295" s="398" t="e">
        <f>SUM(I295:N295,#REF!)</f>
        <v>#REF!</v>
      </c>
      <c r="U295" s="349"/>
    </row>
    <row r="296" spans="2:21" x14ac:dyDescent="0.2">
      <c r="B296" s="338"/>
      <c r="C296" s="340"/>
      <c r="D296" s="340"/>
      <c r="E296" s="338"/>
      <c r="F296" s="340"/>
      <c r="G296" s="341"/>
      <c r="H296" s="338"/>
      <c r="I296" s="410"/>
      <c r="J296" s="410"/>
      <c r="K296" s="410"/>
      <c r="L296" s="410"/>
      <c r="M296" s="410"/>
      <c r="N296" s="410"/>
      <c r="O296" s="410"/>
      <c r="P296" s="398"/>
      <c r="U296" s="349"/>
    </row>
    <row r="297" spans="2:21" x14ac:dyDescent="0.2">
      <c r="B297" s="338"/>
      <c r="C297" s="340"/>
      <c r="D297" s="340"/>
      <c r="E297" s="338"/>
      <c r="F297" s="340"/>
      <c r="G297" s="341" t="s">
        <v>972</v>
      </c>
      <c r="H297" s="338"/>
      <c r="I297" s="654">
        <f>I280+I295</f>
        <v>0</v>
      </c>
      <c r="J297" s="654">
        <f t="shared" ref="J297:O297" si="108">J280+J295</f>
        <v>0</v>
      </c>
      <c r="K297" s="654">
        <f t="shared" si="108"/>
        <v>0</v>
      </c>
      <c r="L297" s="654">
        <f t="shared" si="108"/>
        <v>0</v>
      </c>
      <c r="M297" s="654">
        <f t="shared" si="108"/>
        <v>0</v>
      </c>
      <c r="N297" s="654">
        <f t="shared" si="108"/>
        <v>0</v>
      </c>
      <c r="O297" s="654">
        <f t="shared" si="108"/>
        <v>0</v>
      </c>
      <c r="P297" s="398"/>
      <c r="U297" s="349"/>
    </row>
    <row r="298" spans="2:21" x14ac:dyDescent="0.2">
      <c r="B298" s="338"/>
      <c r="C298" s="340"/>
      <c r="D298" s="340"/>
      <c r="E298" s="338"/>
      <c r="F298" s="340"/>
      <c r="G298" s="347"/>
      <c r="H298" s="338"/>
      <c r="I298" s="338"/>
      <c r="J298" s="338"/>
      <c r="K298" s="338"/>
      <c r="L298" s="338"/>
      <c r="M298" s="338"/>
      <c r="N298" s="338"/>
      <c r="O298" s="338"/>
      <c r="P298" s="338"/>
      <c r="U298" s="349"/>
    </row>
    <row r="299" spans="2:21" x14ac:dyDescent="0.2">
      <c r="B299" s="338"/>
      <c r="C299" s="340"/>
      <c r="D299" s="340"/>
      <c r="E299" s="338"/>
      <c r="F299" s="340" t="s">
        <v>925</v>
      </c>
      <c r="G299" s="348" t="s">
        <v>532</v>
      </c>
      <c r="H299" s="338"/>
      <c r="I299" s="416">
        <f>SUMIFS('Bruise Report-Tariff'!$C$5:$C$2994,'Bruise Report-Tariff'!$A$5:$A$2994,'Mar16-Aug16 FT-TS-Cashout-LG&amp;E'!I$4,'Bruise Report-Tariff'!$B$5:$B$2994,'Mar16-Aug16 FT-TS-Cashout-LG&amp;E'!$F$299)</f>
        <v>0</v>
      </c>
      <c r="J299" s="416">
        <f>SUMIFS('Bruise Report-Tariff'!$C$5:$C$2994,'Bruise Report-Tariff'!$A$5:$A$2994,'Mar16-Aug16 FT-TS-Cashout-LG&amp;E'!J$4,'Bruise Report-Tariff'!$B$5:$B$2994,'Mar16-Aug16 FT-TS-Cashout-LG&amp;E'!$F$299)</f>
        <v>0</v>
      </c>
      <c r="K299" s="416">
        <f>SUMIFS('Bruise Report-Tariff'!$C$5:$C$2994,'Bruise Report-Tariff'!$A$5:$A$2994,'Mar16-Aug16 FT-TS-Cashout-LG&amp;E'!K$4,'Bruise Report-Tariff'!$B$5:$B$2994,'Mar16-Aug16 FT-TS-Cashout-LG&amp;E'!$F$299)</f>
        <v>0</v>
      </c>
      <c r="L299" s="416">
        <f>SUMIFS('Bruise Report-Tariff'!$C$5:$C$2994,'Bruise Report-Tariff'!$A$5:$A$2994,'Mar16-Aug16 FT-TS-Cashout-LG&amp;E'!L$4,'Bruise Report-Tariff'!$B$5:$B$2994,'Mar16-Aug16 FT-TS-Cashout-LG&amp;E'!$F$299)</f>
        <v>0</v>
      </c>
      <c r="M299" s="416">
        <f>SUMIFS('Bruise Report-Tariff'!$C$5:$C$2994,'Bruise Report-Tariff'!$A$5:$A$2994,'Mar16-Aug16 FT-TS-Cashout-LG&amp;E'!M$4,'Bruise Report-Tariff'!$B$5:$B$2994,'Mar16-Aug16 FT-TS-Cashout-LG&amp;E'!$F$299)</f>
        <v>0</v>
      </c>
      <c r="N299" s="416">
        <f>SUMIFS('Bruise Report-Tariff'!$C$5:$C$2994,'Bruise Report-Tariff'!$A$5:$A$2994,'Mar16-Aug16 FT-TS-Cashout-LG&amp;E'!N$4,'Bruise Report-Tariff'!$B$5:$B$2994,'Mar16-Aug16 FT-TS-Cashout-LG&amp;E'!$F$299)</f>
        <v>0</v>
      </c>
      <c r="O299" s="416">
        <f>SUMIFS('Bruise Report-Tariff'!$C$5:$C$2994,'Bruise Report-Tariff'!$A$5:$A$2994,'Mar16-Aug16 FT-TS-Cashout-LG&amp;E'!O$4,'Bruise Report-Tariff'!$B$5:$B$2994,'Mar16-Aug16 FT-TS-Cashout-LG&amp;E'!$F$299)</f>
        <v>0</v>
      </c>
      <c r="P299" s="398" t="e">
        <f>SUM(I299:N299,#REF!)</f>
        <v>#REF!</v>
      </c>
      <c r="U299" s="349"/>
    </row>
    <row r="300" spans="2:21" x14ac:dyDescent="0.2">
      <c r="B300" s="338"/>
      <c r="C300" s="340"/>
      <c r="D300" s="340"/>
      <c r="E300" s="338"/>
      <c r="F300" s="340"/>
      <c r="G300" s="338"/>
      <c r="H300" s="338"/>
      <c r="I300" s="338"/>
      <c r="J300" s="338"/>
      <c r="K300" s="338"/>
      <c r="L300" s="338"/>
      <c r="M300" s="338"/>
      <c r="N300" s="338"/>
      <c r="O300" s="338"/>
      <c r="P300" s="338"/>
      <c r="U300" s="349"/>
    </row>
    <row r="301" spans="2:21" x14ac:dyDescent="0.2">
      <c r="B301" s="338"/>
      <c r="C301" s="340"/>
      <c r="D301" s="340"/>
      <c r="E301" s="338"/>
      <c r="F301" s="340"/>
      <c r="G301" s="348" t="s">
        <v>262</v>
      </c>
      <c r="H301" s="338"/>
      <c r="I301" s="410">
        <f>+I280-I299</f>
        <v>0</v>
      </c>
      <c r="J301" s="410">
        <f t="shared" ref="J301:O301" si="109">+J280-J299</f>
        <v>0</v>
      </c>
      <c r="K301" s="410">
        <f t="shared" si="109"/>
        <v>0</v>
      </c>
      <c r="L301" s="410">
        <f t="shared" si="109"/>
        <v>0</v>
      </c>
      <c r="M301" s="410">
        <f t="shared" si="109"/>
        <v>0</v>
      </c>
      <c r="N301" s="410">
        <f t="shared" si="109"/>
        <v>0</v>
      </c>
      <c r="O301" s="410">
        <f t="shared" si="109"/>
        <v>0</v>
      </c>
      <c r="P301" s="398" t="e">
        <f>SUM(I301:N301,#REF!)</f>
        <v>#REF!</v>
      </c>
      <c r="U301" s="349"/>
    </row>
    <row r="302" spans="2:21" x14ac:dyDescent="0.2">
      <c r="B302" s="338"/>
      <c r="C302" s="340"/>
      <c r="D302" s="340"/>
      <c r="E302" s="338"/>
      <c r="F302" s="340"/>
      <c r="G302" s="348"/>
      <c r="H302" s="338"/>
      <c r="I302" s="410"/>
      <c r="J302" s="410"/>
      <c r="K302" s="410"/>
      <c r="L302" s="410"/>
      <c r="M302" s="410"/>
      <c r="N302" s="410"/>
      <c r="O302" s="410"/>
      <c r="P302" s="398"/>
      <c r="U302" s="349"/>
    </row>
    <row r="303" spans="2:21" x14ac:dyDescent="0.2">
      <c r="B303" s="338"/>
      <c r="C303" s="338"/>
      <c r="D303" s="338"/>
      <c r="E303" s="338"/>
      <c r="F303" s="338"/>
      <c r="G303" s="339" t="s">
        <v>971</v>
      </c>
      <c r="H303" s="338"/>
      <c r="I303" s="338"/>
      <c r="J303" s="338"/>
      <c r="K303" s="338"/>
      <c r="L303" s="338"/>
      <c r="M303" s="338"/>
      <c r="N303" s="338"/>
      <c r="O303" s="338"/>
      <c r="P303" s="338"/>
      <c r="U303" s="349"/>
    </row>
    <row r="304" spans="2:21" x14ac:dyDescent="0.2">
      <c r="B304" s="338"/>
      <c r="C304" s="340" t="s">
        <v>42</v>
      </c>
      <c r="D304" s="340" t="str">
        <f>MID(C304,6,3)</f>
        <v>882</v>
      </c>
      <c r="E304" s="338" t="str">
        <f>VLOOKUP($C304,'Retail Rates'!$B$45:$R$53,3,FALSE)</f>
        <v>IGS-TS</v>
      </c>
      <c r="F304" s="340" t="s">
        <v>662</v>
      </c>
      <c r="G304" s="341" t="s">
        <v>268</v>
      </c>
      <c r="H304" s="338"/>
      <c r="I304" s="647">
        <f>ROUND(+I315/I309,0)</f>
        <v>1</v>
      </c>
      <c r="J304" s="647">
        <f t="shared" ref="J304:O304" si="110">ROUND(+J315/J309,0)</f>
        <v>1</v>
      </c>
      <c r="K304" s="647">
        <f t="shared" si="110"/>
        <v>1</v>
      </c>
      <c r="L304" s="647">
        <f t="shared" si="110"/>
        <v>1</v>
      </c>
      <c r="M304" s="647">
        <f t="shared" si="110"/>
        <v>1</v>
      </c>
      <c r="N304" s="647">
        <f t="shared" si="110"/>
        <v>1</v>
      </c>
      <c r="O304" s="647">
        <f t="shared" si="110"/>
        <v>1</v>
      </c>
      <c r="P304" s="574">
        <f>SUM(J304:O304)</f>
        <v>6</v>
      </c>
      <c r="U304" s="349"/>
    </row>
    <row r="305" spans="2:21" x14ac:dyDescent="0.2">
      <c r="B305" s="338"/>
      <c r="C305" s="340" t="s">
        <v>42</v>
      </c>
      <c r="D305" s="340" t="str">
        <f t="shared" ref="D305:D320" si="111">MID(C305,6,3)</f>
        <v>882</v>
      </c>
      <c r="E305" s="338" t="str">
        <f>VLOOKUP($C305,'Retail Rates'!$B$45:$R$53,3,FALSE)</f>
        <v>IGS-TS</v>
      </c>
      <c r="F305" s="340" t="s">
        <v>662</v>
      </c>
      <c r="G305" s="341" t="s">
        <v>468</v>
      </c>
      <c r="H305" s="338"/>
      <c r="I305" s="647">
        <f>IF(I307=0,I307,IF(I307&gt;=(I304*100),(I304*100),I307))</f>
        <v>100</v>
      </c>
      <c r="J305" s="647">
        <f t="shared" ref="J305:O305" si="112">IF(J307=0,J307,IF(J307&gt;=(J304*100),(J304*100),J307))</f>
        <v>100</v>
      </c>
      <c r="K305" s="647">
        <f t="shared" si="112"/>
        <v>100</v>
      </c>
      <c r="L305" s="647">
        <f t="shared" si="112"/>
        <v>100</v>
      </c>
      <c r="M305" s="647">
        <f t="shared" si="112"/>
        <v>100</v>
      </c>
      <c r="N305" s="647">
        <f t="shared" si="112"/>
        <v>100</v>
      </c>
      <c r="O305" s="647">
        <f t="shared" si="112"/>
        <v>100</v>
      </c>
      <c r="P305" s="574">
        <f>SUM(J305:O305)</f>
        <v>600</v>
      </c>
      <c r="U305" s="349"/>
    </row>
    <row r="306" spans="2:21" x14ac:dyDescent="0.2">
      <c r="B306" s="338"/>
      <c r="C306" s="340" t="s">
        <v>42</v>
      </c>
      <c r="D306" s="340" t="str">
        <f t="shared" si="111"/>
        <v>882</v>
      </c>
      <c r="E306" s="338" t="str">
        <f>VLOOKUP($C306,'Retail Rates'!$B$45:$R$53,3,FALSE)</f>
        <v>IGS-TS</v>
      </c>
      <c r="F306" s="340" t="s">
        <v>662</v>
      </c>
      <c r="G306" s="341" t="s">
        <v>469</v>
      </c>
      <c r="H306" s="338"/>
      <c r="I306" s="408">
        <f>+I307-I305</f>
        <v>13968.9</v>
      </c>
      <c r="J306" s="408">
        <f t="shared" ref="J306:O306" si="113">+J307-J305</f>
        <v>17112.5</v>
      </c>
      <c r="K306" s="408">
        <f t="shared" si="113"/>
        <v>8155.6</v>
      </c>
      <c r="L306" s="408">
        <f t="shared" si="113"/>
        <v>15350.4</v>
      </c>
      <c r="M306" s="408">
        <f t="shared" si="113"/>
        <v>12067.2</v>
      </c>
      <c r="N306" s="408">
        <f t="shared" si="113"/>
        <v>12650.7</v>
      </c>
      <c r="O306" s="408">
        <f t="shared" si="113"/>
        <v>12132</v>
      </c>
      <c r="P306" s="574">
        <f>SUM(J306:O306)</f>
        <v>77468.399999999994</v>
      </c>
      <c r="U306" s="349"/>
    </row>
    <row r="307" spans="2:21" x14ac:dyDescent="0.2">
      <c r="B307" s="338"/>
      <c r="C307" s="340" t="s">
        <v>42</v>
      </c>
      <c r="D307" s="340" t="str">
        <f t="shared" si="111"/>
        <v>882</v>
      </c>
      <c r="E307" s="338" t="str">
        <f>VLOOKUP($C307,'Retail Rates'!$B$45:$R$53,3,FALSE)</f>
        <v>IGS-TS</v>
      </c>
      <c r="F307" s="340" t="s">
        <v>662</v>
      </c>
      <c r="G307" s="341" t="s">
        <v>470</v>
      </c>
      <c r="H307" s="325" t="s">
        <v>518</v>
      </c>
      <c r="I307" s="411">
        <f>SUMIFS('Data FT-TS-Cashout-P'!$H$14:$H$4704,'Data FT-TS-Cashout-P'!$A$6:$A$4696,'Mar16-Aug16 FT-TS-Cashout-LG&amp;E'!I$4,'Data FT-TS-Cashout-P'!$B$14:$B$4704,'Mar16-Aug16 FT-TS-Cashout-LG&amp;E'!$C$307,'Data FT-TS-Cashout-P'!$D$14:$D$4704,'Mar16-Aug16 FT-TS-Cashout-LG&amp;E'!$F$307,'Data FT-TS-Cashout-P'!$E$14:$E$4704,'Mar16-Aug16 FT-TS-Cashout-LG&amp;E'!$H$307,'Data FT-TS-Cashout-P'!$F$14:$F$4704,'Mar16-Aug16 FT-TS-Cashout-LG&amp;E'!I$6)/10</f>
        <v>14068.9</v>
      </c>
      <c r="J307" s="411">
        <f>SUMIFS('Data FT-TS-Cashout-P'!$H$14:$H$4704,'Data FT-TS-Cashout-P'!$A$6:$A$4696,'Mar16-Aug16 FT-TS-Cashout-LG&amp;E'!J$4,'Data FT-TS-Cashout-P'!$B$14:$B$4704,'Mar16-Aug16 FT-TS-Cashout-LG&amp;E'!$C$307,'Data FT-TS-Cashout-P'!$D$14:$D$4704,'Mar16-Aug16 FT-TS-Cashout-LG&amp;E'!$F$307,'Data FT-TS-Cashout-P'!$E$14:$E$4704,'Mar16-Aug16 FT-TS-Cashout-LG&amp;E'!$H$307,'Data FT-TS-Cashout-P'!$F$14:$F$4704,'Mar16-Aug16 FT-TS-Cashout-LG&amp;E'!J$6)/10</f>
        <v>17212.5</v>
      </c>
      <c r="K307" s="411">
        <f>SUMIFS('Data FT-TS-Cashout-P'!$H$14:$H$4704,'Data FT-TS-Cashout-P'!$A$6:$A$4696,'Mar16-Aug16 FT-TS-Cashout-LG&amp;E'!K$4,'Data FT-TS-Cashout-P'!$B$14:$B$4704,'Mar16-Aug16 FT-TS-Cashout-LG&amp;E'!$C$307,'Data FT-TS-Cashout-P'!$D$14:$D$4704,'Mar16-Aug16 FT-TS-Cashout-LG&amp;E'!$F$307,'Data FT-TS-Cashout-P'!$E$14:$E$4704,'Mar16-Aug16 FT-TS-Cashout-LG&amp;E'!$H$307,'Data FT-TS-Cashout-P'!$F$14:$F$4704,'Mar16-Aug16 FT-TS-Cashout-LG&amp;E'!K$6)/10</f>
        <v>8255.6</v>
      </c>
      <c r="L307" s="411">
        <f>SUMIFS('Data FT-TS-Cashout-P'!$H$14:$H$4704,'Data FT-TS-Cashout-P'!$A$6:$A$4696,'Mar16-Aug16 FT-TS-Cashout-LG&amp;E'!L$4,'Data FT-TS-Cashout-P'!$B$14:$B$4704,'Mar16-Aug16 FT-TS-Cashout-LG&amp;E'!$C$322,'Data FT-TS-Cashout-P'!$D$14:$D$4704,'Mar16-Aug16 FT-TS-Cashout-LG&amp;E'!$F$307,'Data FT-TS-Cashout-P'!$E$14:$E$4704,'Mar16-Aug16 FT-TS-Cashout-LG&amp;E'!$H$307,'Data FT-TS-Cashout-P'!$F$14:$F$4704,'Mar16-Aug16 FT-TS-Cashout-LG&amp;E'!L$7)/10</f>
        <v>15450.4</v>
      </c>
      <c r="M307" s="411">
        <f>SUMIFS('Data FT-TS-Cashout-P'!$H$14:$H$4704,'Data FT-TS-Cashout-P'!$A$6:$A$4696,'Mar16-Aug16 FT-TS-Cashout-LG&amp;E'!M$4,'Data FT-TS-Cashout-P'!$B$14:$B$4704,'Mar16-Aug16 FT-TS-Cashout-LG&amp;E'!$C$322,'Data FT-TS-Cashout-P'!$D$14:$D$4704,'Mar16-Aug16 FT-TS-Cashout-LG&amp;E'!$F$307,'Data FT-TS-Cashout-P'!$E$14:$E$4704,'Mar16-Aug16 FT-TS-Cashout-LG&amp;E'!$H$307,'Data FT-TS-Cashout-P'!$F$14:$F$4704,'Mar16-Aug16 FT-TS-Cashout-LG&amp;E'!M$6)/10</f>
        <v>12167.2</v>
      </c>
      <c r="N307" s="411">
        <f>SUMIFS('Data FT-TS-Cashout-P'!$H$14:$H$4704,'Data FT-TS-Cashout-P'!$A$6:$A$4696,'Mar16-Aug16 FT-TS-Cashout-LG&amp;E'!N$4,'Data FT-TS-Cashout-P'!$B$14:$B$4704,'Mar16-Aug16 FT-TS-Cashout-LG&amp;E'!$C$322,'Data FT-TS-Cashout-P'!$D$14:$D$4704,'Mar16-Aug16 FT-TS-Cashout-LG&amp;E'!$F$307,'Data FT-TS-Cashout-P'!$E$14:$E$4704,'Mar16-Aug16 FT-TS-Cashout-LG&amp;E'!$H$307,'Data FT-TS-Cashout-P'!$F$14:$F$4704,'Mar16-Aug16 FT-TS-Cashout-LG&amp;E'!N$6)/10</f>
        <v>12750.7</v>
      </c>
      <c r="O307" s="411">
        <f>SUMIFS('Data FT-TS-Cashout-P'!$H$14:$H$4704,'Data FT-TS-Cashout-P'!$A$6:$A$4696,'Mar16-Aug16 FT-TS-Cashout-LG&amp;E'!O$4,'Data FT-TS-Cashout-P'!$B$14:$B$4704,'Mar16-Aug16 FT-TS-Cashout-LG&amp;E'!$C$322,'Data FT-TS-Cashout-P'!$D$14:$D$4704,'Mar16-Aug16 FT-TS-Cashout-LG&amp;E'!$F$307,'Data FT-TS-Cashout-P'!$E$14:$E$4704,'Mar16-Aug16 FT-TS-Cashout-LG&amp;E'!$H$307,'Data FT-TS-Cashout-P'!$F$14:$F$4704,'Mar16-Aug16 FT-TS-Cashout-LG&amp;E'!O$6)/10</f>
        <v>12232</v>
      </c>
      <c r="P307" s="574">
        <f>SUM(J307:O307)</f>
        <v>78068.399999999994</v>
      </c>
      <c r="U307" s="349"/>
    </row>
    <row r="308" spans="2:21" x14ac:dyDescent="0.2">
      <c r="B308" s="338"/>
      <c r="C308" s="340" t="s">
        <v>42</v>
      </c>
      <c r="D308" s="340" t="str">
        <f t="shared" si="111"/>
        <v>882</v>
      </c>
      <c r="E308" s="338" t="str">
        <f>VLOOKUP($C308,'Retail Rates'!$B$45:$R$53,3,FALSE)</f>
        <v>IGS-TS</v>
      </c>
      <c r="F308" s="340" t="s">
        <v>662</v>
      </c>
      <c r="G308" s="342"/>
      <c r="H308" s="338"/>
      <c r="I308" s="338"/>
      <c r="J308" s="338"/>
      <c r="K308" s="338"/>
      <c r="L308" s="338"/>
      <c r="M308" s="338"/>
      <c r="N308" s="338"/>
      <c r="O308" s="338"/>
      <c r="P308" s="338"/>
      <c r="U308" s="349"/>
    </row>
    <row r="309" spans="2:21" x14ac:dyDescent="0.2">
      <c r="B309" s="338"/>
      <c r="C309" s="340" t="s">
        <v>42</v>
      </c>
      <c r="D309" s="340" t="str">
        <f t="shared" si="111"/>
        <v>882</v>
      </c>
      <c r="E309" s="338" t="str">
        <f>VLOOKUP($C309,'Retail Rates'!$B$45:$R$53,3,FALSE)</f>
        <v>IGS-TS</v>
      </c>
      <c r="F309" s="340" t="s">
        <v>662</v>
      </c>
      <c r="G309" s="341" t="s">
        <v>270</v>
      </c>
      <c r="H309" s="338"/>
      <c r="I309" s="338">
        <f>VLOOKUP($C309,'Retail Rates'!$B$44:$O$53,6,FALSE)</f>
        <v>550</v>
      </c>
      <c r="J309" s="338">
        <f>VLOOKUP($C309,'Retail Rates'!$B$44:$O$53,6,FALSE)</f>
        <v>550</v>
      </c>
      <c r="K309" s="338">
        <f>VLOOKUP($C309,'Retail Rates'!$B$44:$O$53,6,FALSE)</f>
        <v>550</v>
      </c>
      <c r="L309" s="338">
        <f>VLOOKUP($C309,'Retail Rates'!$B$44:$O$53,6,FALSE)</f>
        <v>550</v>
      </c>
      <c r="M309" s="338">
        <f>VLOOKUP($C309,'Retail Rates'!$B$44:$O$53,6,FALSE)</f>
        <v>550</v>
      </c>
      <c r="N309" s="338">
        <f>VLOOKUP($C309,'Retail Rates'!$B$44:$O$53,6,FALSE)</f>
        <v>550</v>
      </c>
      <c r="O309" s="338">
        <f>VLOOKUP($C309,'Retail Rates'!$B$44:$O$53,6,FALSE)</f>
        <v>550</v>
      </c>
      <c r="P309" s="338"/>
      <c r="U309" s="349"/>
    </row>
    <row r="310" spans="2:21" x14ac:dyDescent="0.2">
      <c r="B310" s="338"/>
      <c r="C310" s="340" t="s">
        <v>42</v>
      </c>
      <c r="D310" s="340" t="str">
        <f t="shared" si="111"/>
        <v>882</v>
      </c>
      <c r="E310" s="338" t="str">
        <f>VLOOKUP($C310,'Retail Rates'!$B$45:$R$53,3,FALSE)</f>
        <v>IGS-TS</v>
      </c>
      <c r="F310" s="340" t="s">
        <v>662</v>
      </c>
      <c r="G310" s="341" t="s">
        <v>471</v>
      </c>
      <c r="H310" s="338"/>
      <c r="I310" s="338">
        <f>VLOOKUP($C310,'Retail Rates'!$B$44:$O$53,7,FALSE)</f>
        <v>2.2778999999999998</v>
      </c>
      <c r="J310" s="338">
        <f>VLOOKUP($C310,'Retail Rates'!$B$44:$O$53,7,FALSE)</f>
        <v>2.2778999999999998</v>
      </c>
      <c r="K310" s="338">
        <f>VLOOKUP($C310,'Retail Rates'!$B$44:$O$53,7,FALSE)</f>
        <v>2.2778999999999998</v>
      </c>
      <c r="L310" s="338">
        <f>VLOOKUP($C310,'Retail Rates'!$B$44:$O$53,7,FALSE)</f>
        <v>2.2778999999999998</v>
      </c>
      <c r="M310" s="338">
        <f>VLOOKUP($C310,'Retail Rates'!$B$44:$O$53,7,FALSE)</f>
        <v>2.2778999999999998</v>
      </c>
      <c r="N310" s="338">
        <f>VLOOKUP($C310,'Retail Rates'!$B$44:$O$53,7,FALSE)</f>
        <v>2.2778999999999998</v>
      </c>
      <c r="O310" s="338">
        <f>VLOOKUP($C310,'Retail Rates'!$B$44:$O$53,7,FALSE)</f>
        <v>2.2778999999999998</v>
      </c>
      <c r="P310" s="338"/>
      <c r="U310" s="349"/>
    </row>
    <row r="311" spans="2:21" x14ac:dyDescent="0.2">
      <c r="B311" s="338"/>
      <c r="C311" s="340" t="s">
        <v>42</v>
      </c>
      <c r="D311" s="340" t="str">
        <f t="shared" si="111"/>
        <v>882</v>
      </c>
      <c r="E311" s="338" t="str">
        <f>VLOOKUP($C311,'Retail Rates'!$B$45:$R$53,3,FALSE)</f>
        <v>IGS-TS</v>
      </c>
      <c r="F311" s="340" t="s">
        <v>662</v>
      </c>
      <c r="G311" s="341" t="s">
        <v>472</v>
      </c>
      <c r="H311" s="338"/>
      <c r="I311" s="338">
        <f>+I310-0.5</f>
        <v>1.7778999999999998</v>
      </c>
      <c r="J311" s="338">
        <f t="shared" ref="J311:O311" si="114">+J310-0.5</f>
        <v>1.7778999999999998</v>
      </c>
      <c r="K311" s="338">
        <f t="shared" si="114"/>
        <v>1.7778999999999998</v>
      </c>
      <c r="L311" s="338">
        <f t="shared" si="114"/>
        <v>1.7778999999999998</v>
      </c>
      <c r="M311" s="338">
        <f t="shared" si="114"/>
        <v>1.7778999999999998</v>
      </c>
      <c r="N311" s="338">
        <f t="shared" si="114"/>
        <v>1.7778999999999998</v>
      </c>
      <c r="O311" s="338">
        <f t="shared" si="114"/>
        <v>1.7778999999999998</v>
      </c>
      <c r="P311" s="338"/>
      <c r="U311" s="349"/>
    </row>
    <row r="312" spans="2:21" x14ac:dyDescent="0.2">
      <c r="B312" s="338"/>
      <c r="C312" s="340" t="s">
        <v>42</v>
      </c>
      <c r="D312" s="340" t="str">
        <f t="shared" si="111"/>
        <v>882</v>
      </c>
      <c r="E312" s="338" t="str">
        <f>VLOOKUP($C312,'Retail Rates'!$B$45:$R$53,3,FALSE)</f>
        <v>IGS-TS</v>
      </c>
      <c r="F312" s="340" t="s">
        <v>662</v>
      </c>
      <c r="G312" s="341" t="s">
        <v>257</v>
      </c>
      <c r="H312" s="338"/>
      <c r="I312" s="409">
        <f>SUMIF('GSC-DSM-GLT Factors'!$A$11:$A$58,'Mar16-Aug16 FT-TS-Cashout-LG&amp;E'!I$5,'GSC-DSM-GLT Factors'!$H$11:$H$58)</f>
        <v>0.83650000000000002</v>
      </c>
      <c r="J312" s="409">
        <f>SUMIF('GSC-DSM-GLT Factors'!$A$11:$A$58,'Mar16-Aug16 FT-TS-Cashout-LG&amp;E'!J$5,'GSC-DSM-GLT Factors'!$H$11:$H$58)</f>
        <v>0.83650000000000002</v>
      </c>
      <c r="K312" s="409">
        <f>SUMIF('GSC-DSM-GLT Factors'!$A$11:$A$58,'Mar16-Aug16 FT-TS-Cashout-LG&amp;E'!K$5,'GSC-DSM-GLT Factors'!$H$11:$H$58)</f>
        <v>0.83650000000000002</v>
      </c>
      <c r="L312" s="409">
        <f>SUMIF('GSC-DSM-GLT Factors'!$A$11:$A$58,'Mar16-Aug16 FT-TS-Cashout-LG&amp;E'!L$5,'GSC-DSM-GLT Factors'!$H$11:$H$58)</f>
        <v>0.84419999999999995</v>
      </c>
      <c r="M312" s="409">
        <f>SUMIF('GSC-DSM-GLT Factors'!$A$11:$A$58,'Mar16-Aug16 FT-TS-Cashout-LG&amp;E'!M$5,'GSC-DSM-GLT Factors'!$H$11:$H$58)</f>
        <v>0.84419999999999995</v>
      </c>
      <c r="N312" s="409">
        <f>SUMIF('GSC-DSM-GLT Factors'!$A$11:$A$58,'Mar16-Aug16 FT-TS-Cashout-LG&amp;E'!N$5,'GSC-DSM-GLT Factors'!$H$11:$H$58)</f>
        <v>0.84419999999999995</v>
      </c>
      <c r="O312" s="409">
        <f>SUMIF('GSC-DSM-GLT Factors'!$A$11:$A$58,'Mar16-Aug16 FT-TS-Cashout-LG&amp;E'!O$5,'GSC-DSM-GLT Factors'!$H$11:$H$58)</f>
        <v>0.83909999999999996</v>
      </c>
      <c r="P312" s="338"/>
      <c r="U312" s="349"/>
    </row>
    <row r="313" spans="2:21" x14ac:dyDescent="0.2">
      <c r="B313" s="338"/>
      <c r="C313" s="340" t="s">
        <v>42</v>
      </c>
      <c r="D313" s="340" t="str">
        <f t="shared" si="111"/>
        <v>882</v>
      </c>
      <c r="E313" s="338" t="str">
        <f>VLOOKUP($C313,'Retail Rates'!$B$45:$R$53,3,FALSE)</f>
        <v>IGS-TS</v>
      </c>
      <c r="F313" s="340" t="s">
        <v>662</v>
      </c>
      <c r="G313" s="341" t="s">
        <v>710</v>
      </c>
      <c r="H313" s="338"/>
      <c r="I313" s="338">
        <f>SUMIF('GSC-DSM-GLT Factors'!$A$11:$A$58,'Mar16-Aug16 FT-TS-Cashout-LG&amp;E'!I$4,'GSC-DSM-GLT Factors'!$D$11:$D$58)</f>
        <v>5.4000000000000001E-4</v>
      </c>
      <c r="J313" s="338">
        <f>SUMIF('GSC-DSM-GLT Factors'!$A$11:$A$58,'Mar16-Aug16 FT-TS-Cashout-LG&amp;E'!J$4,'GSC-DSM-GLT Factors'!$D$11:$D$58)</f>
        <v>5.6999999999999998E-4</v>
      </c>
      <c r="K313" s="338">
        <f>SUMIF('GSC-DSM-GLT Factors'!$A$11:$A$58,'Mar16-Aug16 FT-TS-Cashout-LG&amp;E'!K$4,'GSC-DSM-GLT Factors'!$D$11:$D$58)</f>
        <v>5.6999999999999998E-4</v>
      </c>
      <c r="L313" s="338">
        <f>SUMIF('GSC-DSM-GLT Factors'!$A$11:$A$58,'Mar16-Aug16 FT-TS-Cashout-LG&amp;E'!L$4,'GSC-DSM-GLT Factors'!$D$11:$D$58)</f>
        <v>5.6999999999999998E-4</v>
      </c>
      <c r="M313" s="338">
        <f>SUMIF('GSC-DSM-GLT Factors'!$A$11:$A$58,'Mar16-Aug16 FT-TS-Cashout-LG&amp;E'!M$4,'GSC-DSM-GLT Factors'!$D$11:$D$58)</f>
        <v>5.6999999999999998E-4</v>
      </c>
      <c r="N313" s="338">
        <f>SUMIF('GSC-DSM-GLT Factors'!$A$11:$A$58,'Mar16-Aug16 FT-TS-Cashout-LG&amp;E'!N$4,'GSC-DSM-GLT Factors'!$D$11:$D$58)</f>
        <v>5.6999999999999998E-4</v>
      </c>
      <c r="O313" s="338">
        <f>SUMIF('GSC-DSM-GLT Factors'!$A$11:$A$58,'Mar16-Aug16 FT-TS-Cashout-LG&amp;E'!O$4,'GSC-DSM-GLT Factors'!$D$11:$D$58)</f>
        <v>0</v>
      </c>
      <c r="P313" s="338"/>
      <c r="U313" s="349"/>
    </row>
    <row r="314" spans="2:21" x14ac:dyDescent="0.2">
      <c r="B314" s="338"/>
      <c r="C314" s="340" t="s">
        <v>42</v>
      </c>
      <c r="D314" s="340" t="str">
        <f t="shared" si="111"/>
        <v>882</v>
      </c>
      <c r="E314" s="338" t="str">
        <f>VLOOKUP($C314,'Retail Rates'!$B$45:$R$53,3,FALSE)</f>
        <v>IGS-TS</v>
      </c>
      <c r="F314" s="340" t="s">
        <v>662</v>
      </c>
      <c r="G314" s="343" t="s">
        <v>273</v>
      </c>
      <c r="H314" s="338"/>
      <c r="I314" s="338"/>
      <c r="J314" s="338"/>
      <c r="K314" s="338"/>
      <c r="L314" s="338"/>
      <c r="M314" s="338"/>
      <c r="N314" s="338"/>
      <c r="O314" s="338"/>
      <c r="P314" s="338"/>
      <c r="U314" s="349"/>
    </row>
    <row r="315" spans="2:21" x14ac:dyDescent="0.2">
      <c r="B315" s="338"/>
      <c r="C315" s="340" t="s">
        <v>42</v>
      </c>
      <c r="D315" s="340" t="str">
        <f t="shared" si="111"/>
        <v>882</v>
      </c>
      <c r="E315" s="338" t="str">
        <f>VLOOKUP($C315,'Retail Rates'!$B$45:$R$53,3,FALSE)</f>
        <v>IGS-TS</v>
      </c>
      <c r="F315" s="340" t="s">
        <v>662</v>
      </c>
      <c r="G315" s="341" t="s">
        <v>270</v>
      </c>
      <c r="H315" s="325" t="s">
        <v>524</v>
      </c>
      <c r="I315" s="396">
        <f>SUMIFS('Data FT-TS-Cashout-P'!$I$14:$I$4704,'Data FT-TS-Cashout-P'!$A$14:$A$4704,'Mar16-Aug16 FT-TS-Cashout-LG&amp;E'!I$4,'Data FT-TS-Cashout-P'!$B$14:$B$4704,'Mar16-Aug16 FT-TS-Cashout-LG&amp;E'!$C$315,'Data FT-TS-Cashout-P'!$D$14:$D$4704,'Mar16-Aug16 FT-TS-Cashout-LG&amp;E'!$F$315,'Data FT-TS-Cashout-P'!$E$14:$E$4704,'Mar16-Aug16 FT-TS-Cashout-LG&amp;E'!$H$315,'Data FT-TS-Cashout-P'!$F$14:$F$4704,'Mar16-Aug16 FT-TS-Cashout-LG&amp;E'!I$6)</f>
        <v>550</v>
      </c>
      <c r="J315" s="396">
        <f>SUMIFS('Data FT-TS-Cashout-P'!$I$14:$I$4704,'Data FT-TS-Cashout-P'!$A$14:$A$4704,'Mar16-Aug16 FT-TS-Cashout-LG&amp;E'!J$4,'Data FT-TS-Cashout-P'!$B$14:$B$4704,'Mar16-Aug16 FT-TS-Cashout-LG&amp;E'!$C$315,'Data FT-TS-Cashout-P'!$D$14:$D$4704,'Mar16-Aug16 FT-TS-Cashout-LG&amp;E'!$F$315,'Data FT-TS-Cashout-P'!$E$14:$E$4704,'Mar16-Aug16 FT-TS-Cashout-LG&amp;E'!$H$315,'Data FT-TS-Cashout-P'!$F$14:$F$4704,'Mar16-Aug16 FT-TS-Cashout-LG&amp;E'!J$6)</f>
        <v>550</v>
      </c>
      <c r="K315" s="396">
        <f>SUMIFS('Data FT-TS-Cashout-P'!$I$14:$I$4704,'Data FT-TS-Cashout-P'!$A$14:$A$4704,'Mar16-Aug16 FT-TS-Cashout-LG&amp;E'!K$4,'Data FT-TS-Cashout-P'!$B$14:$B$4704,'Mar16-Aug16 FT-TS-Cashout-LG&amp;E'!$C$315,'Data FT-TS-Cashout-P'!$D$14:$D$4704,'Mar16-Aug16 FT-TS-Cashout-LG&amp;E'!$F$315,'Data FT-TS-Cashout-P'!$E$14:$E$4704,'Mar16-Aug16 FT-TS-Cashout-LG&amp;E'!$H$315,'Data FT-TS-Cashout-P'!$F$14:$F$4704,'Mar16-Aug16 FT-TS-Cashout-LG&amp;E'!K$6)</f>
        <v>550</v>
      </c>
      <c r="L315" s="396">
        <f>SUMIFS('Data FT-TS-Cashout-P'!$I$14:$I$4704,'Data FT-TS-Cashout-P'!$A$14:$A$4704,'Mar16-Aug16 FT-TS-Cashout-LG&amp;E'!L$4,'Data FT-TS-Cashout-P'!$B$14:$B$4704,'Mar16-Aug16 FT-TS-Cashout-LG&amp;E'!$C$322,'Data FT-TS-Cashout-P'!$D$14:$D$4704,'Mar16-Aug16 FT-TS-Cashout-LG&amp;E'!$F$315,'Data FT-TS-Cashout-P'!$E$14:$E$4704,'Mar16-Aug16 FT-TS-Cashout-LG&amp;E'!$H$315,'Data FT-TS-Cashout-P'!$F$14:$F$4704,'Mar16-Aug16 FT-TS-Cashout-LG&amp;E'!L$7)</f>
        <v>550</v>
      </c>
      <c r="M315" s="396">
        <f>SUMIFS('Data FT-TS-Cashout-P'!$I$14:$I$4704,'Data FT-TS-Cashout-P'!$A$14:$A$4704,'Mar16-Aug16 FT-TS-Cashout-LG&amp;E'!M$4,'Data FT-TS-Cashout-P'!$B$14:$B$4704,'Mar16-Aug16 FT-TS-Cashout-LG&amp;E'!$C$322,'Data FT-TS-Cashout-P'!$D$14:$D$4704,'Mar16-Aug16 FT-TS-Cashout-LG&amp;E'!$F$315,'Data FT-TS-Cashout-P'!$E$14:$E$4704,'Mar16-Aug16 FT-TS-Cashout-LG&amp;E'!$H$315,'Data FT-TS-Cashout-P'!$F$14:$F$4704,'Mar16-Aug16 FT-TS-Cashout-LG&amp;E'!M$6)</f>
        <v>550</v>
      </c>
      <c r="N315" s="396">
        <f>SUMIFS('Data FT-TS-Cashout-P'!$I$14:$I$4704,'Data FT-TS-Cashout-P'!$A$14:$A$4704,'Mar16-Aug16 FT-TS-Cashout-LG&amp;E'!N$4,'Data FT-TS-Cashout-P'!$B$14:$B$4704,'Mar16-Aug16 FT-TS-Cashout-LG&amp;E'!$C$322,'Data FT-TS-Cashout-P'!$D$14:$D$4704,'Mar16-Aug16 FT-TS-Cashout-LG&amp;E'!$F$315,'Data FT-TS-Cashout-P'!$E$14:$E$4704,'Mar16-Aug16 FT-TS-Cashout-LG&amp;E'!$H$315,'Data FT-TS-Cashout-P'!$F$14:$F$4704,'Mar16-Aug16 FT-TS-Cashout-LG&amp;E'!N$6)</f>
        <v>550</v>
      </c>
      <c r="O315" s="396">
        <f>SUMIFS('Data FT-TS-Cashout-P'!$I$14:$I$4704,'Data FT-TS-Cashout-P'!$A$14:$A$4704,'Mar16-Aug16 FT-TS-Cashout-LG&amp;E'!O$4,'Data FT-TS-Cashout-P'!$B$14:$B$4704,'Mar16-Aug16 FT-TS-Cashout-LG&amp;E'!$C$322,'Data FT-TS-Cashout-P'!$D$14:$D$4704,'Mar16-Aug16 FT-TS-Cashout-LG&amp;E'!$F$315,'Data FT-TS-Cashout-P'!$E$14:$E$4704,'Mar16-Aug16 FT-TS-Cashout-LG&amp;E'!$H$315,'Data FT-TS-Cashout-P'!$F$14:$F$4704,'Mar16-Aug16 FT-TS-Cashout-LG&amp;E'!O$6)</f>
        <v>550</v>
      </c>
      <c r="P315" s="574">
        <f t="shared" ref="P315:P322" si="115">SUM(J315:O315)</f>
        <v>3300</v>
      </c>
      <c r="U315" s="349"/>
    </row>
    <row r="316" spans="2:21" x14ac:dyDescent="0.2">
      <c r="B316" s="338"/>
      <c r="C316" s="340" t="s">
        <v>42</v>
      </c>
      <c r="D316" s="340" t="str">
        <f t="shared" si="111"/>
        <v>882</v>
      </c>
      <c r="E316" s="338" t="str">
        <f>VLOOKUP($C316,'Retail Rates'!$B$45:$R$53,3,FALSE)</f>
        <v>IGS-TS</v>
      </c>
      <c r="F316" s="340" t="s">
        <v>662</v>
      </c>
      <c r="G316" s="341" t="s">
        <v>473</v>
      </c>
      <c r="H316" s="338"/>
      <c r="I316" s="410">
        <f>I305*I310</f>
        <v>227.79</v>
      </c>
      <c r="J316" s="410">
        <f>J305*J310</f>
        <v>227.79</v>
      </c>
      <c r="K316" s="410">
        <f t="shared" ref="K316:O317" si="116">ROUND(+K305*K310,2)</f>
        <v>227.79</v>
      </c>
      <c r="L316" s="410">
        <f t="shared" si="116"/>
        <v>227.79</v>
      </c>
      <c r="M316" s="410">
        <f t="shared" si="116"/>
        <v>227.79</v>
      </c>
      <c r="N316" s="410">
        <f t="shared" si="116"/>
        <v>227.79</v>
      </c>
      <c r="O316" s="410">
        <f t="shared" si="116"/>
        <v>227.79</v>
      </c>
      <c r="P316" s="574">
        <f t="shared" si="115"/>
        <v>1366.74</v>
      </c>
      <c r="U316" s="349"/>
    </row>
    <row r="317" spans="2:21" x14ac:dyDescent="0.2">
      <c r="B317" s="338"/>
      <c r="C317" s="340" t="s">
        <v>42</v>
      </c>
      <c r="D317" s="340" t="str">
        <f t="shared" si="111"/>
        <v>882</v>
      </c>
      <c r="E317" s="338" t="str">
        <f>VLOOKUP($C317,'Retail Rates'!$B$45:$R$53,3,FALSE)</f>
        <v>IGS-TS</v>
      </c>
      <c r="F317" s="340" t="s">
        <v>662</v>
      </c>
      <c r="G317" s="341" t="s">
        <v>474</v>
      </c>
      <c r="H317" s="338"/>
      <c r="I317" s="413">
        <f>I306*I310</f>
        <v>31819.757309999997</v>
      </c>
      <c r="J317" s="413">
        <f>J306*J310</f>
        <v>38980.563749999994</v>
      </c>
      <c r="K317" s="413">
        <f t="shared" si="116"/>
        <v>14499.84</v>
      </c>
      <c r="L317" s="413">
        <f t="shared" si="116"/>
        <v>27291.48</v>
      </c>
      <c r="M317" s="413">
        <f t="shared" si="116"/>
        <v>21454.27</v>
      </c>
      <c r="N317" s="413">
        <f t="shared" si="116"/>
        <v>22491.68</v>
      </c>
      <c r="O317" s="413">
        <f t="shared" si="116"/>
        <v>21569.48</v>
      </c>
      <c r="P317" s="574">
        <f t="shared" si="115"/>
        <v>146287.31375</v>
      </c>
      <c r="U317" s="349"/>
    </row>
    <row r="318" spans="2:21" x14ac:dyDescent="0.2">
      <c r="B318" s="338"/>
      <c r="C318" s="340" t="s">
        <v>42</v>
      </c>
      <c r="D318" s="340" t="str">
        <f t="shared" si="111"/>
        <v>882</v>
      </c>
      <c r="E318" s="338" t="str">
        <f>VLOOKUP($C318,'Retail Rates'!$B$45:$R$53,3,FALSE)</f>
        <v>IGS-TS</v>
      </c>
      <c r="F318" s="340" t="s">
        <v>662</v>
      </c>
      <c r="G318" s="341" t="s">
        <v>276</v>
      </c>
      <c r="H318" s="338"/>
      <c r="I318" s="410">
        <f t="shared" ref="I318:O318" si="117">SUM(I315:I317)</f>
        <v>32597.547309999998</v>
      </c>
      <c r="J318" s="410">
        <f t="shared" si="117"/>
        <v>39758.353749999995</v>
      </c>
      <c r="K318" s="410">
        <f t="shared" si="117"/>
        <v>15277.630000000001</v>
      </c>
      <c r="L318" s="410">
        <f t="shared" si="117"/>
        <v>28069.27</v>
      </c>
      <c r="M318" s="410">
        <f t="shared" si="117"/>
        <v>22232.06</v>
      </c>
      <c r="N318" s="410">
        <f t="shared" si="117"/>
        <v>23269.47</v>
      </c>
      <c r="O318" s="410">
        <f t="shared" si="117"/>
        <v>22347.27</v>
      </c>
      <c r="P318" s="574">
        <f t="shared" si="115"/>
        <v>150954.05374999999</v>
      </c>
      <c r="U318" s="349"/>
    </row>
    <row r="319" spans="2:21" x14ac:dyDescent="0.2">
      <c r="B319" s="338"/>
      <c r="C319" s="340" t="s">
        <v>42</v>
      </c>
      <c r="D319" s="340" t="str">
        <f t="shared" si="111"/>
        <v>882</v>
      </c>
      <c r="E319" s="338" t="str">
        <f>VLOOKUP($C319,'Retail Rates'!$B$45:$R$53,3,FALSE)</f>
        <v>IGS-TS</v>
      </c>
      <c r="F319" s="340" t="s">
        <v>662</v>
      </c>
      <c r="G319" s="341" t="s">
        <v>710</v>
      </c>
      <c r="H319" s="325" t="s">
        <v>198</v>
      </c>
      <c r="I319" s="396">
        <f>SUMIFS('Data FT-TS-Cashout-P'!$O$14:$O$4704,'Data FT-TS-Cashout-P'!$A$14:$A$4704,'Mar16-Aug16 FT-TS-Cashout-LG&amp;E'!I$4,'Data FT-TS-Cashout-P'!$B$14:$B$4704,'Mar16-Aug16 FT-TS-Cashout-LG&amp;E'!$C$319,'Data FT-TS-Cashout-P'!$D$14:$D$4704,'Mar16-Aug16 FT-TS-Cashout-LG&amp;E'!$F$319,'Data FT-TS-Cashout-P'!$E$14:$E$4704,'Mar16-Aug16 FT-TS-Cashout-LG&amp;E'!$H$319,'Data FT-TS-Cashout-P'!$F$14:$F$4704,'Mar16-Aug16 FT-TS-Cashout-LG&amp;E'!I$6)</f>
        <v>0</v>
      </c>
      <c r="J319" s="396">
        <f>SUMIFS('Data FT-TS-Cashout-P'!$O$14:$O$4704,'Data FT-TS-Cashout-P'!$A$14:$A$4704,'Mar16-Aug16 FT-TS-Cashout-LG&amp;E'!J$4,'Data FT-TS-Cashout-P'!$B$14:$B$4704,'Mar16-Aug16 FT-TS-Cashout-LG&amp;E'!$C$319,'Data FT-TS-Cashout-P'!$D$14:$D$4704,'Mar16-Aug16 FT-TS-Cashout-LG&amp;E'!$F$319,'Data FT-TS-Cashout-P'!$E$14:$E$4704,'Mar16-Aug16 FT-TS-Cashout-LG&amp;E'!$H$319,'Data FT-TS-Cashout-P'!$F$14:$F$4704,'Mar16-Aug16 FT-TS-Cashout-LG&amp;E'!J$6)</f>
        <v>0</v>
      </c>
      <c r="K319" s="396">
        <f>SUMIFS('Data FT-TS-Cashout-P'!$O$14:$O$4704,'Data FT-TS-Cashout-P'!$A$14:$A$4704,'Mar16-Aug16 FT-TS-Cashout-LG&amp;E'!K$4,'Data FT-TS-Cashout-P'!$B$14:$B$4704,'Mar16-Aug16 FT-TS-Cashout-LG&amp;E'!$C$319,'Data FT-TS-Cashout-P'!$D$14:$D$4704,'Mar16-Aug16 FT-TS-Cashout-LG&amp;E'!$F$319,'Data FT-TS-Cashout-P'!$E$14:$E$4704,'Mar16-Aug16 FT-TS-Cashout-LG&amp;E'!$H$319,'Data FT-TS-Cashout-P'!$F$14:$F$4704,'Mar16-Aug16 FT-TS-Cashout-LG&amp;E'!K$6)</f>
        <v>0</v>
      </c>
      <c r="L319" s="396">
        <f>SUMIFS('Data FT-TS-Cashout-P'!$O$14:$O$4704,'Data FT-TS-Cashout-P'!$A$14:$A$4704,'Mar16-Aug16 FT-TS-Cashout-LG&amp;E'!L$4,'Data FT-TS-Cashout-P'!$B$14:$B$4704,'Mar16-Aug16 FT-TS-Cashout-LG&amp;E'!$C$322,'Data FT-TS-Cashout-P'!$D$14:$D$4704,'Mar16-Aug16 FT-TS-Cashout-LG&amp;E'!$F$319,'Data FT-TS-Cashout-P'!$E$14:$E$4704,'Mar16-Aug16 FT-TS-Cashout-LG&amp;E'!$H$319,'Data FT-TS-Cashout-P'!$F$14:$F$4704,'Mar16-Aug16 FT-TS-Cashout-LG&amp;E'!L$7)</f>
        <v>0</v>
      </c>
      <c r="M319" s="396">
        <f>SUMIFS('Data FT-TS-Cashout-P'!$O$14:$O$4704,'Data FT-TS-Cashout-P'!$A$14:$A$4704,'Mar16-Aug16 FT-TS-Cashout-LG&amp;E'!M$4,'Data FT-TS-Cashout-P'!$B$14:$B$4704,'Mar16-Aug16 FT-TS-Cashout-LG&amp;E'!$C$322,'Data FT-TS-Cashout-P'!$D$14:$D$4704,'Mar16-Aug16 FT-TS-Cashout-LG&amp;E'!$F$319,'Data FT-TS-Cashout-P'!$E$14:$E$4704,'Mar16-Aug16 FT-TS-Cashout-LG&amp;E'!$H$319,'Data FT-TS-Cashout-P'!$F$14:$F$4704,'Mar16-Aug16 FT-TS-Cashout-LG&amp;E'!M$6)</f>
        <v>0</v>
      </c>
      <c r="N319" s="396">
        <f>SUMIFS('Data FT-TS-Cashout-P'!$O$14:$O$4704,'Data FT-TS-Cashout-P'!$A$14:$A$4704,'Mar16-Aug16 FT-TS-Cashout-LG&amp;E'!N$4,'Data FT-TS-Cashout-P'!$B$14:$B$4704,'Mar16-Aug16 FT-TS-Cashout-LG&amp;E'!$C$322,'Data FT-TS-Cashout-P'!$D$14:$D$4704,'Mar16-Aug16 FT-TS-Cashout-LG&amp;E'!$F$319,'Data FT-TS-Cashout-P'!$E$14:$E$4704,'Mar16-Aug16 FT-TS-Cashout-LG&amp;E'!$H$319,'Data FT-TS-Cashout-P'!$F$14:$F$4704,'Mar16-Aug16 FT-TS-Cashout-LG&amp;E'!N$6)</f>
        <v>0</v>
      </c>
      <c r="O319" s="396">
        <f>SUMIFS('Data FT-TS-Cashout-P'!$O$14:$O$4704,'Data FT-TS-Cashout-P'!$A$14:$A$4704,'Mar16-Aug16 FT-TS-Cashout-LG&amp;E'!O$4,'Data FT-TS-Cashout-P'!$B$14:$B$4704,'Mar16-Aug16 FT-TS-Cashout-LG&amp;E'!$C$322,'Data FT-TS-Cashout-P'!$D$14:$D$4704,'Mar16-Aug16 FT-TS-Cashout-LG&amp;E'!$F$319,'Data FT-TS-Cashout-P'!$E$14:$E$4704,'Mar16-Aug16 FT-TS-Cashout-LG&amp;E'!$H$319,'Data FT-TS-Cashout-P'!$F$14:$F$4704,'Mar16-Aug16 FT-TS-Cashout-LG&amp;E'!O$6)</f>
        <v>0</v>
      </c>
      <c r="P319" s="574">
        <f t="shared" si="115"/>
        <v>0</v>
      </c>
      <c r="U319" s="349"/>
    </row>
    <row r="320" spans="2:21" x14ac:dyDescent="0.2">
      <c r="B320" s="338"/>
      <c r="C320" s="340" t="s">
        <v>42</v>
      </c>
      <c r="D320" s="340" t="str">
        <f t="shared" si="111"/>
        <v>882</v>
      </c>
      <c r="E320" s="338" t="str">
        <f>VLOOKUP($C320,'Retail Rates'!$B$45:$R$53,3,FALSE)</f>
        <v>IGS-TS</v>
      </c>
      <c r="F320" s="340" t="s">
        <v>662</v>
      </c>
      <c r="G320" s="341" t="s">
        <v>257</v>
      </c>
      <c r="H320" s="338"/>
      <c r="I320" s="654">
        <f>I307*I312</f>
        <v>11768.63485</v>
      </c>
      <c r="J320" s="654">
        <f t="shared" ref="J320:O320" si="118">J307*J312</f>
        <v>14398.25625</v>
      </c>
      <c r="K320" s="654">
        <f t="shared" si="118"/>
        <v>6905.8094000000001</v>
      </c>
      <c r="L320" s="654">
        <f t="shared" si="118"/>
        <v>13043.227679999998</v>
      </c>
      <c r="M320" s="654">
        <f t="shared" si="118"/>
        <v>10271.55024</v>
      </c>
      <c r="N320" s="654">
        <f t="shared" si="118"/>
        <v>10764.140939999999</v>
      </c>
      <c r="O320" s="654">
        <f t="shared" si="118"/>
        <v>10263.8712</v>
      </c>
      <c r="P320" s="574">
        <f t="shared" si="115"/>
        <v>65646.855709999989</v>
      </c>
      <c r="U320" s="349"/>
    </row>
    <row r="321" spans="2:21" x14ac:dyDescent="0.2">
      <c r="B321" s="338"/>
      <c r="C321" s="340" t="s">
        <v>42</v>
      </c>
      <c r="D321" s="340" t="str">
        <f>MID(C321,6,3)</f>
        <v>882</v>
      </c>
      <c r="E321" s="338" t="str">
        <f>VLOOKUP($C321,'Retail Rates'!$B$45:$R$53,3,FALSE)</f>
        <v>IGS-TS</v>
      </c>
      <c r="F321" s="340" t="s">
        <v>662</v>
      </c>
      <c r="G321" s="341" t="s">
        <v>943</v>
      </c>
      <c r="H321" s="325" t="s">
        <v>729</v>
      </c>
      <c r="I321" s="655">
        <f>SUMIFS('Data FT-TS-Cashout-P'!$Q$14:$Q$4704,'Data FT-TS-Cashout-P'!$A$14:$A$4704,'Mar16-Aug16 FT-TS-Cashout-LG&amp;E'!I$4,'Data FT-TS-Cashout-P'!$B$14:$B$4704,'Mar16-Aug16 FT-TS-Cashout-LG&amp;E'!$C$321,'Data FT-TS-Cashout-P'!$D$14:$D$4704,'Mar16-Aug16 FT-TS-Cashout-LG&amp;E'!$F$321,'Data FT-TS-Cashout-P'!$E$14:$E$4704,'Mar16-Aug16 FT-TS-Cashout-LG&amp;E'!$H$321,'Data FT-TS-Cashout-P'!$F$14:$F$4704,'Mar16-Aug16 FT-TS-Cashout-LG&amp;E'!I$6)</f>
        <v>-2467.69</v>
      </c>
      <c r="J321" s="655">
        <f>SUMIFS('Data FT-TS-Cashout-P'!$Q$14:$Q$4704,'Data FT-TS-Cashout-P'!$A$14:$A$4704,'Mar16-Aug16 FT-TS-Cashout-LG&amp;E'!J$4,'Data FT-TS-Cashout-P'!$B$14:$B$4704,'Mar16-Aug16 FT-TS-Cashout-LG&amp;E'!$C$321,'Data FT-TS-Cashout-P'!$D$14:$D$4704,'Mar16-Aug16 FT-TS-Cashout-LG&amp;E'!$F$321,'Data FT-TS-Cashout-P'!$E$14:$E$4704,'Mar16-Aug16 FT-TS-Cashout-LG&amp;E'!$H$321,'Data FT-TS-Cashout-P'!$F$14:$F$4704,'Mar16-Aug16 FT-TS-Cashout-LG&amp;E'!J$6)</f>
        <v>-3019.07</v>
      </c>
      <c r="K321" s="655">
        <f>SUMIFS('Data FT-TS-Cashout-P'!$Q$14:$Q$4704,'Data FT-TS-Cashout-P'!$A$14:$A$4704,'Mar16-Aug16 FT-TS-Cashout-LG&amp;E'!K$4,'Data FT-TS-Cashout-P'!$B$14:$B$4704,'Mar16-Aug16 FT-TS-Cashout-LG&amp;E'!$C$321,'Data FT-TS-Cashout-P'!$D$14:$D$4704,'Mar16-Aug16 FT-TS-Cashout-LG&amp;E'!$F$321,'Data FT-TS-Cashout-P'!$E$14:$E$4704,'Mar16-Aug16 FT-TS-Cashout-LG&amp;E'!$H$321,'Data FT-TS-Cashout-P'!$F$14:$F$4704,'Mar16-Aug16 FT-TS-Cashout-LG&amp;E'!K$6)</f>
        <v>-1448.03</v>
      </c>
      <c r="L321" s="655">
        <f>SUMIFS('Data FT-TS-Cashout-P'!$Q$14:$Q$4704,'Data FT-TS-Cashout-P'!$A$14:$A$4704,'Mar16-Aug16 FT-TS-Cashout-LG&amp;E'!L$4,'Data FT-TS-Cashout-P'!$B$14:$B$4704,'Mar16-Aug16 FT-TS-Cashout-LG&amp;E'!$C$322,'Data FT-TS-Cashout-P'!$D$14:$D$4704,'Mar16-Aug16 FT-TS-Cashout-LG&amp;E'!$F$321,'Data FT-TS-Cashout-P'!$E$14:$E$4704,'Mar16-Aug16 FT-TS-Cashout-LG&amp;E'!$H$321,'Data FT-TS-Cashout-P'!$F$14:$F$4704,'Mar16-Aug16 FT-TS-Cashout-LG&amp;E'!L$7)</f>
        <v>7189.07</v>
      </c>
      <c r="M321" s="655">
        <f>SUMIFS('Data FT-TS-Cashout-P'!$Q$14:$Q$4704,'Data FT-TS-Cashout-P'!$A$14:$A$4704,'Mar16-Aug16 FT-TS-Cashout-LG&amp;E'!M$4,'Data FT-TS-Cashout-P'!$B$14:$B$4704,'Mar16-Aug16 FT-TS-Cashout-LG&amp;E'!$C$322,'Data FT-TS-Cashout-P'!$D$14:$D$4704,'Mar16-Aug16 FT-TS-Cashout-LG&amp;E'!$F$321,'Data FT-TS-Cashout-P'!$E$14:$E$4704,'Mar16-Aug16 FT-TS-Cashout-LG&amp;E'!$H$321,'Data FT-TS-Cashout-P'!$F$14:$F$4704,'Mar16-Aug16 FT-TS-Cashout-LG&amp;E'!M$6)</f>
        <v>5661.4</v>
      </c>
      <c r="N321" s="655">
        <f>SUMIFS('Data FT-TS-Cashout-P'!$Q$14:$Q$4704,'Data FT-TS-Cashout-P'!$A$14:$A$4704,'Mar16-Aug16 FT-TS-Cashout-LG&amp;E'!N$4,'Data FT-TS-Cashout-P'!$B$14:$B$4704,'Mar16-Aug16 FT-TS-Cashout-LG&amp;E'!$C$322,'Data FT-TS-Cashout-P'!$D$14:$D$4704,'Mar16-Aug16 FT-TS-Cashout-LG&amp;E'!$F$321,'Data FT-TS-Cashout-P'!$E$14:$E$4704,'Mar16-Aug16 FT-TS-Cashout-LG&amp;E'!$H$321,'Data FT-TS-Cashout-P'!$F$14:$F$4704,'Mar16-Aug16 FT-TS-Cashout-LG&amp;E'!N$6)</f>
        <v>5932.9</v>
      </c>
      <c r="O321" s="655">
        <f>SUMIFS('Data FT-TS-Cashout-P'!$Q$14:$Q$4704,'Data FT-TS-Cashout-P'!$A$14:$A$4704,'Mar16-Aug16 FT-TS-Cashout-LG&amp;E'!O$4,'Data FT-TS-Cashout-P'!$B$14:$B$4704,'Mar16-Aug16 FT-TS-Cashout-LG&amp;E'!$C$322,'Data FT-TS-Cashout-P'!$D$14:$D$4704,'Mar16-Aug16 FT-TS-Cashout-LG&amp;E'!$F$321,'Data FT-TS-Cashout-P'!$E$14:$E$4704,'Mar16-Aug16 FT-TS-Cashout-LG&amp;E'!$H$321,'Data FT-TS-Cashout-P'!$F$14:$F$4704,'Mar16-Aug16 FT-TS-Cashout-LG&amp;E'!O$6)</f>
        <v>-1404.23</v>
      </c>
      <c r="P321" s="574">
        <f t="shared" si="115"/>
        <v>12912.039999999999</v>
      </c>
      <c r="U321" s="349"/>
    </row>
    <row r="322" spans="2:21" x14ac:dyDescent="0.2">
      <c r="B322" s="338"/>
      <c r="C322" s="340" t="s">
        <v>1001</v>
      </c>
      <c r="D322" s="340"/>
      <c r="E322" s="338"/>
      <c r="F322" s="340"/>
      <c r="G322" s="341" t="s">
        <v>288</v>
      </c>
      <c r="H322" s="338"/>
      <c r="I322" s="410">
        <f>I318+I319+I320+I321</f>
        <v>41898.492159999994</v>
      </c>
      <c r="J322" s="410">
        <f t="shared" ref="J322:O322" si="119">J318+J319+J320+J321</f>
        <v>51137.539999999994</v>
      </c>
      <c r="K322" s="410">
        <f t="shared" si="119"/>
        <v>20735.409400000004</v>
      </c>
      <c r="L322" s="410">
        <f t="shared" si="119"/>
        <v>48301.56768</v>
      </c>
      <c r="M322" s="410">
        <f t="shared" si="119"/>
        <v>38165.010240000003</v>
      </c>
      <c r="N322" s="410">
        <f t="shared" si="119"/>
        <v>39966.51094</v>
      </c>
      <c r="O322" s="410">
        <f t="shared" si="119"/>
        <v>31206.911199999999</v>
      </c>
      <c r="P322" s="574">
        <f t="shared" si="115"/>
        <v>229512.94946</v>
      </c>
      <c r="U322" s="349"/>
    </row>
    <row r="323" spans="2:21" x14ac:dyDescent="0.2">
      <c r="B323" s="338"/>
      <c r="C323" s="340"/>
      <c r="D323" s="340"/>
      <c r="E323" s="338"/>
      <c r="F323" s="340"/>
      <c r="G323" s="347"/>
      <c r="H323" s="338"/>
      <c r="I323" s="338"/>
      <c r="J323" s="338"/>
      <c r="K323" s="338"/>
      <c r="L323" s="338"/>
      <c r="M323" s="338"/>
      <c r="N323" s="338"/>
      <c r="O323" s="338"/>
      <c r="P323" s="338"/>
      <c r="U323" s="349"/>
    </row>
    <row r="324" spans="2:21" x14ac:dyDescent="0.2">
      <c r="B324" s="338"/>
      <c r="C324" s="340"/>
      <c r="D324" s="340"/>
      <c r="E324" s="338"/>
      <c r="F324" s="340"/>
      <c r="G324" s="347"/>
      <c r="H324" s="338"/>
      <c r="I324" s="338"/>
      <c r="J324" s="338"/>
      <c r="K324" s="338"/>
      <c r="L324" s="338"/>
      <c r="M324" s="338"/>
      <c r="N324" s="338"/>
      <c r="O324" s="338"/>
      <c r="P324" s="338"/>
      <c r="U324" s="349"/>
    </row>
    <row r="325" spans="2:21" x14ac:dyDescent="0.2">
      <c r="B325" s="338"/>
      <c r="C325" s="340" t="s">
        <v>96</v>
      </c>
      <c r="D325" s="340" t="str">
        <f t="shared" ref="D325:D337" si="120">MID(C325,6,3)</f>
        <v>892</v>
      </c>
      <c r="E325" s="338" t="s">
        <v>893</v>
      </c>
      <c r="F325" s="340" t="s">
        <v>662</v>
      </c>
      <c r="G325" s="341" t="s">
        <v>268</v>
      </c>
      <c r="H325" s="338"/>
      <c r="I325" s="647">
        <f>ROUND(+I333/I328,0)</f>
        <v>1</v>
      </c>
      <c r="J325" s="647">
        <f t="shared" ref="J325:O325" si="121">ROUND(+J333/J328,0)</f>
        <v>1</v>
      </c>
      <c r="K325" s="647">
        <f t="shared" si="121"/>
        <v>1</v>
      </c>
      <c r="L325" s="647">
        <f t="shared" si="121"/>
        <v>1</v>
      </c>
      <c r="M325" s="647">
        <f t="shared" si="121"/>
        <v>1</v>
      </c>
      <c r="N325" s="647">
        <f t="shared" si="121"/>
        <v>1</v>
      </c>
      <c r="O325" s="647">
        <f t="shared" si="121"/>
        <v>1</v>
      </c>
      <c r="P325" s="574">
        <f>SUM(J325:O325)</f>
        <v>6</v>
      </c>
      <c r="U325" s="349"/>
    </row>
    <row r="326" spans="2:21" x14ac:dyDescent="0.2">
      <c r="B326" s="338"/>
      <c r="C326" s="340" t="s">
        <v>96</v>
      </c>
      <c r="D326" s="340" t="str">
        <f t="shared" si="120"/>
        <v>892</v>
      </c>
      <c r="E326" s="338" t="s">
        <v>893</v>
      </c>
      <c r="F326" s="340" t="s">
        <v>662</v>
      </c>
      <c r="G326" s="341" t="s">
        <v>470</v>
      </c>
      <c r="H326" s="325" t="s">
        <v>518</v>
      </c>
      <c r="I326" s="411">
        <f>SUMIFS('Data FT-TS-Cashout-P'!$H$14:$H$4704,'Data FT-TS-Cashout-P'!$A$6:$A$4696,'Mar16-Aug16 FT-TS-Cashout-LG&amp;E'!I$4,'Data FT-TS-Cashout-P'!$B$14:$B$4704,'Mar16-Aug16 FT-TS-Cashout-LG&amp;E'!$C$326,'Data FT-TS-Cashout-P'!$D$14:$D$4704,'Mar16-Aug16 FT-TS-Cashout-LG&amp;E'!$F$326,'Data FT-TS-Cashout-P'!$E$14:$E$4704,'Mar16-Aug16 FT-TS-Cashout-LG&amp;E'!$H$326,'Data FT-TS-Cashout-P'!$F$14:$F$4704,'Mar16-Aug16 FT-TS-Cashout-LG&amp;E'!I$6)/10</f>
        <v>13091.3</v>
      </c>
      <c r="J326" s="411">
        <f>SUMIFS('Data FT-TS-Cashout-P'!$H$14:$H$4704,'Data FT-TS-Cashout-P'!$A$6:$A$4696,'Mar16-Aug16 FT-TS-Cashout-LG&amp;E'!J$4,'Data FT-TS-Cashout-P'!$B$14:$B$4704,'Mar16-Aug16 FT-TS-Cashout-LG&amp;E'!$C$326,'Data FT-TS-Cashout-P'!$D$14:$D$4704,'Mar16-Aug16 FT-TS-Cashout-LG&amp;E'!$F$326,'Data FT-TS-Cashout-P'!$E$14:$E$4704,'Mar16-Aug16 FT-TS-Cashout-LG&amp;E'!$H$326,'Data FT-TS-Cashout-P'!$F$14:$F$4704,'Mar16-Aug16 FT-TS-Cashout-LG&amp;E'!J$6)/10</f>
        <v>15976.6</v>
      </c>
      <c r="K326" s="411">
        <f>SUMIFS('Data FT-TS-Cashout-P'!$H$14:$H$4704,'Data FT-TS-Cashout-P'!$A$6:$A$4696,'Mar16-Aug16 FT-TS-Cashout-LG&amp;E'!K$4,'Data FT-TS-Cashout-P'!$B$14:$B$4704,'Mar16-Aug16 FT-TS-Cashout-LG&amp;E'!$C$326,'Data FT-TS-Cashout-P'!$D$14:$D$4704,'Mar16-Aug16 FT-TS-Cashout-LG&amp;E'!$F$326,'Data FT-TS-Cashout-P'!$E$14:$E$4704,'Mar16-Aug16 FT-TS-Cashout-LG&amp;E'!$H$326,'Data FT-TS-Cashout-P'!$F$14:$F$4704,'Mar16-Aug16 FT-TS-Cashout-LG&amp;E'!K$6)/10</f>
        <v>7738.8</v>
      </c>
      <c r="L326" s="411">
        <f>SUMIFS('Data FT-TS-Cashout-P'!$H$14:$H$4704,'Data FT-TS-Cashout-P'!$A$6:$A$4696,'Mar16-Aug16 FT-TS-Cashout-LG&amp;E'!L$4,'Data FT-TS-Cashout-P'!$B$14:$B$4704,'Mar16-Aug16 FT-TS-Cashout-LG&amp;E'!$C$339,'Data FT-TS-Cashout-P'!$D$14:$D$4704,'Mar16-Aug16 FT-TS-Cashout-LG&amp;E'!$F$326,'Data FT-TS-Cashout-P'!$E$14:$E$4704,'Mar16-Aug16 FT-TS-Cashout-LG&amp;E'!$H$326,'Data FT-TS-Cashout-P'!$F$14:$F$4704,'Mar16-Aug16 FT-TS-Cashout-LG&amp;E'!L$7)/10</f>
        <v>14292.6</v>
      </c>
      <c r="M326" s="411">
        <f>SUMIFS('Data FT-TS-Cashout-P'!$H$14:$H$4704,'Data FT-TS-Cashout-P'!$A$6:$A$4696,'Mar16-Aug16 FT-TS-Cashout-LG&amp;E'!M$4,'Data FT-TS-Cashout-P'!$B$14:$B$4704,'Mar16-Aug16 FT-TS-Cashout-LG&amp;E'!$C$339,'Data FT-TS-Cashout-P'!$D$14:$D$4704,'Mar16-Aug16 FT-TS-Cashout-LG&amp;E'!$F$326,'Data FT-TS-Cashout-P'!$E$14:$E$4704,'Mar16-Aug16 FT-TS-Cashout-LG&amp;E'!$H$326,'Data FT-TS-Cashout-P'!$F$14:$F$4704,'Mar16-Aug16 FT-TS-Cashout-LG&amp;E'!M$6)/10</f>
        <v>11906.8</v>
      </c>
      <c r="N326" s="411">
        <f>SUMIFS('Data FT-TS-Cashout-P'!$H$14:$H$4704,'Data FT-TS-Cashout-P'!$A$6:$A$4696,'Mar16-Aug16 FT-TS-Cashout-LG&amp;E'!N$4,'Data FT-TS-Cashout-P'!$B$14:$B$4704,'Mar16-Aug16 FT-TS-Cashout-LG&amp;E'!$C$339,'Data FT-TS-Cashout-P'!$D$14:$D$4704,'Mar16-Aug16 FT-TS-Cashout-LG&amp;E'!$F$326,'Data FT-TS-Cashout-P'!$E$14:$E$4704,'Mar16-Aug16 FT-TS-Cashout-LG&amp;E'!$H$326,'Data FT-TS-Cashout-P'!$F$14:$F$4704,'Mar16-Aug16 FT-TS-Cashout-LG&amp;E'!N$6)/10</f>
        <v>13428.6</v>
      </c>
      <c r="O326" s="411">
        <f>SUMIFS('Data FT-TS-Cashout-P'!$H$14:$H$4704,'Data FT-TS-Cashout-P'!$A$6:$A$4696,'Mar16-Aug16 FT-TS-Cashout-LG&amp;E'!O$4,'Data FT-TS-Cashout-P'!$B$14:$B$4704,'Mar16-Aug16 FT-TS-Cashout-LG&amp;E'!$C$339,'Data FT-TS-Cashout-P'!$D$14:$D$4704,'Mar16-Aug16 FT-TS-Cashout-LG&amp;E'!$F$326,'Data FT-TS-Cashout-P'!$E$14:$E$4704,'Mar16-Aug16 FT-TS-Cashout-LG&amp;E'!$H$326,'Data FT-TS-Cashout-P'!$F$14:$F$4704,'Mar16-Aug16 FT-TS-Cashout-LG&amp;E'!O$6)/10</f>
        <v>12989.8</v>
      </c>
      <c r="P326" s="574">
        <f>SUM(J326:O326)</f>
        <v>76333.2</v>
      </c>
      <c r="U326" s="349"/>
    </row>
    <row r="327" spans="2:21" x14ac:dyDescent="0.2">
      <c r="B327" s="338"/>
      <c r="C327" s="340" t="s">
        <v>96</v>
      </c>
      <c r="D327" s="340" t="str">
        <f t="shared" si="120"/>
        <v>892</v>
      </c>
      <c r="E327" s="338" t="s">
        <v>893</v>
      </c>
      <c r="F327" s="340" t="s">
        <v>662</v>
      </c>
      <c r="G327" s="342"/>
      <c r="H327" s="338"/>
      <c r="I327" s="338"/>
      <c r="J327" s="338"/>
      <c r="K327" s="338"/>
      <c r="L327" s="338"/>
      <c r="M327" s="338"/>
      <c r="N327" s="338"/>
      <c r="O327" s="338"/>
      <c r="P327" s="338"/>
      <c r="U327" s="349"/>
    </row>
    <row r="328" spans="2:21" x14ac:dyDescent="0.2">
      <c r="B328" s="338"/>
      <c r="C328" s="340" t="s">
        <v>96</v>
      </c>
      <c r="D328" s="340" t="str">
        <f t="shared" si="120"/>
        <v>892</v>
      </c>
      <c r="E328" s="338" t="s">
        <v>893</v>
      </c>
      <c r="F328" s="340" t="s">
        <v>662</v>
      </c>
      <c r="G328" s="341" t="s">
        <v>270</v>
      </c>
      <c r="H328" s="338"/>
      <c r="I328" s="338">
        <f>VLOOKUP($C328,'Retail Rates'!$B$45:$O$63,6,FALSE)</f>
        <v>550</v>
      </c>
      <c r="J328" s="338">
        <f>VLOOKUP($C328,'Retail Rates'!$B$45:$O$63,6,FALSE)</f>
        <v>550</v>
      </c>
      <c r="K328" s="338">
        <f>VLOOKUP($C328,'Retail Rates'!$B$45:$O$63,6,FALSE)</f>
        <v>550</v>
      </c>
      <c r="L328" s="338">
        <f>VLOOKUP($C328,'Retail Rates'!$B$45:$O$63,6,FALSE)</f>
        <v>550</v>
      </c>
      <c r="M328" s="338">
        <f>VLOOKUP($C328,'Retail Rates'!$B$45:$O$63,6,FALSE)</f>
        <v>550</v>
      </c>
      <c r="N328" s="338">
        <f>VLOOKUP($C328,'Retail Rates'!$B$45:$O$63,6,FALSE)</f>
        <v>550</v>
      </c>
      <c r="O328" s="338">
        <f>VLOOKUP($C328,'Retail Rates'!$B$45:$O$63,6,FALSE)</f>
        <v>550</v>
      </c>
      <c r="P328" s="338"/>
      <c r="U328" s="349"/>
    </row>
    <row r="329" spans="2:21" x14ac:dyDescent="0.2">
      <c r="B329" s="338"/>
      <c r="C329" s="340" t="s">
        <v>96</v>
      </c>
      <c r="D329" s="340" t="str">
        <f t="shared" si="120"/>
        <v>892</v>
      </c>
      <c r="E329" s="338" t="s">
        <v>893</v>
      </c>
      <c r="F329" s="340" t="s">
        <v>662</v>
      </c>
      <c r="G329" s="341" t="s">
        <v>949</v>
      </c>
      <c r="H329" s="338"/>
      <c r="I329" s="338">
        <f>VLOOKUP($C329,'Retail Rates'!$B$45:$O$63,7,FALSE)</f>
        <v>0.70089999999999997</v>
      </c>
      <c r="J329" s="338">
        <f>VLOOKUP($C329,'Retail Rates'!$B$45:$O$63,7,FALSE)</f>
        <v>0.70089999999999997</v>
      </c>
      <c r="K329" s="338">
        <f>VLOOKUP($C329,'Retail Rates'!$B$45:$O$63,7,FALSE)</f>
        <v>0.70089999999999997</v>
      </c>
      <c r="L329" s="338">
        <f>VLOOKUP($C329,'Retail Rates'!$B$45:$O$63,7,FALSE)</f>
        <v>0.70089999999999997</v>
      </c>
      <c r="M329" s="338">
        <f>VLOOKUP($C329,'Retail Rates'!$B$45:$O$63,7,FALSE)</f>
        <v>0.70089999999999997</v>
      </c>
      <c r="N329" s="338">
        <f>VLOOKUP($C329,'Retail Rates'!$B$45:$O$63,7,FALSE)</f>
        <v>0.70089999999999997</v>
      </c>
      <c r="O329" s="338">
        <f>VLOOKUP($C329,'Retail Rates'!$B$45:$O$63,7,FALSE)</f>
        <v>0.70089999999999997</v>
      </c>
      <c r="P329" s="338"/>
      <c r="U329" s="349"/>
    </row>
    <row r="330" spans="2:21" x14ac:dyDescent="0.2">
      <c r="B330" s="338"/>
      <c r="C330" s="340" t="s">
        <v>96</v>
      </c>
      <c r="D330" s="340" t="str">
        <f t="shared" si="120"/>
        <v>892</v>
      </c>
      <c r="E330" s="338" t="s">
        <v>893</v>
      </c>
      <c r="F330" s="340" t="s">
        <v>662</v>
      </c>
      <c r="G330" s="341" t="s">
        <v>257</v>
      </c>
      <c r="H330" s="338"/>
      <c r="I330" s="409">
        <f>SUMIF('GSC-DSM-GLT Factors'!$A$11:$A$58,'Mar16-Aug16 FT-TS-Cashout-LG&amp;E'!I$5,'GSC-DSM-GLT Factors'!$H$11:$H$58)</f>
        <v>0.83650000000000002</v>
      </c>
      <c r="J330" s="409">
        <f>SUMIF('GSC-DSM-GLT Factors'!$A$11:$A$58,'Mar16-Aug16 FT-TS-Cashout-LG&amp;E'!J$5,'GSC-DSM-GLT Factors'!$H$11:$H$58)</f>
        <v>0.83650000000000002</v>
      </c>
      <c r="K330" s="409">
        <f>SUMIF('GSC-DSM-GLT Factors'!$A$11:$A$58,'Mar16-Aug16 FT-TS-Cashout-LG&amp;E'!K$5,'GSC-DSM-GLT Factors'!$H$11:$H$58)</f>
        <v>0.83650000000000002</v>
      </c>
      <c r="L330" s="409">
        <f>SUMIF('GSC-DSM-GLT Factors'!$A$11:$A$58,'Mar16-Aug16 FT-TS-Cashout-LG&amp;E'!L$5,'GSC-DSM-GLT Factors'!$H$11:$H$58)</f>
        <v>0.84419999999999995</v>
      </c>
      <c r="M330" s="409">
        <f>SUMIF('GSC-DSM-GLT Factors'!$A$11:$A$58,'Mar16-Aug16 FT-TS-Cashout-LG&amp;E'!M$5,'GSC-DSM-GLT Factors'!$H$11:$H$58)</f>
        <v>0.84419999999999995</v>
      </c>
      <c r="N330" s="409">
        <f>SUMIF('GSC-DSM-GLT Factors'!$A$11:$A$58,'Mar16-Aug16 FT-TS-Cashout-LG&amp;E'!N$5,'GSC-DSM-GLT Factors'!$H$11:$H$58)</f>
        <v>0.84419999999999995</v>
      </c>
      <c r="O330" s="409">
        <f>SUMIF('GSC-DSM-GLT Factors'!$A$11:$A$58,'Mar16-Aug16 FT-TS-Cashout-LG&amp;E'!O$5,'GSC-DSM-GLT Factors'!$H$11:$H$58)</f>
        <v>0.83909999999999996</v>
      </c>
      <c r="P330" s="338"/>
      <c r="U330" s="349"/>
    </row>
    <row r="331" spans="2:21" x14ac:dyDescent="0.2">
      <c r="B331" s="338"/>
      <c r="C331" s="340" t="s">
        <v>96</v>
      </c>
      <c r="D331" s="340" t="str">
        <f t="shared" si="120"/>
        <v>892</v>
      </c>
      <c r="E331" s="338" t="s">
        <v>893</v>
      </c>
      <c r="F331" s="340" t="s">
        <v>662</v>
      </c>
      <c r="G331" s="341" t="s">
        <v>710</v>
      </c>
      <c r="H331" s="338"/>
      <c r="I331" s="669">
        <f>SUMIF('GSC-DSM-GLT Factors'!$A$11:$A$58,'Mar16-Aug16 FT-TS-Cashout-LG&amp;E'!I$4,'GSC-DSM-GLT Factors'!$D$11:$D$58)</f>
        <v>5.4000000000000001E-4</v>
      </c>
      <c r="J331" s="669">
        <f>SUMIF('GSC-DSM-GLT Factors'!$A$11:$A$58,'Mar16-Aug16 FT-TS-Cashout-LG&amp;E'!J$4,'GSC-DSM-GLT Factors'!$D$11:$D$58)</f>
        <v>5.6999999999999998E-4</v>
      </c>
      <c r="K331" s="669">
        <f>SUMIF('GSC-DSM-GLT Factors'!$A$11:$A$58,'Mar16-Aug16 FT-TS-Cashout-LG&amp;E'!K$4,'GSC-DSM-GLT Factors'!$D$11:$D$58)</f>
        <v>5.6999999999999998E-4</v>
      </c>
      <c r="L331" s="669">
        <f>SUMIF('GSC-DSM-GLT Factors'!$A$11:$A$58,'Mar16-Aug16 FT-TS-Cashout-LG&amp;E'!L$4,'GSC-DSM-GLT Factors'!$D$11:$D$58)</f>
        <v>5.6999999999999998E-4</v>
      </c>
      <c r="M331" s="669">
        <f>SUMIF('GSC-DSM-GLT Factors'!$A$11:$A$58,'Mar16-Aug16 FT-TS-Cashout-LG&amp;E'!M$4,'GSC-DSM-GLT Factors'!$D$11:$D$58)</f>
        <v>5.6999999999999998E-4</v>
      </c>
      <c r="N331" s="669">
        <f>SUMIF('GSC-DSM-GLT Factors'!$A$11:$A$58,'Mar16-Aug16 FT-TS-Cashout-LG&amp;E'!N$4,'GSC-DSM-GLT Factors'!$D$11:$D$58)</f>
        <v>5.6999999999999998E-4</v>
      </c>
      <c r="O331" s="669">
        <f>SUMIF('GSC-DSM-GLT Factors'!$A$11:$A$58,'Mar16-Aug16 FT-TS-Cashout-LG&amp;E'!O$4,'GSC-DSM-GLT Factors'!$D$11:$D$58)</f>
        <v>0</v>
      </c>
      <c r="P331" s="338"/>
      <c r="U331" s="349"/>
    </row>
    <row r="332" spans="2:21" x14ac:dyDescent="0.2">
      <c r="B332" s="338"/>
      <c r="C332" s="340" t="s">
        <v>96</v>
      </c>
      <c r="D332" s="340" t="str">
        <f t="shared" si="120"/>
        <v>892</v>
      </c>
      <c r="E332" s="338" t="s">
        <v>893</v>
      </c>
      <c r="F332" s="340" t="s">
        <v>662</v>
      </c>
      <c r="G332" s="343" t="s">
        <v>273</v>
      </c>
      <c r="H332" s="338"/>
      <c r="I332" s="338"/>
      <c r="J332" s="338"/>
      <c r="K332" s="338"/>
      <c r="L332" s="338"/>
      <c r="M332" s="338"/>
      <c r="N332" s="338"/>
      <c r="O332" s="338"/>
      <c r="P332" s="338"/>
      <c r="U332" s="349"/>
    </row>
    <row r="333" spans="2:21" x14ac:dyDescent="0.2">
      <c r="B333" s="338"/>
      <c r="C333" s="340" t="s">
        <v>96</v>
      </c>
      <c r="D333" s="340" t="str">
        <f t="shared" si="120"/>
        <v>892</v>
      </c>
      <c r="E333" s="338" t="s">
        <v>893</v>
      </c>
      <c r="F333" s="340" t="s">
        <v>662</v>
      </c>
      <c r="G333" s="341" t="s">
        <v>270</v>
      </c>
      <c r="H333" s="325" t="s">
        <v>524</v>
      </c>
      <c r="I333" s="396">
        <f>SUMIFS('Data FT-TS-Cashout-P'!$I$14:$I$4704,'Data FT-TS-Cashout-P'!$A$14:$A$4704,'Mar16-Aug16 FT-TS-Cashout-LG&amp;E'!I$4,'Data FT-TS-Cashout-P'!$B$14:$B$4704,'Mar16-Aug16 FT-TS-Cashout-LG&amp;E'!$C$333,'Data FT-TS-Cashout-P'!$D$14:$D$4704,'Mar16-Aug16 FT-TS-Cashout-LG&amp;E'!$F$333,'Data FT-TS-Cashout-P'!$E$14:$E$4704,'Mar16-Aug16 FT-TS-Cashout-LG&amp;E'!$H$333,'Data FT-TS-Cashout-P'!$F$14:$F$4704,'Mar16-Aug16 FT-TS-Cashout-LG&amp;E'!I$6)</f>
        <v>550</v>
      </c>
      <c r="J333" s="396">
        <f>SUMIFS('Data FT-TS-Cashout-P'!$I$14:$I$4704,'Data FT-TS-Cashout-P'!$A$14:$A$4704,'Mar16-Aug16 FT-TS-Cashout-LG&amp;E'!J$4,'Data FT-TS-Cashout-P'!$B$14:$B$4704,'Mar16-Aug16 FT-TS-Cashout-LG&amp;E'!$C$333,'Data FT-TS-Cashout-P'!$D$14:$D$4704,'Mar16-Aug16 FT-TS-Cashout-LG&amp;E'!$F$333,'Data FT-TS-Cashout-P'!$E$14:$E$4704,'Mar16-Aug16 FT-TS-Cashout-LG&amp;E'!$H$333,'Data FT-TS-Cashout-P'!$F$14:$F$4704,'Mar16-Aug16 FT-TS-Cashout-LG&amp;E'!J$6)</f>
        <v>550</v>
      </c>
      <c r="K333" s="396">
        <f>SUMIFS('Data FT-TS-Cashout-P'!$I$14:$I$4704,'Data FT-TS-Cashout-P'!$A$14:$A$4704,'Mar16-Aug16 FT-TS-Cashout-LG&amp;E'!K$4,'Data FT-TS-Cashout-P'!$B$14:$B$4704,'Mar16-Aug16 FT-TS-Cashout-LG&amp;E'!$C$333,'Data FT-TS-Cashout-P'!$D$14:$D$4704,'Mar16-Aug16 FT-TS-Cashout-LG&amp;E'!$F$333,'Data FT-TS-Cashout-P'!$E$14:$E$4704,'Mar16-Aug16 FT-TS-Cashout-LG&amp;E'!$H$333,'Data FT-TS-Cashout-P'!$F$14:$F$4704,'Mar16-Aug16 FT-TS-Cashout-LG&amp;E'!K$6)</f>
        <v>550</v>
      </c>
      <c r="L333" s="396">
        <f>SUMIFS('Data FT-TS-Cashout-P'!$I$14:$I$4704,'Data FT-TS-Cashout-P'!$A$14:$A$4704,'Mar16-Aug16 FT-TS-Cashout-LG&amp;E'!L$4,'Data FT-TS-Cashout-P'!$B$14:$B$4704,'Mar16-Aug16 FT-TS-Cashout-LG&amp;E'!$C$339,'Data FT-TS-Cashout-P'!$D$14:$D$4704,'Mar16-Aug16 FT-TS-Cashout-LG&amp;E'!$F$333,'Data FT-TS-Cashout-P'!$E$14:$E$4704,'Mar16-Aug16 FT-TS-Cashout-LG&amp;E'!$H$333,'Data FT-TS-Cashout-P'!$F$14:$F$4704,'Mar16-Aug16 FT-TS-Cashout-LG&amp;E'!L$7)</f>
        <v>550</v>
      </c>
      <c r="M333" s="396">
        <f>SUMIFS('Data FT-TS-Cashout-P'!$I$14:$I$4704,'Data FT-TS-Cashout-P'!$A$14:$A$4704,'Mar16-Aug16 FT-TS-Cashout-LG&amp;E'!M$4,'Data FT-TS-Cashout-P'!$B$14:$B$4704,'Mar16-Aug16 FT-TS-Cashout-LG&amp;E'!$C$339,'Data FT-TS-Cashout-P'!$D$14:$D$4704,'Mar16-Aug16 FT-TS-Cashout-LG&amp;E'!$F$333,'Data FT-TS-Cashout-P'!$E$14:$E$4704,'Mar16-Aug16 FT-TS-Cashout-LG&amp;E'!$H$333,'Data FT-TS-Cashout-P'!$F$14:$F$4704,'Mar16-Aug16 FT-TS-Cashout-LG&amp;E'!M$6)</f>
        <v>550</v>
      </c>
      <c r="N333" s="396">
        <f>SUMIFS('Data FT-TS-Cashout-P'!$I$14:$I$4704,'Data FT-TS-Cashout-P'!$A$14:$A$4704,'Mar16-Aug16 FT-TS-Cashout-LG&amp;E'!N$4,'Data FT-TS-Cashout-P'!$B$14:$B$4704,'Mar16-Aug16 FT-TS-Cashout-LG&amp;E'!$C$339,'Data FT-TS-Cashout-P'!$D$14:$D$4704,'Mar16-Aug16 FT-TS-Cashout-LG&amp;E'!$F$333,'Data FT-TS-Cashout-P'!$E$14:$E$4704,'Mar16-Aug16 FT-TS-Cashout-LG&amp;E'!$H$333,'Data FT-TS-Cashout-P'!$F$14:$F$4704,'Mar16-Aug16 FT-TS-Cashout-LG&amp;E'!N$6)</f>
        <v>550</v>
      </c>
      <c r="O333" s="396">
        <f>SUMIFS('Data FT-TS-Cashout-P'!$I$14:$I$4704,'Data FT-TS-Cashout-P'!$A$14:$A$4704,'Mar16-Aug16 FT-TS-Cashout-LG&amp;E'!O$4,'Data FT-TS-Cashout-P'!$B$14:$B$4704,'Mar16-Aug16 FT-TS-Cashout-LG&amp;E'!$C$339,'Data FT-TS-Cashout-P'!$D$14:$D$4704,'Mar16-Aug16 FT-TS-Cashout-LG&amp;E'!$F$333,'Data FT-TS-Cashout-P'!$E$14:$E$4704,'Mar16-Aug16 FT-TS-Cashout-LG&amp;E'!$H$333,'Data FT-TS-Cashout-P'!$F$14:$F$4704,'Mar16-Aug16 FT-TS-Cashout-LG&amp;E'!O$6)</f>
        <v>550</v>
      </c>
      <c r="P333" s="574">
        <f t="shared" ref="P333:P345" si="122">SUM(J333:O333)</f>
        <v>3300</v>
      </c>
      <c r="U333" s="349"/>
    </row>
    <row r="334" spans="2:21" x14ac:dyDescent="0.2">
      <c r="B334" s="338"/>
      <c r="C334" s="340" t="s">
        <v>96</v>
      </c>
      <c r="D334" s="340" t="str">
        <f t="shared" si="120"/>
        <v>892</v>
      </c>
      <c r="E334" s="338" t="s">
        <v>893</v>
      </c>
      <c r="F334" s="340" t="s">
        <v>662</v>
      </c>
      <c r="G334" s="341" t="s">
        <v>275</v>
      </c>
      <c r="H334" s="338"/>
      <c r="I334" s="413">
        <f>ROUND(I326*I329,2)</f>
        <v>9175.69</v>
      </c>
      <c r="J334" s="413">
        <f t="shared" ref="J334:O334" si="123">ROUND(J326*J329,2)</f>
        <v>11198</v>
      </c>
      <c r="K334" s="413">
        <f t="shared" si="123"/>
        <v>5424.12</v>
      </c>
      <c r="L334" s="413">
        <f t="shared" si="123"/>
        <v>10017.68</v>
      </c>
      <c r="M334" s="413">
        <f t="shared" si="123"/>
        <v>8345.48</v>
      </c>
      <c r="N334" s="413">
        <f t="shared" si="123"/>
        <v>9412.11</v>
      </c>
      <c r="O334" s="413">
        <f t="shared" si="123"/>
        <v>9104.5499999999993</v>
      </c>
      <c r="P334" s="574">
        <f t="shared" si="122"/>
        <v>53501.94</v>
      </c>
      <c r="U334" s="349"/>
    </row>
    <row r="335" spans="2:21" x14ac:dyDescent="0.2">
      <c r="B335" s="338"/>
      <c r="C335" s="340" t="s">
        <v>96</v>
      </c>
      <c r="D335" s="340" t="str">
        <f t="shared" si="120"/>
        <v>892</v>
      </c>
      <c r="E335" s="338" t="s">
        <v>893</v>
      </c>
      <c r="F335" s="340" t="s">
        <v>662</v>
      </c>
      <c r="G335" s="341" t="s">
        <v>276</v>
      </c>
      <c r="H335" s="338"/>
      <c r="I335" s="410">
        <f>SUM(I333:I334)</f>
        <v>9725.69</v>
      </c>
      <c r="J335" s="410">
        <f t="shared" ref="J335:O335" si="124">SUM(J333:J334)</f>
        <v>11748</v>
      </c>
      <c r="K335" s="410">
        <f t="shared" si="124"/>
        <v>5974.12</v>
      </c>
      <c r="L335" s="410">
        <f t="shared" si="124"/>
        <v>10567.68</v>
      </c>
      <c r="M335" s="410">
        <f t="shared" si="124"/>
        <v>8895.48</v>
      </c>
      <c r="N335" s="410">
        <f t="shared" si="124"/>
        <v>9962.11</v>
      </c>
      <c r="O335" s="410">
        <f t="shared" si="124"/>
        <v>9654.5499999999993</v>
      </c>
      <c r="P335" s="574">
        <f t="shared" si="122"/>
        <v>56801.94</v>
      </c>
      <c r="U335" s="349"/>
    </row>
    <row r="336" spans="2:21" x14ac:dyDescent="0.2">
      <c r="B336" s="338"/>
      <c r="C336" s="340" t="s">
        <v>96</v>
      </c>
      <c r="D336" s="340" t="str">
        <f t="shared" si="120"/>
        <v>892</v>
      </c>
      <c r="E336" s="338" t="s">
        <v>893</v>
      </c>
      <c r="F336" s="340" t="s">
        <v>662</v>
      </c>
      <c r="G336" s="341" t="s">
        <v>710</v>
      </c>
      <c r="H336" s="325" t="s">
        <v>198</v>
      </c>
      <c r="I336" s="396">
        <f>SUMIFS('Data FT-TS-Cashout-P'!$O$14:$O$4704,'Data FT-TS-Cashout-P'!$A$14:$A$4704,'Mar16-Aug16 FT-TS-Cashout-LG&amp;E'!I$4,'Data FT-TS-Cashout-P'!$B$14:$B$4704,'Mar16-Aug16 FT-TS-Cashout-LG&amp;E'!$C$336,'Data FT-TS-Cashout-P'!$D$14:$D$4704,'Mar16-Aug16 FT-TS-Cashout-LG&amp;E'!$F$336,'Data FT-TS-Cashout-P'!$E$14:$E$4704,'Mar16-Aug16 FT-TS-Cashout-LG&amp;E'!$H$336,'Data FT-TS-Cashout-P'!$F$14:$F$4704,'Mar16-Aug16 FT-TS-Cashout-LG&amp;E'!I$6)</f>
        <v>0</v>
      </c>
      <c r="J336" s="396">
        <f>SUMIFS('Data FT-TS-Cashout-P'!$O$14:$O$4704,'Data FT-TS-Cashout-P'!$A$14:$A$4704,'Mar16-Aug16 FT-TS-Cashout-LG&amp;E'!J$4,'Data FT-TS-Cashout-P'!$B$14:$B$4704,'Mar16-Aug16 FT-TS-Cashout-LG&amp;E'!$C$336,'Data FT-TS-Cashout-P'!$D$14:$D$4704,'Mar16-Aug16 FT-TS-Cashout-LG&amp;E'!$F$336,'Data FT-TS-Cashout-P'!$E$14:$E$4704,'Mar16-Aug16 FT-TS-Cashout-LG&amp;E'!$H$336,'Data FT-TS-Cashout-P'!$F$14:$F$4704,'Mar16-Aug16 FT-TS-Cashout-LG&amp;E'!J$6)</f>
        <v>0</v>
      </c>
      <c r="K336" s="396">
        <f>SUMIFS('Data FT-TS-Cashout-P'!$O$14:$O$4704,'Data FT-TS-Cashout-P'!$A$14:$A$4704,'Mar16-Aug16 FT-TS-Cashout-LG&amp;E'!K$4,'Data FT-TS-Cashout-P'!$B$14:$B$4704,'Mar16-Aug16 FT-TS-Cashout-LG&amp;E'!$C$336,'Data FT-TS-Cashout-P'!$D$14:$D$4704,'Mar16-Aug16 FT-TS-Cashout-LG&amp;E'!$F$336,'Data FT-TS-Cashout-P'!$E$14:$E$4704,'Mar16-Aug16 FT-TS-Cashout-LG&amp;E'!$H$336,'Data FT-TS-Cashout-P'!$F$14:$F$4704,'Mar16-Aug16 FT-TS-Cashout-LG&amp;E'!K$6)</f>
        <v>0</v>
      </c>
      <c r="L336" s="396">
        <f>SUMIFS('Data FT-TS-Cashout-P'!$O$14:$O$4704,'Data FT-TS-Cashout-P'!$A$14:$A$4704,'Mar16-Aug16 FT-TS-Cashout-LG&amp;E'!L$4,'Data FT-TS-Cashout-P'!$B$14:$B$4704,'Mar16-Aug16 FT-TS-Cashout-LG&amp;E'!$C$339,'Data FT-TS-Cashout-P'!$D$14:$D$4704,'Mar16-Aug16 FT-TS-Cashout-LG&amp;E'!$F$336,'Data FT-TS-Cashout-P'!$E$14:$E$4704,'Mar16-Aug16 FT-TS-Cashout-LG&amp;E'!$H$336,'Data FT-TS-Cashout-P'!$F$14:$F$4704,'Mar16-Aug16 FT-TS-Cashout-LG&amp;E'!L$7)</f>
        <v>0</v>
      </c>
      <c r="M336" s="396">
        <f>SUMIFS('Data FT-TS-Cashout-P'!$O$14:$O$4704,'Data FT-TS-Cashout-P'!$A$14:$A$4704,'Mar16-Aug16 FT-TS-Cashout-LG&amp;E'!M$4,'Data FT-TS-Cashout-P'!$B$14:$B$4704,'Mar16-Aug16 FT-TS-Cashout-LG&amp;E'!$C$339,'Data FT-TS-Cashout-P'!$D$14:$D$4704,'Mar16-Aug16 FT-TS-Cashout-LG&amp;E'!$F$336,'Data FT-TS-Cashout-P'!$E$14:$E$4704,'Mar16-Aug16 FT-TS-Cashout-LG&amp;E'!$H$336,'Data FT-TS-Cashout-P'!$F$14:$F$4704,'Mar16-Aug16 FT-TS-Cashout-LG&amp;E'!M$6)</f>
        <v>0</v>
      </c>
      <c r="N336" s="396">
        <f>SUMIFS('Data FT-TS-Cashout-P'!$O$14:$O$4704,'Data FT-TS-Cashout-P'!$A$14:$A$4704,'Mar16-Aug16 FT-TS-Cashout-LG&amp;E'!N$4,'Data FT-TS-Cashout-P'!$B$14:$B$4704,'Mar16-Aug16 FT-TS-Cashout-LG&amp;E'!$C$339,'Data FT-TS-Cashout-P'!$D$14:$D$4704,'Mar16-Aug16 FT-TS-Cashout-LG&amp;E'!$F$336,'Data FT-TS-Cashout-P'!$E$14:$E$4704,'Mar16-Aug16 FT-TS-Cashout-LG&amp;E'!$H$336,'Data FT-TS-Cashout-P'!$F$14:$F$4704,'Mar16-Aug16 FT-TS-Cashout-LG&amp;E'!N$6)</f>
        <v>0</v>
      </c>
      <c r="O336" s="396">
        <f>SUMIFS('Data FT-TS-Cashout-P'!$O$14:$O$4704,'Data FT-TS-Cashout-P'!$A$14:$A$4704,'Mar16-Aug16 FT-TS-Cashout-LG&amp;E'!O$4,'Data FT-TS-Cashout-P'!$B$14:$B$4704,'Mar16-Aug16 FT-TS-Cashout-LG&amp;E'!$C$339,'Data FT-TS-Cashout-P'!$D$14:$D$4704,'Mar16-Aug16 FT-TS-Cashout-LG&amp;E'!$F$336,'Data FT-TS-Cashout-P'!$E$14:$E$4704,'Mar16-Aug16 FT-TS-Cashout-LG&amp;E'!$H$336,'Data FT-TS-Cashout-P'!$F$14:$F$4704,'Mar16-Aug16 FT-TS-Cashout-LG&amp;E'!O$6)</f>
        <v>0</v>
      </c>
      <c r="P336" s="574">
        <f t="shared" si="122"/>
        <v>0</v>
      </c>
      <c r="U336" s="349"/>
    </row>
    <row r="337" spans="2:21" x14ac:dyDescent="0.2">
      <c r="B337" s="338"/>
      <c r="C337" s="340" t="s">
        <v>96</v>
      </c>
      <c r="D337" s="340" t="str">
        <f t="shared" si="120"/>
        <v>892</v>
      </c>
      <c r="E337" s="338" t="s">
        <v>893</v>
      </c>
      <c r="F337" s="340" t="s">
        <v>662</v>
      </c>
      <c r="G337" s="341" t="s">
        <v>257</v>
      </c>
      <c r="H337" s="338"/>
      <c r="I337" s="654">
        <f>I326*I330</f>
        <v>10950.872449999999</v>
      </c>
      <c r="J337" s="654">
        <f t="shared" ref="J337:O337" si="125">J326*J330</f>
        <v>13364.4259</v>
      </c>
      <c r="K337" s="654">
        <f t="shared" si="125"/>
        <v>6473.5062000000007</v>
      </c>
      <c r="L337" s="654">
        <f t="shared" si="125"/>
        <v>12065.81292</v>
      </c>
      <c r="M337" s="654">
        <f t="shared" si="125"/>
        <v>10051.720559999998</v>
      </c>
      <c r="N337" s="654">
        <f t="shared" si="125"/>
        <v>11336.42412</v>
      </c>
      <c r="O337" s="654">
        <f t="shared" si="125"/>
        <v>10899.741179999999</v>
      </c>
      <c r="P337" s="574">
        <f t="shared" si="122"/>
        <v>64191.630879999997</v>
      </c>
      <c r="U337" s="349"/>
    </row>
    <row r="338" spans="2:21" x14ac:dyDescent="0.2">
      <c r="B338" s="338"/>
      <c r="C338" s="340" t="s">
        <v>96</v>
      </c>
      <c r="D338" s="340" t="str">
        <f>MID(C338,6,3)</f>
        <v>892</v>
      </c>
      <c r="E338" s="338" t="s">
        <v>893</v>
      </c>
      <c r="F338" s="340" t="s">
        <v>662</v>
      </c>
      <c r="G338" s="341" t="s">
        <v>943</v>
      </c>
      <c r="H338" s="325" t="s">
        <v>729</v>
      </c>
      <c r="I338" s="655">
        <f>SUMIFS('Data FT-TS-Cashout-P'!$Q$14:$Q$4704,'Data FT-TS-Cashout-P'!$A$14:$A$4704,'Mar16-Aug16 FT-TS-Cashout-LG&amp;E'!I$4,'Data FT-TS-Cashout-P'!$B$14:$B$4704,'Mar16-Aug16 FT-TS-Cashout-LG&amp;E'!$C$338,'Data FT-TS-Cashout-P'!$D$14:$D$4704,'Mar16-Aug16 FT-TS-Cashout-LG&amp;E'!$F$338,'Data FT-TS-Cashout-P'!$E$14:$E$4704,'Mar16-Aug16 FT-TS-Cashout-LG&amp;E'!$H$338,'Data FT-TS-Cashout-P'!$F$14:$F$4704,'Mar16-Aug16 FT-TS-Cashout-LG&amp;E'!I$6)</f>
        <v>-2296.21</v>
      </c>
      <c r="J338" s="655">
        <f>SUMIFS('Data FT-TS-Cashout-P'!$Q$14:$Q$4704,'Data FT-TS-Cashout-P'!$A$14:$A$4704,'Mar16-Aug16 FT-TS-Cashout-LG&amp;E'!J$4,'Data FT-TS-Cashout-P'!$B$14:$B$4704,'Mar16-Aug16 FT-TS-Cashout-LG&amp;E'!$C$338,'Data FT-TS-Cashout-P'!$D$14:$D$4704,'Mar16-Aug16 FT-TS-Cashout-LG&amp;E'!$F$338,'Data FT-TS-Cashout-P'!$E$14:$E$4704,'Mar16-Aug16 FT-TS-Cashout-LG&amp;E'!$H$338,'Data FT-TS-Cashout-P'!$F$14:$F$4704,'Mar16-Aug16 FT-TS-Cashout-LG&amp;E'!J$6)</f>
        <v>-2802.3</v>
      </c>
      <c r="K338" s="655">
        <f>SUMIFS('Data FT-TS-Cashout-P'!$Q$14:$Q$4704,'Data FT-TS-Cashout-P'!$A$14:$A$4704,'Mar16-Aug16 FT-TS-Cashout-LG&amp;E'!K$4,'Data FT-TS-Cashout-P'!$B$14:$B$4704,'Mar16-Aug16 FT-TS-Cashout-LG&amp;E'!$C$338,'Data FT-TS-Cashout-P'!$D$14:$D$4704,'Mar16-Aug16 FT-TS-Cashout-LG&amp;E'!$F$338,'Data FT-TS-Cashout-P'!$E$14:$E$4704,'Mar16-Aug16 FT-TS-Cashout-LG&amp;E'!$H$338,'Data FT-TS-Cashout-P'!$F$14:$F$4704,'Mar16-Aug16 FT-TS-Cashout-LG&amp;E'!K$6)</f>
        <v>-1357.39</v>
      </c>
      <c r="L338" s="655">
        <f>SUMIFS('Data FT-TS-Cashout-P'!$Q$14:$Q$4704,'Data FT-TS-Cashout-P'!$A$14:$A$4704,'Mar16-Aug16 FT-TS-Cashout-LG&amp;E'!L$4,'Data FT-TS-Cashout-P'!$B$14:$B$4704,'Mar16-Aug16 FT-TS-Cashout-LG&amp;E'!$C$339,'Data FT-TS-Cashout-P'!$D$14:$D$4704,'Mar16-Aug16 FT-TS-Cashout-LG&amp;E'!$F$338,'Data FT-TS-Cashout-P'!$E$14:$E$4704,'Mar16-Aug16 FT-TS-Cashout-LG&amp;E'!$H$338,'Data FT-TS-Cashout-P'!$F$14:$F$4704,'Mar16-Aug16 FT-TS-Cashout-LG&amp;E'!L$7)</f>
        <v>6650.35</v>
      </c>
      <c r="M338" s="655">
        <f>SUMIFS('Data FT-TS-Cashout-P'!$Q$14:$Q$4704,'Data FT-TS-Cashout-P'!$A$14:$A$4704,'Mar16-Aug16 FT-TS-Cashout-LG&amp;E'!M$4,'Data FT-TS-Cashout-P'!$B$14:$B$4704,'Mar16-Aug16 FT-TS-Cashout-LG&amp;E'!$C$339,'Data FT-TS-Cashout-P'!$D$14:$D$4704,'Mar16-Aug16 FT-TS-Cashout-LG&amp;E'!$F$338,'Data FT-TS-Cashout-P'!$E$14:$E$4704,'Mar16-Aug16 FT-TS-Cashout-LG&amp;E'!$H$338,'Data FT-TS-Cashout-P'!$F$14:$F$4704,'Mar16-Aug16 FT-TS-Cashout-LG&amp;E'!M$6)</f>
        <v>5540.23</v>
      </c>
      <c r="N338" s="655">
        <f>SUMIFS('Data FT-TS-Cashout-P'!$Q$14:$Q$4704,'Data FT-TS-Cashout-P'!$A$14:$A$4704,'Mar16-Aug16 FT-TS-Cashout-LG&amp;E'!N$4,'Data FT-TS-Cashout-P'!$B$14:$B$4704,'Mar16-Aug16 FT-TS-Cashout-LG&amp;E'!$C$339,'Data FT-TS-Cashout-P'!$D$14:$D$4704,'Mar16-Aug16 FT-TS-Cashout-LG&amp;E'!$F$338,'Data FT-TS-Cashout-P'!$E$14:$E$4704,'Mar16-Aug16 FT-TS-Cashout-LG&amp;E'!$H$338,'Data FT-TS-Cashout-P'!$F$14:$F$4704,'Mar16-Aug16 FT-TS-Cashout-LG&amp;E'!N$6)</f>
        <v>6248.33</v>
      </c>
      <c r="O338" s="655">
        <f>SUMIFS('Data FT-TS-Cashout-P'!$Q$14:$Q$4704,'Data FT-TS-Cashout-P'!$A$14:$A$4704,'Mar16-Aug16 FT-TS-Cashout-LG&amp;E'!O$4,'Data FT-TS-Cashout-P'!$B$14:$B$4704,'Mar16-Aug16 FT-TS-Cashout-LG&amp;E'!$C$339,'Data FT-TS-Cashout-P'!$D$14:$D$4704,'Mar16-Aug16 FT-TS-Cashout-LG&amp;E'!$F$338,'Data FT-TS-Cashout-P'!$E$14:$E$4704,'Mar16-Aug16 FT-TS-Cashout-LG&amp;E'!$H$338,'Data FT-TS-Cashout-P'!$F$14:$F$4704,'Mar16-Aug16 FT-TS-Cashout-LG&amp;E'!O$6)</f>
        <v>-1491.23</v>
      </c>
      <c r="P338" s="574">
        <f t="shared" si="122"/>
        <v>12787.99</v>
      </c>
      <c r="U338" s="349"/>
    </row>
    <row r="339" spans="2:21" x14ac:dyDescent="0.2">
      <c r="B339" s="338"/>
      <c r="C339" s="340" t="s">
        <v>1003</v>
      </c>
      <c r="D339" s="340"/>
      <c r="E339" s="338"/>
      <c r="F339" s="340"/>
      <c r="G339" s="341" t="s">
        <v>288</v>
      </c>
      <c r="H339" s="338"/>
      <c r="I339" s="410">
        <f>I335+I336+I337+I338</f>
        <v>18380.352449999998</v>
      </c>
      <c r="J339" s="410">
        <f t="shared" ref="J339:O339" si="126">J335+J336+J337+J338</f>
        <v>22310.125900000003</v>
      </c>
      <c r="K339" s="410">
        <f t="shared" si="126"/>
        <v>11090.236200000001</v>
      </c>
      <c r="L339" s="410">
        <f t="shared" si="126"/>
        <v>29283.842920000003</v>
      </c>
      <c r="M339" s="410">
        <f t="shared" si="126"/>
        <v>24487.430559999997</v>
      </c>
      <c r="N339" s="410">
        <f t="shared" si="126"/>
        <v>27546.864119999998</v>
      </c>
      <c r="O339" s="410">
        <f t="shared" si="126"/>
        <v>19063.061180000001</v>
      </c>
      <c r="P339" s="574">
        <f t="shared" si="122"/>
        <v>133781.56088</v>
      </c>
      <c r="U339" s="349"/>
    </row>
    <row r="340" spans="2:21" x14ac:dyDescent="0.2">
      <c r="B340" s="338"/>
      <c r="C340" s="340"/>
      <c r="D340" s="340"/>
      <c r="E340" s="338"/>
      <c r="F340" s="340"/>
      <c r="G340" s="341"/>
      <c r="H340" s="338"/>
      <c r="I340" s="410"/>
      <c r="J340" s="338"/>
      <c r="K340" s="338"/>
      <c r="L340" s="338"/>
      <c r="M340" s="338"/>
      <c r="N340" s="338"/>
      <c r="O340" s="338"/>
      <c r="P340" s="338"/>
      <c r="U340" s="349"/>
    </row>
    <row r="341" spans="2:21" x14ac:dyDescent="0.2">
      <c r="B341" s="338"/>
      <c r="C341" s="340"/>
      <c r="D341" s="340"/>
      <c r="E341" s="338"/>
      <c r="F341" s="340"/>
      <c r="G341" s="341" t="s">
        <v>963</v>
      </c>
      <c r="H341" s="338"/>
      <c r="I341" s="410">
        <f>I322+I339</f>
        <v>60278.844609999993</v>
      </c>
      <c r="J341" s="410">
        <f t="shared" ref="J341:O341" si="127">J322+J339</f>
        <v>73447.665899999993</v>
      </c>
      <c r="K341" s="410">
        <f t="shared" si="127"/>
        <v>31825.645600000003</v>
      </c>
      <c r="L341" s="410">
        <f t="shared" si="127"/>
        <v>77585.410600000003</v>
      </c>
      <c r="M341" s="410">
        <f t="shared" si="127"/>
        <v>62652.440799999997</v>
      </c>
      <c r="N341" s="410">
        <f t="shared" si="127"/>
        <v>67513.375059999991</v>
      </c>
      <c r="O341" s="410">
        <f t="shared" si="127"/>
        <v>50269.972379999999</v>
      </c>
      <c r="P341" s="574">
        <f t="shared" si="122"/>
        <v>363294.51033999998</v>
      </c>
      <c r="U341" s="349"/>
    </row>
    <row r="342" spans="2:21" x14ac:dyDescent="0.2">
      <c r="B342" s="338"/>
      <c r="C342" s="340"/>
      <c r="D342" s="340"/>
      <c r="E342" s="338"/>
      <c r="F342" s="340"/>
      <c r="G342" s="347"/>
      <c r="H342" s="338"/>
      <c r="I342" s="338"/>
      <c r="J342" s="338"/>
      <c r="K342" s="338"/>
      <c r="L342" s="338"/>
      <c r="M342" s="338"/>
      <c r="N342" s="338"/>
      <c r="O342" s="338"/>
      <c r="P342" s="338"/>
      <c r="U342" s="349"/>
    </row>
    <row r="343" spans="2:21" x14ac:dyDescent="0.2">
      <c r="B343" s="338"/>
      <c r="C343" s="340"/>
      <c r="D343" s="340"/>
      <c r="E343" s="338"/>
      <c r="F343" s="340" t="s">
        <v>950</v>
      </c>
      <c r="G343" s="348" t="s">
        <v>532</v>
      </c>
      <c r="H343" s="338"/>
      <c r="I343" s="416">
        <f>SUMIFS('Bruise Report-Tariff'!$C$5:$C$2994,'Bruise Report-Tariff'!$A$5:$A$2994,'Mar16-Aug16 FT-TS-Cashout-LG&amp;E'!I$4,'Bruise Report-Tariff'!$B$5:$B$2994,'Mar16-Aug16 FT-TS-Cashout-LG&amp;E'!$F$343)</f>
        <v>60278.84</v>
      </c>
      <c r="J343" s="416">
        <f>SUMIFS('Bruise Report-Tariff'!$C$5:$C$2994,'Bruise Report-Tariff'!$A$5:$A$2994,'Mar16-Aug16 FT-TS-Cashout-LG&amp;E'!J$4,'Bruise Report-Tariff'!$B$5:$B$2994,'Mar16-Aug16 FT-TS-Cashout-LG&amp;E'!$F$343)</f>
        <v>73447.66</v>
      </c>
      <c r="K343" s="416">
        <f>SUMIFS('Bruise Report-Tariff'!$C$5:$C$2994,'Bruise Report-Tariff'!$A$5:$A$2994,'Mar16-Aug16 FT-TS-Cashout-LG&amp;E'!K$4,'Bruise Report-Tariff'!$B$5:$B$2994,'Mar16-Aug16 FT-TS-Cashout-LG&amp;E'!$F$343)</f>
        <v>31825.64</v>
      </c>
      <c r="L343" s="416">
        <f>SUMIFS('Bruise Report-Tariff'!$C$5:$C$2994,'Bruise Report-Tariff'!$A$5:$A$2994,'Mar16-Aug16 FT-TS-Cashout-LG&amp;E'!L$4,'Bruise Report-Tariff'!$B$5:$B$2994,'Mar16-Aug16 FT-TS-Cashout-LG&amp;E'!$F$343)</f>
        <v>77585.42</v>
      </c>
      <c r="M343" s="416">
        <f>SUMIFS('Bruise Report-Tariff'!$C$5:$C$2994,'Bruise Report-Tariff'!$A$5:$A$2994,'Mar16-Aug16 FT-TS-Cashout-LG&amp;E'!M$4,'Bruise Report-Tariff'!$B$5:$B$2994,'Mar16-Aug16 FT-TS-Cashout-LG&amp;E'!$F$343)</f>
        <v>62652.44</v>
      </c>
      <c r="N343" s="416">
        <f>SUMIFS('Bruise Report-Tariff'!$C$5:$C$2994,'Bruise Report-Tariff'!$A$5:$A$2994,'Mar16-Aug16 FT-TS-Cashout-LG&amp;E'!N$4,'Bruise Report-Tariff'!$B$5:$B$2994,'Mar16-Aug16 FT-TS-Cashout-LG&amp;E'!$F$343)</f>
        <v>67513.37</v>
      </c>
      <c r="O343" s="416">
        <f>SUMIFS('Bruise Report-Tariff'!$C$5:$C$2994,'Bruise Report-Tariff'!$A$5:$A$2994,'Mar16-Aug16 FT-TS-Cashout-LG&amp;E'!O$4,'Bruise Report-Tariff'!$B$5:$B$2994,'Mar16-Aug16 FT-TS-Cashout-LG&amp;E'!$F$343)</f>
        <v>50269.97</v>
      </c>
      <c r="P343" s="574">
        <f t="shared" si="122"/>
        <v>363294.5</v>
      </c>
      <c r="U343" s="349"/>
    </row>
    <row r="344" spans="2:21" x14ac:dyDescent="0.2">
      <c r="B344" s="338"/>
      <c r="C344" s="340"/>
      <c r="D344" s="340"/>
      <c r="E344" s="338"/>
      <c r="F344" s="340"/>
      <c r="G344" s="338"/>
      <c r="H344" s="338"/>
      <c r="I344" s="338"/>
      <c r="J344" s="338"/>
      <c r="K344" s="338"/>
      <c r="L344" s="338"/>
      <c r="M344" s="338"/>
      <c r="N344" s="338"/>
      <c r="O344" s="338"/>
      <c r="P344" s="338"/>
      <c r="U344" s="349"/>
    </row>
    <row r="345" spans="2:21" x14ac:dyDescent="0.2">
      <c r="B345" s="338"/>
      <c r="C345" s="340"/>
      <c r="D345" s="340"/>
      <c r="E345" s="338"/>
      <c r="F345" s="340"/>
      <c r="G345" s="348" t="s">
        <v>262</v>
      </c>
      <c r="H345" s="338"/>
      <c r="I345" s="410">
        <f t="shared" ref="I345:O345" si="128">I341-I343</f>
        <v>4.6099999963189475E-3</v>
      </c>
      <c r="J345" s="410">
        <f t="shared" si="128"/>
        <v>5.8999999891966581E-3</v>
      </c>
      <c r="K345" s="410">
        <f t="shared" si="128"/>
        <v>5.6000000040512532E-3</v>
      </c>
      <c r="L345" s="410">
        <f t="shared" si="128"/>
        <v>-9.3999999953666702E-3</v>
      </c>
      <c r="M345" s="410">
        <f t="shared" si="128"/>
        <v>7.9999999434221536E-4</v>
      </c>
      <c r="N345" s="410">
        <f t="shared" si="128"/>
        <v>5.0599999958649278E-3</v>
      </c>
      <c r="O345" s="410">
        <f t="shared" si="128"/>
        <v>2.3799999980838038E-3</v>
      </c>
      <c r="P345" s="574">
        <f t="shared" si="122"/>
        <v>1.0339999986172188E-2</v>
      </c>
      <c r="U345" s="349"/>
    </row>
    <row r="346" spans="2:21" x14ac:dyDescent="0.2">
      <c r="B346" s="338"/>
      <c r="C346" s="340"/>
      <c r="D346" s="340"/>
      <c r="E346" s="338"/>
      <c r="F346" s="340"/>
      <c r="G346" s="348"/>
      <c r="H346" s="338"/>
      <c r="I346" s="410"/>
      <c r="J346" s="410"/>
      <c r="K346" s="410"/>
      <c r="L346" s="410"/>
      <c r="M346" s="410"/>
      <c r="N346" s="410"/>
      <c r="O346" s="410"/>
      <c r="P346" s="398"/>
      <c r="U346" s="349"/>
    </row>
    <row r="347" spans="2:21" x14ac:dyDescent="0.2">
      <c r="B347" s="338"/>
      <c r="C347" s="338"/>
      <c r="D347" s="338"/>
      <c r="E347" s="338"/>
      <c r="F347" s="338"/>
      <c r="G347" s="348"/>
      <c r="H347" s="338"/>
      <c r="I347" s="338"/>
      <c r="J347" s="338"/>
      <c r="K347" s="338"/>
      <c r="L347" s="338"/>
      <c r="M347" s="338"/>
      <c r="N347" s="338"/>
      <c r="O347" s="338"/>
      <c r="P347" s="338"/>
      <c r="U347" s="349"/>
    </row>
    <row r="348" spans="2:21" ht="15" x14ac:dyDescent="0.25">
      <c r="B348" s="350" t="s">
        <v>545</v>
      </c>
      <c r="C348" s="351"/>
      <c r="D348" s="351"/>
      <c r="E348" s="351"/>
      <c r="F348" s="351"/>
      <c r="G348" s="351"/>
      <c r="H348" s="323" t="s">
        <v>536</v>
      </c>
      <c r="I348" s="314">
        <f t="shared" ref="I348:O348" si="129">I4</f>
        <v>42430</v>
      </c>
      <c r="J348" s="314">
        <f t="shared" si="129"/>
        <v>42461</v>
      </c>
      <c r="K348" s="314">
        <f t="shared" si="129"/>
        <v>42491</v>
      </c>
      <c r="L348" s="314">
        <f t="shared" si="129"/>
        <v>42522</v>
      </c>
      <c r="M348" s="314">
        <f t="shared" si="129"/>
        <v>42552</v>
      </c>
      <c r="N348" s="314">
        <f t="shared" si="129"/>
        <v>42583</v>
      </c>
      <c r="O348" s="314">
        <f t="shared" si="129"/>
        <v>42614</v>
      </c>
    </row>
    <row r="349" spans="2:21" ht="13.5" customHeight="1" x14ac:dyDescent="0.2">
      <c r="B349" s="351"/>
      <c r="C349" s="351"/>
      <c r="D349" s="351"/>
      <c r="E349" s="351"/>
      <c r="F349" s="351"/>
      <c r="G349" s="351"/>
      <c r="H349" s="323" t="s">
        <v>535</v>
      </c>
      <c r="I349" s="314">
        <f t="shared" ref="I349:O349" si="130">I5</f>
        <v>42401</v>
      </c>
      <c r="J349" s="314">
        <f t="shared" si="130"/>
        <v>42430</v>
      </c>
      <c r="K349" s="314">
        <f t="shared" si="130"/>
        <v>42461</v>
      </c>
      <c r="L349" s="314">
        <f t="shared" si="130"/>
        <v>42491</v>
      </c>
      <c r="M349" s="314">
        <f t="shared" si="130"/>
        <v>42522</v>
      </c>
      <c r="N349" s="314">
        <f t="shared" si="130"/>
        <v>42552</v>
      </c>
      <c r="O349" s="314">
        <f t="shared" si="130"/>
        <v>42583</v>
      </c>
      <c r="P349" s="323" t="s">
        <v>1187</v>
      </c>
    </row>
    <row r="350" spans="2:21" ht="18.75" customHeight="1" x14ac:dyDescent="0.35">
      <c r="B350" s="352" t="s">
        <v>61</v>
      </c>
      <c r="C350" s="352" t="s">
        <v>12</v>
      </c>
      <c r="D350" s="352" t="s">
        <v>167</v>
      </c>
      <c r="E350" s="352" t="s">
        <v>168</v>
      </c>
      <c r="F350" s="352"/>
      <c r="G350" s="352"/>
      <c r="H350" s="325" t="s">
        <v>517</v>
      </c>
      <c r="I350" s="353" t="s">
        <v>750</v>
      </c>
      <c r="J350" s="353" t="s">
        <v>750</v>
      </c>
      <c r="K350" s="353" t="s">
        <v>750</v>
      </c>
      <c r="L350" s="353" t="s">
        <v>750</v>
      </c>
      <c r="M350" s="353" t="s">
        <v>750</v>
      </c>
      <c r="N350" s="353" t="s">
        <v>750</v>
      </c>
      <c r="O350" s="353" t="s">
        <v>750</v>
      </c>
    </row>
    <row r="351" spans="2:21" ht="18" customHeight="1" x14ac:dyDescent="0.35">
      <c r="B351" s="352"/>
      <c r="C351" s="352"/>
      <c r="D351" s="352"/>
      <c r="E351" s="352"/>
      <c r="F351" s="352"/>
      <c r="G351" s="352"/>
      <c r="H351" s="325" t="s">
        <v>517</v>
      </c>
      <c r="I351" s="353" t="s">
        <v>526</v>
      </c>
      <c r="J351" s="353" t="s">
        <v>526</v>
      </c>
      <c r="K351" s="353" t="s">
        <v>526</v>
      </c>
      <c r="L351" s="353" t="s">
        <v>526</v>
      </c>
      <c r="M351" s="353" t="s">
        <v>526</v>
      </c>
      <c r="N351" s="353" t="s">
        <v>526</v>
      </c>
      <c r="O351" s="353" t="s">
        <v>526</v>
      </c>
    </row>
    <row r="352" spans="2:21" x14ac:dyDescent="0.2">
      <c r="B352" s="351"/>
      <c r="C352" s="351"/>
      <c r="D352" s="351"/>
      <c r="E352" s="351"/>
      <c r="F352" s="351"/>
      <c r="G352" s="351"/>
      <c r="H352" s="351"/>
      <c r="I352" s="351"/>
      <c r="J352" s="351"/>
      <c r="K352" s="351"/>
      <c r="L352" s="351"/>
      <c r="M352" s="351"/>
      <c r="N352" s="351"/>
      <c r="O352" s="351"/>
      <c r="P352" s="351"/>
    </row>
    <row r="353" spans="2:16" x14ac:dyDescent="0.2">
      <c r="B353" s="351"/>
      <c r="C353" s="351"/>
      <c r="D353" s="351"/>
      <c r="E353" s="351"/>
      <c r="F353" s="351"/>
      <c r="G353" s="354" t="s">
        <v>711</v>
      </c>
      <c r="H353" s="354"/>
      <c r="I353" s="351"/>
      <c r="J353" s="351"/>
      <c r="K353" s="351"/>
      <c r="L353" s="351"/>
      <c r="M353" s="351"/>
      <c r="N353" s="351"/>
      <c r="O353" s="351"/>
      <c r="P353" s="351"/>
    </row>
    <row r="354" spans="2:16" x14ac:dyDescent="0.2">
      <c r="B354" s="351"/>
      <c r="C354" s="355" t="s">
        <v>50</v>
      </c>
      <c r="D354" s="355" t="str">
        <f t="shared" ref="D354:D361" si="131">MID(C354,6,3)</f>
        <v>895</v>
      </c>
      <c r="E354" s="351" t="str">
        <f>VLOOKUP($C354,'Retail Rates'!$B$45:$R$53,3,FALSE)</f>
        <v>FT-C</v>
      </c>
      <c r="F354" s="355" t="s">
        <v>661</v>
      </c>
      <c r="G354" s="356" t="s">
        <v>269</v>
      </c>
      <c r="H354" s="325" t="s">
        <v>518</v>
      </c>
      <c r="I354" s="448">
        <f>SUMIFS('Data-Cashout'!$J$3:$J$3993,'Data-Cashout'!$A$3:$A$3993,'Mar16-Aug16 FT-TS-Cashout-LG&amp;E'!I$348,'Data-Cashout'!$B$3:$B$3993,'Mar16-Aug16 FT-TS-Cashout-LG&amp;E'!$C$354,'Data-Cashout'!$D$3:$D$3993,'Mar16-Aug16 FT-TS-Cashout-LG&amp;E'!$F$354,'Data-Cashout'!$E3:$E$3993,'Mar16-Aug16 FT-TS-Cashout-LG&amp;E'!$H$354,'Data-Cashout'!$F$3:$F$3993,'Mar16-Aug16 FT-TS-Cashout-LG&amp;E'!I$351)/10</f>
        <v>0</v>
      </c>
      <c r="J354" s="448">
        <f>SUMIFS('Data-Cashout'!$J$3:$J$3993,'Data-Cashout'!$A$3:$A$3993,'Mar16-Aug16 FT-TS-Cashout-LG&amp;E'!J$348,'Data-Cashout'!$B$3:$B$3993,'Mar16-Aug16 FT-TS-Cashout-LG&amp;E'!$C$354,'Data-Cashout'!$D$3:$D$3993,'Mar16-Aug16 FT-TS-Cashout-LG&amp;E'!$F$354,'Data-Cashout'!$E3:$E$3993,'Mar16-Aug16 FT-TS-Cashout-LG&amp;E'!$H$354,'Data-Cashout'!$F$3:$F$3993,'Mar16-Aug16 FT-TS-Cashout-LG&amp;E'!J$351)/10</f>
        <v>0</v>
      </c>
      <c r="K354" s="448">
        <f>SUMIFS('Data-Cashout'!$J$3:$J$3993,'Data-Cashout'!$A$3:$A$3993,'Mar16-Aug16 FT-TS-Cashout-LG&amp;E'!K$348,'Data-Cashout'!$B$3:$B$3993,'Mar16-Aug16 FT-TS-Cashout-LG&amp;E'!$C$354,'Data-Cashout'!$D$3:$D$3993,'Mar16-Aug16 FT-TS-Cashout-LG&amp;E'!$F$354,'Data-Cashout'!$E3:$E$3993,'Mar16-Aug16 FT-TS-Cashout-LG&amp;E'!$H$354,'Data-Cashout'!$F$3:$F$3993,'Mar16-Aug16 FT-TS-Cashout-LG&amp;E'!K$351)/10</f>
        <v>0</v>
      </c>
      <c r="L354" s="448">
        <f>SUMIFS('Data-Cashout'!$J$3:$J$3993,'Data-Cashout'!$A$3:$A$3993,'Mar16-Aug16 FT-TS-Cashout-LG&amp;E'!L$348,'Data-Cashout'!$B$3:$B$3993,'Mar16-Aug16 FT-TS-Cashout-LG&amp;E'!$C$354,'Data-Cashout'!$D$3:$D$3993,'Mar16-Aug16 FT-TS-Cashout-LG&amp;E'!$F$354,'Data-Cashout'!$E3:$E$3993,'Mar16-Aug16 FT-TS-Cashout-LG&amp;E'!$H$354,'Data-Cashout'!$F$3:$F$3993,'Mar16-Aug16 FT-TS-Cashout-LG&amp;E'!L$351)/10</f>
        <v>0</v>
      </c>
      <c r="M354" s="448">
        <f>SUMIFS('Data-Cashout'!$J$3:$J$3993,'Data-Cashout'!$A$3:$A$3993,'Mar16-Aug16 FT-TS-Cashout-LG&amp;E'!M$348,'Data-Cashout'!$B$3:$B$3993,'Mar16-Aug16 FT-TS-Cashout-LG&amp;E'!$C$354,'Data-Cashout'!$D$3:$D$3993,'Mar16-Aug16 FT-TS-Cashout-LG&amp;E'!$F$354,'Data-Cashout'!$E3:$E$3993,'Mar16-Aug16 FT-TS-Cashout-LG&amp;E'!$H$354,'Data-Cashout'!$F$3:$F$3993,'Mar16-Aug16 FT-TS-Cashout-LG&amp;E'!M$351)/10</f>
        <v>0</v>
      </c>
      <c r="N354" s="448">
        <f>SUMIFS('Data-Cashout'!$J$3:$J$3993,'Data-Cashout'!$A$3:$A$3993,'Mar16-Aug16 FT-TS-Cashout-LG&amp;E'!N$348,'Data-Cashout'!$B$3:$B$3993,'Mar16-Aug16 FT-TS-Cashout-LG&amp;E'!$C$354,'Data-Cashout'!$D$3:$D$3993,'Mar16-Aug16 FT-TS-Cashout-LG&amp;E'!$F$354,'Data-Cashout'!$E3:$E$3993,'Mar16-Aug16 FT-TS-Cashout-LG&amp;E'!$H$354,'Data-Cashout'!$F$3:$F$3993,'Mar16-Aug16 FT-TS-Cashout-LG&amp;E'!N$351)/10</f>
        <v>0</v>
      </c>
      <c r="O354" s="448">
        <f>SUMIFS('Data-Cashout'!$J$3:$J$3993,'Data-Cashout'!$A$3:$A$3993,'Mar16-Aug16 FT-TS-Cashout-LG&amp;E'!O$348,'Data-Cashout'!$B$3:$B$3993,'Mar16-Aug16 FT-TS-Cashout-LG&amp;E'!$C$354,'Data-Cashout'!$D$3:$D$3993,'Mar16-Aug16 FT-TS-Cashout-LG&amp;E'!$F$354,'Data-Cashout'!$E3:$E$3993,'Mar16-Aug16 FT-TS-Cashout-LG&amp;E'!$H$354,'Data-Cashout'!$F$3:$F$3993,'Mar16-Aug16 FT-TS-Cashout-LG&amp;E'!O$351)/10</f>
        <v>0</v>
      </c>
      <c r="P354" s="574">
        <f>SUM(J354:O354)</f>
        <v>0</v>
      </c>
    </row>
    <row r="355" spans="2:16" x14ac:dyDescent="0.2">
      <c r="B355" s="351"/>
      <c r="C355" s="355" t="s">
        <v>50</v>
      </c>
      <c r="D355" s="355" t="str">
        <f t="shared" si="131"/>
        <v>895</v>
      </c>
      <c r="E355" s="351" t="str">
        <f>VLOOKUP($C355,'Retail Rates'!$B$45:$R$53,3,FALSE)</f>
        <v>FT-C</v>
      </c>
      <c r="F355" s="355" t="s">
        <v>661</v>
      </c>
      <c r="G355" s="356" t="s">
        <v>271</v>
      </c>
      <c r="H355" s="356"/>
      <c r="I355" s="351">
        <f>VLOOKUP($C355,'Retail Rates'!$B$45:$O$63,7,FALSE)</f>
        <v>0.43020000000000003</v>
      </c>
      <c r="J355" s="351">
        <f>VLOOKUP($C355,'Retail Rates'!$B$45:$O$63,7,FALSE)</f>
        <v>0.43020000000000003</v>
      </c>
      <c r="K355" s="351">
        <f>VLOOKUP($C355,'Retail Rates'!$B$45:$O$63,7,FALSE)</f>
        <v>0.43020000000000003</v>
      </c>
      <c r="L355" s="351">
        <f>VLOOKUP($C355,'Retail Rates'!$B$45:$O$63,7,FALSE)</f>
        <v>0.43020000000000003</v>
      </c>
      <c r="M355" s="351">
        <f>VLOOKUP($C355,'Retail Rates'!$B$45:$O$63,7,FALSE)</f>
        <v>0.43020000000000003</v>
      </c>
      <c r="N355" s="351">
        <f>VLOOKUP($C355,'Retail Rates'!$B$45:$O$63,7,FALSE)</f>
        <v>0.43020000000000003</v>
      </c>
      <c r="O355" s="351">
        <f>VLOOKUP($C355,'Retail Rates'!$B$45:$O$63,7,FALSE)</f>
        <v>0.43020000000000003</v>
      </c>
      <c r="P355" s="351"/>
    </row>
    <row r="356" spans="2:16" x14ac:dyDescent="0.2">
      <c r="B356" s="351"/>
      <c r="C356" s="355" t="s">
        <v>50</v>
      </c>
      <c r="D356" s="355" t="str">
        <f t="shared" si="131"/>
        <v>895</v>
      </c>
      <c r="E356" s="351" t="str">
        <f>VLOOKUP($C356,'Retail Rates'!$B$45:$R$53,3,FALSE)</f>
        <v>FT-C</v>
      </c>
      <c r="F356" s="355" t="s">
        <v>661</v>
      </c>
      <c r="G356" s="356" t="s">
        <v>272</v>
      </c>
      <c r="H356" s="356"/>
      <c r="I356" s="351">
        <f>SUMIF('GSC-DSM-GLT Factors'!$A$11:$A$58,'Mar16-Aug16 FT-TS-Cashout-LG&amp;E'!I$5,'GSC-DSM-GLT Factors'!$G$11:$G$58)</f>
        <v>5.4000000000000003E-3</v>
      </c>
      <c r="J356" s="351">
        <f>SUMIF('GSC-DSM-GLT Factors'!$A$11:$A$58,'Mar16-Aug16 FT-TS-Cashout-LG&amp;E'!J$5,'GSC-DSM-GLT Factors'!$G$11:$G$58)</f>
        <v>5.4000000000000003E-3</v>
      </c>
      <c r="K356" s="351">
        <f>SUMIF('GSC-DSM-GLT Factors'!$A$11:$A$58,'Mar16-Aug16 FT-TS-Cashout-LG&amp;E'!K$5,'GSC-DSM-GLT Factors'!$G$11:$G$58)</f>
        <v>5.7000000000000002E-3</v>
      </c>
      <c r="L356" s="351">
        <f>SUMIF('GSC-DSM-GLT Factors'!$A$11:$A$58,'Mar16-Aug16 FT-TS-Cashout-LG&amp;E'!L$5,'GSC-DSM-GLT Factors'!$G$11:$G$58)</f>
        <v>5.7000000000000002E-3</v>
      </c>
      <c r="M356" s="351">
        <f>SUMIF('GSC-DSM-GLT Factors'!$A$11:$A$58,'Mar16-Aug16 FT-TS-Cashout-LG&amp;E'!M$5,'GSC-DSM-GLT Factors'!$G$11:$G$58)</f>
        <v>5.7000000000000002E-3</v>
      </c>
      <c r="N356" s="351">
        <f>SUMIF('GSC-DSM-GLT Factors'!$A$11:$A$58,'Mar16-Aug16 FT-TS-Cashout-LG&amp;E'!N$5,'GSC-DSM-GLT Factors'!$G$11:$G$58)</f>
        <v>5.7000000000000002E-3</v>
      </c>
      <c r="O356" s="351">
        <f>SUMIF('GSC-DSM-GLT Factors'!$A$11:$A$58,'Mar16-Aug16 FT-TS-Cashout-LG&amp;E'!O$5,'GSC-DSM-GLT Factors'!$G$11:$G$58)</f>
        <v>5.7000000000000002E-3</v>
      </c>
      <c r="P356" s="351"/>
    </row>
    <row r="357" spans="2:16" x14ac:dyDescent="0.2">
      <c r="B357" s="351"/>
      <c r="C357" s="355" t="s">
        <v>50</v>
      </c>
      <c r="D357" s="355" t="str">
        <f t="shared" si="131"/>
        <v>895</v>
      </c>
      <c r="E357" s="351" t="str">
        <f>VLOOKUP($C357,'Retail Rates'!$B$45:$R$53,3,FALSE)</f>
        <v>FT-C</v>
      </c>
      <c r="F357" s="355" t="s">
        <v>661</v>
      </c>
      <c r="G357" s="357"/>
      <c r="H357" s="357"/>
      <c r="I357" s="351"/>
      <c r="J357" s="351"/>
      <c r="K357" s="351"/>
      <c r="L357" s="351"/>
      <c r="M357" s="351"/>
      <c r="N357" s="351"/>
      <c r="O357" s="351"/>
      <c r="P357" s="351"/>
    </row>
    <row r="358" spans="2:16" x14ac:dyDescent="0.2">
      <c r="B358" s="351"/>
      <c r="C358" s="355" t="s">
        <v>50</v>
      </c>
      <c r="D358" s="355" t="str">
        <f t="shared" si="131"/>
        <v>895</v>
      </c>
      <c r="E358" s="351" t="str">
        <f>VLOOKUP($C358,'Retail Rates'!$B$45:$R$53,3,FALSE)</f>
        <v>FT-C</v>
      </c>
      <c r="F358" s="355" t="s">
        <v>661</v>
      </c>
      <c r="G358" s="358" t="s">
        <v>273</v>
      </c>
      <c r="H358" s="358"/>
      <c r="I358" s="351"/>
      <c r="J358" s="351"/>
      <c r="K358" s="351"/>
      <c r="L358" s="351"/>
      <c r="M358" s="351"/>
      <c r="N358" s="351"/>
      <c r="O358" s="351"/>
      <c r="P358" s="351"/>
    </row>
    <row r="359" spans="2:16" x14ac:dyDescent="0.2">
      <c r="B359" s="351"/>
      <c r="C359" s="355" t="s">
        <v>50</v>
      </c>
      <c r="D359" s="355" t="str">
        <f t="shared" si="131"/>
        <v>895</v>
      </c>
      <c r="E359" s="351" t="str">
        <f>VLOOKUP($C359,'Retail Rates'!$B$45:$R$53,3,FALSE)</f>
        <v>FT-C</v>
      </c>
      <c r="F359" s="355" t="s">
        <v>661</v>
      </c>
      <c r="G359" s="356" t="s">
        <v>275</v>
      </c>
      <c r="H359" s="356"/>
      <c r="I359" s="359">
        <f t="shared" ref="I359:O359" si="132">ROUND(I354*I355,2)</f>
        <v>0</v>
      </c>
      <c r="J359" s="359">
        <f t="shared" si="132"/>
        <v>0</v>
      </c>
      <c r="K359" s="359">
        <f t="shared" si="132"/>
        <v>0</v>
      </c>
      <c r="L359" s="359">
        <f t="shared" si="132"/>
        <v>0</v>
      </c>
      <c r="M359" s="359">
        <f t="shared" si="132"/>
        <v>0</v>
      </c>
      <c r="N359" s="359">
        <f t="shared" si="132"/>
        <v>0</v>
      </c>
      <c r="O359" s="359">
        <f t="shared" si="132"/>
        <v>0</v>
      </c>
      <c r="P359" s="574">
        <f t="shared" ref="P359:P366" si="133">SUM(J359:O359)</f>
        <v>0</v>
      </c>
    </row>
    <row r="360" spans="2:16" x14ac:dyDescent="0.2">
      <c r="B360" s="351"/>
      <c r="C360" s="355" t="s">
        <v>50</v>
      </c>
      <c r="D360" s="355" t="str">
        <f t="shared" si="131"/>
        <v>895</v>
      </c>
      <c r="E360" s="351" t="str">
        <f>VLOOKUP($C360,'Retail Rates'!$B$45:$R$53,3,FALSE)</f>
        <v>FT-C</v>
      </c>
      <c r="F360" s="355" t="s">
        <v>661</v>
      </c>
      <c r="G360" s="356" t="s">
        <v>277</v>
      </c>
      <c r="H360" s="356"/>
      <c r="I360" s="359">
        <f t="shared" ref="I360:O360" si="134">ROUND(+I354*I356,2)</f>
        <v>0</v>
      </c>
      <c r="J360" s="359">
        <f t="shared" si="134"/>
        <v>0</v>
      </c>
      <c r="K360" s="359">
        <f t="shared" si="134"/>
        <v>0</v>
      </c>
      <c r="L360" s="359">
        <f t="shared" si="134"/>
        <v>0</v>
      </c>
      <c r="M360" s="359">
        <f t="shared" si="134"/>
        <v>0</v>
      </c>
      <c r="N360" s="359">
        <f t="shared" si="134"/>
        <v>0</v>
      </c>
      <c r="O360" s="359">
        <f t="shared" si="134"/>
        <v>0</v>
      </c>
      <c r="P360" s="574">
        <f t="shared" si="133"/>
        <v>0</v>
      </c>
    </row>
    <row r="361" spans="2:16" x14ac:dyDescent="0.2">
      <c r="B361" s="351"/>
      <c r="C361" s="355" t="s">
        <v>50</v>
      </c>
      <c r="D361" s="355" t="str">
        <f t="shared" si="131"/>
        <v>895</v>
      </c>
      <c r="E361" s="351" t="str">
        <f>VLOOKUP($C361,'Retail Rates'!$B$45:$R$53,3,FALSE)</f>
        <v>FT-C</v>
      </c>
      <c r="F361" s="355" t="s">
        <v>661</v>
      </c>
      <c r="G361" s="356" t="s">
        <v>541</v>
      </c>
      <c r="H361" s="325" t="s">
        <v>525</v>
      </c>
      <c r="I361" s="458">
        <f>SUMIFS('Data-Cashout'!$AB$3:$AB$3993,'Data-Cashout'!$A$3:$A$3993,'Mar16-Aug16 FT-TS-Cashout-LG&amp;E'!I$348,'Data-Cashout'!$B$3:$B$3993,'Mar16-Aug16 FT-TS-Cashout-LG&amp;E'!$C$354,'Data-Cashout'!$D$3:$D$3993,'Mar16-Aug16 FT-TS-Cashout-LG&amp;E'!$F$354,'Data-Cashout'!$E$3:$E$3993,'Mar16-Aug16 FT-TS-Cashout-LG&amp;E'!$H$361,'Data-Cashout'!$F$3:$F$3993,'Mar16-Aug16 FT-TS-Cashout-LG&amp;E'!I$350)</f>
        <v>0</v>
      </c>
      <c r="J361" s="458">
        <f>SUMIFS('Data-Cashout'!$AB$3:$AB$3993,'Data-Cashout'!$A$3:$A$3993,'Mar16-Aug16 FT-TS-Cashout-LG&amp;E'!J$348,'Data-Cashout'!$B$3:$B$3993,'Mar16-Aug16 FT-TS-Cashout-LG&amp;E'!$C$354,'Data-Cashout'!$D$3:$D$3993,'Mar16-Aug16 FT-TS-Cashout-LG&amp;E'!$F$354,'Data-Cashout'!$E$3:$E$3993,'Mar16-Aug16 FT-TS-Cashout-LG&amp;E'!$H$361,'Data-Cashout'!$F$3:$F$3993,'Mar16-Aug16 FT-TS-Cashout-LG&amp;E'!J$350)</f>
        <v>0</v>
      </c>
      <c r="K361" s="458">
        <f>SUMIFS('Data-Cashout'!$AB$3:$AB$3993,'Data-Cashout'!$A$3:$A$3993,'Mar16-Aug16 FT-TS-Cashout-LG&amp;E'!K$348,'Data-Cashout'!$B$3:$B$3993,'Mar16-Aug16 FT-TS-Cashout-LG&amp;E'!$C$354,'Data-Cashout'!$D$3:$D$3993,'Mar16-Aug16 FT-TS-Cashout-LG&amp;E'!$F$354,'Data-Cashout'!$E$3:$E$3993,'Mar16-Aug16 FT-TS-Cashout-LG&amp;E'!$H$361,'Data-Cashout'!$F$3:$F$3993,'Mar16-Aug16 FT-TS-Cashout-LG&amp;E'!K$350)</f>
        <v>0</v>
      </c>
      <c r="L361" s="458">
        <f>SUMIFS('Data-Cashout'!$AB$3:$AB$3993,'Data-Cashout'!$A$3:$A$3993,'Mar16-Aug16 FT-TS-Cashout-LG&amp;E'!L$348,'Data-Cashout'!$B$3:$B$3993,'Mar16-Aug16 FT-TS-Cashout-LG&amp;E'!$C$354,'Data-Cashout'!$D$3:$D$3993,'Mar16-Aug16 FT-TS-Cashout-LG&amp;E'!$F$354,'Data-Cashout'!$E$3:$E$3993,'Mar16-Aug16 FT-TS-Cashout-LG&amp;E'!$H$361,'Data-Cashout'!$F$3:$F$3993,'Mar16-Aug16 FT-TS-Cashout-LG&amp;E'!L$350)</f>
        <v>0</v>
      </c>
      <c r="M361" s="458">
        <f>SUMIFS('Data-Cashout'!$AB$3:$AB$3993,'Data-Cashout'!$A$3:$A$3993,'Mar16-Aug16 FT-TS-Cashout-LG&amp;E'!M$348,'Data-Cashout'!$B$3:$B$3993,'Mar16-Aug16 FT-TS-Cashout-LG&amp;E'!$C$354,'Data-Cashout'!$D$3:$D$3993,'Mar16-Aug16 FT-TS-Cashout-LG&amp;E'!$F$354,'Data-Cashout'!$E$3:$E$3993,'Mar16-Aug16 FT-TS-Cashout-LG&amp;E'!$H$361,'Data-Cashout'!$F$3:$F$3993,'Mar16-Aug16 FT-TS-Cashout-LG&amp;E'!M$350)</f>
        <v>0</v>
      </c>
      <c r="N361" s="458">
        <f>SUMIFS('Data-Cashout'!$AB$3:$AB$3993,'Data-Cashout'!$A$3:$A$3993,'Mar16-Aug16 FT-TS-Cashout-LG&amp;E'!N$348,'Data-Cashout'!$B$3:$B$3993,'Mar16-Aug16 FT-TS-Cashout-LG&amp;E'!$C$354,'Data-Cashout'!$D$3:$D$3993,'Mar16-Aug16 FT-TS-Cashout-LG&amp;E'!$F$354,'Data-Cashout'!$E$3:$E$3993,'Mar16-Aug16 FT-TS-Cashout-LG&amp;E'!$H$361,'Data-Cashout'!$F$3:$F$3993,'Mar16-Aug16 FT-TS-Cashout-LG&amp;E'!N$350)</f>
        <v>0</v>
      </c>
      <c r="O361" s="458">
        <f>SUMIFS('Data-Cashout'!$AB$3:$AB$3993,'Data-Cashout'!$A$3:$A$3993,'Mar16-Aug16 FT-TS-Cashout-LG&amp;E'!O$348,'Data-Cashout'!$B$3:$B$3993,'Mar16-Aug16 FT-TS-Cashout-LG&amp;E'!$C$354,'Data-Cashout'!$D$3:$D$3993,'Mar16-Aug16 FT-TS-Cashout-LG&amp;E'!$F$354,'Data-Cashout'!$E$3:$E$3993,'Mar16-Aug16 FT-TS-Cashout-LG&amp;E'!$H$361,'Data-Cashout'!$F$3:$F$3993,'Mar16-Aug16 FT-TS-Cashout-LG&amp;E'!O$350)</f>
        <v>0</v>
      </c>
      <c r="P361" s="574">
        <f t="shared" si="133"/>
        <v>0</v>
      </c>
    </row>
    <row r="362" spans="2:16" x14ac:dyDescent="0.2">
      <c r="B362" s="351"/>
      <c r="C362" s="355"/>
      <c r="D362" s="355"/>
      <c r="E362" s="351"/>
      <c r="F362" s="355"/>
      <c r="G362" s="356" t="s">
        <v>278</v>
      </c>
      <c r="H362" s="356"/>
      <c r="I362" s="351">
        <f t="shared" ref="I362:O362" si="135">SUM(I359:I361)</f>
        <v>0</v>
      </c>
      <c r="J362" s="351">
        <f t="shared" si="135"/>
        <v>0</v>
      </c>
      <c r="K362" s="351">
        <f t="shared" si="135"/>
        <v>0</v>
      </c>
      <c r="L362" s="351">
        <f t="shared" si="135"/>
        <v>0</v>
      </c>
      <c r="M362" s="351">
        <f t="shared" si="135"/>
        <v>0</v>
      </c>
      <c r="N362" s="351">
        <f t="shared" si="135"/>
        <v>0</v>
      </c>
      <c r="O362" s="351">
        <f t="shared" si="135"/>
        <v>0</v>
      </c>
      <c r="P362" s="574">
        <f t="shared" si="133"/>
        <v>0</v>
      </c>
    </row>
    <row r="363" spans="2:16" x14ac:dyDescent="0.2">
      <c r="B363" s="351"/>
      <c r="C363" s="355"/>
      <c r="D363" s="355"/>
      <c r="E363" s="351"/>
      <c r="F363" s="355"/>
      <c r="G363" s="356"/>
      <c r="H363" s="356"/>
      <c r="I363" s="351"/>
      <c r="J363" s="351"/>
      <c r="K363" s="351"/>
      <c r="L363" s="351"/>
      <c r="M363" s="351"/>
      <c r="N363" s="351"/>
      <c r="O363" s="351"/>
      <c r="P363" s="351"/>
    </row>
    <row r="364" spans="2:16" x14ac:dyDescent="0.2">
      <c r="B364" s="351"/>
      <c r="C364" s="355"/>
      <c r="D364" s="355"/>
      <c r="E364" s="351"/>
      <c r="F364" s="355" t="s">
        <v>506</v>
      </c>
      <c r="G364" s="356" t="s">
        <v>532</v>
      </c>
      <c r="H364" s="356"/>
      <c r="I364" s="351">
        <f>SUMIFS('Bruise Report-Cashouts'!$C$5:$C$76,'Bruise Report-Cashouts'!$A$5:$A$76,'Mar16-Aug16 FT-TS-Cashout-LG&amp;E'!I$348,'Bruise Report-Cashouts'!$B$5:$B$76,'Mar16-Aug16 FT-TS-Cashout-LG&amp;E'!$F$364)</f>
        <v>0</v>
      </c>
      <c r="J364" s="351">
        <f>SUMIFS('Bruise Report-Cashouts'!$C$5:$C$76,'Bruise Report-Cashouts'!$A$5:$A$76,'Mar16-Aug16 FT-TS-Cashout-LG&amp;E'!J$348,'Bruise Report-Cashouts'!$B$5:$B$76,'Mar16-Aug16 FT-TS-Cashout-LG&amp;E'!$F$364)</f>
        <v>0</v>
      </c>
      <c r="K364" s="351">
        <f>SUMIFS('Bruise Report-Cashouts'!$C$5:$C$76,'Bruise Report-Cashouts'!$A$5:$A$76,'Mar16-Aug16 FT-TS-Cashout-LG&amp;E'!K$348,'Bruise Report-Cashouts'!$B$5:$B$76,'Mar16-Aug16 FT-TS-Cashout-LG&amp;E'!$F$364)</f>
        <v>0</v>
      </c>
      <c r="L364" s="351">
        <f>SUMIFS('Bruise Report-Cashouts'!$C$5:$C$76,'Bruise Report-Cashouts'!$A$5:$A$76,'Mar16-Aug16 FT-TS-Cashout-LG&amp;E'!L$348,'Bruise Report-Cashouts'!$B$5:$B$76,'Mar16-Aug16 FT-TS-Cashout-LG&amp;E'!$F$364)</f>
        <v>0</v>
      </c>
      <c r="M364" s="351">
        <f>SUMIFS('Bruise Report-Cashouts'!$C$5:$C$76,'Bruise Report-Cashouts'!$A$5:$A$76,'Mar16-Aug16 FT-TS-Cashout-LG&amp;E'!M$348,'Bruise Report-Cashouts'!$B$5:$B$76,'Mar16-Aug16 FT-TS-Cashout-LG&amp;E'!$F$364)</f>
        <v>0</v>
      </c>
      <c r="N364" s="351">
        <f>SUMIFS('Bruise Report-Cashouts'!$C$5:$C$76,'Bruise Report-Cashouts'!$A$5:$A$76,'Mar16-Aug16 FT-TS-Cashout-LG&amp;E'!N$348,'Bruise Report-Cashouts'!$B$5:$B$76,'Mar16-Aug16 FT-TS-Cashout-LG&amp;E'!$F$364)</f>
        <v>0</v>
      </c>
      <c r="O364" s="351">
        <f>SUMIFS('Bruise Report-Cashouts'!$C$5:$C$76,'Bruise Report-Cashouts'!$A$5:$A$76,'Mar16-Aug16 FT-TS-Cashout-LG&amp;E'!O$348,'Bruise Report-Cashouts'!$B$5:$B$76,'Mar16-Aug16 FT-TS-Cashout-LG&amp;E'!$F$364)</f>
        <v>0</v>
      </c>
      <c r="P364" s="574">
        <f t="shared" si="133"/>
        <v>0</v>
      </c>
    </row>
    <row r="365" spans="2:16" x14ac:dyDescent="0.2">
      <c r="B365" s="351"/>
      <c r="C365" s="355"/>
      <c r="D365" s="355"/>
      <c r="E365" s="351"/>
      <c r="F365" s="355"/>
      <c r="G365" s="356"/>
      <c r="H365" s="356"/>
      <c r="I365" s="359"/>
      <c r="J365" s="359"/>
      <c r="K365" s="359"/>
      <c r="L365" s="359"/>
      <c r="M365" s="359"/>
      <c r="N365" s="359"/>
      <c r="O365" s="359"/>
      <c r="P365" s="351"/>
    </row>
    <row r="366" spans="2:16" x14ac:dyDescent="0.2">
      <c r="B366" s="351"/>
      <c r="C366" s="355"/>
      <c r="D366" s="355"/>
      <c r="E366" s="351"/>
      <c r="F366" s="355"/>
      <c r="G366" s="356" t="s">
        <v>262</v>
      </c>
      <c r="H366" s="356"/>
      <c r="I366" s="351">
        <f t="shared" ref="I366:O366" si="136">+I362-I364</f>
        <v>0</v>
      </c>
      <c r="J366" s="351">
        <f t="shared" si="136"/>
        <v>0</v>
      </c>
      <c r="K366" s="351">
        <f t="shared" si="136"/>
        <v>0</v>
      </c>
      <c r="L366" s="351">
        <f t="shared" si="136"/>
        <v>0</v>
      </c>
      <c r="M366" s="351">
        <f t="shared" si="136"/>
        <v>0</v>
      </c>
      <c r="N366" s="351">
        <f t="shared" si="136"/>
        <v>0</v>
      </c>
      <c r="O366" s="351">
        <f t="shared" si="136"/>
        <v>0</v>
      </c>
      <c r="P366" s="574">
        <f t="shared" si="133"/>
        <v>0</v>
      </c>
    </row>
    <row r="367" spans="2:16" x14ac:dyDescent="0.2">
      <c r="B367" s="351"/>
      <c r="C367" s="351"/>
      <c r="D367" s="351"/>
      <c r="E367" s="351"/>
      <c r="F367" s="351"/>
      <c r="G367" s="356"/>
      <c r="H367" s="356"/>
      <c r="I367" s="351"/>
      <c r="J367" s="351"/>
      <c r="K367" s="351"/>
      <c r="L367" s="351"/>
      <c r="M367" s="351"/>
      <c r="N367" s="351"/>
      <c r="O367" s="351"/>
      <c r="P367" s="351"/>
    </row>
    <row r="368" spans="2:16" x14ac:dyDescent="0.2">
      <c r="B368" s="351"/>
      <c r="C368" s="351"/>
      <c r="D368" s="351"/>
      <c r="E368" s="351"/>
      <c r="F368" s="351"/>
      <c r="G368" s="354" t="s">
        <v>712</v>
      </c>
      <c r="H368" s="457"/>
      <c r="I368" s="351"/>
      <c r="J368" s="351"/>
      <c r="K368" s="351"/>
      <c r="L368" s="351"/>
      <c r="M368" s="351"/>
      <c r="N368" s="351"/>
      <c r="O368" s="351"/>
      <c r="P368" s="351"/>
    </row>
    <row r="369" spans="2:16" x14ac:dyDescent="0.2">
      <c r="B369" s="351"/>
      <c r="C369" s="355" t="s">
        <v>52</v>
      </c>
      <c r="D369" s="355" t="str">
        <f t="shared" ref="D369:D375" si="137">MID(C369,6,3)</f>
        <v>896</v>
      </c>
      <c r="E369" s="351" t="str">
        <f>VLOOKUP($C369,'Retail Rates'!$B$45:$R$53,3,FALSE)</f>
        <v>FT-I</v>
      </c>
      <c r="F369" s="355" t="s">
        <v>663</v>
      </c>
      <c r="G369" s="356" t="s">
        <v>269</v>
      </c>
      <c r="H369" s="325" t="s">
        <v>518</v>
      </c>
      <c r="I369" s="411">
        <f>SUMIFS('Data-Cashout'!$J$1:$J$3993,'Data-Cashout'!$A$1:$A$3993,'Mar16-Aug16 FT-TS-Cashout-LG&amp;E'!I$348,'Data-Cashout'!$B$1:$B$3993,'Mar16-Aug16 FT-TS-Cashout-LG&amp;E'!$C$369,'Data-Cashout'!$D$1:$D$3993,'Mar16-Aug16 FT-TS-Cashout-LG&amp;E'!$F$369,'Data-Cashout'!$E$1:$E$3993,'Mar16-Aug16 FT-TS-Cashout-LG&amp;E'!$H$369,'Data-Cashout'!$F$1:$F$3993,'Mar16-Aug16 FT-TS-Cashout-LG&amp;E'!I$351)/10</f>
        <v>1296.8</v>
      </c>
      <c r="J369" s="411">
        <f>SUMIFS('Data-Cashout'!$J$1:$J$3993,'Data-Cashout'!$A$1:$A$3993,'Mar16-Aug16 FT-TS-Cashout-LG&amp;E'!J$348,'Data-Cashout'!$B$1:$B$3993,'Mar16-Aug16 FT-TS-Cashout-LG&amp;E'!$C$369,'Data-Cashout'!$D$1:$D$3993,'Mar16-Aug16 FT-TS-Cashout-LG&amp;E'!$F$369,'Data-Cashout'!$E$1:$E$3993,'Mar16-Aug16 FT-TS-Cashout-LG&amp;E'!$H$369,'Data-Cashout'!$F$1:$F$3993,'Mar16-Aug16 FT-TS-Cashout-LG&amp;E'!J$351)/10</f>
        <v>43.8</v>
      </c>
      <c r="K369" s="411">
        <f>SUMIFS('Data-Cashout'!$J$1:$J$3993,'Data-Cashout'!$A$1:$A$3993,'Mar16-Aug16 FT-TS-Cashout-LG&amp;E'!K$348,'Data-Cashout'!$B$1:$B$3993,'Mar16-Aug16 FT-TS-Cashout-LG&amp;E'!$C$369,'Data-Cashout'!$D$1:$D$3993,'Mar16-Aug16 FT-TS-Cashout-LG&amp;E'!$F$369,'Data-Cashout'!$E$1:$E$3993,'Mar16-Aug16 FT-TS-Cashout-LG&amp;E'!$H$369,'Data-Cashout'!$F$1:$F$3993,'Mar16-Aug16 FT-TS-Cashout-LG&amp;E'!K$351)/10</f>
        <v>637.9</v>
      </c>
      <c r="L369" s="411">
        <f>SUMIFS('Data-Cashout'!$J$1:$J$3993,'Data-Cashout'!$A$1:$A$3993,'Mar16-Aug16 FT-TS-Cashout-LG&amp;E'!L$348,'Data-Cashout'!$B$1:$B$3993,'Mar16-Aug16 FT-TS-Cashout-LG&amp;E'!$C$380,'Data-Cashout'!$D$1:$D$3993,'Mar16-Aug16 FT-TS-Cashout-LG&amp;E'!$F$369,'Data-Cashout'!$E$1:$E$3993,'Mar16-Aug16 FT-TS-Cashout-LG&amp;E'!$H$369,'Data-Cashout'!$F$1:$F$3993,'Mar16-Aug16 FT-TS-Cashout-LG&amp;E'!L$351)/10</f>
        <v>41.9</v>
      </c>
      <c r="M369" s="411">
        <f>SUMIFS('Data-Cashout'!$J$1:$J$3993,'Data-Cashout'!$A$1:$A$3993,'Mar16-Aug16 FT-TS-Cashout-LG&amp;E'!M$348,'Data-Cashout'!$B$1:$B$3993,'Mar16-Aug16 FT-TS-Cashout-LG&amp;E'!$C$380,'Data-Cashout'!$D$1:$D$3993,'Mar16-Aug16 FT-TS-Cashout-LG&amp;E'!$F$369,'Data-Cashout'!$E$1:$E$3993,'Mar16-Aug16 FT-TS-Cashout-LG&amp;E'!$H$369,'Data-Cashout'!$F$1:$F$3993,'Mar16-Aug16 FT-TS-Cashout-LG&amp;E'!M$351)/10</f>
        <v>78.3</v>
      </c>
      <c r="N369" s="411">
        <f>SUMIFS('Data-Cashout'!$J$1:$J$3993,'Data-Cashout'!$A$1:$A$3993,'Mar16-Aug16 FT-TS-Cashout-LG&amp;E'!N$348,'Data-Cashout'!$B$1:$B$3993,'Mar16-Aug16 FT-TS-Cashout-LG&amp;E'!$C$380,'Data-Cashout'!$D$1:$D$3993,'Mar16-Aug16 FT-TS-Cashout-LG&amp;E'!$F$369,'Data-Cashout'!$E$1:$E$3993,'Mar16-Aug16 FT-TS-Cashout-LG&amp;E'!$H$369,'Data-Cashout'!$F$1:$F$3993,'Mar16-Aug16 FT-TS-Cashout-LG&amp;E'!N$351)/10</f>
        <v>0</v>
      </c>
      <c r="O369" s="411">
        <f>SUMIFS('Data-Cashout'!$J$1:$J$3993,'Data-Cashout'!$A$1:$A$3993,'Mar16-Aug16 FT-TS-Cashout-LG&amp;E'!O$348,'Data-Cashout'!$B$1:$B$3993,'Mar16-Aug16 FT-TS-Cashout-LG&amp;E'!$C$380,'Data-Cashout'!$D$1:$D$3993,'Mar16-Aug16 FT-TS-Cashout-LG&amp;E'!$F$369,'Data-Cashout'!$E$1:$E$3993,'Mar16-Aug16 FT-TS-Cashout-LG&amp;E'!$H$369,'Data-Cashout'!$F$1:$F$3993,'Mar16-Aug16 FT-TS-Cashout-LG&amp;E'!O$351)/10</f>
        <v>0</v>
      </c>
      <c r="P369" s="574">
        <f>SUM(J369:O369)</f>
        <v>801.89999999999986</v>
      </c>
    </row>
    <row r="370" spans="2:16" x14ac:dyDescent="0.2">
      <c r="B370" s="351"/>
      <c r="C370" s="355" t="s">
        <v>52</v>
      </c>
      <c r="D370" s="355" t="str">
        <f t="shared" si="137"/>
        <v>896</v>
      </c>
      <c r="E370" s="351" t="str">
        <f>VLOOKUP($C370,'Retail Rates'!$B$45:$R$53,3,FALSE)</f>
        <v>FT-I</v>
      </c>
      <c r="F370" s="355" t="s">
        <v>663</v>
      </c>
      <c r="G370" s="356" t="s">
        <v>271</v>
      </c>
      <c r="H370" s="356"/>
      <c r="I370" s="351">
        <f>VLOOKUP($C370,'Retail Rates'!$B$44:$O$53,7,FALSE)</f>
        <v>0.43020000000000003</v>
      </c>
      <c r="J370" s="351">
        <f>VLOOKUP($C370,'Retail Rates'!$B$44:$O$53,7,FALSE)</f>
        <v>0.43020000000000003</v>
      </c>
      <c r="K370" s="351">
        <f>VLOOKUP($C370,'Retail Rates'!$B$44:$O$53,7,FALSE)</f>
        <v>0.43020000000000003</v>
      </c>
      <c r="L370" s="351">
        <f>VLOOKUP($C370,'Retail Rates'!$B$44:$O$53,7,FALSE)</f>
        <v>0.43020000000000003</v>
      </c>
      <c r="M370" s="351">
        <f>VLOOKUP($C370,'Retail Rates'!$B$44:$O$53,7,FALSE)</f>
        <v>0.43020000000000003</v>
      </c>
      <c r="N370" s="351">
        <f>VLOOKUP($C370,'Retail Rates'!$B$44:$O$53,7,FALSE)</f>
        <v>0.43020000000000003</v>
      </c>
      <c r="O370" s="351">
        <f>VLOOKUP($C370,'Retail Rates'!$B$44:$O$53,7,FALSE)</f>
        <v>0.43020000000000003</v>
      </c>
      <c r="P370" s="351"/>
    </row>
    <row r="371" spans="2:16" x14ac:dyDescent="0.2">
      <c r="B371" s="351"/>
      <c r="C371" s="355" t="s">
        <v>52</v>
      </c>
      <c r="D371" s="355" t="str">
        <f t="shared" si="137"/>
        <v>896</v>
      </c>
      <c r="E371" s="351" t="str">
        <f>VLOOKUP($C371,'Retail Rates'!$B$45:$R$53,3,FALSE)</f>
        <v>FT-I</v>
      </c>
      <c r="F371" s="355" t="s">
        <v>663</v>
      </c>
      <c r="G371" s="357"/>
      <c r="H371" s="357"/>
      <c r="I371" s="351"/>
      <c r="J371" s="351"/>
      <c r="K371" s="351"/>
      <c r="L371" s="351"/>
      <c r="M371" s="351"/>
      <c r="N371" s="351"/>
      <c r="O371" s="351"/>
      <c r="P371" s="351"/>
    </row>
    <row r="372" spans="2:16" x14ac:dyDescent="0.2">
      <c r="B372" s="351"/>
      <c r="C372" s="355" t="s">
        <v>52</v>
      </c>
      <c r="D372" s="355" t="str">
        <f t="shared" si="137"/>
        <v>896</v>
      </c>
      <c r="E372" s="351" t="str">
        <f>VLOOKUP($C372,'Retail Rates'!$B$45:$R$53,3,FALSE)</f>
        <v>FT-I</v>
      </c>
      <c r="F372" s="355" t="s">
        <v>663</v>
      </c>
      <c r="G372" s="358" t="s">
        <v>273</v>
      </c>
      <c r="H372" s="358"/>
      <c r="I372" s="351"/>
      <c r="J372" s="351"/>
      <c r="K372" s="351"/>
      <c r="L372" s="351"/>
      <c r="M372" s="351"/>
      <c r="N372" s="351"/>
      <c r="O372" s="351"/>
      <c r="P372" s="351"/>
    </row>
    <row r="373" spans="2:16" x14ac:dyDescent="0.2">
      <c r="B373" s="351"/>
      <c r="C373" s="355" t="s">
        <v>52</v>
      </c>
      <c r="D373" s="355" t="str">
        <f t="shared" si="137"/>
        <v>896</v>
      </c>
      <c r="E373" s="351" t="str">
        <f>VLOOKUP($C373,'Retail Rates'!$B$45:$R$53,3,FALSE)</f>
        <v>FT-I</v>
      </c>
      <c r="F373" s="355" t="s">
        <v>663</v>
      </c>
      <c r="G373" s="360" t="s">
        <v>275</v>
      </c>
      <c r="H373" s="360"/>
      <c r="I373" s="359">
        <f t="shared" ref="I373:O373" si="138">ROUND(I369*I370,2)</f>
        <v>557.88</v>
      </c>
      <c r="J373" s="359">
        <f t="shared" si="138"/>
        <v>18.84</v>
      </c>
      <c r="K373" s="359">
        <f t="shared" si="138"/>
        <v>274.42</v>
      </c>
      <c r="L373" s="359">
        <f t="shared" si="138"/>
        <v>18.03</v>
      </c>
      <c r="M373" s="359">
        <f t="shared" si="138"/>
        <v>33.68</v>
      </c>
      <c r="N373" s="359">
        <f t="shared" si="138"/>
        <v>0</v>
      </c>
      <c r="O373" s="359">
        <f t="shared" si="138"/>
        <v>0</v>
      </c>
      <c r="P373" s="574">
        <f>SUM(J373:O373)</f>
        <v>344.96999999999997</v>
      </c>
    </row>
    <row r="374" spans="2:16" x14ac:dyDescent="0.2">
      <c r="B374" s="351"/>
      <c r="C374" s="355" t="s">
        <v>52</v>
      </c>
      <c r="D374" s="355" t="str">
        <f t="shared" si="137"/>
        <v>896</v>
      </c>
      <c r="E374" s="351" t="str">
        <f>VLOOKUP($C374,'Retail Rates'!$B$45:$R$53,3,FALSE)</f>
        <v>FT-I</v>
      </c>
      <c r="F374" s="355" t="s">
        <v>663</v>
      </c>
      <c r="G374" s="356" t="s">
        <v>541</v>
      </c>
      <c r="H374" s="325" t="s">
        <v>525</v>
      </c>
      <c r="I374" s="395">
        <f>SUMIFS('Data-Cashout'!$AB$1:$AB$3993,'Data-Cashout'!$A$1:$A$3993,'Mar16-Aug16 FT-TS-Cashout-LG&amp;E'!I$348,'Data-Cashout'!$B$1:$B$3993,'Mar16-Aug16 FT-TS-Cashout-LG&amp;E'!$C$374,'Data-Cashout'!$D$1:$D$3993,'Mar16-Aug16 FT-TS-Cashout-LG&amp;E'!$F$374,'Data-Cashout'!$E$1:$E$3993,'Mar16-Aug16 FT-TS-Cashout-LG&amp;E'!$H$374,'Data-Cashout'!$F$1:$F$3993,'Mar16-Aug16 FT-TS-Cashout-LG&amp;E'!I$350)</f>
        <v>3068.62</v>
      </c>
      <c r="J374" s="395">
        <f>SUMIFS('Data-Cashout'!$AB$1:$AB$3993,'Data-Cashout'!$A$1:$A$3993,'Mar16-Aug16 FT-TS-Cashout-LG&amp;E'!J$348,'Data-Cashout'!$B$1:$B$3993,'Mar16-Aug16 FT-TS-Cashout-LG&amp;E'!$C$374,'Data-Cashout'!$D$1:$D$3993,'Mar16-Aug16 FT-TS-Cashout-LG&amp;E'!$F$374,'Data-Cashout'!$E$1:$E$3993,'Mar16-Aug16 FT-TS-Cashout-LG&amp;E'!$H$374,'Data-Cashout'!$F$1:$F$3993,'Mar16-Aug16 FT-TS-Cashout-LG&amp;E'!J$350)</f>
        <v>84.32</v>
      </c>
      <c r="K374" s="395">
        <f>SUMIFS('Data-Cashout'!$AB$1:$AB$3993,'Data-Cashout'!$A$1:$A$3993,'Mar16-Aug16 FT-TS-Cashout-LG&amp;E'!K$348,'Data-Cashout'!$B$1:$B$3993,'Mar16-Aug16 FT-TS-Cashout-LG&amp;E'!$C$374,'Data-Cashout'!$D$1:$D$3993,'Mar16-Aug16 FT-TS-Cashout-LG&amp;E'!$F$374,'Data-Cashout'!$E$1:$E$3993,'Mar16-Aug16 FT-TS-Cashout-LG&amp;E'!$H$374,'Data-Cashout'!$F$1:$F$3993,'Mar16-Aug16 FT-TS-Cashout-LG&amp;E'!K$350)</f>
        <v>1296.72</v>
      </c>
      <c r="L374" s="395">
        <f>SUMIFS('Data-Cashout'!$AB$1:$AB$3993,'Data-Cashout'!$A$1:$A$3993,'Mar16-Aug16 FT-TS-Cashout-LG&amp;E'!L$348,'Data-Cashout'!$B$1:$B$3993,'Mar16-Aug16 FT-TS-Cashout-LG&amp;E'!$C$380,'Data-Cashout'!$D$1:$D$3993,'Mar16-Aug16 FT-TS-Cashout-LG&amp;E'!$F$374,'Data-Cashout'!$E$1:$E$3993,'Mar16-Aug16 FT-TS-Cashout-LG&amp;E'!$H$374,'Data-Cashout'!$F$1:$F$3993,'Mar16-Aug16 FT-TS-Cashout-LG&amp;E'!L$350)</f>
        <v>87.76</v>
      </c>
      <c r="M374" s="395">
        <f>SUMIFS('Data-Cashout'!$AB$1:$AB$3993,'Data-Cashout'!$A$1:$A$3993,'Mar16-Aug16 FT-TS-Cashout-LG&amp;E'!M$348,'Data-Cashout'!$B$1:$B$3993,'Mar16-Aug16 FT-TS-Cashout-LG&amp;E'!$C$380,'Data-Cashout'!$D$1:$D$3993,'Mar16-Aug16 FT-TS-Cashout-LG&amp;E'!$F$374,'Data-Cashout'!$E$1:$E$3993,'Mar16-Aug16 FT-TS-Cashout-LG&amp;E'!$H$374,'Data-Cashout'!$F$1:$F$3993,'Mar16-Aug16 FT-TS-Cashout-LG&amp;E'!M$350)</f>
        <v>232.29</v>
      </c>
      <c r="N374" s="395">
        <f>SUMIFS('Data-Cashout'!$AB$1:$AB$3993,'Data-Cashout'!$A$1:$A$3993,'Mar16-Aug16 FT-TS-Cashout-LG&amp;E'!N$348,'Data-Cashout'!$B$1:$B$3993,'Mar16-Aug16 FT-TS-Cashout-LG&amp;E'!$C$380,'Data-Cashout'!$D$1:$D$3993,'Mar16-Aug16 FT-TS-Cashout-LG&amp;E'!$F$374,'Data-Cashout'!$E$1:$E$3993,'Mar16-Aug16 FT-TS-Cashout-LG&amp;E'!$H$374,'Data-Cashout'!$F$1:$F$3993,'Mar16-Aug16 FT-TS-Cashout-LG&amp;E'!N$350)</f>
        <v>0</v>
      </c>
      <c r="O374" s="395">
        <f>SUMIFS('Data-Cashout'!$AB$1:$AB$3993,'Data-Cashout'!$A$1:$A$3993,'Mar16-Aug16 FT-TS-Cashout-LG&amp;E'!O$348,'Data-Cashout'!$B$1:$B$3993,'Mar16-Aug16 FT-TS-Cashout-LG&amp;E'!$C$380,'Data-Cashout'!$D$1:$D$3993,'Mar16-Aug16 FT-TS-Cashout-LG&amp;E'!$F$374,'Data-Cashout'!$E$1:$E$3993,'Mar16-Aug16 FT-TS-Cashout-LG&amp;E'!$H$374,'Data-Cashout'!$F$1:$F$3993,'Mar16-Aug16 FT-TS-Cashout-LG&amp;E'!O$350)</f>
        <v>0</v>
      </c>
      <c r="P374" s="574">
        <f>SUM(J374:O374)</f>
        <v>1701.09</v>
      </c>
    </row>
    <row r="375" spans="2:16" x14ac:dyDescent="0.2">
      <c r="B375" s="351"/>
      <c r="C375" s="355" t="s">
        <v>52</v>
      </c>
      <c r="D375" s="355" t="str">
        <f t="shared" si="137"/>
        <v>896</v>
      </c>
      <c r="E375" s="351" t="str">
        <f>VLOOKUP($C375,'Retail Rates'!$B$45:$R$53,3,FALSE)</f>
        <v>FT-I</v>
      </c>
      <c r="F375" s="355" t="s">
        <v>663</v>
      </c>
      <c r="G375" s="356" t="s">
        <v>278</v>
      </c>
      <c r="H375" s="356"/>
      <c r="I375" s="351">
        <f t="shared" ref="I375:O375" si="139">SUM(I373:I374)</f>
        <v>3626.5</v>
      </c>
      <c r="J375" s="351">
        <f t="shared" si="139"/>
        <v>103.16</v>
      </c>
      <c r="K375" s="351">
        <f t="shared" si="139"/>
        <v>1571.14</v>
      </c>
      <c r="L375" s="351">
        <f t="shared" si="139"/>
        <v>105.79</v>
      </c>
      <c r="M375" s="351">
        <f t="shared" si="139"/>
        <v>265.96999999999997</v>
      </c>
      <c r="N375" s="351">
        <f t="shared" si="139"/>
        <v>0</v>
      </c>
      <c r="O375" s="351">
        <f t="shared" si="139"/>
        <v>0</v>
      </c>
      <c r="P375" s="574">
        <f>SUM(J375:O375)</f>
        <v>2046.0600000000002</v>
      </c>
    </row>
    <row r="376" spans="2:16" x14ac:dyDescent="0.2">
      <c r="B376" s="351"/>
      <c r="C376" s="355" t="s">
        <v>54</v>
      </c>
      <c r="D376" s="355" t="str">
        <f>MID(C376,6,3)</f>
        <v>896</v>
      </c>
      <c r="E376" s="351" t="str">
        <f>VLOOKUP($C376,'Retail Rates'!$B$45:$R$53,3,FALSE)</f>
        <v>FT-I-PM</v>
      </c>
      <c r="F376" s="355" t="s">
        <v>663</v>
      </c>
      <c r="G376" s="351"/>
      <c r="H376" s="351"/>
      <c r="I376" s="351"/>
      <c r="J376" s="351"/>
      <c r="K376" s="351"/>
      <c r="L376" s="351"/>
      <c r="M376" s="351"/>
      <c r="N376" s="351"/>
      <c r="O376" s="351"/>
      <c r="P376" s="453"/>
    </row>
    <row r="377" spans="2:16" x14ac:dyDescent="0.2">
      <c r="B377" s="351"/>
      <c r="C377" s="355" t="s">
        <v>54</v>
      </c>
      <c r="D377" s="355" t="str">
        <f>MID(C377,6,3)</f>
        <v>896</v>
      </c>
      <c r="E377" s="351" t="str">
        <f>VLOOKUP($C377,'Retail Rates'!$B$45:$R$53,3,FALSE)</f>
        <v>FT-I-PM</v>
      </c>
      <c r="F377" s="355" t="s">
        <v>663</v>
      </c>
      <c r="G377" s="358" t="s">
        <v>273</v>
      </c>
      <c r="H377" s="351"/>
      <c r="I377" s="351"/>
      <c r="J377" s="351"/>
      <c r="K377" s="351"/>
      <c r="L377" s="351"/>
      <c r="M377" s="351"/>
      <c r="N377" s="351"/>
      <c r="O377" s="351"/>
      <c r="P377" s="453"/>
    </row>
    <row r="378" spans="2:16" x14ac:dyDescent="0.2">
      <c r="B378" s="351"/>
      <c r="C378" s="355" t="s">
        <v>54</v>
      </c>
      <c r="D378" s="355" t="str">
        <f>MID(C378,6,3)</f>
        <v>896</v>
      </c>
      <c r="E378" s="351" t="str">
        <f>VLOOKUP($C378,'Retail Rates'!$B$45:$R$53,3,FALSE)</f>
        <v>FT-I-PM</v>
      </c>
      <c r="F378" s="355" t="s">
        <v>663</v>
      </c>
      <c r="G378" s="356"/>
      <c r="H378" s="351"/>
      <c r="I378" s="351"/>
      <c r="J378" s="351"/>
      <c r="K378" s="351"/>
      <c r="L378" s="351"/>
      <c r="M378" s="351"/>
      <c r="N378" s="351"/>
      <c r="O378" s="351"/>
      <c r="P378" s="574">
        <f t="shared" ref="P378:P384" si="140">SUM(J378:O378)</f>
        <v>0</v>
      </c>
    </row>
    <row r="379" spans="2:16" x14ac:dyDescent="0.2">
      <c r="B379" s="351"/>
      <c r="C379" s="355" t="s">
        <v>54</v>
      </c>
      <c r="D379" s="355" t="str">
        <f>MID(C379,6,3)</f>
        <v>896</v>
      </c>
      <c r="E379" s="351" t="str">
        <f>VLOOKUP($C379,'Retail Rates'!$B$45:$R$53,3,FALSE)</f>
        <v>FT-I-PM</v>
      </c>
      <c r="F379" s="355" t="s">
        <v>663</v>
      </c>
      <c r="G379" s="356" t="s">
        <v>541</v>
      </c>
      <c r="H379" s="325" t="s">
        <v>525</v>
      </c>
      <c r="I379" s="395">
        <f>SUMIFS('Data-Cashout'!$AB$1:$AB$3993,'Data-Cashout'!$A$1:$A$3993,'Mar16-Aug16 FT-TS-Cashout-LG&amp;E'!I$348,'Data-Cashout'!$B$1:$B$3993,'Mar16-Aug16 FT-TS-Cashout-LG&amp;E'!$C$379,'Data-Cashout'!$D$1:$D$3993,'Mar16-Aug16 FT-TS-Cashout-LG&amp;E'!$F$379,'Data-Cashout'!$E$1:$E$3993,'Mar16-Aug16 FT-TS-Cashout-LG&amp;E'!$H$379,'Data-Cashout'!$F$1:$F$3993,'Mar16-Aug16 FT-TS-Cashout-LG&amp;E'!I$350)</f>
        <v>0</v>
      </c>
      <c r="J379" s="395">
        <f>SUMIFS('Data-Cashout'!$AB$1:$AB$3993,'Data-Cashout'!$A$1:$A$3993,'Mar16-Aug16 FT-TS-Cashout-LG&amp;E'!J$348,'Data-Cashout'!$B$1:$B$3993,'Mar16-Aug16 FT-TS-Cashout-LG&amp;E'!$C$379,'Data-Cashout'!$D$1:$D$3993,'Mar16-Aug16 FT-TS-Cashout-LG&amp;E'!$F$379,'Data-Cashout'!$E$1:$E$3993,'Mar16-Aug16 FT-TS-Cashout-LG&amp;E'!$H$379,'Data-Cashout'!$F$1:$F$3993,'Mar16-Aug16 FT-TS-Cashout-LG&amp;E'!J$350)</f>
        <v>0</v>
      </c>
      <c r="K379" s="395">
        <f>SUMIFS('Data-Cashout'!$AB$1:$AB$3993,'Data-Cashout'!$A$1:$A$3993,'Mar16-Aug16 FT-TS-Cashout-LG&amp;E'!K$348,'Data-Cashout'!$B$1:$B$3993,'Mar16-Aug16 FT-TS-Cashout-LG&amp;E'!$C$379,'Data-Cashout'!$D$1:$D$3993,'Mar16-Aug16 FT-TS-Cashout-LG&amp;E'!$F$379,'Data-Cashout'!$E$1:$E$3993,'Mar16-Aug16 FT-TS-Cashout-LG&amp;E'!$H$379,'Data-Cashout'!$F$1:$F$3993,'Mar16-Aug16 FT-TS-Cashout-LG&amp;E'!K$350)</f>
        <v>0</v>
      </c>
      <c r="L379" s="395">
        <f>SUMIFS('Data-Cashout'!$AB$1:$AB$3993,'Data-Cashout'!$A$1:$A$3993,'Mar16-Aug16 FT-TS-Cashout-LG&amp;E'!L$348,'Data-Cashout'!$B$1:$B$3993,'Mar16-Aug16 FT-TS-Cashout-LG&amp;E'!$C$379,'Data-Cashout'!$D$1:$D$3993,'Mar16-Aug16 FT-TS-Cashout-LG&amp;E'!$F$379,'Data-Cashout'!$E$1:$E$3993,'Mar16-Aug16 FT-TS-Cashout-LG&amp;E'!$H$379,'Data-Cashout'!$F$1:$F$3993,'Mar16-Aug16 FT-TS-Cashout-LG&amp;E'!L$350)</f>
        <v>21234.95</v>
      </c>
      <c r="M379" s="395">
        <f>SUMIFS('Data-Cashout'!$AB$1:$AB$3993,'Data-Cashout'!$A$1:$A$3993,'Mar16-Aug16 FT-TS-Cashout-LG&amp;E'!M$348,'Data-Cashout'!$B$1:$B$3993,'Mar16-Aug16 FT-TS-Cashout-LG&amp;E'!$C$379,'Data-Cashout'!$D$1:$D$3993,'Mar16-Aug16 FT-TS-Cashout-LG&amp;E'!$F$379,'Data-Cashout'!$E$1:$E$3993,'Mar16-Aug16 FT-TS-Cashout-LG&amp;E'!$H$379,'Data-Cashout'!$F$1:$F$3993,'Mar16-Aug16 FT-TS-Cashout-LG&amp;E'!M$350)</f>
        <v>18365.27</v>
      </c>
      <c r="N379" s="395">
        <f>SUMIFS('Data-Cashout'!$AB$1:$AB$3993,'Data-Cashout'!$A$1:$A$3993,'Mar16-Aug16 FT-TS-Cashout-LG&amp;E'!N$348,'Data-Cashout'!$B$1:$B$3993,'Mar16-Aug16 FT-TS-Cashout-LG&amp;E'!$C$379,'Data-Cashout'!$D$1:$D$3993,'Mar16-Aug16 FT-TS-Cashout-LG&amp;E'!$F$379,'Data-Cashout'!$E$1:$E$3993,'Mar16-Aug16 FT-TS-Cashout-LG&amp;E'!$H$379,'Data-Cashout'!$F$1:$F$3993,'Mar16-Aug16 FT-TS-Cashout-LG&amp;E'!N$350)</f>
        <v>1340.98</v>
      </c>
      <c r="O379" s="395">
        <f>SUMIFS('Data-Cashout'!$AB$1:$AB$3993,'Data-Cashout'!$A$1:$A$3993,'Mar16-Aug16 FT-TS-Cashout-LG&amp;E'!O$348,'Data-Cashout'!$B$1:$B$3993,'Mar16-Aug16 FT-TS-Cashout-LG&amp;E'!$C$379,'Data-Cashout'!$D$1:$D$3993,'Mar16-Aug16 FT-TS-Cashout-LG&amp;E'!$F$379,'Data-Cashout'!$E$1:$E$3993,'Mar16-Aug16 FT-TS-Cashout-LG&amp;E'!$H$379,'Data-Cashout'!$F$1:$F$3993,'Mar16-Aug16 FT-TS-Cashout-LG&amp;E'!O$350)</f>
        <v>2619.66</v>
      </c>
      <c r="P379" s="574">
        <f t="shared" si="140"/>
        <v>43560.86</v>
      </c>
    </row>
    <row r="380" spans="2:16" x14ac:dyDescent="0.2">
      <c r="B380" s="351"/>
      <c r="C380" s="355" t="s">
        <v>933</v>
      </c>
      <c r="D380" s="355"/>
      <c r="E380" s="351"/>
      <c r="F380" s="355"/>
      <c r="G380" s="356" t="s">
        <v>278</v>
      </c>
      <c r="H380" s="351"/>
      <c r="I380" s="453">
        <f t="shared" ref="I380:O380" si="141">SUM(I375:I379)</f>
        <v>3626.5</v>
      </c>
      <c r="J380" s="453">
        <f t="shared" si="141"/>
        <v>103.16</v>
      </c>
      <c r="K380" s="453">
        <f t="shared" si="141"/>
        <v>1571.14</v>
      </c>
      <c r="L380" s="453">
        <f t="shared" si="141"/>
        <v>21340.74</v>
      </c>
      <c r="M380" s="453">
        <f t="shared" si="141"/>
        <v>18631.240000000002</v>
      </c>
      <c r="N380" s="453">
        <f t="shared" si="141"/>
        <v>1340.98</v>
      </c>
      <c r="O380" s="453">
        <f t="shared" si="141"/>
        <v>2619.66</v>
      </c>
      <c r="P380" s="574">
        <f t="shared" si="140"/>
        <v>45606.92</v>
      </c>
    </row>
    <row r="381" spans="2:16" x14ac:dyDescent="0.2">
      <c r="B381" s="351"/>
      <c r="C381" s="355"/>
      <c r="D381" s="355"/>
      <c r="E381" s="351"/>
      <c r="F381" s="355"/>
      <c r="G381" s="356"/>
      <c r="H381" s="351"/>
      <c r="I381" s="351"/>
      <c r="J381" s="351"/>
      <c r="K381" s="351"/>
      <c r="L381" s="351"/>
      <c r="M381" s="351"/>
      <c r="N381" s="351"/>
      <c r="O381" s="351"/>
      <c r="P381" s="453"/>
    </row>
    <row r="382" spans="2:16" x14ac:dyDescent="0.2">
      <c r="B382" s="351"/>
      <c r="C382" s="355"/>
      <c r="D382" s="355"/>
      <c r="E382" s="351"/>
      <c r="F382" s="355" t="s">
        <v>507</v>
      </c>
      <c r="G382" s="356" t="s">
        <v>532</v>
      </c>
      <c r="H382" s="351"/>
      <c r="I382" s="453">
        <f>SUMIFS('Bruise Report-Cashouts'!$C$5:$C$76,'Bruise Report-Cashouts'!$A$5:$A$76,'Mar16-Aug16 FT-TS-Cashout-LG&amp;E'!I$348,'Bruise Report-Cashouts'!$B$5:$B$76,'Mar16-Aug16 FT-TS-Cashout-LG&amp;E'!$F$382)</f>
        <v>3626.5</v>
      </c>
      <c r="J382" s="453">
        <f>SUMIFS('Bruise Report-Cashouts'!$C$5:$C$76,'Bruise Report-Cashouts'!$A$5:$A$76,'Mar16-Aug16 FT-TS-Cashout-LG&amp;E'!J$348,'Bruise Report-Cashouts'!$B$5:$B$76,'Mar16-Aug16 FT-TS-Cashout-LG&amp;E'!$F$382)</f>
        <v>103.16</v>
      </c>
      <c r="K382" s="453">
        <f>SUMIFS('Bruise Report-Cashouts'!$C$5:$C$76,'Bruise Report-Cashouts'!$A$5:$A$76,'Mar16-Aug16 FT-TS-Cashout-LG&amp;E'!K$348,'Bruise Report-Cashouts'!$B$5:$B$76,'Mar16-Aug16 FT-TS-Cashout-LG&amp;E'!$F$382)</f>
        <v>1571.14</v>
      </c>
      <c r="L382" s="453">
        <f>SUMIFS('Bruise Report-Cashouts'!$C$5:$C$76,'Bruise Report-Cashouts'!$A$5:$A$76,'Mar16-Aug16 FT-TS-Cashout-LG&amp;E'!L$348,'Bruise Report-Cashouts'!$B$5:$B$76,'Mar16-Aug16 FT-TS-Cashout-LG&amp;E'!$F$382)</f>
        <v>21340.74</v>
      </c>
      <c r="M382" s="453">
        <f>SUMIFS('Bruise Report-Cashouts'!$C$5:$C$76,'Bruise Report-Cashouts'!$A$5:$A$76,'Mar16-Aug16 FT-TS-Cashout-LG&amp;E'!M$348,'Bruise Report-Cashouts'!$B$5:$B$76,'Mar16-Aug16 FT-TS-Cashout-LG&amp;E'!$F$382)</f>
        <v>18631.25</v>
      </c>
      <c r="N382" s="453">
        <f>SUMIFS('Bruise Report-Cashouts'!$C$5:$C$76,'Bruise Report-Cashouts'!$A$5:$A$76,'Mar16-Aug16 FT-TS-Cashout-LG&amp;E'!N$348,'Bruise Report-Cashouts'!$B$5:$B$76,'Mar16-Aug16 FT-TS-Cashout-LG&amp;E'!$F$382)</f>
        <v>1340.98</v>
      </c>
      <c r="O382" s="453">
        <f>SUMIFS('Bruise Report-Cashouts'!$C$5:$C$76,'Bruise Report-Cashouts'!$A$5:$A$76,'Mar16-Aug16 FT-TS-Cashout-LG&amp;E'!O$348,'Bruise Report-Cashouts'!$B$5:$B$76,'Mar16-Aug16 FT-TS-Cashout-LG&amp;E'!$F$382)</f>
        <v>2619.66</v>
      </c>
      <c r="P382" s="574">
        <f t="shared" si="140"/>
        <v>45606.930000000008</v>
      </c>
    </row>
    <row r="383" spans="2:16" x14ac:dyDescent="0.2">
      <c r="B383" s="351"/>
      <c r="C383" s="355"/>
      <c r="D383" s="355"/>
      <c r="E383" s="351"/>
      <c r="F383" s="355"/>
      <c r="G383" s="356"/>
      <c r="H383" s="351"/>
      <c r="I383" s="351"/>
      <c r="J383" s="351"/>
      <c r="K383" s="351"/>
      <c r="L383" s="351"/>
      <c r="M383" s="351"/>
      <c r="N383" s="351"/>
      <c r="O383" s="351"/>
      <c r="P383" s="453"/>
    </row>
    <row r="384" spans="2:16" x14ac:dyDescent="0.2">
      <c r="B384" s="351"/>
      <c r="C384" s="355"/>
      <c r="D384" s="355"/>
      <c r="E384" s="351"/>
      <c r="F384" s="355"/>
      <c r="G384" s="356" t="s">
        <v>262</v>
      </c>
      <c r="H384" s="351"/>
      <c r="I384" s="453">
        <f t="shared" ref="I384:O384" si="142">+I380-I382</f>
        <v>0</v>
      </c>
      <c r="J384" s="453">
        <f t="shared" si="142"/>
        <v>0</v>
      </c>
      <c r="K384" s="453">
        <f t="shared" si="142"/>
        <v>0</v>
      </c>
      <c r="L384" s="453">
        <f t="shared" si="142"/>
        <v>0</v>
      </c>
      <c r="M384" s="453">
        <f t="shared" si="142"/>
        <v>-9.9999999983992893E-3</v>
      </c>
      <c r="N384" s="453">
        <f t="shared" si="142"/>
        <v>0</v>
      </c>
      <c r="O384" s="453">
        <f t="shared" si="142"/>
        <v>0</v>
      </c>
      <c r="P384" s="574">
        <f t="shared" si="140"/>
        <v>-9.9999999983992893E-3</v>
      </c>
    </row>
    <row r="385" spans="2:16" x14ac:dyDescent="0.2">
      <c r="B385" s="351"/>
      <c r="C385" s="355"/>
      <c r="D385" s="355"/>
      <c r="E385" s="351"/>
      <c r="F385" s="355"/>
      <c r="G385" s="356"/>
      <c r="H385" s="356"/>
      <c r="I385" s="351"/>
      <c r="J385" s="351"/>
      <c r="K385" s="351"/>
      <c r="L385" s="351"/>
      <c r="M385" s="351"/>
      <c r="N385" s="351"/>
      <c r="O385" s="351"/>
      <c r="P385" s="351"/>
    </row>
    <row r="386" spans="2:16" x14ac:dyDescent="0.2">
      <c r="B386" s="351"/>
      <c r="C386" s="351"/>
      <c r="D386" s="351"/>
      <c r="E386" s="351"/>
      <c r="F386" s="351"/>
      <c r="G386" s="351"/>
      <c r="H386" s="351"/>
      <c r="I386" s="351"/>
      <c r="J386" s="351"/>
      <c r="K386" s="351"/>
      <c r="L386" s="351"/>
      <c r="M386" s="351"/>
      <c r="N386" s="351"/>
      <c r="O386" s="351"/>
      <c r="P386" s="351"/>
    </row>
    <row r="387" spans="2:16" x14ac:dyDescent="0.2">
      <c r="B387" s="351"/>
      <c r="C387" s="351"/>
      <c r="D387" s="351"/>
      <c r="E387" s="351"/>
      <c r="F387" s="351"/>
      <c r="G387" s="356"/>
      <c r="H387" s="351"/>
      <c r="I387" s="351"/>
      <c r="J387" s="351"/>
      <c r="K387" s="351"/>
      <c r="L387" s="351"/>
      <c r="M387" s="351"/>
      <c r="N387" s="351"/>
      <c r="O387" s="351"/>
      <c r="P387" s="453"/>
    </row>
    <row r="388" spans="2:16" x14ac:dyDescent="0.2">
      <c r="B388" s="351"/>
      <c r="C388" s="351"/>
      <c r="D388" s="351"/>
      <c r="E388" s="351"/>
      <c r="F388" s="351"/>
      <c r="G388" s="356"/>
      <c r="H388" s="351"/>
      <c r="I388" s="351"/>
      <c r="J388" s="351"/>
      <c r="K388" s="351"/>
      <c r="L388" s="351"/>
      <c r="M388" s="351"/>
      <c r="N388" s="351"/>
      <c r="O388" s="351"/>
      <c r="P388" s="351"/>
    </row>
    <row r="389" spans="2:16" x14ac:dyDescent="0.2">
      <c r="B389" s="351"/>
      <c r="C389" s="351"/>
      <c r="D389" s="351"/>
      <c r="E389" s="351"/>
      <c r="F389" s="351"/>
      <c r="G389" s="665" t="s">
        <v>753</v>
      </c>
      <c r="H389" s="354"/>
      <c r="I389" s="351"/>
      <c r="J389" s="351"/>
      <c r="K389" s="351"/>
      <c r="L389" s="351"/>
      <c r="M389" s="351"/>
      <c r="N389" s="351"/>
      <c r="O389" s="351"/>
      <c r="P389" s="351"/>
    </row>
    <row r="390" spans="2:16" x14ac:dyDescent="0.2">
      <c r="B390" s="351"/>
      <c r="C390" s="355" t="s">
        <v>50</v>
      </c>
      <c r="D390" s="355" t="str">
        <f t="shared" ref="D390:D399" si="143">MID(C390,6,3)</f>
        <v>895</v>
      </c>
      <c r="E390" s="351" t="str">
        <f>VLOOKUP($C390,'Retail Rates'!$B$45:$R$53,3,FALSE)</f>
        <v>FT-C</v>
      </c>
      <c r="F390" s="355" t="s">
        <v>662</v>
      </c>
      <c r="G390" s="356" t="s">
        <v>269</v>
      </c>
      <c r="H390" s="325" t="s">
        <v>518</v>
      </c>
      <c r="I390" s="411">
        <f>SUMIFS('Data-Cashout'!$J$3:$J$3993,'Data-Cashout'!$A$3:$A$3993,'Mar16-Aug16 FT-TS-Cashout-LG&amp;E'!I$348,'Data-Cashout'!$B$3:$B$3993,'Mar16-Aug16 FT-TS-Cashout-LG&amp;E'!$C$390,'Data-Cashout'!$D$3:$D$3993,'Mar16-Aug16 FT-TS-Cashout-LG&amp;E'!$F$390,'Data-Cashout'!$E$3:$E$3993,'Mar16-Aug16 FT-TS-Cashout-LG&amp;E'!$H$390,'Data-Cashout'!$F$3:$F$3993,'Mar16-Aug16 FT-TS-Cashout-LG&amp;E'!I$351)/10</f>
        <v>4.3</v>
      </c>
      <c r="J390" s="411">
        <f>SUMIFS('Data-Cashout'!$J$3:$J$3993,'Data-Cashout'!$A$3:$A$3993,'Mar16-Aug16 FT-TS-Cashout-LG&amp;E'!J$348,'Data-Cashout'!$B$3:$B$3993,'Mar16-Aug16 FT-TS-Cashout-LG&amp;E'!$C$390,'Data-Cashout'!$D$3:$D$3993,'Mar16-Aug16 FT-TS-Cashout-LG&amp;E'!$F$390,'Data-Cashout'!$E$3:$E$3993,'Mar16-Aug16 FT-TS-Cashout-LG&amp;E'!$H$390,'Data-Cashout'!$F$3:$F$3993,'Mar16-Aug16 FT-TS-Cashout-LG&amp;E'!J$351)/10</f>
        <v>0</v>
      </c>
      <c r="K390" s="411">
        <f>SUMIFS('Data-Cashout'!$J$3:$J$3993,'Data-Cashout'!$A$3:$A$3993,'Mar16-Aug16 FT-TS-Cashout-LG&amp;E'!K$348,'Data-Cashout'!$B$3:$B$3993,'Mar16-Aug16 FT-TS-Cashout-LG&amp;E'!$C$390,'Data-Cashout'!$D$3:$D$3993,'Mar16-Aug16 FT-TS-Cashout-LG&amp;E'!$F$390,'Data-Cashout'!$E$3:$E$3993,'Mar16-Aug16 FT-TS-Cashout-LG&amp;E'!$H$390,'Data-Cashout'!$F$3:$F$3993,'Mar16-Aug16 FT-TS-Cashout-LG&amp;E'!K$351)/10</f>
        <v>0</v>
      </c>
      <c r="L390" s="411">
        <f>SUMIFS('Data-Cashout'!$J$3:$J$3993,'Data-Cashout'!$A$3:$A$3993,'Mar16-Aug16 FT-TS-Cashout-LG&amp;E'!L$348,'Data-Cashout'!$B$3:$B$3993,'Mar16-Aug16 FT-TS-Cashout-LG&amp;E'!$C$400,'Data-Cashout'!$D$3:$D$3993,'Mar16-Aug16 FT-TS-Cashout-LG&amp;E'!$F$390,'Data-Cashout'!$E$3:$E$3993,'Mar16-Aug16 FT-TS-Cashout-LG&amp;E'!$H$390,'Data-Cashout'!$F$3:$F$3993,'Mar16-Aug16 FT-TS-Cashout-LG&amp;E'!L$351)/10</f>
        <v>0</v>
      </c>
      <c r="M390" s="411">
        <f>SUMIFS('Data-Cashout'!$J$3:$J$3993,'Data-Cashout'!$A$3:$A$3993,'Mar16-Aug16 FT-TS-Cashout-LG&amp;E'!M$348,'Data-Cashout'!$B$3:$B$3993,'Mar16-Aug16 FT-TS-Cashout-LG&amp;E'!$C$400,'Data-Cashout'!$D$3:$D$3993,'Mar16-Aug16 FT-TS-Cashout-LG&amp;E'!$F$390,'Data-Cashout'!$E$3:$E$3993,'Mar16-Aug16 FT-TS-Cashout-LG&amp;E'!$H$390,'Data-Cashout'!$F$3:$F$3993,'Mar16-Aug16 FT-TS-Cashout-LG&amp;E'!M$351)/10</f>
        <v>0</v>
      </c>
      <c r="N390" s="411">
        <f>SUMIFS('Data-Cashout'!$J$3:$J$3993,'Data-Cashout'!$A$3:$A$3993,'Mar16-Aug16 FT-TS-Cashout-LG&amp;E'!N$348,'Data-Cashout'!$B$3:$B$3993,'Mar16-Aug16 FT-TS-Cashout-LG&amp;E'!$C$390,'Data-Cashout'!$D$3:$D$3993,'Mar16-Aug16 FT-TS-Cashout-LG&amp;E'!$F$390,'Data-Cashout'!$E$3:$E$3993,'Mar16-Aug16 FT-TS-Cashout-LG&amp;E'!$H$390,'Data-Cashout'!$F$3:$F$3993,'Mar16-Aug16 FT-TS-Cashout-LG&amp;E'!N$351)/10</f>
        <v>0</v>
      </c>
      <c r="O390" s="411">
        <f>SUMIFS('Data-Cashout'!$J$3:$J$3993,'Data-Cashout'!$A$3:$A$3993,'Mar16-Aug16 FT-TS-Cashout-LG&amp;E'!O$348,'Data-Cashout'!$B$3:$B$3993,'Mar16-Aug16 FT-TS-Cashout-LG&amp;E'!$C$390,'Data-Cashout'!$D$3:$D$3993,'Mar16-Aug16 FT-TS-Cashout-LG&amp;E'!$F$390,'Data-Cashout'!$E$3:$E$3993,'Mar16-Aug16 FT-TS-Cashout-LG&amp;E'!$H$390,'Data-Cashout'!$F$3:$F$3993,'Mar16-Aug16 FT-TS-Cashout-LG&amp;E'!O$351)/10</f>
        <v>0</v>
      </c>
      <c r="P390" s="574">
        <f>SUM(J390:O390)</f>
        <v>0</v>
      </c>
    </row>
    <row r="391" spans="2:16" x14ac:dyDescent="0.2">
      <c r="B391" s="351"/>
      <c r="C391" s="355" t="s">
        <v>50</v>
      </c>
      <c r="D391" s="355" t="str">
        <f t="shared" si="143"/>
        <v>895</v>
      </c>
      <c r="E391" s="351" t="str">
        <f>VLOOKUP($C391,'Retail Rates'!$B$45:$R$53,3,FALSE)</f>
        <v>FT-C</v>
      </c>
      <c r="F391" s="355" t="s">
        <v>662</v>
      </c>
      <c r="G391" s="356" t="s">
        <v>271</v>
      </c>
      <c r="H391" s="356"/>
      <c r="I391" s="351">
        <f>VLOOKUP($C391,'Retail Rates'!$B$44:$O$53,7,FALSE)</f>
        <v>0.43020000000000003</v>
      </c>
      <c r="J391" s="351">
        <f>VLOOKUP($C391,'Retail Rates'!$B$44:$O$53,7,FALSE)</f>
        <v>0.43020000000000003</v>
      </c>
      <c r="K391" s="351">
        <f>VLOOKUP($C391,'Retail Rates'!$B$44:$O$53,7,FALSE)</f>
        <v>0.43020000000000003</v>
      </c>
      <c r="L391" s="351">
        <f>VLOOKUP($C391,'Retail Rates'!$B$44:$O$53,7,FALSE)</f>
        <v>0.43020000000000003</v>
      </c>
      <c r="M391" s="351">
        <f>VLOOKUP($C391,'Retail Rates'!$B$44:$O$53,7,FALSE)</f>
        <v>0.43020000000000003</v>
      </c>
      <c r="N391" s="351">
        <f>VLOOKUP($C391,'Retail Rates'!$B$44:$O$53,7,FALSE)</f>
        <v>0.43020000000000003</v>
      </c>
      <c r="O391" s="351">
        <f>VLOOKUP($C391,'Retail Rates'!$B$44:$O$53,7,FALSE)</f>
        <v>0.43020000000000003</v>
      </c>
      <c r="P391" s="453"/>
    </row>
    <row r="392" spans="2:16" x14ac:dyDescent="0.2">
      <c r="B392" s="351"/>
      <c r="C392" s="355" t="s">
        <v>50</v>
      </c>
      <c r="D392" s="355" t="str">
        <f t="shared" si="143"/>
        <v>895</v>
      </c>
      <c r="E392" s="351" t="str">
        <f>VLOOKUP($C392,'Retail Rates'!$B$45:$R$53,3,FALSE)</f>
        <v>FT-C</v>
      </c>
      <c r="F392" s="355" t="s">
        <v>662</v>
      </c>
      <c r="G392" s="356" t="s">
        <v>272</v>
      </c>
      <c r="H392" s="356"/>
      <c r="I392" s="351">
        <f>SUMIF('GSC-DSM-GLT Factors'!$A$1:$A$58,'Mar16-Aug16 FT-TS-Cashout-LG&amp;E'!I$5,'GSC-DSM-GLT Factors'!$G$1:$G$58)</f>
        <v>5.4000000000000003E-3</v>
      </c>
      <c r="J392" s="351">
        <f>SUMIF('GSC-DSM-GLT Factors'!$A$1:$A$58,'Mar16-Aug16 FT-TS-Cashout-LG&amp;E'!J$5,'GSC-DSM-GLT Factors'!$G$1:$G$58)</f>
        <v>5.4000000000000003E-3</v>
      </c>
      <c r="K392" s="351">
        <f>SUMIF('GSC-DSM-GLT Factors'!$A$1:$A$58,'Mar16-Aug16 FT-TS-Cashout-LG&amp;E'!K$5,'GSC-DSM-GLT Factors'!$G$1:$G$58)</f>
        <v>5.7000000000000002E-3</v>
      </c>
      <c r="L392" s="351">
        <f>SUMIF('GSC-DSM-GLT Factors'!$A$1:$A$58,'Mar16-Aug16 FT-TS-Cashout-LG&amp;E'!L$5,'GSC-DSM-GLT Factors'!$G$1:$G$58)</f>
        <v>5.7000000000000002E-3</v>
      </c>
      <c r="M392" s="351">
        <f>SUMIF('GSC-DSM-GLT Factors'!$A$1:$A$58,'Mar16-Aug16 FT-TS-Cashout-LG&amp;E'!M$5,'GSC-DSM-GLT Factors'!$G$1:$G$58)</f>
        <v>5.7000000000000002E-3</v>
      </c>
      <c r="N392" s="351">
        <f>SUMIF('GSC-DSM-GLT Factors'!$A$1:$A$58,'Mar16-Aug16 FT-TS-Cashout-LG&amp;E'!N$5,'GSC-DSM-GLT Factors'!$G$1:$G$58)</f>
        <v>5.7000000000000002E-3</v>
      </c>
      <c r="O392" s="351">
        <f>SUMIF('GSC-DSM-GLT Factors'!$A$1:$A$58,'Mar16-Aug16 FT-TS-Cashout-LG&amp;E'!O$5,'GSC-DSM-GLT Factors'!$G$1:$G$58)</f>
        <v>5.7000000000000002E-3</v>
      </c>
      <c r="P392" s="453"/>
    </row>
    <row r="393" spans="2:16" x14ac:dyDescent="0.2">
      <c r="B393" s="351"/>
      <c r="C393" s="355" t="s">
        <v>50</v>
      </c>
      <c r="D393" s="355" t="str">
        <f t="shared" si="143"/>
        <v>895</v>
      </c>
      <c r="E393" s="351" t="str">
        <f>VLOOKUP($C393,'Retail Rates'!$B$45:$R$53,3,FALSE)</f>
        <v>FT-C</v>
      </c>
      <c r="F393" s="355" t="s">
        <v>662</v>
      </c>
      <c r="G393" s="357"/>
      <c r="H393" s="357"/>
      <c r="I393" s="351"/>
      <c r="J393" s="351"/>
      <c r="K393" s="351"/>
      <c r="L393" s="351"/>
      <c r="M393" s="351"/>
      <c r="N393" s="351"/>
      <c r="O393" s="351"/>
      <c r="P393" s="453"/>
    </row>
    <row r="394" spans="2:16" x14ac:dyDescent="0.2">
      <c r="B394" s="351"/>
      <c r="C394" s="355" t="s">
        <v>50</v>
      </c>
      <c r="D394" s="355" t="str">
        <f t="shared" si="143"/>
        <v>895</v>
      </c>
      <c r="E394" s="351" t="str">
        <f>VLOOKUP($C394,'Retail Rates'!$B$45:$R$53,3,FALSE)</f>
        <v>FT-C</v>
      </c>
      <c r="F394" s="355" t="s">
        <v>662</v>
      </c>
      <c r="G394" s="358" t="s">
        <v>273</v>
      </c>
      <c r="H394" s="358"/>
      <c r="I394" s="351"/>
      <c r="J394" s="351"/>
      <c r="K394" s="351"/>
      <c r="L394" s="351"/>
      <c r="M394" s="351"/>
      <c r="N394" s="351"/>
      <c r="O394" s="351"/>
      <c r="P394" s="453"/>
    </row>
    <row r="395" spans="2:16" x14ac:dyDescent="0.2">
      <c r="B395" s="351"/>
      <c r="C395" s="355" t="s">
        <v>50</v>
      </c>
      <c r="D395" s="355" t="str">
        <f t="shared" si="143"/>
        <v>895</v>
      </c>
      <c r="E395" s="351" t="str">
        <f>VLOOKUP($C395,'Retail Rates'!$B$45:$R$53,3,FALSE)</f>
        <v>FT-C</v>
      </c>
      <c r="F395" s="355" t="s">
        <v>662</v>
      </c>
      <c r="G395" s="356" t="s">
        <v>275</v>
      </c>
      <c r="H395" s="356"/>
      <c r="I395" s="454">
        <f t="shared" ref="I395:O395" si="144">ROUND(I390*I391,2)</f>
        <v>1.85</v>
      </c>
      <c r="J395" s="454">
        <f t="shared" si="144"/>
        <v>0</v>
      </c>
      <c r="K395" s="454">
        <f t="shared" si="144"/>
        <v>0</v>
      </c>
      <c r="L395" s="454">
        <f t="shared" si="144"/>
        <v>0</v>
      </c>
      <c r="M395" s="454">
        <f t="shared" si="144"/>
        <v>0</v>
      </c>
      <c r="N395" s="454">
        <f t="shared" si="144"/>
        <v>0</v>
      </c>
      <c r="O395" s="454">
        <f t="shared" si="144"/>
        <v>0</v>
      </c>
      <c r="P395" s="574">
        <f>SUM(J395:O395)</f>
        <v>0</v>
      </c>
    </row>
    <row r="396" spans="2:16" x14ac:dyDescent="0.2">
      <c r="B396" s="351"/>
      <c r="C396" s="355" t="s">
        <v>50</v>
      </c>
      <c r="D396" s="355" t="str">
        <f t="shared" si="143"/>
        <v>895</v>
      </c>
      <c r="E396" s="351" t="str">
        <f>VLOOKUP($C396,'Retail Rates'!$B$45:$R$53,3,FALSE)</f>
        <v>FT-C</v>
      </c>
      <c r="F396" s="355" t="s">
        <v>662</v>
      </c>
      <c r="G396" s="356" t="s">
        <v>277</v>
      </c>
      <c r="H396" s="356"/>
      <c r="I396" s="454">
        <f t="shared" ref="I396:O396" si="145">ROUND(+I390*I392,2)</f>
        <v>0.02</v>
      </c>
      <c r="J396" s="454">
        <f t="shared" si="145"/>
        <v>0</v>
      </c>
      <c r="K396" s="454">
        <f t="shared" si="145"/>
        <v>0</v>
      </c>
      <c r="L396" s="454">
        <f t="shared" si="145"/>
        <v>0</v>
      </c>
      <c r="M396" s="454">
        <f t="shared" si="145"/>
        <v>0</v>
      </c>
      <c r="N396" s="454">
        <f t="shared" si="145"/>
        <v>0</v>
      </c>
      <c r="O396" s="454">
        <f t="shared" si="145"/>
        <v>0</v>
      </c>
      <c r="P396" s="574">
        <f>SUM(J396:O396)</f>
        <v>0</v>
      </c>
    </row>
    <row r="397" spans="2:16" x14ac:dyDescent="0.2">
      <c r="B397" s="351"/>
      <c r="C397" s="355" t="s">
        <v>50</v>
      </c>
      <c r="D397" s="355" t="str">
        <f t="shared" si="143"/>
        <v>895</v>
      </c>
      <c r="E397" s="351" t="str">
        <f>VLOOKUP($C397,'Retail Rates'!$B$45:$R$53,3,FALSE)</f>
        <v>FT-C</v>
      </c>
      <c r="F397" s="355" t="s">
        <v>662</v>
      </c>
      <c r="G397" s="356" t="s">
        <v>541</v>
      </c>
      <c r="H397" s="325" t="s">
        <v>525</v>
      </c>
      <c r="I397" s="395">
        <f>SUMIFS('Data-Cashout'!$AB$3:$AB$3993,'Data-Cashout'!$A$3:$A$3993,'Mar16-Aug16 FT-TS-Cashout-LG&amp;E'!I$348,'Data-Cashout'!$B$3:$B$3993,'Mar16-Aug16 FT-TS-Cashout-LG&amp;E'!$C$397,'Data-Cashout'!$D$3:$D$3993,'Mar16-Aug16 FT-TS-Cashout-LG&amp;E'!$F$397,'Data-Cashout'!$E$3:$E$3993,'Mar16-Aug16 FT-TS-Cashout-LG&amp;E'!$H$397,'Data-Cashout'!$F$3:$F$3993,'Mar16-Aug16 FT-TS-Cashout-LG&amp;E'!I$350)</f>
        <v>10.18</v>
      </c>
      <c r="J397" s="395">
        <f>SUMIFS('Data-Cashout'!$AB$3:$AB$3993,'Data-Cashout'!$A$3:$A$3993,'Mar16-Aug16 FT-TS-Cashout-LG&amp;E'!J$348,'Data-Cashout'!$B$3:$B$3993,'Mar16-Aug16 FT-TS-Cashout-LG&amp;E'!$C$397,'Data-Cashout'!$D$3:$D$3993,'Mar16-Aug16 FT-TS-Cashout-LG&amp;E'!$F$397,'Data-Cashout'!$E$3:$E$3993,'Mar16-Aug16 FT-TS-Cashout-LG&amp;E'!$H$397,'Data-Cashout'!$F$3:$F$3993,'Mar16-Aug16 FT-TS-Cashout-LG&amp;E'!J$350)</f>
        <v>0</v>
      </c>
      <c r="K397" s="395">
        <f>SUMIFS('Data-Cashout'!$AB$3:$AB$3993,'Data-Cashout'!$A$3:$A$3993,'Mar16-Aug16 FT-TS-Cashout-LG&amp;E'!K$348,'Data-Cashout'!$B$3:$B$3993,'Mar16-Aug16 FT-TS-Cashout-LG&amp;E'!$C$397,'Data-Cashout'!$D$3:$D$3993,'Mar16-Aug16 FT-TS-Cashout-LG&amp;E'!$F$397,'Data-Cashout'!$E$3:$E$3993,'Mar16-Aug16 FT-TS-Cashout-LG&amp;E'!$H$397,'Data-Cashout'!$F$3:$F$3993,'Mar16-Aug16 FT-TS-Cashout-LG&amp;E'!K$350)</f>
        <v>0</v>
      </c>
      <c r="L397" s="395">
        <f>SUMIFS('Data-Cashout'!$AB$3:$AB$3993,'Data-Cashout'!$A$3:$A$3993,'Mar16-Aug16 FT-TS-Cashout-LG&amp;E'!L$348,'Data-Cashout'!$B$3:$B$3993,'Mar16-Aug16 FT-TS-Cashout-LG&amp;E'!$C$400,'Data-Cashout'!$D$3:$D$3993,'Mar16-Aug16 FT-TS-Cashout-LG&amp;E'!$F$397,'Data-Cashout'!$E$3:$E$3993,'Mar16-Aug16 FT-TS-Cashout-LG&amp;E'!$H$397,'Data-Cashout'!$F$3:$F$3993,'Mar16-Aug16 FT-TS-Cashout-LG&amp;E'!L$350)</f>
        <v>0</v>
      </c>
      <c r="M397" s="395">
        <f>SUMIFS('Data-Cashout'!$AB$3:$AB$3993,'Data-Cashout'!$A$3:$A$3993,'Mar16-Aug16 FT-TS-Cashout-LG&amp;E'!M$348,'Data-Cashout'!$B$3:$B$3993,'Mar16-Aug16 FT-TS-Cashout-LG&amp;E'!$C$400,'Data-Cashout'!$D$3:$D$3993,'Mar16-Aug16 FT-TS-Cashout-LG&amp;E'!$F$397,'Data-Cashout'!$E$3:$E$3993,'Mar16-Aug16 FT-TS-Cashout-LG&amp;E'!$H$397,'Data-Cashout'!$F$3:$F$3993,'Mar16-Aug16 FT-TS-Cashout-LG&amp;E'!M$350)</f>
        <v>0</v>
      </c>
      <c r="N397" s="395">
        <f>SUMIFS('Data-Cashout'!$AB$3:$AB$3993,'Data-Cashout'!$A$3:$A$3993,'Mar16-Aug16 FT-TS-Cashout-LG&amp;E'!N$348,'Data-Cashout'!$B$3:$B$3993,'Mar16-Aug16 FT-TS-Cashout-LG&amp;E'!$C$397,'Data-Cashout'!$D$3:$D$3993,'Mar16-Aug16 FT-TS-Cashout-LG&amp;E'!$F$397,'Data-Cashout'!$E$3:$E$3993,'Mar16-Aug16 FT-TS-Cashout-LG&amp;E'!$H$397,'Data-Cashout'!$F$3:$F$3993,'Mar16-Aug16 FT-TS-Cashout-LG&amp;E'!N$350)</f>
        <v>0</v>
      </c>
      <c r="O397" s="395">
        <f>SUMIFS('Data-Cashout'!$AB$3:$AB$3993,'Data-Cashout'!$A$3:$A$3993,'Mar16-Aug16 FT-TS-Cashout-LG&amp;E'!O$348,'Data-Cashout'!$B$3:$B$3993,'Mar16-Aug16 FT-TS-Cashout-LG&amp;E'!$C$397,'Data-Cashout'!$D$3:$D$3993,'Mar16-Aug16 FT-TS-Cashout-LG&amp;E'!$F$397,'Data-Cashout'!$E$3:$E$3993,'Mar16-Aug16 FT-TS-Cashout-LG&amp;E'!$H$397,'Data-Cashout'!$F$3:$F$3993,'Mar16-Aug16 FT-TS-Cashout-LG&amp;E'!O$350)</f>
        <v>0</v>
      </c>
      <c r="P397" s="574">
        <f>SUM(J397:O397)</f>
        <v>0</v>
      </c>
    </row>
    <row r="398" spans="2:16" x14ac:dyDescent="0.2">
      <c r="B398" s="351"/>
      <c r="C398" s="355" t="s">
        <v>50</v>
      </c>
      <c r="D398" s="355" t="str">
        <f t="shared" si="143"/>
        <v>895</v>
      </c>
      <c r="E398" s="351" t="str">
        <f>VLOOKUP($C398,'Retail Rates'!$B$45:$R$53,3,FALSE)</f>
        <v>FT-C</v>
      </c>
      <c r="F398" s="355" t="s">
        <v>662</v>
      </c>
      <c r="G398" s="356" t="s">
        <v>278</v>
      </c>
      <c r="H398" s="356"/>
      <c r="I398" s="453">
        <f t="shared" ref="I398:O398" si="146">SUM(I395:I397)</f>
        <v>12.05</v>
      </c>
      <c r="J398" s="453">
        <f t="shared" si="146"/>
        <v>0</v>
      </c>
      <c r="K398" s="453">
        <f t="shared" si="146"/>
        <v>0</v>
      </c>
      <c r="L398" s="453">
        <f t="shared" si="146"/>
        <v>0</v>
      </c>
      <c r="M398" s="453">
        <f t="shared" si="146"/>
        <v>0</v>
      </c>
      <c r="N398" s="453">
        <f t="shared" si="146"/>
        <v>0</v>
      </c>
      <c r="O398" s="453">
        <f t="shared" si="146"/>
        <v>0</v>
      </c>
      <c r="P398" s="574">
        <f>SUM(J398:O398)</f>
        <v>0</v>
      </c>
    </row>
    <row r="399" spans="2:16" x14ac:dyDescent="0.2">
      <c r="B399" s="351"/>
      <c r="C399" s="355" t="s">
        <v>50</v>
      </c>
      <c r="D399" s="355" t="str">
        <f t="shared" si="143"/>
        <v>895</v>
      </c>
      <c r="E399" s="351" t="str">
        <f>VLOOKUP($C399,'Retail Rates'!$B$45:$R$53,3,FALSE)</f>
        <v>FT-C</v>
      </c>
      <c r="F399" s="355" t="s">
        <v>662</v>
      </c>
      <c r="G399" s="356"/>
      <c r="H399" s="356"/>
      <c r="I399" s="453"/>
      <c r="J399" s="453"/>
      <c r="K399" s="453"/>
      <c r="L399" s="453"/>
      <c r="M399" s="453"/>
      <c r="N399" s="453"/>
      <c r="O399" s="453"/>
      <c r="P399" s="453"/>
    </row>
    <row r="400" spans="2:16" x14ac:dyDescent="0.2">
      <c r="B400" s="351"/>
      <c r="C400" s="355" t="s">
        <v>1020</v>
      </c>
      <c r="D400" s="351"/>
      <c r="E400" s="351"/>
      <c r="F400" s="355"/>
      <c r="G400" s="356"/>
      <c r="H400" s="356"/>
      <c r="I400" s="351"/>
      <c r="J400" s="351"/>
      <c r="K400" s="351"/>
      <c r="L400" s="351"/>
      <c r="M400" s="351"/>
      <c r="N400" s="351"/>
      <c r="O400" s="351"/>
      <c r="P400" s="351"/>
    </row>
    <row r="401" spans="2:17" x14ac:dyDescent="0.2">
      <c r="B401" s="351"/>
      <c r="C401" s="351"/>
      <c r="D401" s="351"/>
      <c r="E401" s="351"/>
      <c r="F401" s="355"/>
      <c r="G401" s="354" t="s">
        <v>757</v>
      </c>
      <c r="H401" s="354"/>
      <c r="I401" s="351"/>
      <c r="J401" s="351"/>
      <c r="K401" s="351"/>
      <c r="L401" s="351"/>
      <c r="M401" s="351"/>
      <c r="N401" s="351"/>
      <c r="O401" s="351"/>
      <c r="P401" s="351"/>
    </row>
    <row r="402" spans="2:17" x14ac:dyDescent="0.2">
      <c r="B402" s="351"/>
      <c r="C402" s="355" t="s">
        <v>52</v>
      </c>
      <c r="D402" s="355" t="str">
        <f t="shared" ref="D402:D409" si="147">MID(C402,6,3)</f>
        <v>896</v>
      </c>
      <c r="E402" s="351" t="str">
        <f>VLOOKUP($C402,'Retail Rates'!$B$45:$R$53,3,FALSE)</f>
        <v>FT-I</v>
      </c>
      <c r="F402" s="355" t="s">
        <v>662</v>
      </c>
      <c r="G402" s="356" t="s">
        <v>269</v>
      </c>
      <c r="H402" s="325" t="s">
        <v>518</v>
      </c>
      <c r="I402" s="448">
        <f>SUMIFS('Data-Cashout'!$J$3:$J$3943,'Data-Cashout'!$A$3:$A$3943,'Mar16-Aug16 FT-TS-Cashout-LG&amp;E'!I$348,'Data-Cashout'!$B$3:$B$3943,'Mar16-Aug16 FT-TS-Cashout-LG&amp;E'!$C$402,'Data-Cashout'!$D$3:$D$3943,'Mar16-Aug16 FT-TS-Cashout-LG&amp;E'!$F$402,'Data-Cashout'!$E$3:$E$3943,'Mar16-Aug16 FT-TS-Cashout-LG&amp;E'!$H$402,'Data-Cashout'!$F$3:$F$3943,'Mar16-Aug16 FT-TS-Cashout-LG&amp;E'!I$351)/10</f>
        <v>0</v>
      </c>
      <c r="J402" s="448">
        <f>SUMIFS('Data-Cashout'!$J$3:$J$3943,'Data-Cashout'!$A$3:$A$3943,'Mar16-Aug16 FT-TS-Cashout-LG&amp;E'!J$348,'Data-Cashout'!$B$3:$B$3943,'Mar16-Aug16 FT-TS-Cashout-LG&amp;E'!$C$402,'Data-Cashout'!$D$3:$D$3943,'Mar16-Aug16 FT-TS-Cashout-LG&amp;E'!$F$402,'Data-Cashout'!$E$3:$E$3943,'Mar16-Aug16 FT-TS-Cashout-LG&amp;E'!$H$402,'Data-Cashout'!$F$3:$F$3943,'Mar16-Aug16 FT-TS-Cashout-LG&amp;E'!J$351)/10</f>
        <v>0</v>
      </c>
      <c r="K402" s="448">
        <f>SUMIFS('Data-Cashout'!$J$3:$J$3943,'Data-Cashout'!$A$3:$A$3943,'Mar16-Aug16 FT-TS-Cashout-LG&amp;E'!K$348,'Data-Cashout'!$B$3:$B$3943,'Mar16-Aug16 FT-TS-Cashout-LG&amp;E'!$C$402,'Data-Cashout'!$D$3:$D$3943,'Mar16-Aug16 FT-TS-Cashout-LG&amp;E'!$F$402,'Data-Cashout'!$E$3:$E$3943,'Mar16-Aug16 FT-TS-Cashout-LG&amp;E'!$H$402,'Data-Cashout'!$F$3:$F$3943,'Mar16-Aug16 FT-TS-Cashout-LG&amp;E'!K$351)/10</f>
        <v>0</v>
      </c>
      <c r="L402" s="448">
        <f>SUMIFS('Data-Cashout'!$J$3:$J$3943,'Data-Cashout'!$A$3:$A$3943,'Mar16-Aug16 FT-TS-Cashout-LG&amp;E'!L$348,'Data-Cashout'!$B$3:$B$3943,'Mar16-Aug16 FT-TS-Cashout-LG&amp;E'!$C$410,'Data-Cashout'!$D$3:$D$3943,'Mar16-Aug16 FT-TS-Cashout-LG&amp;E'!$F$402,'Data-Cashout'!$E$3:$E$3943,'Mar16-Aug16 FT-TS-Cashout-LG&amp;E'!$H$402,'Data-Cashout'!$F$3:$F$3943,'Mar16-Aug16 FT-TS-Cashout-LG&amp;E'!L$351)/10</f>
        <v>0</v>
      </c>
      <c r="M402" s="448">
        <f>SUMIFS('Data-Cashout'!$J$3:$J$3943,'Data-Cashout'!$A$3:$A$3943,'Mar16-Aug16 FT-TS-Cashout-LG&amp;E'!M$348,'Data-Cashout'!$B$3:$B$3943,'Mar16-Aug16 FT-TS-Cashout-LG&amp;E'!$C$410,'Data-Cashout'!$D$3:$D$3943,'Mar16-Aug16 FT-TS-Cashout-LG&amp;E'!$F$402,'Data-Cashout'!$E$3:$E$3943,'Mar16-Aug16 FT-TS-Cashout-LG&amp;E'!$H$402,'Data-Cashout'!$F$3:$F$3943,'Mar16-Aug16 FT-TS-Cashout-LG&amp;E'!M$351)/10</f>
        <v>0</v>
      </c>
      <c r="N402" s="448">
        <f>SUMIFS('Data-Cashout'!$J$3:$J$3943,'Data-Cashout'!$A$3:$A$3943,'Mar16-Aug16 FT-TS-Cashout-LG&amp;E'!N$348,'Data-Cashout'!$B$3:$B$3943,'Mar16-Aug16 FT-TS-Cashout-LG&amp;E'!$C$402,'Data-Cashout'!$D$3:$D$3943,'Mar16-Aug16 FT-TS-Cashout-LG&amp;E'!$F$402,'Data-Cashout'!$E$3:$E$3943,'Mar16-Aug16 FT-TS-Cashout-LG&amp;E'!$H$402,'Data-Cashout'!$F$3:$F$3943,'Mar16-Aug16 FT-TS-Cashout-LG&amp;E'!N$351)/10</f>
        <v>0</v>
      </c>
      <c r="O402" s="448">
        <f>SUMIFS('Data-Cashout'!$J$3:$J$3943,'Data-Cashout'!$A$3:$A$3943,'Mar16-Aug16 FT-TS-Cashout-LG&amp;E'!O$348,'Data-Cashout'!$B$3:$B$3943,'Mar16-Aug16 FT-TS-Cashout-LG&amp;E'!$C$402,'Data-Cashout'!$D$3:$D$3943,'Mar16-Aug16 FT-TS-Cashout-LG&amp;E'!$F$402,'Data-Cashout'!$E$3:$E$3943,'Mar16-Aug16 FT-TS-Cashout-LG&amp;E'!$H$402,'Data-Cashout'!$F$3:$F$3943,'Mar16-Aug16 FT-TS-Cashout-LG&amp;E'!O$351)/10</f>
        <v>0</v>
      </c>
      <c r="P402" s="574">
        <f>SUM(J402:O402)</f>
        <v>0</v>
      </c>
    </row>
    <row r="403" spans="2:17" x14ac:dyDescent="0.2">
      <c r="B403" s="351"/>
      <c r="C403" s="355" t="s">
        <v>52</v>
      </c>
      <c r="D403" s="355" t="str">
        <f t="shared" si="147"/>
        <v>896</v>
      </c>
      <c r="E403" s="351" t="str">
        <f>VLOOKUP($C403,'Retail Rates'!$B$45:$R$53,3,FALSE)</f>
        <v>FT-I</v>
      </c>
      <c r="F403" s="355" t="s">
        <v>662</v>
      </c>
      <c r="G403" s="356" t="s">
        <v>271</v>
      </c>
      <c r="H403" s="356"/>
      <c r="I403" s="351">
        <f>VLOOKUP($C403,'Retail Rates'!$B$44:$O$53,7,FALSE)</f>
        <v>0.43020000000000003</v>
      </c>
      <c r="J403" s="351">
        <f>VLOOKUP($C403,'Retail Rates'!$B$44:$O$53,7,FALSE)</f>
        <v>0.43020000000000003</v>
      </c>
      <c r="K403" s="351">
        <f>VLOOKUP($C403,'Retail Rates'!$B$44:$O$53,7,FALSE)</f>
        <v>0.43020000000000003</v>
      </c>
      <c r="L403" s="351">
        <f>VLOOKUP($C403,'Retail Rates'!$B$44:$O$53,7,FALSE)</f>
        <v>0.43020000000000003</v>
      </c>
      <c r="M403" s="351">
        <f>VLOOKUP($C403,'Retail Rates'!$B$44:$O$53,7,FALSE)</f>
        <v>0.43020000000000003</v>
      </c>
      <c r="N403" s="351">
        <f>VLOOKUP($C403,'Retail Rates'!$B$44:$O$53,7,FALSE)</f>
        <v>0.43020000000000003</v>
      </c>
      <c r="O403" s="351">
        <f>VLOOKUP($C403,'Retail Rates'!$B$44:$O$53,7,FALSE)</f>
        <v>0.43020000000000003</v>
      </c>
      <c r="P403" s="453"/>
    </row>
    <row r="404" spans="2:17" x14ac:dyDescent="0.2">
      <c r="B404" s="351"/>
      <c r="C404" s="355" t="s">
        <v>52</v>
      </c>
      <c r="D404" s="355" t="str">
        <f t="shared" si="147"/>
        <v>896</v>
      </c>
      <c r="E404" s="351" t="str">
        <f>VLOOKUP($C404,'Retail Rates'!$B$45:$R$53,3,FALSE)</f>
        <v>FT-I</v>
      </c>
      <c r="F404" s="355" t="s">
        <v>662</v>
      </c>
      <c r="G404" s="357"/>
      <c r="H404" s="357"/>
      <c r="I404" s="351"/>
      <c r="J404" s="351"/>
      <c r="K404" s="351"/>
      <c r="L404" s="351"/>
      <c r="M404" s="351"/>
      <c r="N404" s="351"/>
      <c r="O404" s="351"/>
      <c r="P404" s="453"/>
    </row>
    <row r="405" spans="2:17" x14ac:dyDescent="0.2">
      <c r="B405" s="351"/>
      <c r="C405" s="355" t="s">
        <v>52</v>
      </c>
      <c r="D405" s="355" t="str">
        <f t="shared" si="147"/>
        <v>896</v>
      </c>
      <c r="E405" s="351" t="str">
        <f>VLOOKUP($C405,'Retail Rates'!$B$45:$R$53,3,FALSE)</f>
        <v>FT-I</v>
      </c>
      <c r="F405" s="355" t="s">
        <v>662</v>
      </c>
      <c r="G405" s="358" t="s">
        <v>273</v>
      </c>
      <c r="H405" s="358"/>
      <c r="I405" s="351"/>
      <c r="J405" s="351"/>
      <c r="K405" s="351"/>
      <c r="L405" s="351"/>
      <c r="M405" s="351"/>
      <c r="N405" s="351"/>
      <c r="O405" s="351"/>
      <c r="P405" s="453"/>
    </row>
    <row r="406" spans="2:17" x14ac:dyDescent="0.2">
      <c r="B406" s="351"/>
      <c r="C406" s="355" t="s">
        <v>52</v>
      </c>
      <c r="D406" s="355" t="str">
        <f t="shared" si="147"/>
        <v>896</v>
      </c>
      <c r="E406" s="351" t="str">
        <f>VLOOKUP($C406,'Retail Rates'!$B$45:$R$53,3,FALSE)</f>
        <v>FT-I</v>
      </c>
      <c r="F406" s="355" t="s">
        <v>662</v>
      </c>
      <c r="G406" s="360" t="s">
        <v>275</v>
      </c>
      <c r="H406" s="360"/>
      <c r="I406" s="359">
        <f t="shared" ref="I406:O406" si="148">ROUND(I402*I403,2)</f>
        <v>0</v>
      </c>
      <c r="J406" s="359">
        <f t="shared" si="148"/>
        <v>0</v>
      </c>
      <c r="K406" s="359">
        <f t="shared" si="148"/>
        <v>0</v>
      </c>
      <c r="L406" s="359">
        <f t="shared" si="148"/>
        <v>0</v>
      </c>
      <c r="M406" s="359">
        <f t="shared" si="148"/>
        <v>0</v>
      </c>
      <c r="N406" s="359">
        <f t="shared" si="148"/>
        <v>0</v>
      </c>
      <c r="O406" s="359">
        <f t="shared" si="148"/>
        <v>0</v>
      </c>
      <c r="P406" s="574">
        <f>SUM(J406:O406)</f>
        <v>0</v>
      </c>
    </row>
    <row r="407" spans="2:17" x14ac:dyDescent="0.2">
      <c r="B407" s="351"/>
      <c r="C407" s="355" t="s">
        <v>52</v>
      </c>
      <c r="D407" s="355" t="str">
        <f t="shared" si="147"/>
        <v>896</v>
      </c>
      <c r="E407" s="351" t="str">
        <f>VLOOKUP($C407,'Retail Rates'!$B$45:$R$53,3,FALSE)</f>
        <v>FT-I</v>
      </c>
      <c r="F407" s="355" t="s">
        <v>662</v>
      </c>
      <c r="G407" s="356" t="s">
        <v>541</v>
      </c>
      <c r="H407" s="325" t="s">
        <v>525</v>
      </c>
      <c r="I407" s="448">
        <f>SUMIFS('Data-Cashout'!$AB$1:$AB$3993,'Data-Cashout'!$A$1:$A$3993,'Mar16-Aug16 FT-TS-Cashout-LG&amp;E'!I$348,'Data-Cashout'!$B$1:$B$3993,'Mar16-Aug16 FT-TS-Cashout-LG&amp;E'!$C$407,'Data-Cashout'!$D$1:$D$3993,'Mar16-Aug16 FT-TS-Cashout-LG&amp;E'!$F$407,'Data-Cashout'!$E$1:$E$3993,'Mar16-Aug16 FT-TS-Cashout-LG&amp;E'!$H$407,'Data-Cashout'!$E$1:$E$3993,'Mar16-Aug16 FT-TS-Cashout-LG&amp;E'!I$350)</f>
        <v>0</v>
      </c>
      <c r="J407" s="448">
        <f>SUMIFS('Data-Cashout'!$AB$1:$AB$3993,'Data-Cashout'!$A$1:$A$3993,'Mar16-Aug16 FT-TS-Cashout-LG&amp;E'!J$348,'Data-Cashout'!$B$1:$B$3993,'Mar16-Aug16 FT-TS-Cashout-LG&amp;E'!$C$407,'Data-Cashout'!$D$1:$D$3993,'Mar16-Aug16 FT-TS-Cashout-LG&amp;E'!$F$407,'Data-Cashout'!$E$1:$E$3993,'Mar16-Aug16 FT-TS-Cashout-LG&amp;E'!$H$407,'Data-Cashout'!$E$1:$E$3993,'Mar16-Aug16 FT-TS-Cashout-LG&amp;E'!J$350)</f>
        <v>0</v>
      </c>
      <c r="K407" s="448">
        <f>SUMIFS('Data-Cashout'!$AB$1:$AB$3993,'Data-Cashout'!$A$1:$A$3993,'Mar16-Aug16 FT-TS-Cashout-LG&amp;E'!K$348,'Data-Cashout'!$B$1:$B$3993,'Mar16-Aug16 FT-TS-Cashout-LG&amp;E'!$C$407,'Data-Cashout'!$D$1:$D$3993,'Mar16-Aug16 FT-TS-Cashout-LG&amp;E'!$F$407,'Data-Cashout'!$E$1:$E$3993,'Mar16-Aug16 FT-TS-Cashout-LG&amp;E'!$H$407,'Data-Cashout'!$E$1:$E$3993,'Mar16-Aug16 FT-TS-Cashout-LG&amp;E'!K$350)</f>
        <v>0</v>
      </c>
      <c r="L407" s="448">
        <f>SUMIFS('Data-Cashout'!$AB$1:$AB$3993,'Data-Cashout'!$A$1:$A$3993,'Mar16-Aug16 FT-TS-Cashout-LG&amp;E'!L$348,'Data-Cashout'!$B$1:$B$3993,'Mar16-Aug16 FT-TS-Cashout-LG&amp;E'!$C$410,'Data-Cashout'!$D$1:$D$3993,'Mar16-Aug16 FT-TS-Cashout-LG&amp;E'!$F$407,'Data-Cashout'!$E$1:$E$3993,'Mar16-Aug16 FT-TS-Cashout-LG&amp;E'!$H$407,'Data-Cashout'!$E$1:$E$3993,'Mar16-Aug16 FT-TS-Cashout-LG&amp;E'!L$350)</f>
        <v>0</v>
      </c>
      <c r="M407" s="448">
        <f>SUMIFS('Data-Cashout'!$AB$1:$AB$3993,'Data-Cashout'!$A$1:$A$3993,'Mar16-Aug16 FT-TS-Cashout-LG&amp;E'!M$348,'Data-Cashout'!$B$1:$B$3993,'Mar16-Aug16 FT-TS-Cashout-LG&amp;E'!$C$410,'Data-Cashout'!$D$1:$D$3993,'Mar16-Aug16 FT-TS-Cashout-LG&amp;E'!$F$407,'Data-Cashout'!$E$1:$E$3993,'Mar16-Aug16 FT-TS-Cashout-LG&amp;E'!$H$407,'Data-Cashout'!$E$1:$E$3993,'Mar16-Aug16 FT-TS-Cashout-LG&amp;E'!M$350)</f>
        <v>0</v>
      </c>
      <c r="N407" s="448">
        <f>SUMIFS('Data-Cashout'!$AB$1:$AB$3993,'Data-Cashout'!$A$1:$A$3993,'Mar16-Aug16 FT-TS-Cashout-LG&amp;E'!N$348,'Data-Cashout'!$B$1:$B$3993,'Mar16-Aug16 FT-TS-Cashout-LG&amp;E'!$C$407,'Data-Cashout'!$D$1:$D$3993,'Mar16-Aug16 FT-TS-Cashout-LG&amp;E'!$F$407,'Data-Cashout'!$E$1:$E$3993,'Mar16-Aug16 FT-TS-Cashout-LG&amp;E'!$H$407,'Data-Cashout'!$E$1:$E$3993,'Mar16-Aug16 FT-TS-Cashout-LG&amp;E'!N$350)</f>
        <v>0</v>
      </c>
      <c r="O407" s="448">
        <f>SUMIFS('Data-Cashout'!$AB$1:$AB$3993,'Data-Cashout'!$A$1:$A$3993,'Mar16-Aug16 FT-TS-Cashout-LG&amp;E'!O$348,'Data-Cashout'!$B$1:$B$3993,'Mar16-Aug16 FT-TS-Cashout-LG&amp;E'!$C$407,'Data-Cashout'!$D$1:$D$3993,'Mar16-Aug16 FT-TS-Cashout-LG&amp;E'!$F$407,'Data-Cashout'!$E$1:$E$3993,'Mar16-Aug16 FT-TS-Cashout-LG&amp;E'!$H$407,'Data-Cashout'!$E$1:$E$3993,'Mar16-Aug16 FT-TS-Cashout-LG&amp;E'!O$350)</f>
        <v>0</v>
      </c>
      <c r="P407" s="574">
        <f>SUM(J407:O407)</f>
        <v>0</v>
      </c>
    </row>
    <row r="408" spans="2:17" x14ac:dyDescent="0.2">
      <c r="B408" s="351"/>
      <c r="C408" s="355" t="s">
        <v>52</v>
      </c>
      <c r="D408" s="355" t="str">
        <f t="shared" si="147"/>
        <v>896</v>
      </c>
      <c r="E408" s="351" t="str">
        <f>VLOOKUP($C408,'Retail Rates'!$B$45:$R$53,3,FALSE)</f>
        <v>FT-I</v>
      </c>
      <c r="F408" s="355" t="s">
        <v>662</v>
      </c>
      <c r="G408" s="356" t="s">
        <v>278</v>
      </c>
      <c r="H408" s="356"/>
      <c r="I408" s="351">
        <f t="shared" ref="I408:O408" si="149">SUM(I406:I407)</f>
        <v>0</v>
      </c>
      <c r="J408" s="351">
        <f t="shared" si="149"/>
        <v>0</v>
      </c>
      <c r="K408" s="351">
        <f t="shared" si="149"/>
        <v>0</v>
      </c>
      <c r="L408" s="351">
        <f t="shared" si="149"/>
        <v>0</v>
      </c>
      <c r="M408" s="351">
        <f t="shared" si="149"/>
        <v>0</v>
      </c>
      <c r="N408" s="351">
        <f t="shared" si="149"/>
        <v>0</v>
      </c>
      <c r="O408" s="351">
        <f t="shared" si="149"/>
        <v>0</v>
      </c>
      <c r="P408" s="574">
        <f>SUM(J408:O408)</f>
        <v>0</v>
      </c>
    </row>
    <row r="409" spans="2:17" x14ac:dyDescent="0.2">
      <c r="B409" s="351"/>
      <c r="C409" s="355" t="s">
        <v>52</v>
      </c>
      <c r="D409" s="355" t="str">
        <f t="shared" si="147"/>
        <v>896</v>
      </c>
      <c r="E409" s="351" t="str">
        <f>VLOOKUP($C409,'Retail Rates'!$B$45:$R$53,3,FALSE)</f>
        <v>FT-I</v>
      </c>
      <c r="F409" s="355" t="s">
        <v>662</v>
      </c>
      <c r="G409" s="351"/>
      <c r="H409" s="351"/>
      <c r="I409" s="351"/>
      <c r="J409" s="351"/>
      <c r="K409" s="351"/>
      <c r="L409" s="351"/>
      <c r="M409" s="351"/>
      <c r="N409" s="351"/>
      <c r="O409" s="351"/>
      <c r="P409" s="453"/>
    </row>
    <row r="410" spans="2:17" x14ac:dyDescent="0.2">
      <c r="B410" s="351"/>
      <c r="C410" s="355" t="s">
        <v>933</v>
      </c>
      <c r="D410" s="355"/>
      <c r="E410" s="351"/>
      <c r="F410" s="355"/>
      <c r="G410" s="356" t="s">
        <v>956</v>
      </c>
      <c r="H410" s="351"/>
      <c r="I410" s="664">
        <f>I398+I408</f>
        <v>12.05</v>
      </c>
      <c r="J410" s="664">
        <f t="shared" ref="J410:O410" si="150">J398+J408</f>
        <v>0</v>
      </c>
      <c r="K410" s="664">
        <f t="shared" si="150"/>
        <v>0</v>
      </c>
      <c r="L410" s="664">
        <f t="shared" si="150"/>
        <v>0</v>
      </c>
      <c r="M410" s="664">
        <f t="shared" si="150"/>
        <v>0</v>
      </c>
      <c r="N410" s="664">
        <f t="shared" si="150"/>
        <v>0</v>
      </c>
      <c r="O410" s="664">
        <f t="shared" si="150"/>
        <v>0</v>
      </c>
      <c r="P410" s="453"/>
    </row>
    <row r="411" spans="2:17" x14ac:dyDescent="0.2">
      <c r="B411" s="351"/>
      <c r="C411" s="355"/>
      <c r="D411" s="355"/>
      <c r="E411" s="351"/>
      <c r="F411" s="355"/>
      <c r="G411" s="351"/>
      <c r="H411" s="351"/>
      <c r="I411" s="351"/>
      <c r="J411" s="351"/>
      <c r="K411" s="351"/>
      <c r="L411" s="351"/>
      <c r="M411" s="351"/>
      <c r="N411" s="351"/>
      <c r="O411" s="351"/>
      <c r="P411" s="453"/>
    </row>
    <row r="412" spans="2:17" x14ac:dyDescent="0.2">
      <c r="B412" s="351"/>
      <c r="C412" s="355"/>
      <c r="D412" s="355"/>
      <c r="E412" s="351"/>
      <c r="F412" s="355" t="s">
        <v>952</v>
      </c>
      <c r="G412" s="356" t="s">
        <v>532</v>
      </c>
      <c r="H412" s="351"/>
      <c r="I412" s="453">
        <f>SUMIFS('Bruise Report-Cashouts'!$C$5:$C$76,'Bruise Report-Cashouts'!$A$5:$A$76,'Mar16-Aug16 FT-TS-Cashout-LG&amp;E'!I$348,'Bruise Report-Cashouts'!$B$5:$B$76,'Mar16-Aug16 FT-TS-Cashout-LG&amp;E'!$F$412)</f>
        <v>12.03</v>
      </c>
      <c r="J412" s="453">
        <f>SUMIFS('Bruise Report-Cashouts'!$C$5:$C$76,'Bruise Report-Cashouts'!$A$5:$A$76,'Mar16-Aug16 FT-TS-Cashout-LG&amp;E'!J$348,'Bruise Report-Cashouts'!$B$5:$B$76,'Mar16-Aug16 FT-TS-Cashout-LG&amp;E'!$F$412)</f>
        <v>0</v>
      </c>
      <c r="K412" s="453">
        <f>SUMIFS('Bruise Report-Cashouts'!$C$5:$C$76,'Bruise Report-Cashouts'!$A$5:$A$76,'Mar16-Aug16 FT-TS-Cashout-LG&amp;E'!K$348,'Bruise Report-Cashouts'!$B$5:$B$76,'Mar16-Aug16 FT-TS-Cashout-LG&amp;E'!$F$412)</f>
        <v>0</v>
      </c>
      <c r="L412" s="453">
        <f>SUMIFS('Bruise Report-Cashouts'!$C$5:$C$76,'Bruise Report-Cashouts'!$A$5:$A$76,'Mar16-Aug16 FT-TS-Cashout-LG&amp;E'!L$348,'Bruise Report-Cashouts'!$B$5:$B$76,'Mar16-Aug16 FT-TS-Cashout-LG&amp;E'!$F$412)</f>
        <v>0</v>
      </c>
      <c r="M412" s="453">
        <f>SUMIFS('Bruise Report-Cashouts'!$C$5:$C$76,'Bruise Report-Cashouts'!$A$5:$A$76,'Mar16-Aug16 FT-TS-Cashout-LG&amp;E'!M$348,'Bruise Report-Cashouts'!$B$5:$B$76,'Mar16-Aug16 FT-TS-Cashout-LG&amp;E'!$F$412)</f>
        <v>0</v>
      </c>
      <c r="N412" s="453">
        <f>SUMIFS('Bruise Report-Cashouts'!$C$5:$C$76,'Bruise Report-Cashouts'!$A$5:$A$76,'Mar16-Aug16 FT-TS-Cashout-LG&amp;E'!N$348,'Bruise Report-Cashouts'!$B$5:$B$76,'Mar16-Aug16 FT-TS-Cashout-LG&amp;E'!$F$412)</f>
        <v>0</v>
      </c>
      <c r="O412" s="453">
        <f>SUMIFS('Bruise Report-Cashouts'!$C$5:$C$76,'Bruise Report-Cashouts'!$A$5:$A$76,'Mar16-Aug16 FT-TS-Cashout-LG&amp;E'!O$348,'Bruise Report-Cashouts'!$B$5:$B$76,'Mar16-Aug16 FT-TS-Cashout-LG&amp;E'!$F$412)</f>
        <v>0</v>
      </c>
      <c r="P412" s="574">
        <f>SUM(J412:O412)</f>
        <v>0</v>
      </c>
    </row>
    <row r="413" spans="2:17" x14ac:dyDescent="0.2">
      <c r="B413" s="351"/>
      <c r="C413" s="355"/>
      <c r="D413" s="355"/>
      <c r="E413" s="351"/>
      <c r="F413" s="355"/>
      <c r="G413" s="351"/>
      <c r="H413" s="351"/>
      <c r="I413" s="351"/>
      <c r="J413" s="351"/>
      <c r="K413" s="351"/>
      <c r="L413" s="351"/>
      <c r="M413" s="351"/>
      <c r="N413" s="351"/>
      <c r="O413" s="351"/>
      <c r="P413" s="453"/>
    </row>
    <row r="414" spans="2:17" x14ac:dyDescent="0.2">
      <c r="B414" s="351"/>
      <c r="C414" s="355"/>
      <c r="D414" s="355"/>
      <c r="E414" s="351"/>
      <c r="F414" s="355"/>
      <c r="G414" s="356" t="s">
        <v>262</v>
      </c>
      <c r="H414" s="356"/>
      <c r="I414" s="664">
        <f>I410-I412</f>
        <v>2.000000000000135E-2</v>
      </c>
      <c r="J414" s="664">
        <f t="shared" ref="J414:O414" si="151">+J408-J412</f>
        <v>0</v>
      </c>
      <c r="K414" s="664">
        <f t="shared" si="151"/>
        <v>0</v>
      </c>
      <c r="L414" s="664">
        <f t="shared" si="151"/>
        <v>0</v>
      </c>
      <c r="M414" s="664">
        <f t="shared" si="151"/>
        <v>0</v>
      </c>
      <c r="N414" s="664">
        <f t="shared" si="151"/>
        <v>0</v>
      </c>
      <c r="O414" s="664">
        <f t="shared" si="151"/>
        <v>0</v>
      </c>
      <c r="P414" s="574">
        <f>SUM(J414:O414)</f>
        <v>0</v>
      </c>
      <c r="Q414" s="664"/>
    </row>
    <row r="415" spans="2:17" x14ac:dyDescent="0.2">
      <c r="B415" s="351"/>
      <c r="C415" s="351"/>
      <c r="D415" s="351"/>
      <c r="E415" s="351"/>
      <c r="F415" s="355"/>
      <c r="G415" s="351"/>
      <c r="H415" s="351"/>
      <c r="I415" s="351"/>
      <c r="J415" s="351"/>
      <c r="K415" s="351"/>
      <c r="L415" s="351"/>
      <c r="M415" s="351"/>
      <c r="N415" s="351"/>
      <c r="O415" s="351"/>
      <c r="P415" s="453"/>
    </row>
    <row r="416" spans="2:17" x14ac:dyDescent="0.2">
      <c r="B416" s="351"/>
      <c r="C416" s="351"/>
      <c r="D416" s="351"/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453"/>
    </row>
    <row r="417" spans="2:16" x14ac:dyDescent="0.2">
      <c r="B417" s="362"/>
      <c r="C417" s="362"/>
      <c r="D417" s="362"/>
      <c r="E417" s="362"/>
      <c r="F417" s="362"/>
      <c r="G417" s="362"/>
      <c r="H417" s="362"/>
      <c r="I417" s="362"/>
      <c r="J417" s="362"/>
      <c r="K417" s="362"/>
      <c r="L417" s="362"/>
      <c r="M417" s="362"/>
      <c r="N417" s="362"/>
      <c r="O417" s="362"/>
      <c r="P417" s="362"/>
    </row>
    <row r="418" spans="2:16" x14ac:dyDescent="0.2">
      <c r="B418" s="362"/>
      <c r="C418" s="362"/>
      <c r="D418" s="362"/>
      <c r="E418" s="362"/>
      <c r="F418" s="362"/>
      <c r="G418" s="363" t="s">
        <v>756</v>
      </c>
      <c r="H418" s="362"/>
      <c r="I418" s="362"/>
      <c r="J418" s="362"/>
      <c r="K418" s="362"/>
      <c r="L418" s="362"/>
      <c r="M418" s="362"/>
      <c r="N418" s="362"/>
      <c r="O418" s="362"/>
      <c r="P418" s="362"/>
    </row>
    <row r="419" spans="2:16" x14ac:dyDescent="0.2">
      <c r="B419" s="362"/>
      <c r="C419" s="364" t="s">
        <v>39</v>
      </c>
      <c r="D419" s="364" t="str">
        <f t="shared" ref="D419:D441" si="152">MID(C419,6,3)</f>
        <v>881</v>
      </c>
      <c r="E419" s="362" t="str">
        <f>VLOOKUP($C419,'Retail Rates'!$B$45:$R$53,3,FALSE)</f>
        <v>CGS-TS</v>
      </c>
      <c r="F419" s="364" t="s">
        <v>661</v>
      </c>
      <c r="G419" s="365" t="s">
        <v>268</v>
      </c>
      <c r="H419" s="362"/>
      <c r="I419" s="362">
        <f t="shared" ref="I419:O419" si="153">I432/I424</f>
        <v>0</v>
      </c>
      <c r="J419" s="362">
        <f t="shared" si="153"/>
        <v>0</v>
      </c>
      <c r="K419" s="362">
        <f t="shared" si="153"/>
        <v>0</v>
      </c>
      <c r="L419" s="362">
        <f t="shared" si="153"/>
        <v>0</v>
      </c>
      <c r="M419" s="362">
        <f t="shared" si="153"/>
        <v>0</v>
      </c>
      <c r="N419" s="362">
        <f t="shared" si="153"/>
        <v>0</v>
      </c>
      <c r="O419" s="362">
        <f t="shared" si="153"/>
        <v>0</v>
      </c>
      <c r="P419" s="459">
        <f>SUM(I419:L419)</f>
        <v>0</v>
      </c>
    </row>
    <row r="420" spans="2:16" x14ac:dyDescent="0.2">
      <c r="B420" s="362"/>
      <c r="C420" s="364" t="s">
        <v>39</v>
      </c>
      <c r="D420" s="364" t="str">
        <f t="shared" si="152"/>
        <v>881</v>
      </c>
      <c r="E420" s="362" t="str">
        <f>VLOOKUP($C420,'Retail Rates'!$B$45:$R$53,3,FALSE)</f>
        <v>CGS-TS</v>
      </c>
      <c r="F420" s="364" t="s">
        <v>661</v>
      </c>
      <c r="G420" s="365" t="s">
        <v>468</v>
      </c>
      <c r="H420" s="362"/>
      <c r="I420" s="362">
        <f t="shared" ref="I420:O420" si="154">IF(I422=0,I422,IF(I422&gt;=(I419*100),(I419*100),I422))</f>
        <v>0</v>
      </c>
      <c r="J420" s="362">
        <f t="shared" si="154"/>
        <v>0</v>
      </c>
      <c r="K420" s="362">
        <f t="shared" si="154"/>
        <v>0</v>
      </c>
      <c r="L420" s="362">
        <f t="shared" si="154"/>
        <v>0</v>
      </c>
      <c r="M420" s="362">
        <f t="shared" si="154"/>
        <v>0</v>
      </c>
      <c r="N420" s="362">
        <f t="shared" si="154"/>
        <v>0</v>
      </c>
      <c r="O420" s="362">
        <f t="shared" si="154"/>
        <v>0</v>
      </c>
      <c r="P420" s="459">
        <f>SUM(I420:L420)</f>
        <v>0</v>
      </c>
    </row>
    <row r="421" spans="2:16" x14ac:dyDescent="0.2">
      <c r="B421" s="362"/>
      <c r="C421" s="364" t="s">
        <v>39</v>
      </c>
      <c r="D421" s="364" t="str">
        <f t="shared" si="152"/>
        <v>881</v>
      </c>
      <c r="E421" s="362" t="str">
        <f>VLOOKUP($C421,'Retail Rates'!$B$45:$R$53,3,FALSE)</f>
        <v>CGS-TS</v>
      </c>
      <c r="F421" s="364" t="s">
        <v>661</v>
      </c>
      <c r="G421" s="365" t="s">
        <v>469</v>
      </c>
      <c r="H421" s="362"/>
      <c r="I421" s="362">
        <f t="shared" ref="I421:O421" si="155">+I422-I420</f>
        <v>0</v>
      </c>
      <c r="J421" s="362">
        <f t="shared" si="155"/>
        <v>0</v>
      </c>
      <c r="K421" s="362">
        <f t="shared" si="155"/>
        <v>0</v>
      </c>
      <c r="L421" s="362">
        <f t="shared" si="155"/>
        <v>0</v>
      </c>
      <c r="M421" s="362">
        <f t="shared" si="155"/>
        <v>0</v>
      </c>
      <c r="N421" s="362">
        <f t="shared" si="155"/>
        <v>0</v>
      </c>
      <c r="O421" s="362">
        <f t="shared" si="155"/>
        <v>0</v>
      </c>
      <c r="P421" s="459">
        <f>SUM(I421:L421)</f>
        <v>0</v>
      </c>
    </row>
    <row r="422" spans="2:16" x14ac:dyDescent="0.2">
      <c r="B422" s="362"/>
      <c r="C422" s="364" t="s">
        <v>39</v>
      </c>
      <c r="D422" s="364" t="str">
        <f t="shared" si="152"/>
        <v>881</v>
      </c>
      <c r="E422" s="362" t="str">
        <f>VLOOKUP($C422,'Retail Rates'!$B$45:$R$53,3,FALSE)</f>
        <v>CGS-TS</v>
      </c>
      <c r="F422" s="364" t="s">
        <v>661</v>
      </c>
      <c r="G422" s="365" t="s">
        <v>470</v>
      </c>
      <c r="H422" s="325" t="s">
        <v>518</v>
      </c>
      <c r="I422" s="394">
        <f>SUMIFS('Data-Cashout'!$J$3:$J$3943,'Data-Cashout'!$E$3:$E$3943,'Mar16-Aug16 FT-TS-Cashout-LG&amp;E'!$H$422,'Data-Cashout'!$A$3:$A$3943,'Mar16-Aug16 FT-TS-Cashout-LG&amp;E'!I$348,'Data-Cashout'!$B$3:$B$3943,'Mar16-Aug16 FT-TS-Cashout-LG&amp;E'!$C$422,'Data-Cashout'!$F$3:$F$3943,'Mar16-Aug16 FT-TS-Cashout-LG&amp;E'!I$351,'Data-Cashout'!$D$3:$D$3943,'Mar16-Aug16 FT-TS-Cashout-LG&amp;E'!$F$422)/10</f>
        <v>0</v>
      </c>
      <c r="J422" s="394">
        <f>SUMIFS('Data-Cashout'!$J$3:$J$3943,'Data-Cashout'!$E$3:$E$3943,'Mar16-Aug16 FT-TS-Cashout-LG&amp;E'!$H$422,'Data-Cashout'!$A$3:$A$3943,'Mar16-Aug16 FT-TS-Cashout-LG&amp;E'!J$348,'Data-Cashout'!$B$3:$B$3943,'Mar16-Aug16 FT-TS-Cashout-LG&amp;E'!$C$422,'Data-Cashout'!$F$3:$F$3943,'Mar16-Aug16 FT-TS-Cashout-LG&amp;E'!J$351,'Data-Cashout'!$D$3:$D$3943,'Mar16-Aug16 FT-TS-Cashout-LG&amp;E'!$F$422)/10</f>
        <v>0</v>
      </c>
      <c r="K422" s="394">
        <f>SUMIFS('Data-Cashout'!$J$3:$J$3943,'Data-Cashout'!$E$3:$E$3943,'Mar16-Aug16 FT-TS-Cashout-LG&amp;E'!$H$422,'Data-Cashout'!$A$3:$A$3943,'Mar16-Aug16 FT-TS-Cashout-LG&amp;E'!K$348,'Data-Cashout'!$B$3:$B$3943,'Mar16-Aug16 FT-TS-Cashout-LG&amp;E'!$C$422,'Data-Cashout'!$F$3:$F$3943,'Mar16-Aug16 FT-TS-Cashout-LG&amp;E'!K$351,'Data-Cashout'!$D$3:$D$3943,'Mar16-Aug16 FT-TS-Cashout-LG&amp;E'!$F$422)/10</f>
        <v>0</v>
      </c>
      <c r="L422" s="394">
        <f>SUMIFS('Data-Cashout'!$J$3:$J$3943,'Data-Cashout'!$E$3:$E$3943,'Mar16-Aug16 FT-TS-Cashout-LG&amp;E'!$H$422,'Data-Cashout'!$A$3:$A$3943,'Mar16-Aug16 FT-TS-Cashout-LG&amp;E'!L$348,'Data-Cashout'!$B$3:$B$3943,'Mar16-Aug16 FT-TS-Cashout-LG&amp;E'!$C$422,'Data-Cashout'!$F$3:$F$3943,'Mar16-Aug16 FT-TS-Cashout-LG&amp;E'!L$351,'Data-Cashout'!$D$3:$D$3943,'Mar16-Aug16 FT-TS-Cashout-LG&amp;E'!$F$422)/10</f>
        <v>0</v>
      </c>
      <c r="M422" s="394">
        <f>SUMIFS('Data-Cashout'!$J$3:$J$3943,'Data-Cashout'!$E$3:$E$3943,'Mar16-Aug16 FT-TS-Cashout-LG&amp;E'!$H$422,'Data-Cashout'!$A$3:$A$3943,'Mar16-Aug16 FT-TS-Cashout-LG&amp;E'!M$348,'Data-Cashout'!$B$3:$B$3943,'Mar16-Aug16 FT-TS-Cashout-LG&amp;E'!$C$422,'Data-Cashout'!$F$3:$F$3943,'Mar16-Aug16 FT-TS-Cashout-LG&amp;E'!M$351,'Data-Cashout'!$D$3:$D$3943,'Mar16-Aug16 FT-TS-Cashout-LG&amp;E'!$F$422)/10</f>
        <v>0</v>
      </c>
      <c r="N422" s="394">
        <f>SUMIFS('Data-Cashout'!$J$3:$J$3943,'Data-Cashout'!$E$3:$E$3943,'Mar16-Aug16 FT-TS-Cashout-LG&amp;E'!$H$422,'Data-Cashout'!$A$3:$A$3943,'Mar16-Aug16 FT-TS-Cashout-LG&amp;E'!N$348,'Data-Cashout'!$B$3:$B$3943,'Mar16-Aug16 FT-TS-Cashout-LG&amp;E'!$C$422,'Data-Cashout'!$F$3:$F$3943,'Mar16-Aug16 FT-TS-Cashout-LG&amp;E'!N$351,'Data-Cashout'!$D$3:$D$3943,'Mar16-Aug16 FT-TS-Cashout-LG&amp;E'!$F$422)/10</f>
        <v>0</v>
      </c>
      <c r="O422" s="394">
        <f>SUMIFS('Data-Cashout'!$J$3:$J$3943,'Data-Cashout'!$E$3:$E$3943,'Mar16-Aug16 FT-TS-Cashout-LG&amp;E'!$H$422,'Data-Cashout'!$A$3:$A$3943,'Mar16-Aug16 FT-TS-Cashout-LG&amp;E'!O$348,'Data-Cashout'!$B$3:$B$3943,'Mar16-Aug16 FT-TS-Cashout-LG&amp;E'!$C$422,'Data-Cashout'!$F$3:$F$3943,'Mar16-Aug16 FT-TS-Cashout-LG&amp;E'!O$351,'Data-Cashout'!$D$3:$D$3943,'Mar16-Aug16 FT-TS-Cashout-LG&amp;E'!$F$422)/10</f>
        <v>0</v>
      </c>
      <c r="P422" s="459">
        <f>SUM(I422:L422)</f>
        <v>0</v>
      </c>
    </row>
    <row r="423" spans="2:16" x14ac:dyDescent="0.2">
      <c r="B423" s="362"/>
      <c r="C423" s="364" t="s">
        <v>39</v>
      </c>
      <c r="D423" s="364" t="str">
        <f t="shared" si="152"/>
        <v>881</v>
      </c>
      <c r="E423" s="362" t="str">
        <f>VLOOKUP($C423,'Retail Rates'!$B$45:$R$53,3,FALSE)</f>
        <v>CGS-TS</v>
      </c>
      <c r="F423" s="364" t="s">
        <v>661</v>
      </c>
      <c r="G423" s="366"/>
      <c r="H423" s="362"/>
      <c r="I423" s="362"/>
      <c r="J423" s="362"/>
      <c r="K423" s="362"/>
      <c r="L423" s="362"/>
      <c r="M423" s="362"/>
      <c r="N423" s="362"/>
      <c r="O423" s="362"/>
      <c r="P423" s="362"/>
    </row>
    <row r="424" spans="2:16" x14ac:dyDescent="0.2">
      <c r="B424" s="362"/>
      <c r="C424" s="364" t="s">
        <v>39</v>
      </c>
      <c r="D424" s="364" t="str">
        <f t="shared" si="152"/>
        <v>881</v>
      </c>
      <c r="E424" s="362" t="str">
        <f>VLOOKUP($C424,'Retail Rates'!$B$45:$R$53,3,FALSE)</f>
        <v>CGS-TS</v>
      </c>
      <c r="F424" s="364" t="s">
        <v>661</v>
      </c>
      <c r="G424" s="365" t="s">
        <v>596</v>
      </c>
      <c r="H424" s="362"/>
      <c r="I424" s="362">
        <f>VLOOKUP($C424,'Retail Rates'!$B$7:$O$34,6,FALSE)</f>
        <v>180</v>
      </c>
      <c r="J424" s="362">
        <f>VLOOKUP($C424,'Retail Rates'!$B$7:$O$34,6,FALSE)</f>
        <v>180</v>
      </c>
      <c r="K424" s="362">
        <f>VLOOKUP($C424,'Retail Rates'!$B$7:$O$34,6,FALSE)</f>
        <v>180</v>
      </c>
      <c r="L424" s="362">
        <f>VLOOKUP($C424,'Retail Rates'!$B$7:$O$34,6,FALSE)</f>
        <v>180</v>
      </c>
      <c r="M424" s="362">
        <f>VLOOKUP($C424,'Retail Rates'!$B$7:$O$34,6,FALSE)</f>
        <v>180</v>
      </c>
      <c r="N424" s="362">
        <f>VLOOKUP($C424,'Retail Rates'!$B$7:$O$34,6,FALSE)</f>
        <v>180</v>
      </c>
      <c r="O424" s="362">
        <f>VLOOKUP($C424,'Retail Rates'!$B$7:$O$34,6,FALSE)</f>
        <v>180</v>
      </c>
      <c r="P424" s="362"/>
    </row>
    <row r="425" spans="2:16" x14ac:dyDescent="0.2">
      <c r="B425" s="362"/>
      <c r="C425" s="364" t="s">
        <v>39</v>
      </c>
      <c r="D425" s="364" t="str">
        <f t="shared" si="152"/>
        <v>881</v>
      </c>
      <c r="E425" s="362" t="str">
        <f>VLOOKUP($C425,'Retail Rates'!$B$45:$R$53,3,FALSE)</f>
        <v>CGS-TS</v>
      </c>
      <c r="F425" s="364" t="s">
        <v>661</v>
      </c>
      <c r="G425" s="365" t="s">
        <v>471</v>
      </c>
      <c r="H425" s="362"/>
      <c r="I425" s="362">
        <f>VLOOKUP($C425,'Retail Rates'!$B$44:$O$53,7,FALSE)</f>
        <v>2.1504000000000003</v>
      </c>
      <c r="J425" s="362">
        <f>VLOOKUP($C425,'Retail Rates'!$B$44:$O$53,7,FALSE)</f>
        <v>2.1504000000000003</v>
      </c>
      <c r="K425" s="362">
        <f>VLOOKUP($C425,'Retail Rates'!$B$44:$O$53,7,FALSE)</f>
        <v>2.1504000000000003</v>
      </c>
      <c r="L425" s="362">
        <f>VLOOKUP($C425,'Retail Rates'!$B$44:$O$53,7,FALSE)</f>
        <v>2.1504000000000003</v>
      </c>
      <c r="M425" s="362">
        <f>VLOOKUP($C425,'Retail Rates'!$B$44:$O$53,7,FALSE)</f>
        <v>2.1504000000000003</v>
      </c>
      <c r="N425" s="362">
        <f>VLOOKUP($C425,'Retail Rates'!$B$44:$O$53,7,FALSE)</f>
        <v>2.1504000000000003</v>
      </c>
      <c r="O425" s="362">
        <f>VLOOKUP($C425,'Retail Rates'!$B$44:$O$53,7,FALSE)</f>
        <v>2.1504000000000003</v>
      </c>
      <c r="P425" s="362"/>
    </row>
    <row r="426" spans="2:16" x14ac:dyDescent="0.2">
      <c r="B426" s="362"/>
      <c r="C426" s="364" t="s">
        <v>39</v>
      </c>
      <c r="D426" s="364" t="str">
        <f t="shared" si="152"/>
        <v>881</v>
      </c>
      <c r="E426" s="362" t="str">
        <f>VLOOKUP($C426,'Retail Rates'!$B$45:$R$53,3,FALSE)</f>
        <v>CGS-TS</v>
      </c>
      <c r="F426" s="364" t="s">
        <v>661</v>
      </c>
      <c r="G426" s="365" t="s">
        <v>472</v>
      </c>
      <c r="H426" s="362"/>
      <c r="I426" s="362">
        <f>+I425</f>
        <v>2.1504000000000003</v>
      </c>
      <c r="J426" s="362">
        <f>+J425</f>
        <v>2.1504000000000003</v>
      </c>
      <c r="K426" s="362">
        <f>+K425-0.5</f>
        <v>1.6504000000000003</v>
      </c>
      <c r="L426" s="362">
        <f>+L425-0.5</f>
        <v>1.6504000000000003</v>
      </c>
      <c r="M426" s="362">
        <f>+M425-0.5</f>
        <v>1.6504000000000003</v>
      </c>
      <c r="N426" s="362">
        <f>+N425-0.5</f>
        <v>1.6504000000000003</v>
      </c>
      <c r="O426" s="362">
        <f>+O425-0.5</f>
        <v>1.6504000000000003</v>
      </c>
      <c r="P426" s="362"/>
    </row>
    <row r="427" spans="2:16" x14ac:dyDescent="0.2">
      <c r="B427" s="362"/>
      <c r="C427" s="364" t="s">
        <v>39</v>
      </c>
      <c r="D427" s="364" t="str">
        <f t="shared" si="152"/>
        <v>881</v>
      </c>
      <c r="E427" s="362" t="str">
        <f>VLOOKUP($C427,'Retail Rates'!$B$45:$R$53,3,FALSE)</f>
        <v>CGS-TS</v>
      </c>
      <c r="F427" s="364" t="s">
        <v>661</v>
      </c>
      <c r="G427" s="365" t="s">
        <v>542</v>
      </c>
      <c r="H427" s="362"/>
      <c r="I427" s="362">
        <f>SUMIF('GSC-DSM-GLT Factors'!$A$1:$A$58,'Mar16-Aug16 FT-TS-Cashout-LG&amp;E'!I$5,'GSC-DSM-GLT Factors'!$I$1:$I$58)</f>
        <v>3.2343000000000002</v>
      </c>
      <c r="J427" s="362">
        <f>SUMIF('GSC-DSM-GLT Factors'!$A$1:$A$58,'Mar16-Aug16 FT-TS-Cashout-LG&amp;E'!J$5,'GSC-DSM-GLT Factors'!$I$1:$I$58)</f>
        <v>3.2343000000000002</v>
      </c>
      <c r="K427" s="362">
        <f>SUMIF('GSC-DSM-GLT Factors'!$A$1:$A$58,'Mar16-Aug16 FT-TS-Cashout-LG&amp;E'!K$5,'GSC-DSM-GLT Factors'!$I$1:$I$58)</f>
        <v>3.2343000000000002</v>
      </c>
      <c r="L427" s="362">
        <f>SUMIF('GSC-DSM-GLT Factors'!$A$1:$A$58,'Mar16-Aug16 FT-TS-Cashout-LG&amp;E'!L$5,'GSC-DSM-GLT Factors'!$I$1:$I$58)</f>
        <v>3.5129999999999999</v>
      </c>
      <c r="M427" s="362">
        <f>SUMIF('GSC-DSM-GLT Factors'!$A$1:$A$58,'Mar16-Aug16 FT-TS-Cashout-LG&amp;E'!M$5,'GSC-DSM-GLT Factors'!$I$1:$I$58)</f>
        <v>3.5129999999999999</v>
      </c>
      <c r="N427" s="362">
        <f>SUMIF('GSC-DSM-GLT Factors'!$A$1:$A$58,'Mar16-Aug16 FT-TS-Cashout-LG&amp;E'!N$5,'GSC-DSM-GLT Factors'!$I$1:$I$58)</f>
        <v>3.5129999999999999</v>
      </c>
      <c r="O427" s="362">
        <f>SUMIF('GSC-DSM-GLT Factors'!$A$1:$A$58,'Mar16-Aug16 FT-TS-Cashout-LG&amp;E'!O$5,'GSC-DSM-GLT Factors'!$I$1:$I$58)</f>
        <v>3.8216000000000001</v>
      </c>
      <c r="P427" s="362"/>
    </row>
    <row r="428" spans="2:16" x14ac:dyDescent="0.2">
      <c r="B428" s="362"/>
      <c r="C428" s="364" t="s">
        <v>39</v>
      </c>
      <c r="D428" s="364" t="str">
        <f t="shared" si="152"/>
        <v>881</v>
      </c>
      <c r="E428" s="362" t="str">
        <f>VLOOKUP($C428,'Retail Rates'!$B$45:$R$53,3,FALSE)</f>
        <v>CGS-TS</v>
      </c>
      <c r="F428" s="364" t="s">
        <v>661</v>
      </c>
      <c r="G428" s="365" t="s">
        <v>272</v>
      </c>
      <c r="H428" s="362"/>
      <c r="I428" s="362">
        <f>SUMIF('GSC-DSM-GLT Factors'!$A$1:$A$58,'Mar16-Aug16 FT-TS-Cashout-LG&amp;E'!I$5,'GSC-DSM-GLT Factors'!$G$1:$G$58)</f>
        <v>5.4000000000000003E-3</v>
      </c>
      <c r="J428" s="362">
        <f>SUMIF('GSC-DSM-GLT Factors'!$A$1:$A$58,'Mar16-Aug16 FT-TS-Cashout-LG&amp;E'!J$5,'GSC-DSM-GLT Factors'!$G$1:$G$58)</f>
        <v>5.4000000000000003E-3</v>
      </c>
      <c r="K428" s="362">
        <f>SUMIF('GSC-DSM-GLT Factors'!$A$1:$A$58,'Mar16-Aug16 FT-TS-Cashout-LG&amp;E'!K$5,'GSC-DSM-GLT Factors'!$G$1:$G$58)</f>
        <v>5.7000000000000002E-3</v>
      </c>
      <c r="L428" s="362">
        <f>SUMIF('GSC-DSM-GLT Factors'!$A$1:$A$58,'Mar16-Aug16 FT-TS-Cashout-LG&amp;E'!L$5,'GSC-DSM-GLT Factors'!$G$1:$G$58)</f>
        <v>5.7000000000000002E-3</v>
      </c>
      <c r="M428" s="362">
        <f>SUMIF('GSC-DSM-GLT Factors'!$A$1:$A$58,'Mar16-Aug16 FT-TS-Cashout-LG&amp;E'!M$5,'GSC-DSM-GLT Factors'!$G$1:$G$58)</f>
        <v>5.7000000000000002E-3</v>
      </c>
      <c r="N428" s="362">
        <f>SUMIF('GSC-DSM-GLT Factors'!$A$1:$A$58,'Mar16-Aug16 FT-TS-Cashout-LG&amp;E'!N$5,'GSC-DSM-GLT Factors'!$G$1:$G$58)</f>
        <v>5.7000000000000002E-3</v>
      </c>
      <c r="O428" s="362">
        <f>SUMIF('GSC-DSM-GLT Factors'!$A$1:$A$58,'Mar16-Aug16 FT-TS-Cashout-LG&amp;E'!O$5,'GSC-DSM-GLT Factors'!$G$1:$G$58)</f>
        <v>5.7000000000000002E-3</v>
      </c>
      <c r="P428" s="362"/>
    </row>
    <row r="429" spans="2:16" x14ac:dyDescent="0.2">
      <c r="B429" s="362"/>
      <c r="C429" s="364" t="s">
        <v>39</v>
      </c>
      <c r="D429" s="364" t="str">
        <f>MID(C429,6,3)</f>
        <v>881</v>
      </c>
      <c r="E429" s="362" t="str">
        <f>VLOOKUP($C429,'Retail Rates'!$B$45:$R$53,3,FALSE)</f>
        <v>CGS-TS</v>
      </c>
      <c r="F429" s="364" t="s">
        <v>661</v>
      </c>
      <c r="G429" s="365" t="s">
        <v>754</v>
      </c>
      <c r="H429" s="362"/>
      <c r="I429" s="362">
        <f>VLOOKUP(I$348,'GSC-DSM-GLT Factors'!$A$11:$O$58,12,FALSE)</f>
        <v>25.87</v>
      </c>
      <c r="J429" s="362">
        <f>VLOOKUP(J$348,'GSC-DSM-GLT Factors'!$A$11:$O$58,12,FALSE)</f>
        <v>25.87</v>
      </c>
      <c r="K429" s="362">
        <f>VLOOKUP(K$348,'GSC-DSM-GLT Factors'!$A$11:$O$58,12,FALSE)</f>
        <v>27.41</v>
      </c>
      <c r="L429" s="362">
        <f>VLOOKUP(L$348,'GSC-DSM-GLT Factors'!$A$11:$O$58,12,FALSE)</f>
        <v>27.41</v>
      </c>
      <c r="M429" s="362">
        <f>VLOOKUP(M$348,'GSC-DSM-GLT Factors'!$A$11:$O$58,12,FALSE)</f>
        <v>27.41</v>
      </c>
      <c r="N429" s="362">
        <f>VLOOKUP(N$348,'GSC-DSM-GLT Factors'!$A$11:$O$58,12,FALSE)</f>
        <v>27.41</v>
      </c>
      <c r="O429" s="362" t="e">
        <f>VLOOKUP(O$348,'GSC-DSM-GLT Factors'!$A$11:$O$58,12,FALSE)</f>
        <v>#N/A</v>
      </c>
      <c r="P429" s="362"/>
    </row>
    <row r="430" spans="2:16" x14ac:dyDescent="0.2">
      <c r="B430" s="362"/>
      <c r="C430" s="364"/>
      <c r="D430" s="364"/>
      <c r="E430" s="362"/>
      <c r="F430" s="364"/>
      <c r="G430" s="365"/>
      <c r="H430" s="362"/>
      <c r="I430" s="362"/>
      <c r="J430" s="362"/>
      <c r="K430" s="362"/>
      <c r="L430" s="362"/>
      <c r="M430" s="362"/>
      <c r="N430" s="362"/>
      <c r="O430" s="362"/>
      <c r="P430" s="362"/>
    </row>
    <row r="431" spans="2:16" x14ac:dyDescent="0.2">
      <c r="B431" s="362"/>
      <c r="C431" s="364" t="s">
        <v>39</v>
      </c>
      <c r="D431" s="364" t="str">
        <f t="shared" si="152"/>
        <v>881</v>
      </c>
      <c r="E431" s="362" t="str">
        <f>VLOOKUP($C431,'Retail Rates'!$B$45:$R$53,3,FALSE)</f>
        <v>CGS-TS</v>
      </c>
      <c r="F431" s="364" t="s">
        <v>661</v>
      </c>
      <c r="G431" s="367" t="s">
        <v>273</v>
      </c>
      <c r="H431" s="362"/>
      <c r="I431" s="362"/>
      <c r="J431" s="362"/>
      <c r="K431" s="362"/>
      <c r="L431" s="362"/>
      <c r="M431" s="362"/>
      <c r="N431" s="362"/>
      <c r="O431" s="362"/>
      <c r="P431" s="362"/>
    </row>
    <row r="432" spans="2:16" x14ac:dyDescent="0.2">
      <c r="B432" s="362"/>
      <c r="C432" s="364" t="s">
        <v>39</v>
      </c>
      <c r="D432" s="364" t="str">
        <f t="shared" si="152"/>
        <v>881</v>
      </c>
      <c r="E432" s="362" t="str">
        <f>VLOOKUP($C432,'Retail Rates'!$B$45:$R$53,3,FALSE)</f>
        <v>CGS-TS</v>
      </c>
      <c r="F432" s="364" t="s">
        <v>661</v>
      </c>
      <c r="G432" s="368" t="s">
        <v>169</v>
      </c>
      <c r="H432" s="325" t="s">
        <v>528</v>
      </c>
      <c r="I432" s="335">
        <f>SUMIFS('Data-Cashout'!$AI$3:$AI$3943,'Data-Cashout'!$E$3:$E$3943,'Mar16-Aug16 FT-TS-Cashout-LG&amp;E'!$H432,'Data-Cashout'!$A$3:$A$3943,'Mar16-Aug16 FT-TS-Cashout-LG&amp;E'!I$348,'Data-Cashout'!$B$3:$B$3943,'Mar16-Aug16 FT-TS-Cashout-LG&amp;E'!$C432,'Data-Cashout'!$D$3:$D$3943,'Mar16-Aug16 FT-TS-Cashout-LG&amp;E'!$F$432)</f>
        <v>0</v>
      </c>
      <c r="J432" s="335">
        <f>SUMIFS('Data-Cashout'!$AI$3:$AI$3943,'Data-Cashout'!$E$3:$E$3943,'Mar16-Aug16 FT-TS-Cashout-LG&amp;E'!$H432,'Data-Cashout'!$A$3:$A$3943,'Mar16-Aug16 FT-TS-Cashout-LG&amp;E'!J$348,'Data-Cashout'!$B$3:$B$3943,'Mar16-Aug16 FT-TS-Cashout-LG&amp;E'!$C432,'Data-Cashout'!$D$3:$D$3943,'Mar16-Aug16 FT-TS-Cashout-LG&amp;E'!$F$432)</f>
        <v>0</v>
      </c>
      <c r="K432" s="335">
        <f>SUMIFS('Data-Cashout'!$AI$3:$AI$3943,'Data-Cashout'!$E$3:$E$3943,'Mar16-Aug16 FT-TS-Cashout-LG&amp;E'!$H432,'Data-Cashout'!$A$3:$A$3943,'Mar16-Aug16 FT-TS-Cashout-LG&amp;E'!K$348,'Data-Cashout'!$B$3:$B$3943,'Mar16-Aug16 FT-TS-Cashout-LG&amp;E'!$C432,'Data-Cashout'!$D$3:$D$3943,'Mar16-Aug16 FT-TS-Cashout-LG&amp;E'!$F$432)</f>
        <v>0</v>
      </c>
      <c r="L432" s="335">
        <f>SUMIFS('Data-Cashout'!$AI$3:$AI$3943,'Data-Cashout'!$E$3:$E$3943,'Mar16-Aug16 FT-TS-Cashout-LG&amp;E'!$H432,'Data-Cashout'!$A$3:$A$3943,'Mar16-Aug16 FT-TS-Cashout-LG&amp;E'!L$348,'Data-Cashout'!$B$3:$B$3943,'Mar16-Aug16 FT-TS-Cashout-LG&amp;E'!$C432,'Data-Cashout'!$D$3:$D$3943,'Mar16-Aug16 FT-TS-Cashout-LG&amp;E'!$F$432)</f>
        <v>0</v>
      </c>
      <c r="M432" s="335">
        <f>SUMIFS('Data-Cashout'!$AI$3:$AI$3943,'Data-Cashout'!$E$3:$E$3943,'Mar16-Aug16 FT-TS-Cashout-LG&amp;E'!$H432,'Data-Cashout'!$A$3:$A$3943,'Mar16-Aug16 FT-TS-Cashout-LG&amp;E'!M$348,'Data-Cashout'!$B$3:$B$3943,'Mar16-Aug16 FT-TS-Cashout-LG&amp;E'!$C432,'Data-Cashout'!$D$3:$D$3943,'Mar16-Aug16 FT-TS-Cashout-LG&amp;E'!$F$432)</f>
        <v>0</v>
      </c>
      <c r="N432" s="335">
        <f>SUMIFS('Data-Cashout'!$AI$3:$AI$3943,'Data-Cashout'!$E$3:$E$3943,'Mar16-Aug16 FT-TS-Cashout-LG&amp;E'!$H432,'Data-Cashout'!$A$3:$A$3943,'Mar16-Aug16 FT-TS-Cashout-LG&amp;E'!N$348,'Data-Cashout'!$B$3:$B$3943,'Mar16-Aug16 FT-TS-Cashout-LG&amp;E'!$C432,'Data-Cashout'!$D$3:$D$3943,'Mar16-Aug16 FT-TS-Cashout-LG&amp;E'!$F$432)</f>
        <v>0</v>
      </c>
      <c r="O432" s="335">
        <f>SUMIFS('Data-Cashout'!$AI$3:$AI$3943,'Data-Cashout'!$E$3:$E$3943,'Mar16-Aug16 FT-TS-Cashout-LG&amp;E'!$H432,'Data-Cashout'!$A$3:$A$3943,'Mar16-Aug16 FT-TS-Cashout-LG&amp;E'!O$348,'Data-Cashout'!$B$3:$B$3943,'Mar16-Aug16 FT-TS-Cashout-LG&amp;E'!$C432,'Data-Cashout'!$D$3:$D$3943,'Mar16-Aug16 FT-TS-Cashout-LG&amp;E'!$F$432)</f>
        <v>0</v>
      </c>
      <c r="P432" s="459">
        <f>SUM(I432:L432)</f>
        <v>0</v>
      </c>
    </row>
    <row r="433" spans="2:16" x14ac:dyDescent="0.2">
      <c r="B433" s="362"/>
      <c r="C433" s="364" t="s">
        <v>39</v>
      </c>
      <c r="D433" s="364" t="str">
        <f t="shared" si="152"/>
        <v>881</v>
      </c>
      <c r="E433" s="362" t="str">
        <f>VLOOKUP($C433,'Retail Rates'!$B$45:$R$53,3,FALSE)</f>
        <v>CGS-TS</v>
      </c>
      <c r="F433" s="364" t="s">
        <v>661</v>
      </c>
      <c r="G433" s="365" t="s">
        <v>473</v>
      </c>
      <c r="H433" s="362"/>
      <c r="I433" s="362">
        <f t="shared" ref="I433:O433" si="156">ROUND(+I420*I425,2)</f>
        <v>0</v>
      </c>
      <c r="J433" s="362">
        <f t="shared" si="156"/>
        <v>0</v>
      </c>
      <c r="K433" s="362">
        <f t="shared" si="156"/>
        <v>0</v>
      </c>
      <c r="L433" s="362">
        <f t="shared" si="156"/>
        <v>0</v>
      </c>
      <c r="M433" s="362">
        <f t="shared" si="156"/>
        <v>0</v>
      </c>
      <c r="N433" s="362">
        <f t="shared" si="156"/>
        <v>0</v>
      </c>
      <c r="O433" s="362">
        <f t="shared" si="156"/>
        <v>0</v>
      </c>
      <c r="P433" s="459">
        <f>SUM(I433:L433)</f>
        <v>0</v>
      </c>
    </row>
    <row r="434" spans="2:16" x14ac:dyDescent="0.2">
      <c r="B434" s="362"/>
      <c r="C434" s="364" t="s">
        <v>39</v>
      </c>
      <c r="D434" s="364" t="str">
        <f t="shared" si="152"/>
        <v>881</v>
      </c>
      <c r="E434" s="362" t="str">
        <f>VLOOKUP($C434,'Retail Rates'!$B$45:$R$53,3,FALSE)</f>
        <v>CGS-TS</v>
      </c>
      <c r="F434" s="364" t="s">
        <v>661</v>
      </c>
      <c r="G434" s="365" t="s">
        <v>474</v>
      </c>
      <c r="H434" s="362"/>
      <c r="I434" s="455">
        <f t="shared" ref="I434:O434" si="157">ROUND(+I421*I426,2)</f>
        <v>0</v>
      </c>
      <c r="J434" s="455">
        <f t="shared" si="157"/>
        <v>0</v>
      </c>
      <c r="K434" s="455">
        <f t="shared" si="157"/>
        <v>0</v>
      </c>
      <c r="L434" s="455">
        <f t="shared" si="157"/>
        <v>0</v>
      </c>
      <c r="M434" s="455">
        <f t="shared" si="157"/>
        <v>0</v>
      </c>
      <c r="N434" s="455">
        <f t="shared" si="157"/>
        <v>0</v>
      </c>
      <c r="O434" s="455">
        <f t="shared" si="157"/>
        <v>0</v>
      </c>
      <c r="P434" s="459">
        <f>SUM(I434:L434)</f>
        <v>0</v>
      </c>
    </row>
    <row r="435" spans="2:16" x14ac:dyDescent="0.2">
      <c r="B435" s="362"/>
      <c r="C435" s="364" t="s">
        <v>39</v>
      </c>
      <c r="D435" s="364" t="str">
        <f>MID(C435,6,3)</f>
        <v>881</v>
      </c>
      <c r="E435" s="362" t="str">
        <f>VLOOKUP($C435,'Retail Rates'!$B$45:$R$53,3,FALSE)</f>
        <v>CGS-TS</v>
      </c>
      <c r="F435" s="364" t="s">
        <v>661</v>
      </c>
      <c r="G435" s="365" t="s">
        <v>294</v>
      </c>
      <c r="H435" s="325" t="s">
        <v>674</v>
      </c>
      <c r="I435" s="450">
        <f>SUMIFS('Data-Cashout'!$Q$3:$Q$3943,'Data-Cashout'!$A$3:$A$3943,'Mar16-Aug16 FT-TS-Cashout-LG&amp;E'!I$348,'Data-Cashout'!$B$3:$B$3943,'Mar16-Aug16 FT-TS-Cashout-LG&amp;E'!$C435,'Data-Cashout'!$D$3:$D$3943,'Mar16-Aug16 FT-TS-Cashout-LG&amp;E'!$F435,'Data-Cashout'!$E$3:$E$3943,'Mar16-Aug16 FT-TS-Cashout-LG&amp;E'!$H435)</f>
        <v>0</v>
      </c>
      <c r="J435" s="450">
        <f>SUMIFS('Data-Cashout'!$Q$3:$Q$3943,'Data-Cashout'!$A$3:$A$3943,'Mar16-Aug16 FT-TS-Cashout-LG&amp;E'!J$348,'Data-Cashout'!$B$3:$B$3943,'Mar16-Aug16 FT-TS-Cashout-LG&amp;E'!$C435,'Data-Cashout'!$D$3:$D$3943,'Mar16-Aug16 FT-TS-Cashout-LG&amp;E'!$F435,'Data-Cashout'!$E$3:$E$3943,'Mar16-Aug16 FT-TS-Cashout-LG&amp;E'!$H435)</f>
        <v>0</v>
      </c>
      <c r="K435" s="450">
        <f>SUMIFS('Data-Cashout'!$Q$3:$Q$3943,'Data-Cashout'!$A$3:$A$3943,'Mar16-Aug16 FT-TS-Cashout-LG&amp;E'!K$348,'Data-Cashout'!$B$3:$B$3943,'Mar16-Aug16 FT-TS-Cashout-LG&amp;E'!$C435,'Data-Cashout'!$D$3:$D$3943,'Mar16-Aug16 FT-TS-Cashout-LG&amp;E'!$F435,'Data-Cashout'!$E$3:$E$3943,'Mar16-Aug16 FT-TS-Cashout-LG&amp;E'!$H435)</f>
        <v>0</v>
      </c>
      <c r="L435" s="450">
        <f>SUMIFS('Data-Cashout'!$Q$3:$Q$3943,'Data-Cashout'!$A$3:$A$3943,'Mar16-Aug16 FT-TS-Cashout-LG&amp;E'!L$348,'Data-Cashout'!$B$3:$B$3943,'Mar16-Aug16 FT-TS-Cashout-LG&amp;E'!$C435,'Data-Cashout'!$D$3:$D$3943,'Mar16-Aug16 FT-TS-Cashout-LG&amp;E'!$F435,'Data-Cashout'!$E$3:$E$3943,'Mar16-Aug16 FT-TS-Cashout-LG&amp;E'!$H435)</f>
        <v>0</v>
      </c>
      <c r="M435" s="450">
        <f>SUMIFS('Data-Cashout'!$Q$3:$Q$3943,'Data-Cashout'!$A$3:$A$3943,'Mar16-Aug16 FT-TS-Cashout-LG&amp;E'!M$348,'Data-Cashout'!$B$3:$B$3943,'Mar16-Aug16 FT-TS-Cashout-LG&amp;E'!$C435,'Data-Cashout'!$D$3:$D$3943,'Mar16-Aug16 FT-TS-Cashout-LG&amp;E'!$F435,'Data-Cashout'!$E$3:$E$3943,'Mar16-Aug16 FT-TS-Cashout-LG&amp;E'!$H435)</f>
        <v>0</v>
      </c>
      <c r="N435" s="450">
        <f>SUMIFS('Data-Cashout'!$Q$3:$Q$3943,'Data-Cashout'!$A$3:$A$3943,'Mar16-Aug16 FT-TS-Cashout-LG&amp;E'!N$348,'Data-Cashout'!$B$3:$B$3943,'Mar16-Aug16 FT-TS-Cashout-LG&amp;E'!$C435,'Data-Cashout'!$D$3:$D$3943,'Mar16-Aug16 FT-TS-Cashout-LG&amp;E'!$F435,'Data-Cashout'!$E$3:$E$3943,'Mar16-Aug16 FT-TS-Cashout-LG&amp;E'!$H435)</f>
        <v>0</v>
      </c>
      <c r="O435" s="450">
        <f>SUMIFS('Data-Cashout'!$Q$3:$Q$3943,'Data-Cashout'!$A$3:$A$3943,'Mar16-Aug16 FT-TS-Cashout-LG&amp;E'!O$348,'Data-Cashout'!$B$3:$B$3943,'Mar16-Aug16 FT-TS-Cashout-LG&amp;E'!$C435,'Data-Cashout'!$D$3:$D$3943,'Mar16-Aug16 FT-TS-Cashout-LG&amp;E'!$F435,'Data-Cashout'!$E$3:$E$3943,'Mar16-Aug16 FT-TS-Cashout-LG&amp;E'!$H435)</f>
        <v>0</v>
      </c>
      <c r="P435" s="450">
        <f>SUMIFS('Data-Cashout'!$Q$3:$Q$3943,'Data-Cashout'!$A$3:$A$3943,'Mar16-Aug16 FT-TS-Cashout-LG&amp;E'!P$348,'Data-Cashout'!$B$3:$B$3943,'Mar16-Aug16 FT-TS-Cashout-LG&amp;E'!$C435,'Data-Cashout'!$D$3:$D$3943,'Mar16-Aug16 FT-TS-Cashout-LG&amp;E'!$F435,'Data-Cashout'!$E$3:$E$3943,'Mar16-Aug16 FT-TS-Cashout-LG&amp;E'!$H435)</f>
        <v>0</v>
      </c>
    </row>
    <row r="436" spans="2:16" x14ac:dyDescent="0.2">
      <c r="B436" s="362"/>
      <c r="C436" s="364" t="s">
        <v>39</v>
      </c>
      <c r="D436" s="364" t="str">
        <f>MID(C436,6,3)</f>
        <v>881</v>
      </c>
      <c r="E436" s="362" t="str">
        <f>VLOOKUP($C436,'Retail Rates'!$B$45:$R$53,3,FALSE)</f>
        <v>CGS-TS</v>
      </c>
      <c r="F436" s="364" t="s">
        <v>661</v>
      </c>
      <c r="G436" s="365" t="s">
        <v>670</v>
      </c>
      <c r="H436" s="362"/>
      <c r="I436" s="456">
        <f t="shared" ref="I436:O436" si="158">I419*I429</f>
        <v>0</v>
      </c>
      <c r="J436" s="456">
        <f t="shared" si="158"/>
        <v>0</v>
      </c>
      <c r="K436" s="456">
        <f t="shared" si="158"/>
        <v>0</v>
      </c>
      <c r="L436" s="456">
        <f t="shared" si="158"/>
        <v>0</v>
      </c>
      <c r="M436" s="456">
        <f t="shared" si="158"/>
        <v>0</v>
      </c>
      <c r="N436" s="456">
        <f t="shared" si="158"/>
        <v>0</v>
      </c>
      <c r="O436" s="456" t="e">
        <f t="shared" si="158"/>
        <v>#N/A</v>
      </c>
      <c r="P436" s="456">
        <f>P419*P429</f>
        <v>0</v>
      </c>
    </row>
    <row r="437" spans="2:16" x14ac:dyDescent="0.2">
      <c r="B437" s="362"/>
      <c r="C437" s="364" t="s">
        <v>39</v>
      </c>
      <c r="D437" s="364" t="str">
        <f t="shared" si="152"/>
        <v>881</v>
      </c>
      <c r="E437" s="362" t="str">
        <f>VLOOKUP($C437,'Retail Rates'!$B$45:$R$53,3,FALSE)</f>
        <v>CGS-TS</v>
      </c>
      <c r="F437" s="364" t="s">
        <v>661</v>
      </c>
      <c r="G437" s="365" t="s">
        <v>276</v>
      </c>
      <c r="H437" s="362"/>
      <c r="I437" s="449">
        <f>SUM(I432:I436)</f>
        <v>0</v>
      </c>
      <c r="J437" s="449">
        <f t="shared" ref="J437:O437" si="159">SUM(J432:J436)</f>
        <v>0</v>
      </c>
      <c r="K437" s="449">
        <f t="shared" si="159"/>
        <v>0</v>
      </c>
      <c r="L437" s="449">
        <f t="shared" si="159"/>
        <v>0</v>
      </c>
      <c r="M437" s="449">
        <f t="shared" si="159"/>
        <v>0</v>
      </c>
      <c r="N437" s="449">
        <f t="shared" si="159"/>
        <v>0</v>
      </c>
      <c r="O437" s="449" t="e">
        <f t="shared" si="159"/>
        <v>#N/A</v>
      </c>
      <c r="P437" s="459">
        <f>SUM(I437:L437)</f>
        <v>0</v>
      </c>
    </row>
    <row r="438" spans="2:16" x14ac:dyDescent="0.2">
      <c r="B438" s="362"/>
      <c r="C438" s="364" t="s">
        <v>39</v>
      </c>
      <c r="D438" s="364" t="str">
        <f t="shared" si="152"/>
        <v>881</v>
      </c>
      <c r="E438" s="362" t="str">
        <f>VLOOKUP($C438,'Retail Rates'!$B$45:$R$53,3,FALSE)</f>
        <v>CGS-TS</v>
      </c>
      <c r="F438" s="364" t="s">
        <v>661</v>
      </c>
      <c r="G438" s="365" t="s">
        <v>196</v>
      </c>
      <c r="H438" s="325" t="s">
        <v>196</v>
      </c>
      <c r="I438" s="414">
        <f>SUMIFS('Data-Cashout'!$AI$3:$AI$3943,'Data-Cashout'!$E$3:$E$3943,'Mar16-Aug16 FT-TS-Cashout-LG&amp;E'!$H$438,'Data-Cashout'!$A$3:$A$3943,'Mar16-Aug16 FT-TS-Cashout-LG&amp;E'!I$348,'Data-Cashout'!$B$3:$B$3943,'Mar16-Aug16 FT-TS-Cashout-LG&amp;E'!$C$438,'Data-Cashout'!$D$3:$D$3943,'Mar16-Aug16 FT-TS-Cashout-LG&amp;E'!$F$438)</f>
        <v>0</v>
      </c>
      <c r="J438" s="414">
        <f>SUMIFS('Data-Cashout'!$AI$3:$AI$3943,'Data-Cashout'!$E$3:$E$3943,'Mar16-Aug16 FT-TS-Cashout-LG&amp;E'!$H$438,'Data-Cashout'!$A$3:$A$3943,'Mar16-Aug16 FT-TS-Cashout-LG&amp;E'!J$348,'Data-Cashout'!$B$3:$B$3943,'Mar16-Aug16 FT-TS-Cashout-LG&amp;E'!$C$438,'Data-Cashout'!$D$3:$D$3943,'Mar16-Aug16 FT-TS-Cashout-LG&amp;E'!$F$438)</f>
        <v>0</v>
      </c>
      <c r="K438" s="414">
        <f>SUMIFS('Data-Cashout'!$AI$3:$AI$3943,'Data-Cashout'!$E$3:$E$3943,'Mar16-Aug16 FT-TS-Cashout-LG&amp;E'!$H$438,'Data-Cashout'!$A$3:$A$3943,'Mar16-Aug16 FT-TS-Cashout-LG&amp;E'!K$348,'Data-Cashout'!$B$3:$B$3943,'Mar16-Aug16 FT-TS-Cashout-LG&amp;E'!$C$438,'Data-Cashout'!$D$3:$D$3943,'Mar16-Aug16 FT-TS-Cashout-LG&amp;E'!$F$438)</f>
        <v>0</v>
      </c>
      <c r="L438" s="414">
        <f>SUMIFS('Data-Cashout'!$AI$3:$AI$3943,'Data-Cashout'!$E$3:$E$3943,'Mar16-Aug16 FT-TS-Cashout-LG&amp;E'!$H$438,'Data-Cashout'!$A$3:$A$3943,'Mar16-Aug16 FT-TS-Cashout-LG&amp;E'!L$348,'Data-Cashout'!$B$3:$B$3943,'Mar16-Aug16 FT-TS-Cashout-LG&amp;E'!$C$438,'Data-Cashout'!$D$3:$D$3943,'Mar16-Aug16 FT-TS-Cashout-LG&amp;E'!$F$438)</f>
        <v>0</v>
      </c>
      <c r="M438" s="414">
        <f>SUMIFS('Data-Cashout'!$AI$3:$AI$3943,'Data-Cashout'!$E$3:$E$3943,'Mar16-Aug16 FT-TS-Cashout-LG&amp;E'!$H$438,'Data-Cashout'!$A$3:$A$3943,'Mar16-Aug16 FT-TS-Cashout-LG&amp;E'!M$348,'Data-Cashout'!$B$3:$B$3943,'Mar16-Aug16 FT-TS-Cashout-LG&amp;E'!$C$438,'Data-Cashout'!$D$3:$D$3943,'Mar16-Aug16 FT-TS-Cashout-LG&amp;E'!$F$438)</f>
        <v>0</v>
      </c>
      <c r="N438" s="414">
        <f>SUMIFS('Data-Cashout'!$AI$3:$AI$3943,'Data-Cashout'!$E$3:$E$3943,'Mar16-Aug16 FT-TS-Cashout-LG&amp;E'!$H$438,'Data-Cashout'!$A$3:$A$3943,'Mar16-Aug16 FT-TS-Cashout-LG&amp;E'!N$348,'Data-Cashout'!$B$3:$B$3943,'Mar16-Aug16 FT-TS-Cashout-LG&amp;E'!$C$438,'Data-Cashout'!$D$3:$D$3943,'Mar16-Aug16 FT-TS-Cashout-LG&amp;E'!$F$438)</f>
        <v>0</v>
      </c>
      <c r="O438" s="414">
        <f>SUMIFS('Data-Cashout'!$AI$3:$AI$3943,'Data-Cashout'!$E$3:$E$3943,'Mar16-Aug16 FT-TS-Cashout-LG&amp;E'!$H$438,'Data-Cashout'!$A$3:$A$3943,'Mar16-Aug16 FT-TS-Cashout-LG&amp;E'!O$348,'Data-Cashout'!$B$3:$B$3943,'Mar16-Aug16 FT-TS-Cashout-LG&amp;E'!$C$438,'Data-Cashout'!$D$3:$D$3943,'Mar16-Aug16 FT-TS-Cashout-LG&amp;E'!$F$438)</f>
        <v>0</v>
      </c>
      <c r="P438" s="459">
        <f>SUM(I438:L438)</f>
        <v>0</v>
      </c>
    </row>
    <row r="439" spans="2:16" x14ac:dyDescent="0.2">
      <c r="B439" s="362"/>
      <c r="C439" s="364" t="s">
        <v>39</v>
      </c>
      <c r="D439" s="364" t="str">
        <f t="shared" si="152"/>
        <v>881</v>
      </c>
      <c r="E439" s="362" t="str">
        <f>VLOOKUP($C439,'Retail Rates'!$B$45:$R$53,3,FALSE)</f>
        <v>CGS-TS</v>
      </c>
      <c r="F439" s="364" t="s">
        <v>661</v>
      </c>
      <c r="G439" s="365" t="s">
        <v>276</v>
      </c>
      <c r="H439" s="362"/>
      <c r="I439" s="362">
        <f t="shared" ref="I439:O439" si="160">+I437+I438</f>
        <v>0</v>
      </c>
      <c r="J439" s="362">
        <f t="shared" si="160"/>
        <v>0</v>
      </c>
      <c r="K439" s="362">
        <f t="shared" si="160"/>
        <v>0</v>
      </c>
      <c r="L439" s="362">
        <f t="shared" si="160"/>
        <v>0</v>
      </c>
      <c r="M439" s="362">
        <f t="shared" si="160"/>
        <v>0</v>
      </c>
      <c r="N439" s="362">
        <f t="shared" si="160"/>
        <v>0</v>
      </c>
      <c r="O439" s="362" t="e">
        <f t="shared" si="160"/>
        <v>#N/A</v>
      </c>
      <c r="P439" s="459">
        <f>SUM(I439:L439)</f>
        <v>0</v>
      </c>
    </row>
    <row r="440" spans="2:16" x14ac:dyDescent="0.2">
      <c r="B440" s="362"/>
      <c r="C440" s="364" t="s">
        <v>39</v>
      </c>
      <c r="D440" s="364" t="str">
        <f t="shared" si="152"/>
        <v>881</v>
      </c>
      <c r="E440" s="362" t="str">
        <f>VLOOKUP($C440,'Retail Rates'!$B$45:$R$53,3,FALSE)</f>
        <v>CGS-TS</v>
      </c>
      <c r="F440" s="364" t="s">
        <v>661</v>
      </c>
      <c r="G440" s="370" t="s">
        <v>272</v>
      </c>
      <c r="H440" s="362"/>
      <c r="I440" s="369">
        <f t="shared" ref="I440:O440" si="161">ROUND(I422*I428,2)</f>
        <v>0</v>
      </c>
      <c r="J440" s="369">
        <f t="shared" si="161"/>
        <v>0</v>
      </c>
      <c r="K440" s="369">
        <f t="shared" si="161"/>
        <v>0</v>
      </c>
      <c r="L440" s="369">
        <f t="shared" si="161"/>
        <v>0</v>
      </c>
      <c r="M440" s="369">
        <f t="shared" si="161"/>
        <v>0</v>
      </c>
      <c r="N440" s="369">
        <f t="shared" si="161"/>
        <v>0</v>
      </c>
      <c r="O440" s="369">
        <f t="shared" si="161"/>
        <v>0</v>
      </c>
      <c r="P440" s="459">
        <f>SUM(I440:L440)</f>
        <v>0</v>
      </c>
    </row>
    <row r="441" spans="2:16" x14ac:dyDescent="0.2">
      <c r="B441" s="362"/>
      <c r="C441" s="364" t="s">
        <v>39</v>
      </c>
      <c r="D441" s="364" t="str">
        <f t="shared" si="152"/>
        <v>881</v>
      </c>
      <c r="E441" s="362" t="str">
        <f>VLOOKUP($C441,'Retail Rates'!$B$45:$R$53,3,FALSE)</f>
        <v>CGS-TS</v>
      </c>
      <c r="F441" s="364" t="s">
        <v>661</v>
      </c>
      <c r="G441" s="365" t="s">
        <v>288</v>
      </c>
      <c r="H441" s="362"/>
      <c r="I441" s="362">
        <f t="shared" ref="I441:O441" si="162">+I439+I440</f>
        <v>0</v>
      </c>
      <c r="J441" s="362">
        <f t="shared" si="162"/>
        <v>0</v>
      </c>
      <c r="K441" s="362">
        <f t="shared" si="162"/>
        <v>0</v>
      </c>
      <c r="L441" s="362">
        <f t="shared" si="162"/>
        <v>0</v>
      </c>
      <c r="M441" s="362">
        <f t="shared" si="162"/>
        <v>0</v>
      </c>
      <c r="N441" s="362">
        <f t="shared" si="162"/>
        <v>0</v>
      </c>
      <c r="O441" s="362" t="e">
        <f t="shared" si="162"/>
        <v>#N/A</v>
      </c>
      <c r="P441" s="459">
        <f>SUM(I441:L441)</f>
        <v>0</v>
      </c>
    </row>
    <row r="442" spans="2:16" x14ac:dyDescent="0.2">
      <c r="B442" s="362"/>
      <c r="C442" s="364"/>
      <c r="D442" s="364"/>
      <c r="E442" s="362"/>
      <c r="F442" s="364"/>
      <c r="G442" s="371"/>
      <c r="H442" s="362"/>
      <c r="I442" s="362"/>
      <c r="J442" s="362"/>
      <c r="K442" s="362"/>
      <c r="L442" s="362"/>
      <c r="M442" s="362"/>
      <c r="N442" s="362"/>
      <c r="O442" s="362"/>
      <c r="P442" s="449"/>
    </row>
    <row r="443" spans="2:16" x14ac:dyDescent="0.2">
      <c r="B443" s="362"/>
      <c r="C443" s="364"/>
      <c r="D443" s="364"/>
      <c r="E443" s="362"/>
      <c r="F443" s="364"/>
      <c r="G443" s="372"/>
      <c r="H443" s="362"/>
      <c r="I443" s="362"/>
      <c r="J443" s="362"/>
      <c r="K443" s="362"/>
      <c r="L443" s="362"/>
      <c r="M443" s="362"/>
      <c r="N443" s="362"/>
      <c r="O443" s="362"/>
      <c r="P443" s="449"/>
    </row>
    <row r="444" spans="2:16" x14ac:dyDescent="0.2">
      <c r="B444" s="362"/>
      <c r="C444" s="364"/>
      <c r="D444" s="364"/>
      <c r="E444" s="362"/>
      <c r="F444" s="364" t="s">
        <v>925</v>
      </c>
      <c r="G444" s="368" t="s">
        <v>532</v>
      </c>
      <c r="H444" s="362"/>
      <c r="I444" s="449">
        <f>SUMIFS('Bruise Report-Cashouts'!$C$5:$C$76,'Bruise Report-Cashouts'!$A$5:$A$76,'Mar16-Aug16 FT-TS-Cashout-LG&amp;E'!I$348,'Bruise Report-Cashouts'!$B$5:$B$76,'Mar16-Aug16 FT-TS-Cashout-LG&amp;E'!$F$444)</f>
        <v>0</v>
      </c>
      <c r="J444" s="449">
        <f>SUMIFS('Bruise Report-Cashouts'!$C$5:$C$76,'Bruise Report-Cashouts'!$A$5:$A$76,'Mar16-Aug16 FT-TS-Cashout-LG&amp;E'!J$348,'Bruise Report-Cashouts'!$B$5:$B$76,'Mar16-Aug16 FT-TS-Cashout-LG&amp;E'!$F$444)</f>
        <v>0</v>
      </c>
      <c r="K444" s="449">
        <f>SUMIFS('Bruise Report-Cashouts'!$C$5:$C$76,'Bruise Report-Cashouts'!$A$5:$A$76,'Mar16-Aug16 FT-TS-Cashout-LG&amp;E'!K$348,'Bruise Report-Cashouts'!$B$5:$B$76,'Mar16-Aug16 FT-TS-Cashout-LG&amp;E'!$F$444)</f>
        <v>0</v>
      </c>
      <c r="L444" s="449">
        <f>SUMIFS('Bruise Report-Cashouts'!$C$5:$C$76,'Bruise Report-Cashouts'!$A$5:$A$76,'Mar16-Aug16 FT-TS-Cashout-LG&amp;E'!L$348,'Bruise Report-Cashouts'!$B$5:$B$76,'Mar16-Aug16 FT-TS-Cashout-LG&amp;E'!$F$444)</f>
        <v>0</v>
      </c>
      <c r="M444" s="449">
        <f>SUMIFS('Bruise Report-Cashouts'!$C$5:$C$76,'Bruise Report-Cashouts'!$A$5:$A$76,'Mar16-Aug16 FT-TS-Cashout-LG&amp;E'!M$348,'Bruise Report-Cashouts'!$B$5:$B$76,'Mar16-Aug16 FT-TS-Cashout-LG&amp;E'!$F$444)</f>
        <v>0</v>
      </c>
      <c r="N444" s="449">
        <f>SUMIFS('Bruise Report-Cashouts'!$C$5:$C$76,'Bruise Report-Cashouts'!$A$5:$A$76,'Mar16-Aug16 FT-TS-Cashout-LG&amp;E'!N$348,'Bruise Report-Cashouts'!$B$5:$B$76,'Mar16-Aug16 FT-TS-Cashout-LG&amp;E'!$F$444)</f>
        <v>0</v>
      </c>
      <c r="O444" s="449">
        <f>SUMIFS('Bruise Report-Cashouts'!$C$5:$C$76,'Bruise Report-Cashouts'!$A$5:$A$76,'Mar16-Aug16 FT-TS-Cashout-LG&amp;E'!O$348,'Bruise Report-Cashouts'!$B$5:$B$76,'Mar16-Aug16 FT-TS-Cashout-LG&amp;E'!$F$444)</f>
        <v>0</v>
      </c>
      <c r="P444" s="459">
        <f>SUM(I444:L444)</f>
        <v>0</v>
      </c>
    </row>
    <row r="445" spans="2:16" x14ac:dyDescent="0.2">
      <c r="B445" s="362"/>
      <c r="C445" s="364"/>
      <c r="D445" s="364"/>
      <c r="E445" s="362"/>
      <c r="F445" s="364"/>
      <c r="G445" s="362"/>
      <c r="H445" s="362"/>
      <c r="I445" s="362"/>
      <c r="J445" s="362"/>
      <c r="K445" s="362"/>
      <c r="L445" s="362"/>
      <c r="M445" s="362"/>
      <c r="N445" s="362"/>
      <c r="O445" s="362"/>
      <c r="P445" s="449"/>
    </row>
    <row r="446" spans="2:16" x14ac:dyDescent="0.2">
      <c r="B446" s="362"/>
      <c r="C446" s="364"/>
      <c r="D446" s="364"/>
      <c r="E446" s="362"/>
      <c r="F446" s="364"/>
      <c r="G446" s="368" t="s">
        <v>262</v>
      </c>
      <c r="H446" s="362"/>
      <c r="I446" s="449">
        <f t="shared" ref="I446:O446" si="163">+I441-I444</f>
        <v>0</v>
      </c>
      <c r="J446" s="449">
        <f t="shared" si="163"/>
        <v>0</v>
      </c>
      <c r="K446" s="449">
        <f t="shared" si="163"/>
        <v>0</v>
      </c>
      <c r="L446" s="449">
        <f t="shared" si="163"/>
        <v>0</v>
      </c>
      <c r="M446" s="449">
        <f t="shared" si="163"/>
        <v>0</v>
      </c>
      <c r="N446" s="449">
        <f t="shared" si="163"/>
        <v>0</v>
      </c>
      <c r="O446" s="449" t="e">
        <f t="shared" si="163"/>
        <v>#N/A</v>
      </c>
      <c r="P446" s="417">
        <f>SUM(I446:L446)</f>
        <v>0</v>
      </c>
    </row>
    <row r="447" spans="2:16" x14ac:dyDescent="0.2">
      <c r="B447" s="362"/>
      <c r="C447" s="364"/>
      <c r="D447" s="364"/>
      <c r="E447" s="362"/>
      <c r="F447" s="364"/>
      <c r="G447" s="368"/>
      <c r="H447" s="362"/>
      <c r="I447" s="362"/>
      <c r="J447" s="362"/>
      <c r="K447" s="362"/>
      <c r="L447" s="362"/>
      <c r="M447" s="362"/>
      <c r="N447" s="362"/>
      <c r="O447" s="362"/>
      <c r="P447" s="449"/>
    </row>
    <row r="448" spans="2:16" x14ac:dyDescent="0.2">
      <c r="B448" s="362"/>
      <c r="C448" s="364"/>
      <c r="D448" s="364"/>
      <c r="E448" s="362"/>
      <c r="F448" s="364"/>
      <c r="G448" s="368"/>
      <c r="H448" s="362"/>
      <c r="I448" s="362"/>
      <c r="J448" s="362"/>
      <c r="K448" s="362"/>
      <c r="L448" s="362"/>
      <c r="M448" s="362"/>
      <c r="N448" s="362"/>
      <c r="O448" s="362"/>
      <c r="P448" s="449"/>
    </row>
    <row r="449" spans="2:16" x14ac:dyDescent="0.2">
      <c r="B449" s="362"/>
      <c r="C449" s="364"/>
      <c r="D449" s="364"/>
      <c r="E449" s="362"/>
      <c r="F449" s="364"/>
      <c r="G449" s="362"/>
      <c r="H449" s="362"/>
      <c r="I449" s="362"/>
      <c r="J449" s="362"/>
      <c r="K449" s="362"/>
      <c r="L449" s="362"/>
      <c r="M449" s="362"/>
      <c r="N449" s="362"/>
      <c r="O449" s="362"/>
      <c r="P449" s="362"/>
    </row>
    <row r="450" spans="2:16" x14ac:dyDescent="0.2">
      <c r="B450" s="362"/>
      <c r="C450" s="362"/>
      <c r="D450" s="362"/>
      <c r="E450" s="362"/>
      <c r="F450" s="364"/>
      <c r="G450" s="363" t="s">
        <v>755</v>
      </c>
      <c r="H450" s="362"/>
      <c r="I450" s="362"/>
      <c r="J450" s="362"/>
      <c r="K450" s="362"/>
      <c r="L450" s="362"/>
      <c r="M450" s="362"/>
      <c r="N450" s="362"/>
      <c r="O450" s="362"/>
      <c r="P450" s="362"/>
    </row>
    <row r="451" spans="2:16" x14ac:dyDescent="0.2">
      <c r="B451" s="362"/>
      <c r="C451" s="364" t="s">
        <v>39</v>
      </c>
      <c r="D451" s="364" t="str">
        <f t="shared" ref="D451:D461" si="164">MID(C451,6,3)</f>
        <v>881</v>
      </c>
      <c r="E451" s="362" t="str">
        <f>VLOOKUP($C451,'Retail Rates'!$B$45:$R$53,3,FALSE)</f>
        <v>CGS-TS</v>
      </c>
      <c r="F451" s="364" t="s">
        <v>662</v>
      </c>
      <c r="G451" s="365" t="s">
        <v>268</v>
      </c>
      <c r="H451" s="362"/>
      <c r="I451" s="362">
        <f t="shared" ref="I451:O451" si="165">I464/I456</f>
        <v>0</v>
      </c>
      <c r="J451" s="362">
        <f t="shared" si="165"/>
        <v>0</v>
      </c>
      <c r="K451" s="362">
        <f t="shared" si="165"/>
        <v>0</v>
      </c>
      <c r="L451" s="362">
        <f t="shared" si="165"/>
        <v>0</v>
      </c>
      <c r="M451" s="362">
        <f t="shared" si="165"/>
        <v>0</v>
      </c>
      <c r="N451" s="362">
        <f t="shared" si="165"/>
        <v>0</v>
      </c>
      <c r="O451" s="362">
        <f t="shared" si="165"/>
        <v>0</v>
      </c>
      <c r="P451" s="459">
        <f>SUM(I451:L451)</f>
        <v>0</v>
      </c>
    </row>
    <row r="452" spans="2:16" x14ac:dyDescent="0.2">
      <c r="B452" s="362"/>
      <c r="C452" s="364" t="s">
        <v>39</v>
      </c>
      <c r="D452" s="364" t="str">
        <f t="shared" si="164"/>
        <v>881</v>
      </c>
      <c r="E452" s="362" t="str">
        <f>VLOOKUP($C452,'Retail Rates'!$B$45:$R$53,3,FALSE)</f>
        <v>CGS-TS</v>
      </c>
      <c r="F452" s="364" t="s">
        <v>662</v>
      </c>
      <c r="G452" s="365" t="s">
        <v>468</v>
      </c>
      <c r="H452" s="362"/>
      <c r="I452" s="362">
        <f t="shared" ref="I452:O452" si="166">IF(I454=0,I454,IF(I454&gt;=(I451*100),(I451*100),I454))</f>
        <v>0</v>
      </c>
      <c r="J452" s="362">
        <f t="shared" si="166"/>
        <v>0</v>
      </c>
      <c r="K452" s="362">
        <f t="shared" si="166"/>
        <v>0</v>
      </c>
      <c r="L452" s="362">
        <f t="shared" si="166"/>
        <v>0</v>
      </c>
      <c r="M452" s="362">
        <f t="shared" si="166"/>
        <v>0</v>
      </c>
      <c r="N452" s="362">
        <f t="shared" si="166"/>
        <v>0</v>
      </c>
      <c r="O452" s="362">
        <f t="shared" si="166"/>
        <v>0</v>
      </c>
      <c r="P452" s="459">
        <f>SUM(I452:L452)</f>
        <v>0</v>
      </c>
    </row>
    <row r="453" spans="2:16" x14ac:dyDescent="0.2">
      <c r="B453" s="362"/>
      <c r="C453" s="364" t="s">
        <v>39</v>
      </c>
      <c r="D453" s="364" t="str">
        <f t="shared" si="164"/>
        <v>881</v>
      </c>
      <c r="E453" s="362" t="str">
        <f>VLOOKUP($C453,'Retail Rates'!$B$45:$R$53,3,FALSE)</f>
        <v>CGS-TS</v>
      </c>
      <c r="F453" s="364" t="s">
        <v>662</v>
      </c>
      <c r="G453" s="365" t="s">
        <v>469</v>
      </c>
      <c r="H453" s="362"/>
      <c r="I453" s="362">
        <f t="shared" ref="I453:O453" si="167">+I454-I452</f>
        <v>0</v>
      </c>
      <c r="J453" s="362">
        <f t="shared" si="167"/>
        <v>0</v>
      </c>
      <c r="K453" s="362">
        <f t="shared" si="167"/>
        <v>0</v>
      </c>
      <c r="L453" s="362">
        <f t="shared" si="167"/>
        <v>0</v>
      </c>
      <c r="M453" s="362">
        <f t="shared" si="167"/>
        <v>0</v>
      </c>
      <c r="N453" s="362">
        <f t="shared" si="167"/>
        <v>0</v>
      </c>
      <c r="O453" s="362">
        <f t="shared" si="167"/>
        <v>0</v>
      </c>
      <c r="P453" s="459">
        <f>SUM(I453:L453)</f>
        <v>0</v>
      </c>
    </row>
    <row r="454" spans="2:16" x14ac:dyDescent="0.2">
      <c r="B454" s="362"/>
      <c r="C454" s="364" t="s">
        <v>39</v>
      </c>
      <c r="D454" s="364" t="str">
        <f t="shared" si="164"/>
        <v>881</v>
      </c>
      <c r="E454" s="362" t="str">
        <f>VLOOKUP($C454,'Retail Rates'!$B$45:$R$53,3,FALSE)</f>
        <v>CGS-TS</v>
      </c>
      <c r="F454" s="364" t="s">
        <v>662</v>
      </c>
      <c r="G454" s="365" t="s">
        <v>470</v>
      </c>
      <c r="H454" s="325" t="s">
        <v>518</v>
      </c>
      <c r="I454" s="394">
        <f>SUMIFS('Data-Cashout'!$J$3:$J$3943,'Data-Cashout'!$E$3:$E$3943,'Mar16-Aug16 FT-TS-Cashout-LG&amp;E'!$H$454,'Data-Cashout'!$A$3:$A$3943,'Mar16-Aug16 FT-TS-Cashout-LG&amp;E'!I$348,'Data-Cashout'!$B$3:$B$3943,'Mar16-Aug16 FT-TS-Cashout-LG&amp;E'!$C$454,'Data-Cashout'!$F$3:$F$3943,'Mar16-Aug16 FT-TS-Cashout-LG&amp;E'!I$351,'Data-Cashout'!$D$3:$D$3943,'Mar16-Aug16 FT-TS-Cashout-LG&amp;E'!$F$454)/10</f>
        <v>0</v>
      </c>
      <c r="J454" s="394">
        <f>SUMIFS('Data-Cashout'!$J$3:$J$3943,'Data-Cashout'!$E$3:$E$3943,'Mar16-Aug16 FT-TS-Cashout-LG&amp;E'!$H$454,'Data-Cashout'!$A$3:$A$3943,'Mar16-Aug16 FT-TS-Cashout-LG&amp;E'!J$348,'Data-Cashout'!$B$3:$B$3943,'Mar16-Aug16 FT-TS-Cashout-LG&amp;E'!$C$454,'Data-Cashout'!$F$3:$F$3943,'Mar16-Aug16 FT-TS-Cashout-LG&amp;E'!J$351,'Data-Cashout'!$D$3:$D$3943,'Mar16-Aug16 FT-TS-Cashout-LG&amp;E'!$F$454)/10</f>
        <v>0</v>
      </c>
      <c r="K454" s="394">
        <f>SUMIFS('Data-Cashout'!$J$3:$J$3943,'Data-Cashout'!$E$3:$E$3943,'Mar16-Aug16 FT-TS-Cashout-LG&amp;E'!$H$454,'Data-Cashout'!$A$3:$A$3943,'Mar16-Aug16 FT-TS-Cashout-LG&amp;E'!K$348,'Data-Cashout'!$B$3:$B$3943,'Mar16-Aug16 FT-TS-Cashout-LG&amp;E'!$C$454,'Data-Cashout'!$F$3:$F$3943,'Mar16-Aug16 FT-TS-Cashout-LG&amp;E'!K$351,'Data-Cashout'!$D$3:$D$3943,'Mar16-Aug16 FT-TS-Cashout-LG&amp;E'!$F$454)/10</f>
        <v>0</v>
      </c>
      <c r="L454" s="394">
        <f>SUMIFS('Data-Cashout'!$J$3:$J$3943,'Data-Cashout'!$E$3:$E$3943,'Mar16-Aug16 FT-TS-Cashout-LG&amp;E'!$H$454,'Data-Cashout'!$A$3:$A$3943,'Mar16-Aug16 FT-TS-Cashout-LG&amp;E'!L$348,'Data-Cashout'!$B$3:$B$3943,'Mar16-Aug16 FT-TS-Cashout-LG&amp;E'!$C$454,'Data-Cashout'!$F$3:$F$3943,'Mar16-Aug16 FT-TS-Cashout-LG&amp;E'!L$351,'Data-Cashout'!$D$3:$D$3943,'Mar16-Aug16 FT-TS-Cashout-LG&amp;E'!$F$454)/10</f>
        <v>0</v>
      </c>
      <c r="M454" s="394">
        <f>SUMIFS('Data-Cashout'!$J$3:$J$3943,'Data-Cashout'!$E$3:$E$3943,'Mar16-Aug16 FT-TS-Cashout-LG&amp;E'!$H$454,'Data-Cashout'!$A$3:$A$3943,'Mar16-Aug16 FT-TS-Cashout-LG&amp;E'!M$348,'Data-Cashout'!$B$3:$B$3943,'Mar16-Aug16 FT-TS-Cashout-LG&amp;E'!$C$454,'Data-Cashout'!$F$3:$F$3943,'Mar16-Aug16 FT-TS-Cashout-LG&amp;E'!M$351,'Data-Cashout'!$D$3:$D$3943,'Mar16-Aug16 FT-TS-Cashout-LG&amp;E'!$F$454)/10</f>
        <v>0</v>
      </c>
      <c r="N454" s="394">
        <f>SUMIFS('Data-Cashout'!$J$3:$J$3943,'Data-Cashout'!$E$3:$E$3943,'Mar16-Aug16 FT-TS-Cashout-LG&amp;E'!$H$454,'Data-Cashout'!$A$3:$A$3943,'Mar16-Aug16 FT-TS-Cashout-LG&amp;E'!N$348,'Data-Cashout'!$B$3:$B$3943,'Mar16-Aug16 FT-TS-Cashout-LG&amp;E'!$C$454,'Data-Cashout'!$F$3:$F$3943,'Mar16-Aug16 FT-TS-Cashout-LG&amp;E'!N$351,'Data-Cashout'!$D$3:$D$3943,'Mar16-Aug16 FT-TS-Cashout-LG&amp;E'!$F$454)/10</f>
        <v>0</v>
      </c>
      <c r="O454" s="394">
        <f>SUMIFS('Data-Cashout'!$J$3:$J$3943,'Data-Cashout'!$E$3:$E$3943,'Mar16-Aug16 FT-TS-Cashout-LG&amp;E'!$H$454,'Data-Cashout'!$A$3:$A$3943,'Mar16-Aug16 FT-TS-Cashout-LG&amp;E'!O$348,'Data-Cashout'!$B$3:$B$3943,'Mar16-Aug16 FT-TS-Cashout-LG&amp;E'!$C$454,'Data-Cashout'!$F$3:$F$3943,'Mar16-Aug16 FT-TS-Cashout-LG&amp;E'!O$351,'Data-Cashout'!$D$3:$D$3943,'Mar16-Aug16 FT-TS-Cashout-LG&amp;E'!$F$454)/10</f>
        <v>0</v>
      </c>
      <c r="P454" s="459">
        <f>SUM(I454:L454)</f>
        <v>0</v>
      </c>
    </row>
    <row r="455" spans="2:16" x14ac:dyDescent="0.2">
      <c r="B455" s="362"/>
      <c r="C455" s="364" t="s">
        <v>39</v>
      </c>
      <c r="D455" s="364" t="str">
        <f t="shared" si="164"/>
        <v>881</v>
      </c>
      <c r="E455" s="362" t="str">
        <f>VLOOKUP($C455,'Retail Rates'!$B$45:$R$53,3,FALSE)</f>
        <v>CGS-TS</v>
      </c>
      <c r="F455" s="364" t="s">
        <v>662</v>
      </c>
      <c r="G455" s="366"/>
      <c r="H455" s="362"/>
      <c r="I455" s="362"/>
      <c r="J455" s="362"/>
      <c r="K455" s="362"/>
      <c r="L455" s="362"/>
      <c r="M455" s="362"/>
      <c r="N455" s="362"/>
      <c r="O455" s="362"/>
      <c r="P455" s="362"/>
    </row>
    <row r="456" spans="2:16" x14ac:dyDescent="0.2">
      <c r="B456" s="362"/>
      <c r="C456" s="364" t="s">
        <v>39</v>
      </c>
      <c r="D456" s="364" t="str">
        <f t="shared" si="164"/>
        <v>881</v>
      </c>
      <c r="E456" s="362" t="str">
        <f>VLOOKUP($C456,'Retail Rates'!$B$45:$R$53,3,FALSE)</f>
        <v>CGS-TS</v>
      </c>
      <c r="F456" s="364" t="s">
        <v>662</v>
      </c>
      <c r="G456" s="365" t="s">
        <v>596</v>
      </c>
      <c r="H456" s="362"/>
      <c r="I456" s="362">
        <f>VLOOKUP($C456,'Retail Rates'!$B$9:$O$61,6,FALSE)</f>
        <v>180</v>
      </c>
      <c r="J456" s="362">
        <f>VLOOKUP($C456,'Retail Rates'!$B$9:$O$61,6,FALSE)</f>
        <v>180</v>
      </c>
      <c r="K456" s="362">
        <f>VLOOKUP($C456,'Retail Rates'!$B$9:$O$61,6,FALSE)</f>
        <v>180</v>
      </c>
      <c r="L456" s="362">
        <f>VLOOKUP($C456,'Retail Rates'!$B$9:$O$61,6,FALSE)</f>
        <v>180</v>
      </c>
      <c r="M456" s="362">
        <f>VLOOKUP($C456,'Retail Rates'!$B$9:$O$61,6,FALSE)</f>
        <v>180</v>
      </c>
      <c r="N456" s="362">
        <f>VLOOKUP($C456,'Retail Rates'!$B$9:$O$61,6,FALSE)</f>
        <v>180</v>
      </c>
      <c r="O456" s="362">
        <f>VLOOKUP($C456,'Retail Rates'!$B$9:$O$61,6,FALSE)</f>
        <v>180</v>
      </c>
      <c r="P456" s="362"/>
    </row>
    <row r="457" spans="2:16" x14ac:dyDescent="0.2">
      <c r="B457" s="362"/>
      <c r="C457" s="364" t="s">
        <v>39</v>
      </c>
      <c r="D457" s="364" t="str">
        <f t="shared" si="164"/>
        <v>881</v>
      </c>
      <c r="E457" s="362" t="str">
        <f>VLOOKUP($C457,'Retail Rates'!$B$45:$R$53,3,FALSE)</f>
        <v>CGS-TS</v>
      </c>
      <c r="F457" s="364" t="s">
        <v>662</v>
      </c>
      <c r="G457" s="365" t="s">
        <v>471</v>
      </c>
      <c r="H457" s="362"/>
      <c r="I457" s="362">
        <f>VLOOKUP($C457,'Retail Rates'!$B$44:$O$53,7,FALSE)</f>
        <v>2.1504000000000003</v>
      </c>
      <c r="J457" s="362">
        <f>VLOOKUP($C457,'Retail Rates'!$B$44:$O$53,7,FALSE)</f>
        <v>2.1504000000000003</v>
      </c>
      <c r="K457" s="362">
        <f>VLOOKUP($C457,'Retail Rates'!$B$44:$O$53,7,FALSE)</f>
        <v>2.1504000000000003</v>
      </c>
      <c r="L457" s="362">
        <f>VLOOKUP($C457,'Retail Rates'!$B$44:$O$53,7,FALSE)</f>
        <v>2.1504000000000003</v>
      </c>
      <c r="M457" s="362">
        <f>VLOOKUP($C457,'Retail Rates'!$B$44:$O$53,7,FALSE)</f>
        <v>2.1504000000000003</v>
      </c>
      <c r="N457" s="362">
        <f>VLOOKUP($C457,'Retail Rates'!$B$44:$O$53,7,FALSE)</f>
        <v>2.1504000000000003</v>
      </c>
      <c r="O457" s="362">
        <f>VLOOKUP($C457,'Retail Rates'!$B$44:$O$53,7,FALSE)</f>
        <v>2.1504000000000003</v>
      </c>
      <c r="P457" s="362"/>
    </row>
    <row r="458" spans="2:16" x14ac:dyDescent="0.2">
      <c r="B458" s="362"/>
      <c r="C458" s="364" t="s">
        <v>39</v>
      </c>
      <c r="D458" s="364" t="str">
        <f t="shared" si="164"/>
        <v>881</v>
      </c>
      <c r="E458" s="362" t="str">
        <f>VLOOKUP($C458,'Retail Rates'!$B$45:$R$53,3,FALSE)</f>
        <v>CGS-TS</v>
      </c>
      <c r="F458" s="364" t="s">
        <v>662</v>
      </c>
      <c r="G458" s="365" t="s">
        <v>472</v>
      </c>
      <c r="H458" s="362"/>
      <c r="I458" s="362">
        <f>+I457</f>
        <v>2.1504000000000003</v>
      </c>
      <c r="J458" s="362">
        <f>+J457</f>
        <v>2.1504000000000003</v>
      </c>
      <c r="K458" s="362">
        <f>+K457-0.5</f>
        <v>1.6504000000000003</v>
      </c>
      <c r="L458" s="362">
        <f>+L457-0.5</f>
        <v>1.6504000000000003</v>
      </c>
      <c r="M458" s="362">
        <f>+M457-0.5</f>
        <v>1.6504000000000003</v>
      </c>
      <c r="N458" s="362">
        <f>+N457-0.5</f>
        <v>1.6504000000000003</v>
      </c>
      <c r="O458" s="362">
        <f>+O457-0.5</f>
        <v>1.6504000000000003</v>
      </c>
      <c r="P458" s="362"/>
    </row>
    <row r="459" spans="2:16" x14ac:dyDescent="0.2">
      <c r="B459" s="362"/>
      <c r="C459" s="364" t="s">
        <v>39</v>
      </c>
      <c r="D459" s="364" t="str">
        <f t="shared" si="164"/>
        <v>881</v>
      </c>
      <c r="E459" s="362" t="str">
        <f>VLOOKUP($C459,'Retail Rates'!$B$45:$R$53,3,FALSE)</f>
        <v>CGS-TS</v>
      </c>
      <c r="F459" s="364" t="s">
        <v>662</v>
      </c>
      <c r="G459" s="365" t="s">
        <v>542</v>
      </c>
      <c r="H459" s="362"/>
      <c r="I459" s="362">
        <f>SUMIF('GSC-DSM-GLT Factors'!$A$1:$A$58,'Mar16-Aug16 FT-TS-Cashout-LG&amp;E'!I$5,'GSC-DSM-GLT Factors'!$I$1:$I$58)</f>
        <v>3.2343000000000002</v>
      </c>
      <c r="J459" s="362">
        <f>SUMIF('GSC-DSM-GLT Factors'!$A$1:$A$58,'Mar16-Aug16 FT-TS-Cashout-LG&amp;E'!J$5,'GSC-DSM-GLT Factors'!$I$1:$I$58)</f>
        <v>3.2343000000000002</v>
      </c>
      <c r="K459" s="362">
        <f>SUMIF('GSC-DSM-GLT Factors'!$A$1:$A$58,'Mar16-Aug16 FT-TS-Cashout-LG&amp;E'!K$5,'GSC-DSM-GLT Factors'!$I$1:$I$58)</f>
        <v>3.2343000000000002</v>
      </c>
      <c r="L459" s="362">
        <f>SUMIF('GSC-DSM-GLT Factors'!$A$1:$A$58,'Mar16-Aug16 FT-TS-Cashout-LG&amp;E'!L$5,'GSC-DSM-GLT Factors'!$I$1:$I$58)</f>
        <v>3.5129999999999999</v>
      </c>
      <c r="M459" s="362">
        <f>SUMIF('GSC-DSM-GLT Factors'!$A$1:$A$58,'Mar16-Aug16 FT-TS-Cashout-LG&amp;E'!M$5,'GSC-DSM-GLT Factors'!$I$1:$I$58)</f>
        <v>3.5129999999999999</v>
      </c>
      <c r="N459" s="362">
        <f>SUMIF('GSC-DSM-GLT Factors'!$A$1:$A$58,'Mar16-Aug16 FT-TS-Cashout-LG&amp;E'!N$5,'GSC-DSM-GLT Factors'!$I$1:$I$58)</f>
        <v>3.5129999999999999</v>
      </c>
      <c r="O459" s="362">
        <f>SUMIF('GSC-DSM-GLT Factors'!$A$1:$A$58,'Mar16-Aug16 FT-TS-Cashout-LG&amp;E'!O$5,'GSC-DSM-GLT Factors'!$I$1:$I$58)</f>
        <v>3.8216000000000001</v>
      </c>
      <c r="P459" s="362"/>
    </row>
    <row r="460" spans="2:16" x14ac:dyDescent="0.2">
      <c r="B460" s="362"/>
      <c r="C460" s="364" t="s">
        <v>39</v>
      </c>
      <c r="D460" s="364" t="str">
        <f t="shared" si="164"/>
        <v>881</v>
      </c>
      <c r="E460" s="362" t="str">
        <f>VLOOKUP($C460,'Retail Rates'!$B$45:$R$53,3,FALSE)</f>
        <v>CGS-TS</v>
      </c>
      <c r="F460" s="364" t="s">
        <v>662</v>
      </c>
      <c r="G460" s="365" t="s">
        <v>272</v>
      </c>
      <c r="H460" s="362"/>
      <c r="I460" s="362">
        <f>SUMIF('GSC-DSM-GLT Factors'!$A$1:$A$58,'Mar16-Aug16 FT-TS-Cashout-LG&amp;E'!I$5,'GSC-DSM-GLT Factors'!$G$1:$G$58)</f>
        <v>5.4000000000000003E-3</v>
      </c>
      <c r="J460" s="362">
        <f>SUMIF('GSC-DSM-GLT Factors'!$A$1:$A$58,'Mar16-Aug16 FT-TS-Cashout-LG&amp;E'!J$5,'GSC-DSM-GLT Factors'!$G$1:$G$58)</f>
        <v>5.4000000000000003E-3</v>
      </c>
      <c r="K460" s="362">
        <f>SUMIF('GSC-DSM-GLT Factors'!$A$1:$A$58,'Mar16-Aug16 FT-TS-Cashout-LG&amp;E'!K$5,'GSC-DSM-GLT Factors'!$G$1:$G$58)</f>
        <v>5.7000000000000002E-3</v>
      </c>
      <c r="L460" s="362">
        <f>SUMIF('GSC-DSM-GLT Factors'!$A$1:$A$58,'Mar16-Aug16 FT-TS-Cashout-LG&amp;E'!L$5,'GSC-DSM-GLT Factors'!$G$1:$G$58)</f>
        <v>5.7000000000000002E-3</v>
      </c>
      <c r="M460" s="362">
        <f>SUMIF('GSC-DSM-GLT Factors'!$A$1:$A$58,'Mar16-Aug16 FT-TS-Cashout-LG&amp;E'!M$5,'GSC-DSM-GLT Factors'!$G$1:$G$58)</f>
        <v>5.7000000000000002E-3</v>
      </c>
      <c r="N460" s="362">
        <f>SUMIF('GSC-DSM-GLT Factors'!$A$1:$A$58,'Mar16-Aug16 FT-TS-Cashout-LG&amp;E'!N$5,'GSC-DSM-GLT Factors'!$G$1:$G$58)</f>
        <v>5.7000000000000002E-3</v>
      </c>
      <c r="O460" s="362">
        <f>SUMIF('GSC-DSM-GLT Factors'!$A$1:$A$58,'Mar16-Aug16 FT-TS-Cashout-LG&amp;E'!O$5,'GSC-DSM-GLT Factors'!$G$1:$G$58)</f>
        <v>5.7000000000000002E-3</v>
      </c>
      <c r="P460" s="362"/>
    </row>
    <row r="461" spans="2:16" x14ac:dyDescent="0.2">
      <c r="B461" s="362"/>
      <c r="C461" s="364" t="s">
        <v>39</v>
      </c>
      <c r="D461" s="364" t="str">
        <f t="shared" si="164"/>
        <v>881</v>
      </c>
      <c r="E461" s="362" t="str">
        <f>VLOOKUP($C461,'Retail Rates'!$B$45:$R$53,3,FALSE)</f>
        <v>CGS-TS</v>
      </c>
      <c r="F461" s="364" t="s">
        <v>662</v>
      </c>
      <c r="G461" s="365" t="s">
        <v>754</v>
      </c>
      <c r="H461" s="362"/>
      <c r="I461" s="362">
        <f>VLOOKUP(I$348,'GSC-DSM-GLT Factors'!$A$11:$O$58,12,FALSE)</f>
        <v>25.87</v>
      </c>
      <c r="J461" s="362">
        <f>VLOOKUP(J$348,'GSC-DSM-GLT Factors'!$A$11:$O$58,12,FALSE)</f>
        <v>25.87</v>
      </c>
      <c r="K461" s="362">
        <f>VLOOKUP(K$348,'GSC-DSM-GLT Factors'!$A$11:$O$58,12,FALSE)</f>
        <v>27.41</v>
      </c>
      <c r="L461" s="362">
        <f>VLOOKUP(L$348,'GSC-DSM-GLT Factors'!$A$11:$O$58,12,FALSE)</f>
        <v>27.41</v>
      </c>
      <c r="M461" s="362">
        <f>VLOOKUP(M$348,'GSC-DSM-GLT Factors'!$A$11:$O$58,12,FALSE)</f>
        <v>27.41</v>
      </c>
      <c r="N461" s="362">
        <f>VLOOKUP(N$348,'GSC-DSM-GLT Factors'!$A$11:$O$58,12,FALSE)</f>
        <v>27.41</v>
      </c>
      <c r="O461" s="362" t="e">
        <f>VLOOKUP(O$348,'GSC-DSM-GLT Factors'!$A$11:$O$58,12,FALSE)</f>
        <v>#N/A</v>
      </c>
      <c r="P461" s="362"/>
    </row>
    <row r="462" spans="2:16" x14ac:dyDescent="0.2">
      <c r="B462" s="362"/>
      <c r="C462" s="364"/>
      <c r="D462" s="364"/>
      <c r="E462" s="362"/>
      <c r="F462" s="364"/>
      <c r="G462" s="365"/>
      <c r="H462" s="362"/>
      <c r="I462" s="362"/>
      <c r="J462" s="362"/>
      <c r="K462" s="362"/>
      <c r="L462" s="362"/>
      <c r="M462" s="362"/>
      <c r="N462" s="362"/>
      <c r="O462" s="362"/>
      <c r="P462" s="362"/>
    </row>
    <row r="463" spans="2:16" x14ac:dyDescent="0.2">
      <c r="B463" s="362"/>
      <c r="C463" s="364" t="s">
        <v>39</v>
      </c>
      <c r="D463" s="364" t="str">
        <f t="shared" ref="D463:D473" si="168">MID(C463,6,3)</f>
        <v>881</v>
      </c>
      <c r="E463" s="362" t="str">
        <f>VLOOKUP($C463,'Retail Rates'!$B$45:$R$53,3,FALSE)</f>
        <v>CGS-TS</v>
      </c>
      <c r="F463" s="364" t="s">
        <v>662</v>
      </c>
      <c r="G463" s="367" t="s">
        <v>273</v>
      </c>
      <c r="H463" s="362"/>
      <c r="I463" s="362"/>
      <c r="J463" s="362"/>
      <c r="K463" s="362"/>
      <c r="L463" s="362"/>
      <c r="M463" s="362"/>
      <c r="N463" s="362"/>
      <c r="O463" s="362"/>
      <c r="P463" s="362"/>
    </row>
    <row r="464" spans="2:16" x14ac:dyDescent="0.2">
      <c r="B464" s="362"/>
      <c r="C464" s="364" t="s">
        <v>39</v>
      </c>
      <c r="D464" s="364" t="str">
        <f t="shared" si="168"/>
        <v>881</v>
      </c>
      <c r="E464" s="362" t="str">
        <f>VLOOKUP($C464,'Retail Rates'!$B$45:$R$53,3,FALSE)</f>
        <v>CGS-TS</v>
      </c>
      <c r="F464" s="364" t="s">
        <v>662</v>
      </c>
      <c r="G464" s="368" t="s">
        <v>169</v>
      </c>
      <c r="H464" s="325" t="s">
        <v>528</v>
      </c>
      <c r="I464" s="335">
        <f>SUMIFS('Data-Cashout'!$AI$3:$AI$3943,'Data-Cashout'!$E$3:$E$3943,'Mar16-Aug16 FT-TS-Cashout-LG&amp;E'!$H464,'Data-Cashout'!$A$3:$A$3943,'Mar16-Aug16 FT-TS-Cashout-LG&amp;E'!I$348,'Data-Cashout'!$B$3:$B$3943,'Mar16-Aug16 FT-TS-Cashout-LG&amp;E'!$C464,'Data-Cashout'!$D$3:$D$3943,'Mar16-Aug16 FT-TS-Cashout-LG&amp;E'!$F$464)</f>
        <v>0</v>
      </c>
      <c r="J464" s="335">
        <f>SUMIFS('Data-Cashout'!$AI$3:$AI$3943,'Data-Cashout'!$E$3:$E$3943,'Mar16-Aug16 FT-TS-Cashout-LG&amp;E'!$H464,'Data-Cashout'!$A$3:$A$3943,'Mar16-Aug16 FT-TS-Cashout-LG&amp;E'!J$348,'Data-Cashout'!$B$3:$B$3943,'Mar16-Aug16 FT-TS-Cashout-LG&amp;E'!$C464,'Data-Cashout'!$D$3:$D$3943,'Mar16-Aug16 FT-TS-Cashout-LG&amp;E'!$F$464)</f>
        <v>0</v>
      </c>
      <c r="K464" s="335">
        <f>SUMIFS('Data-Cashout'!$AI$3:$AI$3943,'Data-Cashout'!$E$3:$E$3943,'Mar16-Aug16 FT-TS-Cashout-LG&amp;E'!$H464,'Data-Cashout'!$A$3:$A$3943,'Mar16-Aug16 FT-TS-Cashout-LG&amp;E'!K$348,'Data-Cashout'!$B$3:$B$3943,'Mar16-Aug16 FT-TS-Cashout-LG&amp;E'!$C464,'Data-Cashout'!$D$3:$D$3943,'Mar16-Aug16 FT-TS-Cashout-LG&amp;E'!$F$464)</f>
        <v>0</v>
      </c>
      <c r="L464" s="335">
        <f>SUMIFS('Data-Cashout'!$AI$3:$AI$3943,'Data-Cashout'!$E$3:$E$3943,'Mar16-Aug16 FT-TS-Cashout-LG&amp;E'!$H464,'Data-Cashout'!$A$3:$A$3943,'Mar16-Aug16 FT-TS-Cashout-LG&amp;E'!L$348,'Data-Cashout'!$B$3:$B$3943,'Mar16-Aug16 FT-TS-Cashout-LG&amp;E'!$C464,'Data-Cashout'!$D$3:$D$3943,'Mar16-Aug16 FT-TS-Cashout-LG&amp;E'!$F$464)</f>
        <v>0</v>
      </c>
      <c r="M464" s="335">
        <f>SUMIFS('Data-Cashout'!$AI$3:$AI$3943,'Data-Cashout'!$E$3:$E$3943,'Mar16-Aug16 FT-TS-Cashout-LG&amp;E'!$H464,'Data-Cashout'!$A$3:$A$3943,'Mar16-Aug16 FT-TS-Cashout-LG&amp;E'!M$348,'Data-Cashout'!$B$3:$B$3943,'Mar16-Aug16 FT-TS-Cashout-LG&amp;E'!$C464,'Data-Cashout'!$D$3:$D$3943,'Mar16-Aug16 FT-TS-Cashout-LG&amp;E'!$F$464)</f>
        <v>0</v>
      </c>
      <c r="N464" s="335">
        <f>SUMIFS('Data-Cashout'!$AI$3:$AI$3943,'Data-Cashout'!$E$3:$E$3943,'Mar16-Aug16 FT-TS-Cashout-LG&amp;E'!$H464,'Data-Cashout'!$A$3:$A$3943,'Mar16-Aug16 FT-TS-Cashout-LG&amp;E'!N$348,'Data-Cashout'!$B$3:$B$3943,'Mar16-Aug16 FT-TS-Cashout-LG&amp;E'!$C464,'Data-Cashout'!$D$3:$D$3943,'Mar16-Aug16 FT-TS-Cashout-LG&amp;E'!$F$464)</f>
        <v>0</v>
      </c>
      <c r="O464" s="335">
        <f>SUMIFS('Data-Cashout'!$AI$3:$AI$3943,'Data-Cashout'!$E$3:$E$3943,'Mar16-Aug16 FT-TS-Cashout-LG&amp;E'!$H464,'Data-Cashout'!$A$3:$A$3943,'Mar16-Aug16 FT-TS-Cashout-LG&amp;E'!O$348,'Data-Cashout'!$B$3:$B$3943,'Mar16-Aug16 FT-TS-Cashout-LG&amp;E'!$C464,'Data-Cashout'!$D$3:$D$3943,'Mar16-Aug16 FT-TS-Cashout-LG&amp;E'!$F$464)</f>
        <v>0</v>
      </c>
      <c r="P464" s="459">
        <f t="shared" ref="P464:P473" si="169">SUM(I464:L464)</f>
        <v>0</v>
      </c>
    </row>
    <row r="465" spans="2:16" x14ac:dyDescent="0.2">
      <c r="B465" s="362"/>
      <c r="C465" s="364" t="s">
        <v>39</v>
      </c>
      <c r="D465" s="364" t="str">
        <f t="shared" si="168"/>
        <v>881</v>
      </c>
      <c r="E465" s="362" t="str">
        <f>VLOOKUP($C465,'Retail Rates'!$B$45:$R$53,3,FALSE)</f>
        <v>CGS-TS</v>
      </c>
      <c r="F465" s="364" t="s">
        <v>662</v>
      </c>
      <c r="G465" s="365" t="s">
        <v>473</v>
      </c>
      <c r="H465" s="362"/>
      <c r="I465" s="362">
        <f t="shared" ref="I465:O466" si="170">ROUND(+I452*I457,2)</f>
        <v>0</v>
      </c>
      <c r="J465" s="362">
        <f t="shared" si="170"/>
        <v>0</v>
      </c>
      <c r="K465" s="362">
        <f t="shared" si="170"/>
        <v>0</v>
      </c>
      <c r="L465" s="362">
        <f t="shared" si="170"/>
        <v>0</v>
      </c>
      <c r="M465" s="362">
        <f t="shared" si="170"/>
        <v>0</v>
      </c>
      <c r="N465" s="362">
        <f t="shared" si="170"/>
        <v>0</v>
      </c>
      <c r="O465" s="362">
        <f t="shared" si="170"/>
        <v>0</v>
      </c>
      <c r="P465" s="459">
        <f t="shared" si="169"/>
        <v>0</v>
      </c>
    </row>
    <row r="466" spans="2:16" x14ac:dyDescent="0.2">
      <c r="B466" s="362"/>
      <c r="C466" s="364" t="s">
        <v>39</v>
      </c>
      <c r="D466" s="364" t="str">
        <f t="shared" si="168"/>
        <v>881</v>
      </c>
      <c r="E466" s="362" t="str">
        <f>VLOOKUP($C466,'Retail Rates'!$B$45:$R$53,3,FALSE)</f>
        <v>CGS-TS</v>
      </c>
      <c r="F466" s="364" t="s">
        <v>662</v>
      </c>
      <c r="G466" s="365" t="s">
        <v>474</v>
      </c>
      <c r="H466" s="362"/>
      <c r="I466" s="455">
        <f t="shared" si="170"/>
        <v>0</v>
      </c>
      <c r="J466" s="455">
        <f t="shared" si="170"/>
        <v>0</v>
      </c>
      <c r="K466" s="455">
        <f t="shared" si="170"/>
        <v>0</v>
      </c>
      <c r="L466" s="455">
        <f t="shared" si="170"/>
        <v>0</v>
      </c>
      <c r="M466" s="455">
        <f t="shared" si="170"/>
        <v>0</v>
      </c>
      <c r="N466" s="455">
        <f t="shared" si="170"/>
        <v>0</v>
      </c>
      <c r="O466" s="455">
        <f t="shared" si="170"/>
        <v>0</v>
      </c>
      <c r="P466" s="459">
        <f t="shared" si="169"/>
        <v>0</v>
      </c>
    </row>
    <row r="467" spans="2:16" x14ac:dyDescent="0.2">
      <c r="B467" s="362"/>
      <c r="C467" s="364" t="s">
        <v>39</v>
      </c>
      <c r="D467" s="364" t="str">
        <f t="shared" si="168"/>
        <v>881</v>
      </c>
      <c r="E467" s="362" t="str">
        <f>VLOOKUP($C467,'Retail Rates'!$B$45:$R$53,3,FALSE)</f>
        <v>CGS-TS</v>
      </c>
      <c r="F467" s="364" t="s">
        <v>662</v>
      </c>
      <c r="G467" s="365" t="s">
        <v>294</v>
      </c>
      <c r="H467" s="325" t="s">
        <v>674</v>
      </c>
      <c r="I467" s="450">
        <f>SUMIFS('Data-Cashout'!$Q$3:$Q$3943,'Data-Cashout'!$A$3:$A$3943,'Mar16-Aug16 FT-TS-Cashout-LG&amp;E'!I$348,'Data-Cashout'!$B$3:$B$3943,'Mar16-Aug16 FT-TS-Cashout-LG&amp;E'!$C467,'Data-Cashout'!$D$3:$D$3943,'Mar16-Aug16 FT-TS-Cashout-LG&amp;E'!$F467,'Data-Cashout'!$E$3:$E$3943,'Mar16-Aug16 FT-TS-Cashout-LG&amp;E'!$H467)</f>
        <v>0</v>
      </c>
      <c r="J467" s="450">
        <f>SUMIFS('Data-Cashout'!$Q$3:$Q$3943,'Data-Cashout'!$A$3:$A$3943,'Mar16-Aug16 FT-TS-Cashout-LG&amp;E'!J$348,'Data-Cashout'!$B$3:$B$3943,'Mar16-Aug16 FT-TS-Cashout-LG&amp;E'!$C467,'Data-Cashout'!$D$3:$D$3943,'Mar16-Aug16 FT-TS-Cashout-LG&amp;E'!$F467,'Data-Cashout'!$E$3:$E$3943,'Mar16-Aug16 FT-TS-Cashout-LG&amp;E'!$H467)</f>
        <v>0</v>
      </c>
      <c r="K467" s="450">
        <f>SUMIFS('Data-Cashout'!$Q$3:$Q$3943,'Data-Cashout'!$A$3:$A$3943,'Mar16-Aug16 FT-TS-Cashout-LG&amp;E'!K$348,'Data-Cashout'!$B$3:$B$3943,'Mar16-Aug16 FT-TS-Cashout-LG&amp;E'!$C467,'Data-Cashout'!$D$3:$D$3943,'Mar16-Aug16 FT-TS-Cashout-LG&amp;E'!$F467,'Data-Cashout'!$E$3:$E$3943,'Mar16-Aug16 FT-TS-Cashout-LG&amp;E'!$H467)</f>
        <v>0</v>
      </c>
      <c r="L467" s="450">
        <f>SUMIFS('Data-Cashout'!$Q$3:$Q$3943,'Data-Cashout'!$A$3:$A$3943,'Mar16-Aug16 FT-TS-Cashout-LG&amp;E'!L$348,'Data-Cashout'!$B$3:$B$3943,'Mar16-Aug16 FT-TS-Cashout-LG&amp;E'!$C467,'Data-Cashout'!$D$3:$D$3943,'Mar16-Aug16 FT-TS-Cashout-LG&amp;E'!$F467,'Data-Cashout'!$E$3:$E$3943,'Mar16-Aug16 FT-TS-Cashout-LG&amp;E'!$H467)</f>
        <v>0</v>
      </c>
      <c r="M467" s="450">
        <f>SUMIFS('Data-Cashout'!$Q$3:$Q$3943,'Data-Cashout'!$A$3:$A$3943,'Mar16-Aug16 FT-TS-Cashout-LG&amp;E'!M$348,'Data-Cashout'!$B$3:$B$3943,'Mar16-Aug16 FT-TS-Cashout-LG&amp;E'!$C467,'Data-Cashout'!$D$3:$D$3943,'Mar16-Aug16 FT-TS-Cashout-LG&amp;E'!$F467,'Data-Cashout'!$E$3:$E$3943,'Mar16-Aug16 FT-TS-Cashout-LG&amp;E'!$H467)</f>
        <v>0</v>
      </c>
      <c r="N467" s="450">
        <f>SUMIFS('Data-Cashout'!$Q$3:$Q$3943,'Data-Cashout'!$A$3:$A$3943,'Mar16-Aug16 FT-TS-Cashout-LG&amp;E'!N$348,'Data-Cashout'!$B$3:$B$3943,'Mar16-Aug16 FT-TS-Cashout-LG&amp;E'!$C467,'Data-Cashout'!$D$3:$D$3943,'Mar16-Aug16 FT-TS-Cashout-LG&amp;E'!$F467,'Data-Cashout'!$E$3:$E$3943,'Mar16-Aug16 FT-TS-Cashout-LG&amp;E'!$H467)</f>
        <v>0</v>
      </c>
      <c r="O467" s="450">
        <f>SUMIFS('Data-Cashout'!$Q$3:$Q$3943,'Data-Cashout'!$A$3:$A$3943,'Mar16-Aug16 FT-TS-Cashout-LG&amp;E'!O$348,'Data-Cashout'!$B$3:$B$3943,'Mar16-Aug16 FT-TS-Cashout-LG&amp;E'!$C467,'Data-Cashout'!$D$3:$D$3943,'Mar16-Aug16 FT-TS-Cashout-LG&amp;E'!$F467,'Data-Cashout'!$E$3:$E$3943,'Mar16-Aug16 FT-TS-Cashout-LG&amp;E'!$H467)</f>
        <v>0</v>
      </c>
      <c r="P467" s="459">
        <f t="shared" si="169"/>
        <v>0</v>
      </c>
    </row>
    <row r="468" spans="2:16" x14ac:dyDescent="0.2">
      <c r="B468" s="362"/>
      <c r="C468" s="364" t="s">
        <v>39</v>
      </c>
      <c r="D468" s="364" t="str">
        <f t="shared" si="168"/>
        <v>881</v>
      </c>
      <c r="E468" s="362" t="str">
        <f>VLOOKUP($C468,'Retail Rates'!$B$45:$R$53,3,FALSE)</f>
        <v>CGS-TS</v>
      </c>
      <c r="F468" s="364" t="s">
        <v>662</v>
      </c>
      <c r="G468" s="365" t="s">
        <v>670</v>
      </c>
      <c r="H468" s="362"/>
      <c r="I468" s="456">
        <f t="shared" ref="I468:O468" si="171">I451*I461</f>
        <v>0</v>
      </c>
      <c r="J468" s="456">
        <f t="shared" si="171"/>
        <v>0</v>
      </c>
      <c r="K468" s="456">
        <f t="shared" si="171"/>
        <v>0</v>
      </c>
      <c r="L468" s="456">
        <f t="shared" si="171"/>
        <v>0</v>
      </c>
      <c r="M468" s="456">
        <f t="shared" si="171"/>
        <v>0</v>
      </c>
      <c r="N468" s="456">
        <f t="shared" si="171"/>
        <v>0</v>
      </c>
      <c r="O468" s="456" t="e">
        <f t="shared" si="171"/>
        <v>#N/A</v>
      </c>
      <c r="P468" s="459">
        <f t="shared" si="169"/>
        <v>0</v>
      </c>
    </row>
    <row r="469" spans="2:16" x14ac:dyDescent="0.2">
      <c r="B469" s="362"/>
      <c r="C469" s="364" t="s">
        <v>39</v>
      </c>
      <c r="D469" s="364" t="str">
        <f t="shared" si="168"/>
        <v>881</v>
      </c>
      <c r="E469" s="362" t="str">
        <f>VLOOKUP($C469,'Retail Rates'!$B$45:$R$53,3,FALSE)</f>
        <v>CGS-TS</v>
      </c>
      <c r="F469" s="364" t="s">
        <v>662</v>
      </c>
      <c r="G469" s="365" t="s">
        <v>276</v>
      </c>
      <c r="H469" s="362"/>
      <c r="I469" s="449">
        <f t="shared" ref="I469:O469" si="172">SUM(I464:I468)</f>
        <v>0</v>
      </c>
      <c r="J469" s="449">
        <f t="shared" si="172"/>
        <v>0</v>
      </c>
      <c r="K469" s="449">
        <f t="shared" si="172"/>
        <v>0</v>
      </c>
      <c r="L469" s="449">
        <f t="shared" si="172"/>
        <v>0</v>
      </c>
      <c r="M469" s="449">
        <f t="shared" si="172"/>
        <v>0</v>
      </c>
      <c r="N469" s="449">
        <f t="shared" si="172"/>
        <v>0</v>
      </c>
      <c r="O469" s="449" t="e">
        <f t="shared" si="172"/>
        <v>#N/A</v>
      </c>
      <c r="P469" s="459">
        <f t="shared" si="169"/>
        <v>0</v>
      </c>
    </row>
    <row r="470" spans="2:16" x14ac:dyDescent="0.2">
      <c r="B470" s="362"/>
      <c r="C470" s="364" t="s">
        <v>39</v>
      </c>
      <c r="D470" s="364" t="str">
        <f t="shared" si="168"/>
        <v>881</v>
      </c>
      <c r="E470" s="362" t="str">
        <f>VLOOKUP($C470,'Retail Rates'!$B$45:$R$53,3,FALSE)</f>
        <v>CGS-TS</v>
      </c>
      <c r="F470" s="364" t="s">
        <v>662</v>
      </c>
      <c r="G470" s="365" t="s">
        <v>196</v>
      </c>
      <c r="H470" s="325" t="s">
        <v>196</v>
      </c>
      <c r="I470" s="414">
        <f>SUMIFS('Data-Cashout'!$AI$3:$AI$3943,'Data-Cashout'!$E$3:$E$3943,'Mar16-Aug16 FT-TS-Cashout-LG&amp;E'!$H$470,'Data-Cashout'!$A$3:$A$3943,'Mar16-Aug16 FT-TS-Cashout-LG&amp;E'!I$348,'Data-Cashout'!$B$3:$B$3943,'Mar16-Aug16 FT-TS-Cashout-LG&amp;E'!$C$470,'Data-Cashout'!$D$3:$D$3943,'Mar16-Aug16 FT-TS-Cashout-LG&amp;E'!$F$470)</f>
        <v>0</v>
      </c>
      <c r="J470" s="414">
        <f>SUMIFS('Data-Cashout'!$AI$3:$AI$3943,'Data-Cashout'!$E$3:$E$3943,'Mar16-Aug16 FT-TS-Cashout-LG&amp;E'!$H$470,'Data-Cashout'!$A$3:$A$3943,'Mar16-Aug16 FT-TS-Cashout-LG&amp;E'!J$348,'Data-Cashout'!$B$3:$B$3943,'Mar16-Aug16 FT-TS-Cashout-LG&amp;E'!$C$470,'Data-Cashout'!$D$3:$D$3943,'Mar16-Aug16 FT-TS-Cashout-LG&amp;E'!$F$470)</f>
        <v>0</v>
      </c>
      <c r="K470" s="414">
        <f>SUMIFS('Data-Cashout'!$AI$3:$AI$3943,'Data-Cashout'!$E$3:$E$3943,'Mar16-Aug16 FT-TS-Cashout-LG&amp;E'!$H$470,'Data-Cashout'!$A$3:$A$3943,'Mar16-Aug16 FT-TS-Cashout-LG&amp;E'!K$348,'Data-Cashout'!$B$3:$B$3943,'Mar16-Aug16 FT-TS-Cashout-LG&amp;E'!$C$470,'Data-Cashout'!$D$3:$D$3943,'Mar16-Aug16 FT-TS-Cashout-LG&amp;E'!$F$470)</f>
        <v>0</v>
      </c>
      <c r="L470" s="414">
        <f>SUMIFS('Data-Cashout'!$AI$3:$AI$3943,'Data-Cashout'!$E$3:$E$3943,'Mar16-Aug16 FT-TS-Cashout-LG&amp;E'!$H$470,'Data-Cashout'!$A$3:$A$3943,'Mar16-Aug16 FT-TS-Cashout-LG&amp;E'!L$348,'Data-Cashout'!$B$3:$B$3943,'Mar16-Aug16 FT-TS-Cashout-LG&amp;E'!$C$470,'Data-Cashout'!$D$3:$D$3943,'Mar16-Aug16 FT-TS-Cashout-LG&amp;E'!$F$470)</f>
        <v>0</v>
      </c>
      <c r="M470" s="414">
        <f>SUMIFS('Data-Cashout'!$AI$3:$AI$3943,'Data-Cashout'!$E$3:$E$3943,'Mar16-Aug16 FT-TS-Cashout-LG&amp;E'!$H$470,'Data-Cashout'!$A$3:$A$3943,'Mar16-Aug16 FT-TS-Cashout-LG&amp;E'!M$348,'Data-Cashout'!$B$3:$B$3943,'Mar16-Aug16 FT-TS-Cashout-LG&amp;E'!$C$470,'Data-Cashout'!$D$3:$D$3943,'Mar16-Aug16 FT-TS-Cashout-LG&amp;E'!$F$470)</f>
        <v>0</v>
      </c>
      <c r="N470" s="414">
        <f>SUMIFS('Data-Cashout'!$AI$3:$AI$3943,'Data-Cashout'!$E$3:$E$3943,'Mar16-Aug16 FT-TS-Cashout-LG&amp;E'!$H$470,'Data-Cashout'!$A$3:$A$3943,'Mar16-Aug16 FT-TS-Cashout-LG&amp;E'!N$348,'Data-Cashout'!$B$3:$B$3943,'Mar16-Aug16 FT-TS-Cashout-LG&amp;E'!$C$470,'Data-Cashout'!$D$3:$D$3943,'Mar16-Aug16 FT-TS-Cashout-LG&amp;E'!$F$470)</f>
        <v>0</v>
      </c>
      <c r="O470" s="414">
        <f>SUMIFS('Data-Cashout'!$AI$3:$AI$3943,'Data-Cashout'!$E$3:$E$3943,'Mar16-Aug16 FT-TS-Cashout-LG&amp;E'!$H$470,'Data-Cashout'!$A$3:$A$3943,'Mar16-Aug16 FT-TS-Cashout-LG&amp;E'!O$348,'Data-Cashout'!$B$3:$B$3943,'Mar16-Aug16 FT-TS-Cashout-LG&amp;E'!$C$470,'Data-Cashout'!$D$3:$D$3943,'Mar16-Aug16 FT-TS-Cashout-LG&amp;E'!$F$470)</f>
        <v>0</v>
      </c>
      <c r="P470" s="459">
        <f t="shared" si="169"/>
        <v>0</v>
      </c>
    </row>
    <row r="471" spans="2:16" x14ac:dyDescent="0.2">
      <c r="B471" s="362"/>
      <c r="C471" s="364" t="s">
        <v>39</v>
      </c>
      <c r="D471" s="364" t="str">
        <f t="shared" si="168"/>
        <v>881</v>
      </c>
      <c r="E471" s="362" t="str">
        <f>VLOOKUP($C471,'Retail Rates'!$B$45:$R$53,3,FALSE)</f>
        <v>CGS-TS</v>
      </c>
      <c r="F471" s="364" t="s">
        <v>662</v>
      </c>
      <c r="G471" s="365" t="s">
        <v>276</v>
      </c>
      <c r="H471" s="362"/>
      <c r="I471" s="449">
        <f t="shared" ref="I471:O471" si="173">+I469+I470</f>
        <v>0</v>
      </c>
      <c r="J471" s="449">
        <f t="shared" si="173"/>
        <v>0</v>
      </c>
      <c r="K471" s="449">
        <f t="shared" si="173"/>
        <v>0</v>
      </c>
      <c r="L471" s="449">
        <f t="shared" si="173"/>
        <v>0</v>
      </c>
      <c r="M471" s="449">
        <f t="shared" si="173"/>
        <v>0</v>
      </c>
      <c r="N471" s="449">
        <f t="shared" si="173"/>
        <v>0</v>
      </c>
      <c r="O471" s="449" t="e">
        <f t="shared" si="173"/>
        <v>#N/A</v>
      </c>
      <c r="P471" s="459">
        <f t="shared" si="169"/>
        <v>0</v>
      </c>
    </row>
    <row r="472" spans="2:16" x14ac:dyDescent="0.2">
      <c r="B472" s="362"/>
      <c r="C472" s="364" t="s">
        <v>39</v>
      </c>
      <c r="D472" s="364" t="str">
        <f t="shared" si="168"/>
        <v>881</v>
      </c>
      <c r="E472" s="362" t="str">
        <f>VLOOKUP($C472,'Retail Rates'!$B$45:$R$53,3,FALSE)</f>
        <v>CGS-TS</v>
      </c>
      <c r="F472" s="364" t="s">
        <v>662</v>
      </c>
      <c r="G472" s="370" t="s">
        <v>272</v>
      </c>
      <c r="H472" s="362"/>
      <c r="I472" s="451">
        <f t="shared" ref="I472:O472" si="174">ROUND(I454*I460,2)</f>
        <v>0</v>
      </c>
      <c r="J472" s="451">
        <f t="shared" si="174"/>
        <v>0</v>
      </c>
      <c r="K472" s="451">
        <f t="shared" si="174"/>
        <v>0</v>
      </c>
      <c r="L472" s="451">
        <f t="shared" si="174"/>
        <v>0</v>
      </c>
      <c r="M472" s="451">
        <f t="shared" si="174"/>
        <v>0</v>
      </c>
      <c r="N472" s="451">
        <f t="shared" si="174"/>
        <v>0</v>
      </c>
      <c r="O472" s="451">
        <f t="shared" si="174"/>
        <v>0</v>
      </c>
      <c r="P472" s="459">
        <f t="shared" si="169"/>
        <v>0</v>
      </c>
    </row>
    <row r="473" spans="2:16" x14ac:dyDescent="0.2">
      <c r="B473" s="362"/>
      <c r="C473" s="364" t="s">
        <v>39</v>
      </c>
      <c r="D473" s="364" t="str">
        <f t="shared" si="168"/>
        <v>881</v>
      </c>
      <c r="E473" s="362" t="str">
        <f>VLOOKUP($C473,'Retail Rates'!$B$45:$R$53,3,FALSE)</f>
        <v>CGS-TS</v>
      </c>
      <c r="F473" s="364" t="s">
        <v>662</v>
      </c>
      <c r="G473" s="365" t="s">
        <v>288</v>
      </c>
      <c r="H473" s="362"/>
      <c r="I473" s="449">
        <f t="shared" ref="I473:O473" si="175">+I471+I472</f>
        <v>0</v>
      </c>
      <c r="J473" s="449">
        <f t="shared" si="175"/>
        <v>0</v>
      </c>
      <c r="K473" s="449">
        <f t="shared" si="175"/>
        <v>0</v>
      </c>
      <c r="L473" s="449">
        <f t="shared" si="175"/>
        <v>0</v>
      </c>
      <c r="M473" s="449">
        <f t="shared" si="175"/>
        <v>0</v>
      </c>
      <c r="N473" s="449">
        <f t="shared" si="175"/>
        <v>0</v>
      </c>
      <c r="O473" s="449" t="e">
        <f t="shared" si="175"/>
        <v>#N/A</v>
      </c>
      <c r="P473" s="459">
        <f t="shared" si="169"/>
        <v>0</v>
      </c>
    </row>
    <row r="474" spans="2:16" x14ac:dyDescent="0.2">
      <c r="B474" s="362"/>
      <c r="C474" s="364"/>
      <c r="D474" s="364"/>
      <c r="E474" s="362"/>
      <c r="F474" s="364"/>
      <c r="G474" s="371"/>
      <c r="H474" s="362"/>
      <c r="I474" s="449"/>
      <c r="J474" s="449"/>
      <c r="K474" s="449"/>
      <c r="L474" s="449"/>
      <c r="M474" s="449"/>
      <c r="N474" s="449"/>
      <c r="O474" s="449"/>
      <c r="P474" s="362"/>
    </row>
    <row r="475" spans="2:16" x14ac:dyDescent="0.2">
      <c r="B475" s="362"/>
      <c r="C475" s="364"/>
      <c r="D475" s="364"/>
      <c r="E475" s="362"/>
      <c r="F475" s="364"/>
      <c r="G475" s="372"/>
      <c r="H475" s="362"/>
      <c r="I475" s="449"/>
      <c r="J475" s="449"/>
      <c r="K475" s="449"/>
      <c r="L475" s="449"/>
      <c r="M475" s="449"/>
      <c r="N475" s="449"/>
      <c r="O475" s="449"/>
      <c r="P475" s="362"/>
    </row>
    <row r="476" spans="2:16" x14ac:dyDescent="0.2">
      <c r="B476" s="362"/>
      <c r="C476" s="364"/>
      <c r="D476" s="364"/>
      <c r="E476" s="362"/>
      <c r="F476" s="364" t="s">
        <v>950</v>
      </c>
      <c r="G476" s="368" t="s">
        <v>532</v>
      </c>
      <c r="H476" s="362"/>
      <c r="I476" s="449"/>
      <c r="J476" s="449" t="e">
        <f>SUMIFS('Bruise Report-Cashouts'!$C$5:$C$195,'Bruise Report-Cashouts'!$A$5:$A$195,'Mar16-Aug16 FT-TS-Cashout-LG&amp;E'!J$348,'Bruise Report-Cashouts'!$B$5:$B$195,'Mar16-Aug16 FT-TS-Cashout-LG&amp;E'!$C473,'Bruise Report-Cashouts'!#REF!,'Mar16-Aug16 FT-TS-Cashout-LG&amp;E'!$F473)</f>
        <v>#REF!</v>
      </c>
      <c r="K476" s="449" t="e">
        <f>SUMIFS('Bruise Report-Cashouts'!$C$5:$C$195,'Bruise Report-Cashouts'!$A$5:$A$195,'Mar16-Aug16 FT-TS-Cashout-LG&amp;E'!K$348,'Bruise Report-Cashouts'!$B$5:$B$195,'Mar16-Aug16 FT-TS-Cashout-LG&amp;E'!$C473,'Bruise Report-Cashouts'!#REF!,'Mar16-Aug16 FT-TS-Cashout-LG&amp;E'!$F473)</f>
        <v>#REF!</v>
      </c>
      <c r="L476" s="449" t="e">
        <f>SUMIFS('Bruise Report-Cashouts'!$C$5:$C$195,'Bruise Report-Cashouts'!$A$5:$A$195,'Mar16-Aug16 FT-TS-Cashout-LG&amp;E'!L$348,'Bruise Report-Cashouts'!$B$5:$B$195,'Mar16-Aug16 FT-TS-Cashout-LG&amp;E'!$C473,'Bruise Report-Cashouts'!#REF!,'Mar16-Aug16 FT-TS-Cashout-LG&amp;E'!$F473)</f>
        <v>#REF!</v>
      </c>
      <c r="M476" s="449" t="e">
        <f>SUMIFS('Bruise Report-Cashouts'!$C$5:$C$195,'Bruise Report-Cashouts'!$A$5:$A$195,'Mar16-Aug16 FT-TS-Cashout-LG&amp;E'!M$348,'Bruise Report-Cashouts'!$B$5:$B$195,'Mar16-Aug16 FT-TS-Cashout-LG&amp;E'!$C473,'Bruise Report-Cashouts'!#REF!,'Mar16-Aug16 FT-TS-Cashout-LG&amp;E'!$F473)</f>
        <v>#REF!</v>
      </c>
      <c r="N476" s="449" t="e">
        <f>SUMIFS('Bruise Report-Cashouts'!$C$5:$C$195,'Bruise Report-Cashouts'!$A$5:$A$195,'Mar16-Aug16 FT-TS-Cashout-LG&amp;E'!N$348,'Bruise Report-Cashouts'!$B$5:$B$195,'Mar16-Aug16 FT-TS-Cashout-LG&amp;E'!$C473,'Bruise Report-Cashouts'!#REF!,'Mar16-Aug16 FT-TS-Cashout-LG&amp;E'!$F473)</f>
        <v>#REF!</v>
      </c>
      <c r="O476" s="449" t="e">
        <f>SUMIFS('Bruise Report-Cashouts'!$C$5:$C$195,'Bruise Report-Cashouts'!$A$5:$A$195,'Mar16-Aug16 FT-TS-Cashout-LG&amp;E'!O$348,'Bruise Report-Cashouts'!$B$5:$B$195,'Mar16-Aug16 FT-TS-Cashout-LG&amp;E'!$C473,'Bruise Report-Cashouts'!#REF!,'Mar16-Aug16 FT-TS-Cashout-LG&amp;E'!$F473)</f>
        <v>#REF!</v>
      </c>
      <c r="P476" s="459" t="e">
        <f>SUM(I476:L476)</f>
        <v>#REF!</v>
      </c>
    </row>
    <row r="477" spans="2:16" x14ac:dyDescent="0.2">
      <c r="B477" s="362"/>
      <c r="C477" s="364"/>
      <c r="D477" s="364"/>
      <c r="E477" s="362"/>
      <c r="F477" s="364"/>
      <c r="G477" s="362"/>
      <c r="H477" s="362"/>
      <c r="I477" s="449"/>
      <c r="J477" s="449"/>
      <c r="K477" s="449"/>
      <c r="L477" s="449"/>
      <c r="M477" s="449"/>
      <c r="N477" s="449"/>
      <c r="O477" s="449"/>
      <c r="P477" s="449"/>
    </row>
    <row r="478" spans="2:16" x14ac:dyDescent="0.2">
      <c r="B478" s="362"/>
      <c r="C478" s="364"/>
      <c r="D478" s="364"/>
      <c r="E478" s="362"/>
      <c r="F478" s="364"/>
      <c r="G478" s="368" t="s">
        <v>262</v>
      </c>
      <c r="H478" s="362"/>
      <c r="I478" s="449">
        <f t="shared" ref="I478:O478" si="176">+I469-I476</f>
        <v>0</v>
      </c>
      <c r="J478" s="449" t="e">
        <f t="shared" si="176"/>
        <v>#REF!</v>
      </c>
      <c r="K478" s="449" t="e">
        <f t="shared" si="176"/>
        <v>#REF!</v>
      </c>
      <c r="L478" s="449" t="e">
        <f t="shared" si="176"/>
        <v>#REF!</v>
      </c>
      <c r="M478" s="449" t="e">
        <f t="shared" si="176"/>
        <v>#REF!</v>
      </c>
      <c r="N478" s="449" t="e">
        <f t="shared" si="176"/>
        <v>#REF!</v>
      </c>
      <c r="O478" s="449" t="e">
        <f t="shared" si="176"/>
        <v>#N/A</v>
      </c>
      <c r="P478" s="417" t="e">
        <f>SUM(I478:L478)</f>
        <v>#REF!</v>
      </c>
    </row>
    <row r="479" spans="2:16" x14ac:dyDescent="0.2">
      <c r="B479" s="362"/>
      <c r="C479" s="364"/>
      <c r="D479" s="364"/>
      <c r="E479" s="362"/>
      <c r="F479" s="362"/>
      <c r="G479" s="362"/>
      <c r="H479" s="362"/>
      <c r="I479" s="362"/>
      <c r="J479" s="362"/>
      <c r="K479" s="362"/>
      <c r="L479" s="362"/>
      <c r="M479" s="362"/>
      <c r="N479" s="362"/>
      <c r="O479" s="362"/>
      <c r="P479" s="449"/>
    </row>
    <row r="480" spans="2:16" x14ac:dyDescent="0.2">
      <c r="B480" s="362"/>
      <c r="C480" s="364"/>
      <c r="D480" s="364"/>
      <c r="E480" s="362"/>
      <c r="F480" s="362"/>
      <c r="G480" s="362"/>
      <c r="H480" s="362"/>
      <c r="I480" s="362"/>
      <c r="J480" s="362"/>
      <c r="K480" s="362"/>
      <c r="L480" s="362"/>
      <c r="M480" s="362"/>
      <c r="N480" s="362"/>
      <c r="O480" s="362"/>
      <c r="P480" s="362"/>
    </row>
    <row r="481" spans="2:21" x14ac:dyDescent="0.2">
      <c r="B481" s="362"/>
      <c r="C481" s="364"/>
      <c r="D481" s="364"/>
      <c r="E481" s="362"/>
      <c r="F481" s="362"/>
      <c r="G481" s="362"/>
      <c r="H481" s="362"/>
      <c r="I481" s="362"/>
      <c r="J481" s="362"/>
      <c r="K481" s="362"/>
      <c r="L481" s="362"/>
      <c r="M481" s="362"/>
      <c r="N481" s="362"/>
      <c r="O481" s="362"/>
      <c r="P481" s="362"/>
    </row>
    <row r="482" spans="2:21" x14ac:dyDescent="0.2">
      <c r="B482" s="362"/>
      <c r="C482" s="362"/>
      <c r="D482" s="362"/>
      <c r="E482" s="362"/>
      <c r="F482" s="362"/>
      <c r="G482" s="363" t="s">
        <v>543</v>
      </c>
      <c r="H482" s="362"/>
      <c r="I482" s="362"/>
      <c r="J482" s="362"/>
      <c r="K482" s="362"/>
      <c r="L482" s="362"/>
      <c r="M482" s="362"/>
      <c r="N482" s="362"/>
      <c r="O482" s="362"/>
      <c r="P482" s="362"/>
    </row>
    <row r="483" spans="2:21" x14ac:dyDescent="0.2">
      <c r="B483" s="362"/>
      <c r="C483" s="364" t="s">
        <v>42</v>
      </c>
      <c r="D483" s="364" t="str">
        <f t="shared" ref="D483:D500" si="177">MID(C483,6,3)</f>
        <v>882</v>
      </c>
      <c r="E483" s="362" t="str">
        <f>VLOOKUP($C483,'Retail Rates'!$B$45:$R$53,3,FALSE)</f>
        <v>IGS-TS</v>
      </c>
      <c r="F483" s="364" t="s">
        <v>663</v>
      </c>
      <c r="G483" s="365" t="s">
        <v>268</v>
      </c>
      <c r="H483" s="362"/>
      <c r="I483" s="362">
        <f t="shared" ref="I483:O483" si="178">+I495/I488</f>
        <v>4</v>
      </c>
      <c r="J483" s="362">
        <f t="shared" si="178"/>
        <v>4</v>
      </c>
      <c r="K483" s="362">
        <f t="shared" si="178"/>
        <v>4</v>
      </c>
      <c r="L483" s="362">
        <f t="shared" si="178"/>
        <v>4</v>
      </c>
      <c r="M483" s="362">
        <f t="shared" si="178"/>
        <v>4</v>
      </c>
      <c r="N483" s="362">
        <f t="shared" si="178"/>
        <v>4</v>
      </c>
      <c r="O483" s="362">
        <f t="shared" si="178"/>
        <v>4</v>
      </c>
      <c r="P483" s="574">
        <f>SUM(J483:O483)</f>
        <v>24</v>
      </c>
      <c r="S483" s="320">
        <f>+U483/T483</f>
        <v>1.6726338561384531</v>
      </c>
      <c r="T483" s="320">
        <v>184.9</v>
      </c>
      <c r="U483" s="320">
        <v>309.27</v>
      </c>
    </row>
    <row r="484" spans="2:21" x14ac:dyDescent="0.2">
      <c r="B484" s="362"/>
      <c r="C484" s="364" t="s">
        <v>42</v>
      </c>
      <c r="D484" s="364" t="str">
        <f t="shared" si="177"/>
        <v>882</v>
      </c>
      <c r="E484" s="362" t="str">
        <f>VLOOKUP($C484,'Retail Rates'!$B$45:$R$53,3,FALSE)</f>
        <v>IGS-TS</v>
      </c>
      <c r="F484" s="364" t="s">
        <v>663</v>
      </c>
      <c r="G484" s="365" t="s">
        <v>468</v>
      </c>
      <c r="H484" s="362"/>
      <c r="I484" s="449">
        <f t="shared" ref="I484:O484" si="179">IF(I486=0,I486,IF(I486&gt;=(I483*100),(I483*100),I486))</f>
        <v>0</v>
      </c>
      <c r="J484" s="449">
        <f t="shared" si="179"/>
        <v>0</v>
      </c>
      <c r="K484" s="449">
        <f t="shared" si="179"/>
        <v>0</v>
      </c>
      <c r="L484" s="449">
        <f t="shared" si="179"/>
        <v>0</v>
      </c>
      <c r="M484" s="449">
        <f t="shared" si="179"/>
        <v>0</v>
      </c>
      <c r="N484" s="449">
        <f t="shared" si="179"/>
        <v>0</v>
      </c>
      <c r="O484" s="449">
        <f t="shared" si="179"/>
        <v>0</v>
      </c>
      <c r="P484" s="574">
        <f>SUM(J484:O484)</f>
        <v>0</v>
      </c>
      <c r="S484" s="320">
        <f>+U484/T484</f>
        <v>1.1750177346890518</v>
      </c>
      <c r="T484" s="320">
        <v>845.8</v>
      </c>
      <c r="U484" s="320">
        <v>993.83</v>
      </c>
    </row>
    <row r="485" spans="2:21" x14ac:dyDescent="0.2">
      <c r="B485" s="362"/>
      <c r="C485" s="364" t="s">
        <v>42</v>
      </c>
      <c r="D485" s="364" t="str">
        <f t="shared" si="177"/>
        <v>882</v>
      </c>
      <c r="E485" s="362" t="str">
        <f>VLOOKUP($C485,'Retail Rates'!$B$45:$R$53,3,FALSE)</f>
        <v>IGS-TS</v>
      </c>
      <c r="F485" s="364" t="s">
        <v>663</v>
      </c>
      <c r="G485" s="365" t="s">
        <v>469</v>
      </c>
      <c r="H485" s="362"/>
      <c r="I485" s="449">
        <f t="shared" ref="I485:O485" si="180">+I486-I484</f>
        <v>0</v>
      </c>
      <c r="J485" s="449">
        <f t="shared" si="180"/>
        <v>0</v>
      </c>
      <c r="K485" s="449">
        <f t="shared" si="180"/>
        <v>0</v>
      </c>
      <c r="L485" s="449">
        <f t="shared" si="180"/>
        <v>0</v>
      </c>
      <c r="M485" s="449">
        <f t="shared" si="180"/>
        <v>0</v>
      </c>
      <c r="N485" s="449">
        <f t="shared" si="180"/>
        <v>0</v>
      </c>
      <c r="O485" s="449">
        <f t="shared" si="180"/>
        <v>0</v>
      </c>
      <c r="P485" s="574">
        <f>SUM(J485:O485)</f>
        <v>0</v>
      </c>
    </row>
    <row r="486" spans="2:21" x14ac:dyDescent="0.2">
      <c r="B486" s="362"/>
      <c r="C486" s="364" t="s">
        <v>42</v>
      </c>
      <c r="D486" s="364" t="str">
        <f t="shared" si="177"/>
        <v>882</v>
      </c>
      <c r="E486" s="362" t="str">
        <f>VLOOKUP($C486,'Retail Rates'!$B$45:$R$53,3,FALSE)</f>
        <v>IGS-TS</v>
      </c>
      <c r="F486" s="364" t="s">
        <v>663</v>
      </c>
      <c r="G486" s="365" t="s">
        <v>470</v>
      </c>
      <c r="H486" s="325" t="s">
        <v>518</v>
      </c>
      <c r="I486" s="395">
        <f>SUMIFS('Data-Cashout'!$J$3:$J$3943,'Data-Cashout'!$E$3:$E$3943,'Mar16-Aug16 FT-TS-Cashout-LG&amp;E'!$H$486,'Data-Cashout'!$A$3:$A$3943,'Mar16-Aug16 FT-TS-Cashout-LG&amp;E'!I$348,'Data-Cashout'!$B$3:$B$3943,'Mar16-Aug16 FT-TS-Cashout-LG&amp;E'!$C$486,'Data-Cashout'!$F$3:$F$3943,'Mar16-Aug16 FT-TS-Cashout-LG&amp;E'!I$351,'Data-Cashout'!$D$3:$D$3943,'Mar16-Aug16 FT-TS-Cashout-LG&amp;E'!$F$486)/10</f>
        <v>0</v>
      </c>
      <c r="J486" s="395">
        <f>SUMIFS('Data-Cashout'!$J$3:$J$3943,'Data-Cashout'!$E$3:$E$3943,'Mar16-Aug16 FT-TS-Cashout-LG&amp;E'!$H$486,'Data-Cashout'!$A$3:$A$3943,'Mar16-Aug16 FT-TS-Cashout-LG&amp;E'!J$348,'Data-Cashout'!$B$3:$B$3943,'Mar16-Aug16 FT-TS-Cashout-LG&amp;E'!$C$486,'Data-Cashout'!$F$3:$F$3943,'Mar16-Aug16 FT-TS-Cashout-LG&amp;E'!J$351,'Data-Cashout'!$D$3:$D$3943,'Mar16-Aug16 FT-TS-Cashout-LG&amp;E'!$F$486)/10</f>
        <v>0</v>
      </c>
      <c r="K486" s="395">
        <f>SUMIFS('Data-Cashout'!$J$3:$J$3943,'Data-Cashout'!$E$3:$E$3943,'Mar16-Aug16 FT-TS-Cashout-LG&amp;E'!$H$486,'Data-Cashout'!$A$3:$A$3943,'Mar16-Aug16 FT-TS-Cashout-LG&amp;E'!K$348,'Data-Cashout'!$B$3:$B$3943,'Mar16-Aug16 FT-TS-Cashout-LG&amp;E'!$C$486,'Data-Cashout'!$F$3:$F$3943,'Mar16-Aug16 FT-TS-Cashout-LG&amp;E'!K$351,'Data-Cashout'!$D$3:$D$3943,'Mar16-Aug16 FT-TS-Cashout-LG&amp;E'!$F$486)/10</f>
        <v>0</v>
      </c>
      <c r="L486" s="395">
        <f>SUMIFS('Data-Cashout'!$J$3:$J$3943,'Data-Cashout'!$E$3:$E$3943,'Mar16-Aug16 FT-TS-Cashout-LG&amp;E'!$H$486,'Data-Cashout'!$A$3:$A$3943,'Mar16-Aug16 FT-TS-Cashout-LG&amp;E'!L$348,'Data-Cashout'!$B$3:$B$3943,'Mar16-Aug16 FT-TS-Cashout-LG&amp;E'!$C$486,'Data-Cashout'!$F$3:$F$3943,'Mar16-Aug16 FT-TS-Cashout-LG&amp;E'!L$351,'Data-Cashout'!$D$3:$D$3943,'Mar16-Aug16 FT-TS-Cashout-LG&amp;E'!$F$486)/10</f>
        <v>0</v>
      </c>
      <c r="M486" s="395">
        <f>SUMIFS('Data-Cashout'!$J$3:$J$3943,'Data-Cashout'!$E$3:$E$3943,'Mar16-Aug16 FT-TS-Cashout-LG&amp;E'!$H$486,'Data-Cashout'!$A$3:$A$3943,'Mar16-Aug16 FT-TS-Cashout-LG&amp;E'!M$348,'Data-Cashout'!$B$3:$B$3943,'Mar16-Aug16 FT-TS-Cashout-LG&amp;E'!$C$486,'Data-Cashout'!$F$3:$F$3943,'Mar16-Aug16 FT-TS-Cashout-LG&amp;E'!M$351,'Data-Cashout'!$D$3:$D$3943,'Mar16-Aug16 FT-TS-Cashout-LG&amp;E'!$F$486)/10</f>
        <v>0</v>
      </c>
      <c r="N486" s="395">
        <f>SUMIFS('Data-Cashout'!$J$3:$J$3943,'Data-Cashout'!$E$3:$E$3943,'Mar16-Aug16 FT-TS-Cashout-LG&amp;E'!$H$486,'Data-Cashout'!$A$3:$A$3943,'Mar16-Aug16 FT-TS-Cashout-LG&amp;E'!N$348,'Data-Cashout'!$B$3:$B$3943,'Mar16-Aug16 FT-TS-Cashout-LG&amp;E'!$C$486,'Data-Cashout'!$F$3:$F$3943,'Mar16-Aug16 FT-TS-Cashout-LG&amp;E'!N$351,'Data-Cashout'!$D$3:$D$3943,'Mar16-Aug16 FT-TS-Cashout-LG&amp;E'!$F$486)/10</f>
        <v>0</v>
      </c>
      <c r="O486" s="395">
        <f>SUMIFS('Data-Cashout'!$J$3:$J$3943,'Data-Cashout'!$E$3:$E$3943,'Mar16-Aug16 FT-TS-Cashout-LG&amp;E'!$H$486,'Data-Cashout'!$A$3:$A$3943,'Mar16-Aug16 FT-TS-Cashout-LG&amp;E'!O$348,'Data-Cashout'!$B$3:$B$3943,'Mar16-Aug16 FT-TS-Cashout-LG&amp;E'!$C$486,'Data-Cashout'!$F$3:$F$3943,'Mar16-Aug16 FT-TS-Cashout-LG&amp;E'!O$351,'Data-Cashout'!$D$3:$D$3943,'Mar16-Aug16 FT-TS-Cashout-LG&amp;E'!$F$486)/10</f>
        <v>0</v>
      </c>
      <c r="P486" s="574">
        <f>SUM(J486:O486)</f>
        <v>0</v>
      </c>
    </row>
    <row r="487" spans="2:21" x14ac:dyDescent="0.2">
      <c r="B487" s="362"/>
      <c r="C487" s="364" t="s">
        <v>42</v>
      </c>
      <c r="D487" s="364" t="str">
        <f t="shared" si="177"/>
        <v>882</v>
      </c>
      <c r="E487" s="362" t="str">
        <f>VLOOKUP($C487,'Retail Rates'!$B$45:$R$53,3,FALSE)</f>
        <v>IGS-TS</v>
      </c>
      <c r="F487" s="364" t="s">
        <v>663</v>
      </c>
      <c r="G487" s="366"/>
      <c r="H487" s="362"/>
      <c r="I487" s="362"/>
      <c r="J487" s="362"/>
      <c r="K487" s="362"/>
      <c r="L487" s="362"/>
      <c r="M487" s="362"/>
      <c r="N487" s="362"/>
      <c r="O487" s="362"/>
      <c r="P487" s="449"/>
    </row>
    <row r="488" spans="2:21" x14ac:dyDescent="0.2">
      <c r="B488" s="362"/>
      <c r="C488" s="364" t="s">
        <v>42</v>
      </c>
      <c r="D488" s="364" t="str">
        <f t="shared" si="177"/>
        <v>882</v>
      </c>
      <c r="E488" s="362" t="str">
        <f>VLOOKUP($C488,'Retail Rates'!$B$45:$R$53,3,FALSE)</f>
        <v>IGS-TS</v>
      </c>
      <c r="F488" s="364" t="s">
        <v>663</v>
      </c>
      <c r="G488" s="365" t="s">
        <v>596</v>
      </c>
      <c r="H488" s="362"/>
      <c r="I488" s="362">
        <f>VLOOKUP($C488,'Retail Rates'!$B$7:$O$34,6,FALSE)</f>
        <v>180</v>
      </c>
      <c r="J488" s="362">
        <f>VLOOKUP($C488,'Retail Rates'!$B$7:$O$34,6,FALSE)</f>
        <v>180</v>
      </c>
      <c r="K488" s="362">
        <f>VLOOKUP($C488,'Retail Rates'!$B$7:$O$34,6,FALSE)</f>
        <v>180</v>
      </c>
      <c r="L488" s="362">
        <f>VLOOKUP($C488,'Retail Rates'!$B$7:$O$34,6,FALSE)</f>
        <v>180</v>
      </c>
      <c r="M488" s="362">
        <f>VLOOKUP($C488,'Retail Rates'!$B$7:$O$34,6,FALSE)</f>
        <v>180</v>
      </c>
      <c r="N488" s="362">
        <f>VLOOKUP($C488,'Retail Rates'!$B$7:$O$34,6,FALSE)</f>
        <v>180</v>
      </c>
      <c r="O488" s="362">
        <f>VLOOKUP($C488,'Retail Rates'!$B$7:$O$34,6,FALSE)</f>
        <v>180</v>
      </c>
      <c r="P488" s="449"/>
    </row>
    <row r="489" spans="2:21" x14ac:dyDescent="0.2">
      <c r="B489" s="362"/>
      <c r="C489" s="364" t="s">
        <v>42</v>
      </c>
      <c r="D489" s="364" t="str">
        <f t="shared" si="177"/>
        <v>882</v>
      </c>
      <c r="E489" s="362" t="str">
        <f>VLOOKUP($C489,'Retail Rates'!$B$45:$R$53,3,FALSE)</f>
        <v>IGS-TS</v>
      </c>
      <c r="F489" s="364" t="s">
        <v>663</v>
      </c>
      <c r="G489" s="365" t="s">
        <v>471</v>
      </c>
      <c r="H489" s="362"/>
      <c r="I489" s="362">
        <f>VLOOKUP($C489,'Retail Rates'!$B$44:$O$53,7,FALSE)</f>
        <v>2.2778999999999998</v>
      </c>
      <c r="J489" s="362">
        <f>VLOOKUP($C489,'Retail Rates'!$B$44:$O$53,7,FALSE)</f>
        <v>2.2778999999999998</v>
      </c>
      <c r="K489" s="362">
        <f>VLOOKUP($C489,'Retail Rates'!$B$44:$O$53,7,FALSE)</f>
        <v>2.2778999999999998</v>
      </c>
      <c r="L489" s="362">
        <f>VLOOKUP($C489,'Retail Rates'!$B$44:$O$53,7,FALSE)</f>
        <v>2.2778999999999998</v>
      </c>
      <c r="M489" s="362">
        <f>VLOOKUP($C489,'Retail Rates'!$B$44:$O$53,7,FALSE)</f>
        <v>2.2778999999999998</v>
      </c>
      <c r="N489" s="362">
        <f>VLOOKUP($C489,'Retail Rates'!$B$44:$O$53,7,FALSE)</f>
        <v>2.2778999999999998</v>
      </c>
      <c r="O489" s="362">
        <f>VLOOKUP($C489,'Retail Rates'!$B$44:$O$53,7,FALSE)</f>
        <v>2.2778999999999998</v>
      </c>
      <c r="P489" s="449"/>
    </row>
    <row r="490" spans="2:21" x14ac:dyDescent="0.2">
      <c r="B490" s="362"/>
      <c r="C490" s="364" t="s">
        <v>42</v>
      </c>
      <c r="D490" s="364" t="str">
        <f t="shared" si="177"/>
        <v>882</v>
      </c>
      <c r="E490" s="362" t="str">
        <f>VLOOKUP($C490,'Retail Rates'!$B$45:$R$53,3,FALSE)</f>
        <v>IGS-TS</v>
      </c>
      <c r="F490" s="364" t="s">
        <v>663</v>
      </c>
      <c r="G490" s="365" t="s">
        <v>472</v>
      </c>
      <c r="H490" s="362"/>
      <c r="I490" s="362">
        <f>+I489</f>
        <v>2.2778999999999998</v>
      </c>
      <c r="J490" s="362">
        <f>+J489</f>
        <v>2.2778999999999998</v>
      </c>
      <c r="K490" s="362">
        <f>+K489-0.5</f>
        <v>1.7778999999999998</v>
      </c>
      <c r="L490" s="362">
        <f>+L489-0.5</f>
        <v>1.7778999999999998</v>
      </c>
      <c r="M490" s="362">
        <f>+M489-0.5</f>
        <v>1.7778999999999998</v>
      </c>
      <c r="N490" s="362">
        <f>+N489-0.5</f>
        <v>1.7778999999999998</v>
      </c>
      <c r="O490" s="362">
        <f>+O489-0.5</f>
        <v>1.7778999999999998</v>
      </c>
      <c r="P490" s="449"/>
    </row>
    <row r="491" spans="2:21" x14ac:dyDescent="0.2">
      <c r="B491" s="362"/>
      <c r="C491" s="364" t="s">
        <v>42</v>
      </c>
      <c r="D491" s="364" t="str">
        <f t="shared" si="177"/>
        <v>882</v>
      </c>
      <c r="E491" s="362" t="str">
        <f>VLOOKUP($C491,'Retail Rates'!$B$45:$R$53,3,FALSE)</f>
        <v>IGS-TS</v>
      </c>
      <c r="F491" s="364" t="s">
        <v>663</v>
      </c>
      <c r="G491" s="365" t="s">
        <v>542</v>
      </c>
      <c r="H491" s="362"/>
      <c r="I491" s="362">
        <f>SUMIF('GSC-DSM-GLT Factors'!$A$11:$A$58,'Mar16-Aug16 FT-TS-Cashout-LG&amp;E'!I$5,'GSC-DSM-GLT Factors'!$I$11:$I$58)</f>
        <v>3.2343000000000002</v>
      </c>
      <c r="J491" s="362">
        <f>SUMIF('GSC-DSM-GLT Factors'!$A$11:$A$58,'Mar16-Aug16 FT-TS-Cashout-LG&amp;E'!J$5,'GSC-DSM-GLT Factors'!$I$11:$I$58)</f>
        <v>3.2343000000000002</v>
      </c>
      <c r="K491" s="362">
        <f>SUMIF('GSC-DSM-GLT Factors'!$A$11:$A$58,'Mar16-Aug16 FT-TS-Cashout-LG&amp;E'!K$5,'GSC-DSM-GLT Factors'!$I$11:$I$58)</f>
        <v>3.2343000000000002</v>
      </c>
      <c r="L491" s="659">
        <f>SUMIF('GSC-DSM-GLT Factors'!$A$11:$A$58,'Mar16-Aug16 FT-TS-Cashout-LG&amp;E'!L$5,'GSC-DSM-GLT Factors'!$I$11:$I$58)</f>
        <v>3.5129999999999999</v>
      </c>
      <c r="M491" s="659">
        <f>SUMIF('GSC-DSM-GLT Factors'!$A$11:$A$58,'Mar16-Aug16 FT-TS-Cashout-LG&amp;E'!M$5,'GSC-DSM-GLT Factors'!$I$11:$I$58)</f>
        <v>3.5129999999999999</v>
      </c>
      <c r="N491" s="659">
        <f>SUMIF('GSC-DSM-GLT Factors'!$A$11:$A$58,'Mar16-Aug16 FT-TS-Cashout-LG&amp;E'!N$5,'GSC-DSM-GLT Factors'!$I$11:$I$58)</f>
        <v>3.5129999999999999</v>
      </c>
      <c r="O491" s="659">
        <f>SUMIF('GSC-DSM-GLT Factors'!$A$11:$A$58,'Mar16-Aug16 FT-TS-Cashout-LG&amp;E'!O$5,'GSC-DSM-GLT Factors'!$I$11:$I$58)</f>
        <v>3.8216000000000001</v>
      </c>
      <c r="P491" s="449"/>
    </row>
    <row r="492" spans="2:21" x14ac:dyDescent="0.2">
      <c r="B492" s="362"/>
      <c r="C492" s="364" t="s">
        <v>42</v>
      </c>
      <c r="D492" s="364" t="str">
        <f>MID(C492,6,3)</f>
        <v>882</v>
      </c>
      <c r="E492" s="362" t="str">
        <f>VLOOKUP($C492,'Retail Rates'!$B$45:$R$53,3,FALSE)</f>
        <v>IGS-TS</v>
      </c>
      <c r="F492" s="364" t="s">
        <v>663</v>
      </c>
      <c r="G492" s="365" t="s">
        <v>754</v>
      </c>
      <c r="H492" s="362"/>
      <c r="I492" s="362">
        <f>SUMIF('GSC-DSM-GLT Factors'!$A$11:$A$58,'Mar16-Aug16 FT-TS-Cashout-LG&amp;E'!I$5,'GSC-DSM-GLT Factors'!$M$11:$M$58)</f>
        <v>245.08</v>
      </c>
      <c r="J492" s="362">
        <f>SUMIF('GSC-DSM-GLT Factors'!$A$11:$A$58,'Mar16-Aug16 FT-TS-Cashout-LG&amp;E'!J$5,'GSC-DSM-GLT Factors'!$M$11:$M$58)</f>
        <v>245.08</v>
      </c>
      <c r="K492" s="362">
        <f>SUMIF('GSC-DSM-GLT Factors'!$A$11:$A$58,'Mar16-Aug16 FT-TS-Cashout-LG&amp;E'!K$5,'GSC-DSM-GLT Factors'!$M$11:$M$58)</f>
        <v>245.08</v>
      </c>
      <c r="L492" s="362">
        <f>SUMIF('GSC-DSM-GLT Factors'!$A$11:$A$58,'Mar16-Aug16 FT-TS-Cashout-LG&amp;E'!L$5,'GSC-DSM-GLT Factors'!$M$11:$M$58)</f>
        <v>259.54000000000002</v>
      </c>
      <c r="M492" s="362">
        <f>SUMIF('GSC-DSM-GLT Factors'!$A$11:$A$58,'Mar16-Aug16 FT-TS-Cashout-LG&amp;E'!M$5,'GSC-DSM-GLT Factors'!$M$11:$M$58)</f>
        <v>259.54000000000002</v>
      </c>
      <c r="N492" s="362">
        <f>SUMIF('GSC-DSM-GLT Factors'!$A$11:$A$58,'Mar16-Aug16 FT-TS-Cashout-LG&amp;E'!N$5,'GSC-DSM-GLT Factors'!$M$11:$M$58)</f>
        <v>259.54000000000002</v>
      </c>
      <c r="O492" s="362">
        <f>SUMIF('GSC-DSM-GLT Factors'!$A$11:$A$58,'Mar16-Aug16 FT-TS-Cashout-LG&amp;E'!O$5,'GSC-DSM-GLT Factors'!$M$11:$M$58)</f>
        <v>259.54000000000002</v>
      </c>
      <c r="P492" s="362"/>
    </row>
    <row r="493" spans="2:21" x14ac:dyDescent="0.2">
      <c r="B493" s="362"/>
      <c r="C493" s="364" t="s">
        <v>42</v>
      </c>
      <c r="D493" s="364" t="str">
        <f t="shared" si="177"/>
        <v>882</v>
      </c>
      <c r="E493" s="362" t="str">
        <f>VLOOKUP($C493,'Retail Rates'!$B$45:$R$53,3,FALSE)</f>
        <v>IGS-TS</v>
      </c>
      <c r="F493" s="364" t="s">
        <v>663</v>
      </c>
      <c r="G493" s="365"/>
      <c r="H493" s="362"/>
      <c r="I493" s="362"/>
      <c r="J493" s="362"/>
      <c r="K493" s="362"/>
      <c r="L493" s="362"/>
      <c r="M493" s="362"/>
      <c r="N493" s="362"/>
      <c r="O493" s="362"/>
      <c r="P493" s="362"/>
    </row>
    <row r="494" spans="2:21" x14ac:dyDescent="0.2">
      <c r="B494" s="362"/>
      <c r="C494" s="364" t="s">
        <v>42</v>
      </c>
      <c r="D494" s="364" t="str">
        <f t="shared" si="177"/>
        <v>882</v>
      </c>
      <c r="E494" s="362" t="str">
        <f>VLOOKUP($C494,'Retail Rates'!$B$45:$R$53,3,FALSE)</f>
        <v>IGS-TS</v>
      </c>
      <c r="F494" s="364" t="s">
        <v>663</v>
      </c>
      <c r="G494" s="367" t="s">
        <v>273</v>
      </c>
      <c r="H494" s="362"/>
      <c r="I494" s="362"/>
      <c r="J494" s="362"/>
      <c r="K494" s="362"/>
      <c r="L494" s="362"/>
      <c r="M494" s="362"/>
      <c r="N494" s="362"/>
      <c r="O494" s="362"/>
      <c r="P494" s="362"/>
    </row>
    <row r="495" spans="2:21" x14ac:dyDescent="0.2">
      <c r="B495" s="362"/>
      <c r="C495" s="364" t="s">
        <v>42</v>
      </c>
      <c r="D495" s="364" t="str">
        <f t="shared" si="177"/>
        <v>882</v>
      </c>
      <c r="E495" s="362" t="str">
        <f>VLOOKUP($C495,'Retail Rates'!$B$45:$R$53,3,FALSE)</f>
        <v>IGS-TS</v>
      </c>
      <c r="F495" s="364" t="s">
        <v>663</v>
      </c>
      <c r="G495" s="368" t="s">
        <v>169</v>
      </c>
      <c r="H495" s="325" t="s">
        <v>528</v>
      </c>
      <c r="I495" s="450">
        <f>SUMIFS('Data-Cashout'!$AI$3:$AI$3943,'Data-Cashout'!$E$3:$E$3943,'Mar16-Aug16 FT-TS-Cashout-LG&amp;E'!$H$495,'Data-Cashout'!$A$3:$A$3943,'Mar16-Aug16 FT-TS-Cashout-LG&amp;E'!I$348,'Data-Cashout'!$B$3:$B$3943,'Mar16-Aug16 FT-TS-Cashout-LG&amp;E'!$C$495,'Data-Cashout'!$D$3:$D$3943,'Mar16-Aug16 FT-TS-Cashout-LG&amp;E'!$F$495)</f>
        <v>720</v>
      </c>
      <c r="J495" s="450">
        <f>SUMIFS('Data-Cashout'!$AI$3:$AI$3943,'Data-Cashout'!$E$3:$E$3943,'Mar16-Aug16 FT-TS-Cashout-LG&amp;E'!$H$495,'Data-Cashout'!$A$3:$A$3943,'Mar16-Aug16 FT-TS-Cashout-LG&amp;E'!J$348,'Data-Cashout'!$B$3:$B$3943,'Mar16-Aug16 FT-TS-Cashout-LG&amp;E'!$C$495,'Data-Cashout'!$D$3:$D$3943,'Mar16-Aug16 FT-TS-Cashout-LG&amp;E'!$F$495)</f>
        <v>720</v>
      </c>
      <c r="K495" s="450">
        <f>SUMIFS('Data-Cashout'!$AI$3:$AI$3943,'Data-Cashout'!$E$3:$E$3943,'Mar16-Aug16 FT-TS-Cashout-LG&amp;E'!$H$495,'Data-Cashout'!$A$3:$A$3943,'Mar16-Aug16 FT-TS-Cashout-LG&amp;E'!K$348,'Data-Cashout'!$B$3:$B$3943,'Mar16-Aug16 FT-TS-Cashout-LG&amp;E'!$C$495,'Data-Cashout'!$D$3:$D$3943,'Mar16-Aug16 FT-TS-Cashout-LG&amp;E'!$F$495)</f>
        <v>720</v>
      </c>
      <c r="L495" s="450">
        <f>SUMIFS('Data-Cashout'!$AI$3:$AI$3943,'Data-Cashout'!$E$3:$E$3943,'Mar16-Aug16 FT-TS-Cashout-LG&amp;E'!$H$495,'Data-Cashout'!$A$3:$A$3943,'Mar16-Aug16 FT-TS-Cashout-LG&amp;E'!L$348,'Data-Cashout'!$B$3:$B$3943,'Mar16-Aug16 FT-TS-Cashout-LG&amp;E'!$C$502,'Data-Cashout'!$D$3:$D$3943,'Mar16-Aug16 FT-TS-Cashout-LG&amp;E'!$F$495)</f>
        <v>720</v>
      </c>
      <c r="M495" s="450">
        <f>SUMIFS('Data-Cashout'!$AI$3:$AI$3943,'Data-Cashout'!$E$3:$E$3943,'Mar16-Aug16 FT-TS-Cashout-LG&amp;E'!$H$495,'Data-Cashout'!$A$3:$A$3943,'Mar16-Aug16 FT-TS-Cashout-LG&amp;E'!M$348,'Data-Cashout'!$B$3:$B$3943,'Mar16-Aug16 FT-TS-Cashout-LG&amp;E'!$C$502,'Data-Cashout'!$D$3:$D$3943,'Mar16-Aug16 FT-TS-Cashout-LG&amp;E'!$F$495)</f>
        <v>720</v>
      </c>
      <c r="N495" s="450">
        <f>SUMIFS('Data-Cashout'!$AI$3:$AI$3943,'Data-Cashout'!$E$3:$E$3943,'Mar16-Aug16 FT-TS-Cashout-LG&amp;E'!$H$495,'Data-Cashout'!$A$3:$A$3943,'Mar16-Aug16 FT-TS-Cashout-LG&amp;E'!N$348,'Data-Cashout'!$B$3:$B$3943,'Mar16-Aug16 FT-TS-Cashout-LG&amp;E'!$C$502,'Data-Cashout'!$D$3:$D$3943,'Mar16-Aug16 FT-TS-Cashout-LG&amp;E'!$F$495)</f>
        <v>720</v>
      </c>
      <c r="O495" s="450">
        <f>SUMIFS('Data-Cashout'!$AI$3:$AI$3943,'Data-Cashout'!$E$3:$E$3943,'Mar16-Aug16 FT-TS-Cashout-LG&amp;E'!$H$495,'Data-Cashout'!$A$3:$A$3943,'Mar16-Aug16 FT-TS-Cashout-LG&amp;E'!O$348,'Data-Cashout'!$B$3:$B$3943,'Mar16-Aug16 FT-TS-Cashout-LG&amp;E'!$C$502,'Data-Cashout'!$D$3:$D$3943,'Mar16-Aug16 FT-TS-Cashout-LG&amp;E'!$F$495)</f>
        <v>720</v>
      </c>
      <c r="P495" s="574">
        <f t="shared" ref="P495:P505" si="181">SUM(J495:O495)</f>
        <v>4320</v>
      </c>
    </row>
    <row r="496" spans="2:21" x14ac:dyDescent="0.2">
      <c r="B496" s="362"/>
      <c r="C496" s="364" t="s">
        <v>42</v>
      </c>
      <c r="D496" s="364" t="str">
        <f>MID(C496,6,3)</f>
        <v>882</v>
      </c>
      <c r="E496" s="362" t="str">
        <f>VLOOKUP($C496,'Retail Rates'!$B$45:$R$53,3,FALSE)</f>
        <v>IGS-TS</v>
      </c>
      <c r="F496" s="364" t="s">
        <v>663</v>
      </c>
      <c r="G496" s="368" t="s">
        <v>670</v>
      </c>
      <c r="H496" s="362"/>
      <c r="I496" s="449">
        <f>I483*I492</f>
        <v>980.32</v>
      </c>
      <c r="J496" s="449">
        <f t="shared" ref="J496:O496" si="182">J483*J492</f>
        <v>980.32</v>
      </c>
      <c r="K496" s="449">
        <f>984.16</f>
        <v>984.16</v>
      </c>
      <c r="L496" s="449">
        <f t="shared" si="182"/>
        <v>1038.1600000000001</v>
      </c>
      <c r="M496" s="449">
        <f t="shared" si="182"/>
        <v>1038.1600000000001</v>
      </c>
      <c r="N496" s="449">
        <f t="shared" si="182"/>
        <v>1038.1600000000001</v>
      </c>
      <c r="O496" s="449">
        <f t="shared" si="182"/>
        <v>1038.1600000000001</v>
      </c>
      <c r="P496" s="574">
        <f t="shared" si="181"/>
        <v>6117.12</v>
      </c>
    </row>
    <row r="497" spans="2:16" x14ac:dyDescent="0.2">
      <c r="B497" s="362"/>
      <c r="C497" s="364" t="s">
        <v>42</v>
      </c>
      <c r="D497" s="364" t="str">
        <f t="shared" si="177"/>
        <v>882</v>
      </c>
      <c r="E497" s="362" t="str">
        <f>VLOOKUP($C497,'Retail Rates'!$B$45:$R$53,3,FALSE)</f>
        <v>IGS-TS</v>
      </c>
      <c r="F497" s="364" t="s">
        <v>663</v>
      </c>
      <c r="G497" s="365" t="s">
        <v>473</v>
      </c>
      <c r="H497" s="362"/>
      <c r="I497" s="449">
        <f t="shared" ref="I497:O498" si="183">ROUND(+I484*I489,2)</f>
        <v>0</v>
      </c>
      <c r="J497" s="449">
        <f t="shared" si="183"/>
        <v>0</v>
      </c>
      <c r="K497" s="449">
        <f t="shared" si="183"/>
        <v>0</v>
      </c>
      <c r="L497" s="449">
        <f t="shared" si="183"/>
        <v>0</v>
      </c>
      <c r="M497" s="449">
        <f t="shared" si="183"/>
        <v>0</v>
      </c>
      <c r="N497" s="449">
        <f t="shared" si="183"/>
        <v>0</v>
      </c>
      <c r="O497" s="449">
        <f t="shared" si="183"/>
        <v>0</v>
      </c>
      <c r="P497" s="574">
        <f t="shared" si="181"/>
        <v>0</v>
      </c>
    </row>
    <row r="498" spans="2:16" x14ac:dyDescent="0.2">
      <c r="B498" s="362"/>
      <c r="C498" s="364" t="s">
        <v>42</v>
      </c>
      <c r="D498" s="364" t="str">
        <f t="shared" si="177"/>
        <v>882</v>
      </c>
      <c r="E498" s="362" t="str">
        <f>VLOOKUP($C498,'Retail Rates'!$B$45:$R$53,3,FALSE)</f>
        <v>IGS-TS</v>
      </c>
      <c r="F498" s="364" t="s">
        <v>663</v>
      </c>
      <c r="G498" s="365" t="s">
        <v>474</v>
      </c>
      <c r="H498" s="362"/>
      <c r="I498" s="451">
        <f t="shared" si="183"/>
        <v>0</v>
      </c>
      <c r="J498" s="451">
        <f t="shared" si="183"/>
        <v>0</v>
      </c>
      <c r="K498" s="451">
        <f t="shared" si="183"/>
        <v>0</v>
      </c>
      <c r="L498" s="451">
        <f t="shared" si="183"/>
        <v>0</v>
      </c>
      <c r="M498" s="451">
        <f t="shared" si="183"/>
        <v>0</v>
      </c>
      <c r="N498" s="451">
        <f t="shared" si="183"/>
        <v>0</v>
      </c>
      <c r="O498" s="451">
        <f t="shared" si="183"/>
        <v>0</v>
      </c>
      <c r="P498" s="574">
        <f t="shared" si="181"/>
        <v>0</v>
      </c>
    </row>
    <row r="499" spans="2:16" x14ac:dyDescent="0.2">
      <c r="B499" s="362"/>
      <c r="C499" s="364" t="s">
        <v>42</v>
      </c>
      <c r="D499" s="364" t="str">
        <f t="shared" si="177"/>
        <v>882</v>
      </c>
      <c r="E499" s="362" t="str">
        <f>VLOOKUP($C499,'Retail Rates'!$B$45:$R$53,3,FALSE)</f>
        <v>IGS-TS</v>
      </c>
      <c r="F499" s="364" t="s">
        <v>663</v>
      </c>
      <c r="G499" s="365" t="s">
        <v>276</v>
      </c>
      <c r="H499" s="362"/>
      <c r="I499" s="449">
        <f t="shared" ref="I499:O499" si="184">SUM(I495:I498)</f>
        <v>1700.3200000000002</v>
      </c>
      <c r="J499" s="449">
        <f t="shared" si="184"/>
        <v>1700.3200000000002</v>
      </c>
      <c r="K499" s="449">
        <f t="shared" si="184"/>
        <v>1704.1599999999999</v>
      </c>
      <c r="L499" s="449">
        <f t="shared" si="184"/>
        <v>1758.16</v>
      </c>
      <c r="M499" s="449">
        <f t="shared" si="184"/>
        <v>1758.16</v>
      </c>
      <c r="N499" s="449">
        <f t="shared" si="184"/>
        <v>1758.16</v>
      </c>
      <c r="O499" s="449">
        <f t="shared" si="184"/>
        <v>1758.16</v>
      </c>
      <c r="P499" s="574">
        <f t="shared" si="181"/>
        <v>10437.120000000001</v>
      </c>
    </row>
    <row r="500" spans="2:16" x14ac:dyDescent="0.2">
      <c r="B500" s="362"/>
      <c r="C500" s="364" t="s">
        <v>42</v>
      </c>
      <c r="D500" s="364" t="str">
        <f t="shared" si="177"/>
        <v>882</v>
      </c>
      <c r="E500" s="362" t="str">
        <f>VLOOKUP($C500,'Retail Rates'!$B$45:$R$53,3,FALSE)</f>
        <v>IGS-TS</v>
      </c>
      <c r="F500" s="364" t="s">
        <v>663</v>
      </c>
      <c r="G500" s="365" t="s">
        <v>196</v>
      </c>
      <c r="H500" s="325" t="s">
        <v>196</v>
      </c>
      <c r="I500" s="450">
        <f>SUMIFS('Data-Cashout'!$AI$3:$AI$3943,'Data-Cashout'!$E$3:$E$3943,'Mar16-Aug16 FT-TS-Cashout-LG&amp;E'!$H$500,'Data-Cashout'!$A$3:$A$3943,'Mar16-Aug16 FT-TS-Cashout-LG&amp;E'!I$348,'Data-Cashout'!$B$3:$B$3943,'Mar16-Aug16 FT-TS-Cashout-LG&amp;E'!$C$500,'Data-Cashout'!$D$3:$D$3943,'Mar16-Aug16 FT-TS-Cashout-LG&amp;E'!$F$500)</f>
        <v>0</v>
      </c>
      <c r="J500" s="450">
        <f>SUMIFS('Data-Cashout'!$AI$3:$AI$3943,'Data-Cashout'!$E$3:$E$3943,'Mar16-Aug16 FT-TS-Cashout-LG&amp;E'!$H$500,'Data-Cashout'!$A$3:$A$3943,'Mar16-Aug16 FT-TS-Cashout-LG&amp;E'!J$348,'Data-Cashout'!$B$3:$B$3943,'Mar16-Aug16 FT-TS-Cashout-LG&amp;E'!$C$500,'Data-Cashout'!$D$3:$D$3943,'Mar16-Aug16 FT-TS-Cashout-LG&amp;E'!$F$500)</f>
        <v>0</v>
      </c>
      <c r="K500" s="450">
        <f>SUMIFS('Data-Cashout'!$AI$3:$AI$3943,'Data-Cashout'!$E$3:$E$3943,'Mar16-Aug16 FT-TS-Cashout-LG&amp;E'!$H$500,'Data-Cashout'!$A$3:$A$3943,'Mar16-Aug16 FT-TS-Cashout-LG&amp;E'!K$348,'Data-Cashout'!$B$3:$B$3943,'Mar16-Aug16 FT-TS-Cashout-LG&amp;E'!$C$500,'Data-Cashout'!$D$3:$D$3943,'Mar16-Aug16 FT-TS-Cashout-LG&amp;E'!$F$500)</f>
        <v>0</v>
      </c>
      <c r="L500" s="450">
        <f>SUMIFS('Data-Cashout'!$AI$3:$AI$3943,'Data-Cashout'!$E$3:$E$3943,'Mar16-Aug16 FT-TS-Cashout-LG&amp;E'!$H$500,'Data-Cashout'!$A$3:$A$3943,'Mar16-Aug16 FT-TS-Cashout-LG&amp;E'!L$348,'Data-Cashout'!$B$3:$B$3943,'Mar16-Aug16 FT-TS-Cashout-LG&amp;E'!$C$502,'Data-Cashout'!$D$3:$D$3943,'Mar16-Aug16 FT-TS-Cashout-LG&amp;E'!$F$500)</f>
        <v>0</v>
      </c>
      <c r="M500" s="450">
        <f>SUMIFS('Data-Cashout'!$AI$3:$AI$3943,'Data-Cashout'!$E$3:$E$3943,'Mar16-Aug16 FT-TS-Cashout-LG&amp;E'!$H$500,'Data-Cashout'!$A$3:$A$3943,'Mar16-Aug16 FT-TS-Cashout-LG&amp;E'!M$348,'Data-Cashout'!$B$3:$B$3943,'Mar16-Aug16 FT-TS-Cashout-LG&amp;E'!$C$502,'Data-Cashout'!$D$3:$D$3943,'Mar16-Aug16 FT-TS-Cashout-LG&amp;E'!$F$500)</f>
        <v>0</v>
      </c>
      <c r="N500" s="450">
        <f>SUMIFS('Data-Cashout'!$AI$3:$AI$3943,'Data-Cashout'!$E$3:$E$3943,'Mar16-Aug16 FT-TS-Cashout-LG&amp;E'!$H$500,'Data-Cashout'!$A$3:$A$3943,'Mar16-Aug16 FT-TS-Cashout-LG&amp;E'!N$348,'Data-Cashout'!$B$3:$B$3943,'Mar16-Aug16 FT-TS-Cashout-LG&amp;E'!$C$502,'Data-Cashout'!$D$3:$D$3943,'Mar16-Aug16 FT-TS-Cashout-LG&amp;E'!$F$500)</f>
        <v>0</v>
      </c>
      <c r="O500" s="450">
        <f>SUMIFS('Data-Cashout'!$AI$3:$AI$3943,'Data-Cashout'!$E$3:$E$3943,'Mar16-Aug16 FT-TS-Cashout-LG&amp;E'!$H$500,'Data-Cashout'!$A$3:$A$3943,'Mar16-Aug16 FT-TS-Cashout-LG&amp;E'!O$348,'Data-Cashout'!$B$3:$B$3943,'Mar16-Aug16 FT-TS-Cashout-LG&amp;E'!$C$502,'Data-Cashout'!$D$3:$D$3943,'Mar16-Aug16 FT-TS-Cashout-LG&amp;E'!$F$500)</f>
        <v>0</v>
      </c>
      <c r="P500" s="574">
        <f t="shared" si="181"/>
        <v>0</v>
      </c>
    </row>
    <row r="501" spans="2:16" x14ac:dyDescent="0.2">
      <c r="B501" s="362"/>
      <c r="C501" s="364" t="s">
        <v>93</v>
      </c>
      <c r="D501" s="364" t="str">
        <f>MID(C501,6,3)</f>
        <v>882</v>
      </c>
      <c r="E501" s="362"/>
      <c r="F501" s="364" t="s">
        <v>663</v>
      </c>
      <c r="G501" s="365" t="s">
        <v>763</v>
      </c>
      <c r="H501" s="325" t="s">
        <v>525</v>
      </c>
      <c r="I501" s="450">
        <f>SUMIFS('Data-Cashout'!$AB$3:$AB$3943,'Data-Cashout'!$E$3:$E$3943,'Mar16-Aug16 FT-TS-Cashout-LG&amp;E'!$H$501,'Data-Cashout'!$A$3:$A$3943,'Mar16-Aug16 FT-TS-Cashout-LG&amp;E'!I$348,'Data-Cashout'!$B$3:$B$3943,'Mar16-Aug16 FT-TS-Cashout-LG&amp;E'!$C$501,'Data-Cashout'!$D$3:$D$3943,'Mar16-Aug16 FT-TS-Cashout-LG&amp;E'!$F$500,'Data-Cashout'!$F$3:$F$3943,'Mar16-Aug16 FT-TS-Cashout-LG&amp;E'!I350)</f>
        <v>3407.92</v>
      </c>
      <c r="J501" s="450">
        <f>SUMIFS('Data-Cashout'!$AB$3:$AB$3943,'Data-Cashout'!$E$3:$E$3943,'Mar16-Aug16 FT-TS-Cashout-LG&amp;E'!$H$501,'Data-Cashout'!$A$3:$A$3943,'Mar16-Aug16 FT-TS-Cashout-LG&amp;E'!J$348,'Data-Cashout'!$B$3:$B$3943,'Mar16-Aug16 FT-TS-Cashout-LG&amp;E'!$C$501,'Data-Cashout'!$D$3:$D$3943,'Mar16-Aug16 FT-TS-Cashout-LG&amp;E'!$F$500,'Data-Cashout'!$F$3:$F$3943,'Mar16-Aug16 FT-TS-Cashout-LG&amp;E'!J350)</f>
        <v>1539.58</v>
      </c>
      <c r="K501" s="450">
        <f>SUMIFS('Data-Cashout'!$AB$3:$AB$3943,'Data-Cashout'!$E$3:$E$3943,'Mar16-Aug16 FT-TS-Cashout-LG&amp;E'!$H$501,'Data-Cashout'!$A$3:$A$3943,'Mar16-Aug16 FT-TS-Cashout-LG&amp;E'!K$348,'Data-Cashout'!$B$3:$B$3943,'Mar16-Aug16 FT-TS-Cashout-LG&amp;E'!$C$501,'Data-Cashout'!$D$3:$D$3943,'Mar16-Aug16 FT-TS-Cashout-LG&amp;E'!$F$500,'Data-Cashout'!$F$3:$F$3943,'Mar16-Aug16 FT-TS-Cashout-LG&amp;E'!K350)</f>
        <v>12077.36</v>
      </c>
      <c r="L501" s="450">
        <f>SUMIFS('Data-Cashout'!$AB$3:$AB$3943,'Data-Cashout'!$E$3:$E$3943,'Mar16-Aug16 FT-TS-Cashout-LG&amp;E'!$H$501,'Data-Cashout'!$A$3:$A$3943,'Mar16-Aug16 FT-TS-Cashout-LG&amp;E'!L$348,'Data-Cashout'!$B$3:$B$3943,'Mar16-Aug16 FT-TS-Cashout-LG&amp;E'!$C$501,'Data-Cashout'!$D$3:$D$3943,'Mar16-Aug16 FT-TS-Cashout-LG&amp;E'!$F$500,'Data-Cashout'!$F$3:$F$3943,'Mar16-Aug16 FT-TS-Cashout-LG&amp;E'!L350)</f>
        <v>4628</v>
      </c>
      <c r="M501" s="450">
        <f>SUMIFS('Data-Cashout'!$AB$3:$AB$3943,'Data-Cashout'!$E$3:$E$3943,'Mar16-Aug16 FT-TS-Cashout-LG&amp;E'!$H$501,'Data-Cashout'!$A$3:$A$3943,'Mar16-Aug16 FT-TS-Cashout-LG&amp;E'!M$348,'Data-Cashout'!$B$3:$B$3943,'Mar16-Aug16 FT-TS-Cashout-LG&amp;E'!$C$501,'Data-Cashout'!$D$3:$D$3943,'Mar16-Aug16 FT-TS-Cashout-LG&amp;E'!$F$500,'Data-Cashout'!$F$3:$F$3943,'Mar16-Aug16 FT-TS-Cashout-LG&amp;E'!M350)</f>
        <v>4394.72</v>
      </c>
      <c r="N501" s="450">
        <f>SUMIFS('Data-Cashout'!$AB$3:$AB$3943,'Data-Cashout'!$E$3:$E$3943,'Mar16-Aug16 FT-TS-Cashout-LG&amp;E'!$H$501,'Data-Cashout'!$A$3:$A$3943,'Mar16-Aug16 FT-TS-Cashout-LG&amp;E'!N$348,'Data-Cashout'!$B$3:$B$3943,'Mar16-Aug16 FT-TS-Cashout-LG&amp;E'!$C$501,'Data-Cashout'!$D$3:$D$3943,'Mar16-Aug16 FT-TS-Cashout-LG&amp;E'!$F$500,'Data-Cashout'!$F$3:$F$3943,'Mar16-Aug16 FT-TS-Cashout-LG&amp;E'!N350)</f>
        <v>2457.58</v>
      </c>
      <c r="O501" s="450">
        <f>SUMIFS('Data-Cashout'!$AB$3:$AB$3943,'Data-Cashout'!$E$3:$E$3943,'Mar16-Aug16 FT-TS-Cashout-LG&amp;E'!$H$501,'Data-Cashout'!$A$3:$A$3943,'Mar16-Aug16 FT-TS-Cashout-LG&amp;E'!O$348,'Data-Cashout'!$B$3:$B$3943,'Mar16-Aug16 FT-TS-Cashout-LG&amp;E'!$C$501,'Data-Cashout'!$D$3:$D$3943,'Mar16-Aug16 FT-TS-Cashout-LG&amp;E'!$F$500,'Data-Cashout'!$F$3:$F$3943,'Mar16-Aug16 FT-TS-Cashout-LG&amp;E'!O350)</f>
        <v>2831.35</v>
      </c>
      <c r="P501" s="574">
        <f t="shared" si="181"/>
        <v>27928.590000000004</v>
      </c>
    </row>
    <row r="502" spans="2:16" x14ac:dyDescent="0.2">
      <c r="B502" s="362"/>
      <c r="C502" s="364" t="s">
        <v>1001</v>
      </c>
      <c r="D502" s="364"/>
      <c r="E502" s="362"/>
      <c r="F502" s="364"/>
      <c r="G502" s="365" t="s">
        <v>288</v>
      </c>
      <c r="H502" s="362"/>
      <c r="I502" s="449">
        <f t="shared" ref="I502:O502" si="185">+I499+I500+I501</f>
        <v>5108.24</v>
      </c>
      <c r="J502" s="449">
        <f t="shared" si="185"/>
        <v>3239.9</v>
      </c>
      <c r="K502" s="449">
        <f t="shared" si="185"/>
        <v>13781.52</v>
      </c>
      <c r="L502" s="449">
        <f t="shared" si="185"/>
        <v>6386.16</v>
      </c>
      <c r="M502" s="449">
        <f t="shared" si="185"/>
        <v>6152.88</v>
      </c>
      <c r="N502" s="449">
        <f t="shared" si="185"/>
        <v>4215.74</v>
      </c>
      <c r="O502" s="449">
        <f t="shared" si="185"/>
        <v>4589.51</v>
      </c>
      <c r="P502" s="574">
        <f t="shared" si="181"/>
        <v>38365.710000000006</v>
      </c>
    </row>
    <row r="503" spans="2:16" x14ac:dyDescent="0.2">
      <c r="B503" s="362"/>
      <c r="C503" s="364"/>
      <c r="D503" s="364"/>
      <c r="E503" s="362"/>
      <c r="F503" s="364"/>
      <c r="G503" s="372"/>
      <c r="H503" s="362"/>
      <c r="I503" s="449"/>
      <c r="J503" s="449"/>
      <c r="K503" s="449"/>
      <c r="L503" s="449"/>
      <c r="M503" s="449"/>
      <c r="N503" s="449"/>
      <c r="O503" s="449"/>
      <c r="P503" s="449"/>
    </row>
    <row r="504" spans="2:16" x14ac:dyDescent="0.2">
      <c r="B504" s="362"/>
      <c r="C504" s="364" t="s">
        <v>96</v>
      </c>
      <c r="D504" s="364" t="str">
        <f t="shared" ref="D504:D517" si="186">MID(C504,6,3)</f>
        <v>892</v>
      </c>
      <c r="E504" s="362" t="s">
        <v>948</v>
      </c>
      <c r="F504" s="364" t="s">
        <v>663</v>
      </c>
      <c r="G504" s="365" t="s">
        <v>268</v>
      </c>
      <c r="H504" s="362"/>
      <c r="I504" s="362">
        <f t="shared" ref="I504:O504" si="187">+I513/I507</f>
        <v>1</v>
      </c>
      <c r="J504" s="362">
        <f t="shared" si="187"/>
        <v>1</v>
      </c>
      <c r="K504" s="362">
        <f t="shared" si="187"/>
        <v>1</v>
      </c>
      <c r="L504" s="362">
        <f t="shared" si="187"/>
        <v>1</v>
      </c>
      <c r="M504" s="362">
        <f t="shared" si="187"/>
        <v>1</v>
      </c>
      <c r="N504" s="362">
        <f t="shared" si="187"/>
        <v>1</v>
      </c>
      <c r="O504" s="362">
        <f t="shared" si="187"/>
        <v>1</v>
      </c>
      <c r="P504" s="574">
        <f t="shared" si="181"/>
        <v>6</v>
      </c>
    </row>
    <row r="505" spans="2:16" x14ac:dyDescent="0.2">
      <c r="B505" s="362"/>
      <c r="C505" s="364" t="s">
        <v>96</v>
      </c>
      <c r="D505" s="364" t="str">
        <f t="shared" si="186"/>
        <v>892</v>
      </c>
      <c r="E505" s="362" t="s">
        <v>948</v>
      </c>
      <c r="F505" s="364" t="s">
        <v>663</v>
      </c>
      <c r="G505" s="365" t="s">
        <v>470</v>
      </c>
      <c r="H505" s="325" t="s">
        <v>518</v>
      </c>
      <c r="I505" s="395">
        <f>SUMIFS('Data-Cashout'!$J$3:$J$3943,'Data-Cashout'!$E$3:$E$3943,'Mar16-Aug16 FT-TS-Cashout-LG&amp;E'!$H$505,'Data-Cashout'!$A$3:$A$3943,'Mar16-Aug16 FT-TS-Cashout-LG&amp;E'!I$348,'Data-Cashout'!$B$3:$B$3943,'Mar16-Aug16 FT-TS-Cashout-LG&amp;E'!$C$505,'Data-Cashout'!$F$3:$F$3943,'Mar16-Aug16 FT-TS-Cashout-LG&amp;E'!I$351,'Data-Cashout'!$D$3:$D$3943,'Mar16-Aug16 FT-TS-Cashout-LG&amp;E'!$F$505)/10</f>
        <v>0</v>
      </c>
      <c r="J505" s="395">
        <f>SUMIFS('Data-Cashout'!$J$3:$J$3943,'Data-Cashout'!$E$3:$E$3943,'Mar16-Aug16 FT-TS-Cashout-LG&amp;E'!$H$486,'Data-Cashout'!$A$3:$A$3943,'Mar16-Aug16 FT-TS-Cashout-LG&amp;E'!J$348,'Data-Cashout'!$B$3:$B$3943,'Mar16-Aug16 FT-TS-Cashout-LG&amp;E'!$C$486,'Data-Cashout'!$F$3:$F$3943,'Mar16-Aug16 FT-TS-Cashout-LG&amp;E'!J$351,'Data-Cashout'!$D$3:$D$3943,'Mar16-Aug16 FT-TS-Cashout-LG&amp;E'!$F$486)/10</f>
        <v>0</v>
      </c>
      <c r="K505" s="395">
        <f>SUMIFS('Data-Cashout'!$J$3:$J$3943,'Data-Cashout'!$E$3:$E$3943,'Mar16-Aug16 FT-TS-Cashout-LG&amp;E'!$H$486,'Data-Cashout'!$A$3:$A$3943,'Mar16-Aug16 FT-TS-Cashout-LG&amp;E'!K$348,'Data-Cashout'!$B$3:$B$3943,'Mar16-Aug16 FT-TS-Cashout-LG&amp;E'!$C$486,'Data-Cashout'!$F$3:$F$3943,'Mar16-Aug16 FT-TS-Cashout-LG&amp;E'!K$351,'Data-Cashout'!$D$3:$D$3943,'Mar16-Aug16 FT-TS-Cashout-LG&amp;E'!$F$486)/10</f>
        <v>0</v>
      </c>
      <c r="L505" s="395">
        <f>SUMIFS('Data-Cashout'!$J$3:$J$3943,'Data-Cashout'!$E$3:$E$3943,'Mar16-Aug16 FT-TS-Cashout-LG&amp;E'!$H$486,'Data-Cashout'!$A$3:$A$3943,'Mar16-Aug16 FT-TS-Cashout-LG&amp;E'!L$348,'Data-Cashout'!$B$3:$B$3943,'Mar16-Aug16 FT-TS-Cashout-LG&amp;E'!$C$486,'Data-Cashout'!$F$3:$F$3943,'Mar16-Aug16 FT-TS-Cashout-LG&amp;E'!L$351,'Data-Cashout'!$D$3:$D$3943,'Mar16-Aug16 FT-TS-Cashout-LG&amp;E'!$F$486)/10</f>
        <v>0</v>
      </c>
      <c r="M505" s="395">
        <f>SUMIFS('Data-Cashout'!$J$3:$J$3943,'Data-Cashout'!$E$3:$E$3943,'Mar16-Aug16 FT-TS-Cashout-LG&amp;E'!$H$486,'Data-Cashout'!$A$3:$A$3943,'Mar16-Aug16 FT-TS-Cashout-LG&amp;E'!M$348,'Data-Cashout'!$B$3:$B$3943,'Mar16-Aug16 FT-TS-Cashout-LG&amp;E'!$C$486,'Data-Cashout'!$F$3:$F$3943,'Mar16-Aug16 FT-TS-Cashout-LG&amp;E'!M$351,'Data-Cashout'!$D$3:$D$3943,'Mar16-Aug16 FT-TS-Cashout-LG&amp;E'!$F$486)/10</f>
        <v>0</v>
      </c>
      <c r="N505" s="395">
        <f>SUMIFS('Data-Cashout'!$J$3:$J$3943,'Data-Cashout'!$E$3:$E$3943,'Mar16-Aug16 FT-TS-Cashout-LG&amp;E'!$H$486,'Data-Cashout'!$A$3:$A$3943,'Mar16-Aug16 FT-TS-Cashout-LG&amp;E'!N$348,'Data-Cashout'!$B$3:$B$3943,'Mar16-Aug16 FT-TS-Cashout-LG&amp;E'!$C$486,'Data-Cashout'!$F$3:$F$3943,'Mar16-Aug16 FT-TS-Cashout-LG&amp;E'!N$351,'Data-Cashout'!$D$3:$D$3943,'Mar16-Aug16 FT-TS-Cashout-LG&amp;E'!$F$486)/10</f>
        <v>0</v>
      </c>
      <c r="O505" s="395">
        <f>SUMIFS('Data-Cashout'!$J$3:$J$3943,'Data-Cashout'!$E$3:$E$3943,'Mar16-Aug16 FT-TS-Cashout-LG&amp;E'!$H$486,'Data-Cashout'!$A$3:$A$3943,'Mar16-Aug16 FT-TS-Cashout-LG&amp;E'!O$348,'Data-Cashout'!$B$3:$B$3943,'Mar16-Aug16 FT-TS-Cashout-LG&amp;E'!$C$486,'Data-Cashout'!$F$3:$F$3943,'Mar16-Aug16 FT-TS-Cashout-LG&amp;E'!O$351,'Data-Cashout'!$D$3:$D$3943,'Mar16-Aug16 FT-TS-Cashout-LG&amp;E'!$F$486)/10</f>
        <v>0</v>
      </c>
      <c r="P505" s="574">
        <f t="shared" si="181"/>
        <v>0</v>
      </c>
    </row>
    <row r="506" spans="2:16" x14ac:dyDescent="0.2">
      <c r="B506" s="362"/>
      <c r="C506" s="364" t="s">
        <v>96</v>
      </c>
      <c r="D506" s="364" t="str">
        <f t="shared" si="186"/>
        <v>892</v>
      </c>
      <c r="E506" s="362" t="s">
        <v>948</v>
      </c>
      <c r="F506" s="364" t="s">
        <v>663</v>
      </c>
      <c r="G506" s="366"/>
      <c r="H506" s="362"/>
      <c r="I506" s="362"/>
      <c r="J506" s="362"/>
      <c r="K506" s="362"/>
      <c r="L506" s="362"/>
      <c r="M506" s="362"/>
      <c r="N506" s="362"/>
      <c r="O506" s="362"/>
      <c r="P506" s="449"/>
    </row>
    <row r="507" spans="2:16" x14ac:dyDescent="0.2">
      <c r="B507" s="362"/>
      <c r="C507" s="364" t="s">
        <v>96</v>
      </c>
      <c r="D507" s="364" t="str">
        <f t="shared" si="186"/>
        <v>892</v>
      </c>
      <c r="E507" s="362" t="s">
        <v>948</v>
      </c>
      <c r="F507" s="364" t="s">
        <v>663</v>
      </c>
      <c r="G507" s="365" t="s">
        <v>596</v>
      </c>
      <c r="H507" s="362"/>
      <c r="I507" s="362">
        <f>VLOOKUP($C507,'Retail Rates'!$B$45:$O$63,5,FALSE)</f>
        <v>400</v>
      </c>
      <c r="J507" s="362">
        <f>VLOOKUP($C507,'Retail Rates'!$B$45:$O$63,5,FALSE)</f>
        <v>400</v>
      </c>
      <c r="K507" s="362">
        <f>VLOOKUP($C507,'Retail Rates'!$B$45:$O$63,5,FALSE)</f>
        <v>400</v>
      </c>
      <c r="L507" s="362">
        <f>VLOOKUP($C507,'Retail Rates'!$B$45:$O$63,5,FALSE)</f>
        <v>400</v>
      </c>
      <c r="M507" s="362">
        <f>VLOOKUP($C507,'Retail Rates'!$B$45:$O$63,5,FALSE)</f>
        <v>400</v>
      </c>
      <c r="N507" s="362">
        <f>VLOOKUP($C507,'Retail Rates'!$B$45:$O$63,5,FALSE)</f>
        <v>400</v>
      </c>
      <c r="O507" s="362">
        <f>VLOOKUP($C507,'Retail Rates'!$B$45:$O$63,5,FALSE)</f>
        <v>400</v>
      </c>
      <c r="P507" s="449"/>
    </row>
    <row r="508" spans="2:16" x14ac:dyDescent="0.2">
      <c r="B508" s="362"/>
      <c r="C508" s="364" t="s">
        <v>96</v>
      </c>
      <c r="D508" s="364" t="str">
        <f t="shared" si="186"/>
        <v>892</v>
      </c>
      <c r="E508" s="362" t="s">
        <v>948</v>
      </c>
      <c r="F508" s="364" t="s">
        <v>663</v>
      </c>
      <c r="G508" s="365" t="s">
        <v>949</v>
      </c>
      <c r="H508" s="362"/>
      <c r="I508" s="362">
        <f>VLOOKUP($C$508,'Retail Rates'!$B$45:$O$63,7,FALSE)</f>
        <v>0.70089999999999997</v>
      </c>
      <c r="J508" s="362">
        <f>VLOOKUP($C$508,'Retail Rates'!$B$45:$O$63,7,FALSE)</f>
        <v>0.70089999999999997</v>
      </c>
      <c r="K508" s="362">
        <f>VLOOKUP($C$508,'Retail Rates'!$B$45:$O$63,7,FALSE)</f>
        <v>0.70089999999999997</v>
      </c>
      <c r="L508" s="362">
        <f>VLOOKUP($C$508,'Retail Rates'!$B$45:$O$63,7,FALSE)</f>
        <v>0.70089999999999997</v>
      </c>
      <c r="M508" s="362">
        <f>VLOOKUP($C$508,'Retail Rates'!$B$45:$O$63,7,FALSE)</f>
        <v>0.70089999999999997</v>
      </c>
      <c r="N508" s="362">
        <f>VLOOKUP($C$508,'Retail Rates'!$B$45:$O$63,7,FALSE)</f>
        <v>0.70089999999999997</v>
      </c>
      <c r="O508" s="362">
        <f>VLOOKUP($C$508,'Retail Rates'!$B$45:$O$63,7,FALSE)</f>
        <v>0.70089999999999997</v>
      </c>
      <c r="P508" s="449"/>
    </row>
    <row r="509" spans="2:16" x14ac:dyDescent="0.2">
      <c r="B509" s="362"/>
      <c r="C509" s="364" t="s">
        <v>96</v>
      </c>
      <c r="D509" s="364" t="str">
        <f t="shared" si="186"/>
        <v>892</v>
      </c>
      <c r="E509" s="362" t="s">
        <v>948</v>
      </c>
      <c r="F509" s="364" t="s">
        <v>663</v>
      </c>
      <c r="G509" s="365" t="s">
        <v>542</v>
      </c>
      <c r="H509" s="362"/>
      <c r="I509" s="362">
        <f>SUMIF('GSC-DSM-GLT Factors'!$A$11:$A$58,'Mar16-Aug16 FT-TS-Cashout-LG&amp;E'!I$5,'GSC-DSM-GLT Factors'!$I$11:$I$58)</f>
        <v>3.2343000000000002</v>
      </c>
      <c r="J509" s="362">
        <f>SUMIF('GSC-DSM-GLT Factors'!$A$11:$A$58,'Mar16-Aug16 FT-TS-Cashout-LG&amp;E'!J$5,'GSC-DSM-GLT Factors'!$I$11:$I$58)</f>
        <v>3.2343000000000002</v>
      </c>
      <c r="K509" s="362">
        <f>SUMIF('GSC-DSM-GLT Factors'!$A$11:$A$58,'Mar16-Aug16 FT-TS-Cashout-LG&amp;E'!K$5,'GSC-DSM-GLT Factors'!$I$11:$I$58)</f>
        <v>3.2343000000000002</v>
      </c>
      <c r="L509" s="362">
        <f>SUMIF('GSC-DSM-GLT Factors'!$A$11:$A$58,'Mar16-Aug16 FT-TS-Cashout-LG&amp;E'!L$5,'GSC-DSM-GLT Factors'!$I$11:$I$58)</f>
        <v>3.5129999999999999</v>
      </c>
      <c r="M509" s="362">
        <f>SUMIF('GSC-DSM-GLT Factors'!$A$11:$A$58,'Mar16-Aug16 FT-TS-Cashout-LG&amp;E'!M$5,'GSC-DSM-GLT Factors'!$I$11:$I$58)</f>
        <v>3.5129999999999999</v>
      </c>
      <c r="N509" s="362">
        <f>SUMIF('GSC-DSM-GLT Factors'!$A$11:$A$58,'Mar16-Aug16 FT-TS-Cashout-LG&amp;E'!N$5,'GSC-DSM-GLT Factors'!$I$11:$I$58)</f>
        <v>3.5129999999999999</v>
      </c>
      <c r="O509" s="362">
        <f>SUMIF('GSC-DSM-GLT Factors'!$A$11:$A$58,'Mar16-Aug16 FT-TS-Cashout-LG&amp;E'!O$5,'GSC-DSM-GLT Factors'!$I$11:$I$58)</f>
        <v>3.8216000000000001</v>
      </c>
      <c r="P509" s="449"/>
    </row>
    <row r="510" spans="2:16" x14ac:dyDescent="0.2">
      <c r="B510" s="362"/>
      <c r="C510" s="364" t="s">
        <v>96</v>
      </c>
      <c r="D510" s="364" t="str">
        <f t="shared" si="186"/>
        <v>892</v>
      </c>
      <c r="E510" s="362" t="s">
        <v>948</v>
      </c>
      <c r="F510" s="364" t="s">
        <v>663</v>
      </c>
      <c r="G510" s="365" t="s">
        <v>754</v>
      </c>
      <c r="H510" s="362"/>
      <c r="I510" s="362">
        <f>SUMIF('GSC-DSM-GLT Factors'!$A$11:$A$58,'Mar16-Aug16 FT-TS-Cashout-LG&amp;E'!I$5,'GSC-DSM-GLT Factors'!$N$11:$N$58)</f>
        <v>2688.31</v>
      </c>
      <c r="J510" s="362">
        <f>SUMIF('GSC-DSM-GLT Factors'!$A$11:$A$58,'Mar16-Aug16 FT-TS-Cashout-LG&amp;E'!J$5,'GSC-DSM-GLT Factors'!$N$11:$N$58)</f>
        <v>2688.31</v>
      </c>
      <c r="K510" s="362">
        <f>SUMIF('GSC-DSM-GLT Factors'!$A$11:$A$58,'Mar16-Aug16 FT-TS-Cashout-LG&amp;E'!K$5,'GSC-DSM-GLT Factors'!$N$11:$N$58)</f>
        <v>2688.31</v>
      </c>
      <c r="L510" s="362">
        <f>SUMIF('GSC-DSM-GLT Factors'!$A$11:$A$58,'Mar16-Aug16 FT-TS-Cashout-LG&amp;E'!L$5,'GSC-DSM-GLT Factors'!$N$11:$N$58)</f>
        <v>2838.87</v>
      </c>
      <c r="M510" s="362">
        <f>SUMIF('GSC-DSM-GLT Factors'!$A$11:$A$58,'Mar16-Aug16 FT-TS-Cashout-LG&amp;E'!M$5,'GSC-DSM-GLT Factors'!$N$11:$N$58)</f>
        <v>2838.87</v>
      </c>
      <c r="N510" s="362">
        <f>SUMIF('GSC-DSM-GLT Factors'!$A$11:$A$58,'Mar16-Aug16 FT-TS-Cashout-LG&amp;E'!N$5,'GSC-DSM-GLT Factors'!$N$11:$N$58)</f>
        <v>2838.87</v>
      </c>
      <c r="O510" s="362">
        <f>SUMIF('GSC-DSM-GLT Factors'!$A$11:$A$58,'Mar16-Aug16 FT-TS-Cashout-LG&amp;E'!O$5,'GSC-DSM-GLT Factors'!$N$11:$N$58)</f>
        <v>2838.87</v>
      </c>
      <c r="P510" s="362"/>
    </row>
    <row r="511" spans="2:16" x14ac:dyDescent="0.2">
      <c r="B511" s="362"/>
      <c r="C511" s="364" t="s">
        <v>96</v>
      </c>
      <c r="D511" s="364" t="str">
        <f t="shared" si="186"/>
        <v>892</v>
      </c>
      <c r="E511" s="362" t="s">
        <v>948</v>
      </c>
      <c r="F511" s="364" t="s">
        <v>663</v>
      </c>
      <c r="G511" s="365"/>
      <c r="H511" s="362"/>
      <c r="I511" s="362"/>
      <c r="J511" s="362"/>
      <c r="K511" s="667" t="s">
        <v>958</v>
      </c>
      <c r="L511" s="362"/>
      <c r="M511" s="362"/>
      <c r="N511" s="362"/>
      <c r="O511" s="362"/>
      <c r="P511" s="362"/>
    </row>
    <row r="512" spans="2:16" x14ac:dyDescent="0.2">
      <c r="B512" s="362"/>
      <c r="C512" s="364" t="s">
        <v>96</v>
      </c>
      <c r="D512" s="364" t="str">
        <f t="shared" si="186"/>
        <v>892</v>
      </c>
      <c r="E512" s="362" t="s">
        <v>948</v>
      </c>
      <c r="F512" s="364" t="s">
        <v>663</v>
      </c>
      <c r="G512" s="367" t="s">
        <v>273</v>
      </c>
      <c r="H512" s="362"/>
      <c r="I512" s="362"/>
      <c r="J512" s="362"/>
      <c r="K512" s="667" t="s">
        <v>959</v>
      </c>
      <c r="L512" s="362"/>
      <c r="M512" s="362"/>
      <c r="N512" s="362"/>
      <c r="O512" s="362"/>
      <c r="P512" s="362"/>
    </row>
    <row r="513" spans="2:16" x14ac:dyDescent="0.2">
      <c r="B513" s="362"/>
      <c r="C513" s="364" t="s">
        <v>96</v>
      </c>
      <c r="D513" s="364" t="str">
        <f t="shared" si="186"/>
        <v>892</v>
      </c>
      <c r="E513" s="362" t="s">
        <v>948</v>
      </c>
      <c r="F513" s="364" t="s">
        <v>663</v>
      </c>
      <c r="G513" s="368" t="s">
        <v>169</v>
      </c>
      <c r="H513" s="325" t="s">
        <v>528</v>
      </c>
      <c r="I513" s="450">
        <f>SUMIFS('Data-Cashout'!$AI$3:$AI$3943,'Data-Cashout'!$E$3:$E$3943,'Mar16-Aug16 FT-TS-Cashout-LG&amp;E'!$H$513,'Data-Cashout'!$A$3:$A$3943,'Mar16-Aug16 FT-TS-Cashout-LG&amp;E'!I$348,'Data-Cashout'!$B$3:$B$3943,'Mar16-Aug16 FT-TS-Cashout-LG&amp;E'!$C$513,'Data-Cashout'!$D$3:$D$3943,'Mar16-Aug16 FT-TS-Cashout-LG&amp;E'!$F$513)</f>
        <v>400</v>
      </c>
      <c r="J513" s="450">
        <f>SUMIFS('Data-Cashout'!$AI$3:$AI$3943,'Data-Cashout'!$E$3:$E$3943,'Mar16-Aug16 FT-TS-Cashout-LG&amp;E'!$H$513,'Data-Cashout'!$A$3:$A$3943,'Mar16-Aug16 FT-TS-Cashout-LG&amp;E'!J$348,'Data-Cashout'!$B$3:$B$3943,'Mar16-Aug16 FT-TS-Cashout-LG&amp;E'!$C$513,'Data-Cashout'!$D$3:$D$3943,'Mar16-Aug16 FT-TS-Cashout-LG&amp;E'!$F$513)</f>
        <v>400</v>
      </c>
      <c r="K513" s="450">
        <f>SUMIFS('Data-Cashout'!$AI$3:$AI$3943,'Data-Cashout'!$E$3:$E$3943,'Mar16-Aug16 FT-TS-Cashout-LG&amp;E'!$H$513,'Data-Cashout'!$A$3:$A$3943,'Mar16-Aug16 FT-TS-Cashout-LG&amp;E'!K$348,'Data-Cashout'!$B$3:$B$3943,'Mar16-Aug16 FT-TS-Cashout-LG&amp;E'!$C$513,'Data-Cashout'!$D$3:$D$3943,'Mar16-Aug16 FT-TS-Cashout-LG&amp;E'!$F$513)</f>
        <v>400</v>
      </c>
      <c r="L513" s="450">
        <f>SUMIFS('Data-Cashout'!$AI$3:$AI$3943,'Data-Cashout'!$E$3:$E$3943,'Mar16-Aug16 FT-TS-Cashout-LG&amp;E'!$H$513,'Data-Cashout'!$A$3:$A$3943,'Mar16-Aug16 FT-TS-Cashout-LG&amp;E'!L$348,'Data-Cashout'!$B$3:$B$3943,'Mar16-Aug16 FT-TS-Cashout-LG&amp;E'!$C$519,'Data-Cashout'!$D$3:$D$3943,'Mar16-Aug16 FT-TS-Cashout-LG&amp;E'!$F$513)</f>
        <v>400</v>
      </c>
      <c r="M513" s="450">
        <f>SUMIFS('Data-Cashout'!$AI$3:$AI$3943,'Data-Cashout'!$E$3:$E$3943,'Mar16-Aug16 FT-TS-Cashout-LG&amp;E'!$H$513,'Data-Cashout'!$A$3:$A$3943,'Mar16-Aug16 FT-TS-Cashout-LG&amp;E'!M$348,'Data-Cashout'!$B$3:$B$3943,'Mar16-Aug16 FT-TS-Cashout-LG&amp;E'!$C$519,'Data-Cashout'!$D$3:$D$3943,'Mar16-Aug16 FT-TS-Cashout-LG&amp;E'!$F$513)</f>
        <v>400</v>
      </c>
      <c r="N513" s="450">
        <f>SUMIFS('Data-Cashout'!$AI$3:$AI$3943,'Data-Cashout'!$E$3:$E$3943,'Mar16-Aug16 FT-TS-Cashout-LG&amp;E'!$H$513,'Data-Cashout'!$A$3:$A$3943,'Mar16-Aug16 FT-TS-Cashout-LG&amp;E'!N$348,'Data-Cashout'!$B$3:$B$3943,'Mar16-Aug16 FT-TS-Cashout-LG&amp;E'!$C$519,'Data-Cashout'!$D$3:$D$3943,'Mar16-Aug16 FT-TS-Cashout-LG&amp;E'!$F$513)</f>
        <v>400</v>
      </c>
      <c r="O513" s="450">
        <f>SUMIFS('Data-Cashout'!$AI$3:$AI$3943,'Data-Cashout'!$E$3:$E$3943,'Mar16-Aug16 FT-TS-Cashout-LG&amp;E'!$H$513,'Data-Cashout'!$A$3:$A$3943,'Mar16-Aug16 FT-TS-Cashout-LG&amp;E'!O$348,'Data-Cashout'!$B$3:$B$3943,'Mar16-Aug16 FT-TS-Cashout-LG&amp;E'!$C$519,'Data-Cashout'!$D$3:$D$3943,'Mar16-Aug16 FT-TS-Cashout-LG&amp;E'!$F$513)</f>
        <v>400</v>
      </c>
      <c r="P513" s="574">
        <f t="shared" ref="P513:P525" si="188">SUM(J513:O513)</f>
        <v>2400</v>
      </c>
    </row>
    <row r="514" spans="2:16" x14ac:dyDescent="0.2">
      <c r="B514" s="362"/>
      <c r="C514" s="364" t="s">
        <v>96</v>
      </c>
      <c r="D514" s="364" t="str">
        <f t="shared" si="186"/>
        <v>892</v>
      </c>
      <c r="E514" s="362" t="s">
        <v>948</v>
      </c>
      <c r="F514" s="364" t="s">
        <v>663</v>
      </c>
      <c r="G514" s="368" t="s">
        <v>670</v>
      </c>
      <c r="H514" s="362"/>
      <c r="I514" s="449">
        <f>I504*I510</f>
        <v>2688.31</v>
      </c>
      <c r="J514" s="449">
        <f>J504*J510</f>
        <v>2688.31</v>
      </c>
      <c r="K514" s="449">
        <v>2698.35</v>
      </c>
      <c r="L514" s="449">
        <f>L504*L510</f>
        <v>2838.87</v>
      </c>
      <c r="M514" s="449">
        <f>M504*M510</f>
        <v>2838.87</v>
      </c>
      <c r="N514" s="449">
        <f>N504*N510</f>
        <v>2838.87</v>
      </c>
      <c r="O514" s="449">
        <f>O504*O510</f>
        <v>2838.87</v>
      </c>
      <c r="P514" s="574">
        <f t="shared" si="188"/>
        <v>16742.139999999996</v>
      </c>
    </row>
    <row r="515" spans="2:16" x14ac:dyDescent="0.2">
      <c r="B515" s="362"/>
      <c r="C515" s="364" t="s">
        <v>96</v>
      </c>
      <c r="D515" s="364" t="str">
        <f t="shared" si="186"/>
        <v>892</v>
      </c>
      <c r="E515" s="362" t="s">
        <v>948</v>
      </c>
      <c r="F515" s="364" t="s">
        <v>663</v>
      </c>
      <c r="G515" s="365" t="s">
        <v>275</v>
      </c>
      <c r="H515" s="362"/>
      <c r="I515" s="451">
        <f t="shared" ref="I515:O515" si="189">I505*I508</f>
        <v>0</v>
      </c>
      <c r="J515" s="451">
        <f t="shared" si="189"/>
        <v>0</v>
      </c>
      <c r="K515" s="451">
        <f t="shared" si="189"/>
        <v>0</v>
      </c>
      <c r="L515" s="451">
        <f t="shared" si="189"/>
        <v>0</v>
      </c>
      <c r="M515" s="451">
        <f t="shared" si="189"/>
        <v>0</v>
      </c>
      <c r="N515" s="451">
        <f t="shared" si="189"/>
        <v>0</v>
      </c>
      <c r="O515" s="451">
        <f t="shared" si="189"/>
        <v>0</v>
      </c>
      <c r="P515" s="574">
        <f t="shared" si="188"/>
        <v>0</v>
      </c>
    </row>
    <row r="516" spans="2:16" x14ac:dyDescent="0.2">
      <c r="B516" s="362"/>
      <c r="C516" s="364" t="s">
        <v>96</v>
      </c>
      <c r="D516" s="364" t="str">
        <f t="shared" si="186"/>
        <v>892</v>
      </c>
      <c r="E516" s="362" t="s">
        <v>948</v>
      </c>
      <c r="F516" s="364" t="s">
        <v>663</v>
      </c>
      <c r="G516" s="365" t="s">
        <v>276</v>
      </c>
      <c r="H516" s="362"/>
      <c r="I516" s="449">
        <f t="shared" ref="I516:O516" si="190">SUM(I513:I515)</f>
        <v>3088.31</v>
      </c>
      <c r="J516" s="449">
        <f t="shared" si="190"/>
        <v>3088.31</v>
      </c>
      <c r="K516" s="449">
        <f t="shared" si="190"/>
        <v>3098.35</v>
      </c>
      <c r="L516" s="449">
        <f t="shared" si="190"/>
        <v>3238.87</v>
      </c>
      <c r="M516" s="449">
        <f t="shared" si="190"/>
        <v>3238.87</v>
      </c>
      <c r="N516" s="449">
        <f t="shared" si="190"/>
        <v>3238.87</v>
      </c>
      <c r="O516" s="449">
        <f t="shared" si="190"/>
        <v>3238.87</v>
      </c>
      <c r="P516" s="574">
        <f t="shared" si="188"/>
        <v>19142.139999999996</v>
      </c>
    </row>
    <row r="517" spans="2:16" x14ac:dyDescent="0.2">
      <c r="B517" s="362"/>
      <c r="C517" s="364" t="s">
        <v>96</v>
      </c>
      <c r="D517" s="364" t="str">
        <f t="shared" si="186"/>
        <v>892</v>
      </c>
      <c r="E517" s="362" t="s">
        <v>948</v>
      </c>
      <c r="F517" s="364" t="s">
        <v>663</v>
      </c>
      <c r="G517" s="365" t="s">
        <v>196</v>
      </c>
      <c r="H517" s="325" t="s">
        <v>196</v>
      </c>
      <c r="I517" s="450">
        <f>SUMIFS('Data-Cashout'!$AI$3:$AI$3943,'Data-Cashout'!$E$3:$E$3943,'Mar16-Aug16 FT-TS-Cashout-LG&amp;E'!$H$517,'Data-Cashout'!$A$3:$A$3943,'Mar16-Aug16 FT-TS-Cashout-LG&amp;E'!I$348,'Data-Cashout'!$B$3:$B$3943,'Mar16-Aug16 FT-TS-Cashout-LG&amp;E'!$C$517,'Data-Cashout'!$D$3:$D$3943,'Mar16-Aug16 FT-TS-Cashout-LG&amp;E'!$F$517)</f>
        <v>0</v>
      </c>
      <c r="J517" s="450">
        <f>SUMIFS('Data-Cashout'!$AI$3:$AI$3943,'Data-Cashout'!$E$3:$E$3943,'Mar16-Aug16 FT-TS-Cashout-LG&amp;E'!$H$500,'Data-Cashout'!$A$3:$A$3943,'Mar16-Aug16 FT-TS-Cashout-LG&amp;E'!J$348,'Data-Cashout'!$B$3:$B$3943,'Mar16-Aug16 FT-TS-Cashout-LG&amp;E'!$C$500,'Data-Cashout'!$D$3:$D$3943,'Mar16-Aug16 FT-TS-Cashout-LG&amp;E'!$F$500)</f>
        <v>0</v>
      </c>
      <c r="K517" s="450">
        <f>SUMIFS('Data-Cashout'!$AI$3:$AI$3943,'Data-Cashout'!$E$3:$E$3943,'Mar16-Aug16 FT-TS-Cashout-LG&amp;E'!$H$500,'Data-Cashout'!$A$3:$A$3943,'Mar16-Aug16 FT-TS-Cashout-LG&amp;E'!K$348,'Data-Cashout'!$B$3:$B$3943,'Mar16-Aug16 FT-TS-Cashout-LG&amp;E'!$C$500,'Data-Cashout'!$D$3:$D$3943,'Mar16-Aug16 FT-TS-Cashout-LG&amp;E'!$F$500)</f>
        <v>0</v>
      </c>
      <c r="L517" s="450">
        <f>SUMIFS('Data-Cashout'!$AI$3:$AI$3943,'Data-Cashout'!$E$3:$E$3943,'Mar16-Aug16 FT-TS-Cashout-LG&amp;E'!$H$500,'Data-Cashout'!$A$3:$A$3943,'Mar16-Aug16 FT-TS-Cashout-LG&amp;E'!L$348,'Data-Cashout'!$B$3:$B$3943,'Mar16-Aug16 FT-TS-Cashout-LG&amp;E'!$C$519,'Data-Cashout'!$D$3:$D$3943,'Mar16-Aug16 FT-TS-Cashout-LG&amp;E'!$F$500)</f>
        <v>0</v>
      </c>
      <c r="M517" s="450">
        <f>SUMIFS('Data-Cashout'!$AI$3:$AI$3943,'Data-Cashout'!$E$3:$E$3943,'Mar16-Aug16 FT-TS-Cashout-LG&amp;E'!$H$500,'Data-Cashout'!$A$3:$A$3943,'Mar16-Aug16 FT-TS-Cashout-LG&amp;E'!M$348,'Data-Cashout'!$B$3:$B$3943,'Mar16-Aug16 FT-TS-Cashout-LG&amp;E'!$C$500,'Data-Cashout'!$D$3:$D$3943,'Mar16-Aug16 FT-TS-Cashout-LG&amp;E'!$F$500)</f>
        <v>0</v>
      </c>
      <c r="N517" s="450">
        <f>SUMIFS('Data-Cashout'!$AI$3:$AI$3943,'Data-Cashout'!$E$3:$E$3943,'Mar16-Aug16 FT-TS-Cashout-LG&amp;E'!$H$500,'Data-Cashout'!$A$3:$A$3943,'Mar16-Aug16 FT-TS-Cashout-LG&amp;E'!N$348,'Data-Cashout'!$B$3:$B$3943,'Mar16-Aug16 FT-TS-Cashout-LG&amp;E'!$C$500,'Data-Cashout'!$D$3:$D$3943,'Mar16-Aug16 FT-TS-Cashout-LG&amp;E'!$F$500)</f>
        <v>0</v>
      </c>
      <c r="O517" s="450">
        <f>SUMIFS('Data-Cashout'!$AI$3:$AI$3943,'Data-Cashout'!$E$3:$E$3943,'Mar16-Aug16 FT-TS-Cashout-LG&amp;E'!$H$500,'Data-Cashout'!$A$3:$A$3943,'Mar16-Aug16 FT-TS-Cashout-LG&amp;E'!O$348,'Data-Cashout'!$B$3:$B$3943,'Mar16-Aug16 FT-TS-Cashout-LG&amp;E'!$C$500,'Data-Cashout'!$D$3:$D$3943,'Mar16-Aug16 FT-TS-Cashout-LG&amp;E'!$F$500)</f>
        <v>0</v>
      </c>
      <c r="P517" s="574">
        <f t="shared" si="188"/>
        <v>0</v>
      </c>
    </row>
    <row r="518" spans="2:16" x14ac:dyDescent="0.2">
      <c r="B518" s="362"/>
      <c r="C518" s="364" t="s">
        <v>99</v>
      </c>
      <c r="D518" s="364" t="str">
        <f>MID(C518,6,3)</f>
        <v>892</v>
      </c>
      <c r="E518" s="362" t="s">
        <v>948</v>
      </c>
      <c r="F518" s="364" t="s">
        <v>663</v>
      </c>
      <c r="G518" s="365" t="s">
        <v>763</v>
      </c>
      <c r="H518" s="325" t="s">
        <v>525</v>
      </c>
      <c r="I518" s="450">
        <f>SUMIFS('Data-Cashout'!$AB$3:$AB$3943,'Data-Cashout'!$E$3:$E$3943,'Mar16-Aug16 FT-TS-Cashout-LG&amp;E'!$H$518,'Data-Cashout'!$A$3:$A$3943,'Mar16-Aug16 FT-TS-Cashout-LG&amp;E'!I$348,'Data-Cashout'!$B$3:$B$3943,'Mar16-Aug16 FT-TS-Cashout-LG&amp;E'!$C$518,'Data-Cashout'!$D$3:$D$3943,'Mar16-Aug16 FT-TS-Cashout-LG&amp;E'!$F$518,'Data-Cashout'!$F$3:$F$3943,'Mar16-Aug16 FT-TS-Cashout-LG&amp;E'!I371)</f>
        <v>0</v>
      </c>
      <c r="J518" s="450">
        <f>SUMIFS('Data-Cashout'!$AB$3:$AB$3943,'Data-Cashout'!$E$3:$E$3943,'Mar16-Aug16 FT-TS-Cashout-LG&amp;E'!$H$501,'Data-Cashout'!$A$3:$A$3943,'Mar16-Aug16 FT-TS-Cashout-LG&amp;E'!J$348,'Data-Cashout'!$B$3:$B$3943,'Mar16-Aug16 FT-TS-Cashout-LG&amp;E'!$C$501,'Data-Cashout'!$D$3:$D$3943,'Mar16-Aug16 FT-TS-Cashout-LG&amp;E'!$F$500,'Data-Cashout'!$F$3:$F$3943,'Mar16-Aug16 FT-TS-Cashout-LG&amp;E'!J371)</f>
        <v>0</v>
      </c>
      <c r="K518" s="450">
        <f>SUMIFS('Data-Cashout'!$AB$3:$AB$3943,'Data-Cashout'!$E$3:$E$3943,'Mar16-Aug16 FT-TS-Cashout-LG&amp;E'!$H$501,'Data-Cashout'!$A$3:$A$3943,'Mar16-Aug16 FT-TS-Cashout-LG&amp;E'!K$348,'Data-Cashout'!$B$3:$B$3943,'Mar16-Aug16 FT-TS-Cashout-LG&amp;E'!$C$501,'Data-Cashout'!$D$3:$D$3943,'Mar16-Aug16 FT-TS-Cashout-LG&amp;E'!$F$500,'Data-Cashout'!$F$3:$F$3943,'Mar16-Aug16 FT-TS-Cashout-LG&amp;E'!K371)</f>
        <v>0</v>
      </c>
      <c r="L518" s="450">
        <f>SUMIFS('Data-Cashout'!$AB$3:$AB$3943,'Data-Cashout'!$E$3:$E$3943,'Mar16-Aug16 FT-TS-Cashout-LG&amp;E'!$H$501,'Data-Cashout'!$A$3:$A$3943,'Mar16-Aug16 FT-TS-Cashout-LG&amp;E'!L$348,'Data-Cashout'!$B$3:$B$3943,'Mar16-Aug16 FT-TS-Cashout-LG&amp;E'!$C$519,'Data-Cashout'!$D$3:$D$3943,'Mar16-Aug16 FT-TS-Cashout-LG&amp;E'!$F$500,'Data-Cashout'!$F$3:$F$3943,'Mar16-Aug16 FT-TS-Cashout-LG&amp;E'!L371)</f>
        <v>0</v>
      </c>
      <c r="M518" s="450">
        <f>SUMIFS('Data-Cashout'!$AB$3:$AB$3943,'Data-Cashout'!$E$3:$E$3943,'Mar16-Aug16 FT-TS-Cashout-LG&amp;E'!$H$501,'Data-Cashout'!$A$3:$A$3943,'Mar16-Aug16 FT-TS-Cashout-LG&amp;E'!M$348,'Data-Cashout'!$B$3:$B$3943,'Mar16-Aug16 FT-TS-Cashout-LG&amp;E'!$C$501,'Data-Cashout'!$D$3:$D$3943,'Mar16-Aug16 FT-TS-Cashout-LG&amp;E'!$F$500,'Data-Cashout'!$F$3:$F$3943,'Mar16-Aug16 FT-TS-Cashout-LG&amp;E'!M371)</f>
        <v>0</v>
      </c>
      <c r="N518" s="450">
        <f>SUMIFS('Data-Cashout'!$AB$3:$AB$3943,'Data-Cashout'!$E$3:$E$3943,'Mar16-Aug16 FT-TS-Cashout-LG&amp;E'!$H$501,'Data-Cashout'!$A$3:$A$3943,'Mar16-Aug16 FT-TS-Cashout-LG&amp;E'!N$348,'Data-Cashout'!$B$3:$B$3943,'Mar16-Aug16 FT-TS-Cashout-LG&amp;E'!$C$501,'Data-Cashout'!$D$3:$D$3943,'Mar16-Aug16 FT-TS-Cashout-LG&amp;E'!$F$500,'Data-Cashout'!$F$3:$F$3943,'Mar16-Aug16 FT-TS-Cashout-LG&amp;E'!N371)</f>
        <v>0</v>
      </c>
      <c r="O518" s="450">
        <f>SUMIFS('Data-Cashout'!$AB$3:$AB$3943,'Data-Cashout'!$E$3:$E$3943,'Mar16-Aug16 FT-TS-Cashout-LG&amp;E'!$H$501,'Data-Cashout'!$A$3:$A$3943,'Mar16-Aug16 FT-TS-Cashout-LG&amp;E'!O$348,'Data-Cashout'!$B$3:$B$3943,'Mar16-Aug16 FT-TS-Cashout-LG&amp;E'!$C$501,'Data-Cashout'!$D$3:$D$3943,'Mar16-Aug16 FT-TS-Cashout-LG&amp;E'!$F$500,'Data-Cashout'!$F$3:$F$3943,'Mar16-Aug16 FT-TS-Cashout-LG&amp;E'!O371)</f>
        <v>0</v>
      </c>
      <c r="P518" s="574">
        <f t="shared" si="188"/>
        <v>0</v>
      </c>
    </row>
    <row r="519" spans="2:16" x14ac:dyDescent="0.2">
      <c r="B519" s="362"/>
      <c r="C519" s="364" t="s">
        <v>1003</v>
      </c>
      <c r="D519" s="364"/>
      <c r="E519" s="362"/>
      <c r="F519" s="364"/>
      <c r="G519" s="365" t="s">
        <v>288</v>
      </c>
      <c r="H519" s="362"/>
      <c r="I519" s="449">
        <f t="shared" ref="I519:O519" si="191">+I516+I517+I518</f>
        <v>3088.31</v>
      </c>
      <c r="J519" s="449">
        <f t="shared" si="191"/>
        <v>3088.31</v>
      </c>
      <c r="K519" s="449">
        <f t="shared" si="191"/>
        <v>3098.35</v>
      </c>
      <c r="L519" s="449">
        <f t="shared" si="191"/>
        <v>3238.87</v>
      </c>
      <c r="M519" s="449">
        <f t="shared" si="191"/>
        <v>3238.87</v>
      </c>
      <c r="N519" s="449">
        <f t="shared" si="191"/>
        <v>3238.87</v>
      </c>
      <c r="O519" s="449">
        <f t="shared" si="191"/>
        <v>3238.87</v>
      </c>
      <c r="P519" s="574">
        <f t="shared" si="188"/>
        <v>19142.139999999996</v>
      </c>
    </row>
    <row r="520" spans="2:16" x14ac:dyDescent="0.2">
      <c r="B520" s="362"/>
      <c r="C520" s="364"/>
      <c r="D520" s="364"/>
      <c r="E520" s="362"/>
      <c r="F520" s="364"/>
      <c r="G520" s="365"/>
      <c r="H520" s="362"/>
      <c r="I520" s="449"/>
      <c r="J520" s="449"/>
      <c r="K520" s="449"/>
      <c r="L520" s="449"/>
      <c r="M520" s="449"/>
      <c r="N520" s="449"/>
      <c r="O520" s="449"/>
      <c r="P520" s="398"/>
    </row>
    <row r="521" spans="2:16" x14ac:dyDescent="0.2">
      <c r="B521" s="362"/>
      <c r="C521" s="364"/>
      <c r="D521" s="364"/>
      <c r="E521" s="362"/>
      <c r="F521" s="364"/>
      <c r="G521" s="365" t="s">
        <v>941</v>
      </c>
      <c r="H521" s="362"/>
      <c r="I521" s="449">
        <f t="shared" ref="I521:O521" si="192">I502+I519</f>
        <v>8196.5499999999993</v>
      </c>
      <c r="J521" s="449">
        <f t="shared" si="192"/>
        <v>6328.21</v>
      </c>
      <c r="K521" s="449">
        <f t="shared" si="192"/>
        <v>16879.87</v>
      </c>
      <c r="L521" s="449">
        <f t="shared" si="192"/>
        <v>9625.0299999999988</v>
      </c>
      <c r="M521" s="449">
        <f t="shared" si="192"/>
        <v>9391.75</v>
      </c>
      <c r="N521" s="449">
        <f t="shared" si="192"/>
        <v>7454.61</v>
      </c>
      <c r="O521" s="449">
        <f t="shared" si="192"/>
        <v>7828.38</v>
      </c>
      <c r="P521" s="574">
        <f t="shared" si="188"/>
        <v>57507.85</v>
      </c>
    </row>
    <row r="522" spans="2:16" x14ac:dyDescent="0.2">
      <c r="B522" s="362"/>
      <c r="C522" s="362"/>
      <c r="D522" s="362"/>
      <c r="E522" s="362"/>
      <c r="F522" s="362"/>
      <c r="G522" s="362"/>
      <c r="H522" s="362"/>
      <c r="I522" s="449"/>
      <c r="J522" s="449"/>
      <c r="K522" s="449"/>
      <c r="L522" s="449"/>
      <c r="M522" s="449"/>
      <c r="N522" s="449"/>
      <c r="O522" s="449"/>
      <c r="P522" s="449"/>
    </row>
    <row r="523" spans="2:16" x14ac:dyDescent="0.2">
      <c r="B523" s="362"/>
      <c r="C523" s="362"/>
      <c r="D523" s="362"/>
      <c r="E523" s="362"/>
      <c r="F523" s="364" t="s">
        <v>957</v>
      </c>
      <c r="G523" s="368" t="s">
        <v>532</v>
      </c>
      <c r="H523" s="362"/>
      <c r="I523" s="449">
        <f>SUMIFS('Bruise Report-Cashouts'!$C$5:$C$76,'Bruise Report-Cashouts'!$A$5:$A$76,'Mar16-Aug16 FT-TS-Cashout-LG&amp;E'!I$348,'Bruise Report-Cashouts'!$B$5:$B$76,'Mar16-Aug16 FT-TS-Cashout-LG&amp;E'!$F$523)</f>
        <v>8196.5499999999993</v>
      </c>
      <c r="J523" s="449">
        <f>SUMIFS('Bruise Report-Cashouts'!$C$5:$C$76,'Bruise Report-Cashouts'!$A$5:$A$76,'Mar16-Aug16 FT-TS-Cashout-LG&amp;E'!J$348,'Bruise Report-Cashouts'!$B$5:$B$76,'Mar16-Aug16 FT-TS-Cashout-LG&amp;E'!$F$523)</f>
        <v>6328.21</v>
      </c>
      <c r="K523" s="449">
        <f>SUMIFS('Bruise Report-Cashouts'!$C$5:$C$76,'Bruise Report-Cashouts'!$A$5:$A$76,'Mar16-Aug16 FT-TS-Cashout-LG&amp;E'!K$348,'Bruise Report-Cashouts'!$B$5:$B$76,'Mar16-Aug16 FT-TS-Cashout-LG&amp;E'!$F$523)</f>
        <v>16879.870000000003</v>
      </c>
      <c r="L523" s="449">
        <f>SUMIFS('Bruise Report-Cashouts'!$C$5:$C$76,'Bruise Report-Cashouts'!$A$5:$A$76,'Mar16-Aug16 FT-TS-Cashout-LG&amp;E'!L$348,'Bruise Report-Cashouts'!$B$5:$B$76,'Mar16-Aug16 FT-TS-Cashout-LG&amp;E'!$F$523)</f>
        <v>9625.0300000000007</v>
      </c>
      <c r="M523" s="449">
        <f>SUMIFS('Bruise Report-Cashouts'!$C$5:$C$76,'Bruise Report-Cashouts'!$A$5:$A$76,'Mar16-Aug16 FT-TS-Cashout-LG&amp;E'!M$348,'Bruise Report-Cashouts'!$B$5:$B$76,'Mar16-Aug16 FT-TS-Cashout-LG&amp;E'!$F$523)</f>
        <v>9391.75</v>
      </c>
      <c r="N523" s="449">
        <f>SUMIFS('Bruise Report-Cashouts'!$C$5:$C$76,'Bruise Report-Cashouts'!$A$5:$A$76,'Mar16-Aug16 FT-TS-Cashout-LG&amp;E'!N$348,'Bruise Report-Cashouts'!$B$5:$B$76,'Mar16-Aug16 FT-TS-Cashout-LG&amp;E'!$F$523)</f>
        <v>7454.61</v>
      </c>
      <c r="O523" s="449">
        <f>SUMIFS('Bruise Report-Cashouts'!$C$5:$C$76,'Bruise Report-Cashouts'!$A$5:$A$76,'Mar16-Aug16 FT-TS-Cashout-LG&amp;E'!O$348,'Bruise Report-Cashouts'!$B$5:$B$76,'Mar16-Aug16 FT-TS-Cashout-LG&amp;E'!$F$523)</f>
        <v>7828.38</v>
      </c>
      <c r="P523" s="574">
        <f t="shared" si="188"/>
        <v>57507.85</v>
      </c>
    </row>
    <row r="524" spans="2:16" x14ac:dyDescent="0.2">
      <c r="B524" s="362"/>
      <c r="C524" s="362"/>
      <c r="D524" s="362"/>
      <c r="E524" s="362"/>
      <c r="F524" s="362"/>
      <c r="G524" s="362"/>
      <c r="H524" s="362"/>
      <c r="I524" s="449"/>
      <c r="J524" s="449"/>
      <c r="K524" s="449"/>
      <c r="L524" s="449"/>
      <c r="M524" s="449"/>
      <c r="N524" s="449"/>
      <c r="O524" s="449"/>
      <c r="P524" s="362"/>
    </row>
    <row r="525" spans="2:16" x14ac:dyDescent="0.2">
      <c r="B525" s="362"/>
      <c r="C525" s="362"/>
      <c r="D525" s="362"/>
      <c r="E525" s="362"/>
      <c r="F525" s="362"/>
      <c r="G525" s="368" t="s">
        <v>262</v>
      </c>
      <c r="H525" s="362"/>
      <c r="I525" s="449">
        <f>I521-I523</f>
        <v>0</v>
      </c>
      <c r="J525" s="449">
        <f t="shared" ref="J525:O525" si="193">J521-J523</f>
        <v>0</v>
      </c>
      <c r="K525" s="449">
        <f t="shared" si="193"/>
        <v>0</v>
      </c>
      <c r="L525" s="449">
        <f t="shared" si="193"/>
        <v>0</v>
      </c>
      <c r="M525" s="449">
        <f t="shared" si="193"/>
        <v>0</v>
      </c>
      <c r="N525" s="449">
        <f t="shared" si="193"/>
        <v>0</v>
      </c>
      <c r="O525" s="449">
        <f t="shared" si="193"/>
        <v>0</v>
      </c>
      <c r="P525" s="574">
        <f t="shared" si="188"/>
        <v>0</v>
      </c>
    </row>
    <row r="526" spans="2:16" x14ac:dyDescent="0.2">
      <c r="B526" s="362"/>
      <c r="C526" s="362"/>
      <c r="D526" s="362"/>
      <c r="E526" s="362"/>
      <c r="F526" s="362"/>
      <c r="G526" s="368"/>
      <c r="H526" s="362"/>
      <c r="I526" s="362"/>
      <c r="J526" s="362"/>
      <c r="K526" s="362"/>
      <c r="L526" s="362"/>
      <c r="M526" s="362"/>
      <c r="N526" s="362"/>
      <c r="O526" s="362"/>
      <c r="P526" s="449"/>
    </row>
    <row r="527" spans="2:16" x14ac:dyDescent="0.2">
      <c r="B527" s="362"/>
      <c r="C527" s="362"/>
      <c r="D527" s="362"/>
      <c r="E527" s="362"/>
      <c r="F527" s="362"/>
      <c r="G527" s="368"/>
      <c r="H527" s="362"/>
      <c r="I527" s="362"/>
      <c r="J527" s="362"/>
      <c r="K527" s="362"/>
      <c r="L527" s="362"/>
      <c r="M527" s="362"/>
      <c r="N527" s="362"/>
      <c r="O527" s="362"/>
      <c r="P527" s="449"/>
    </row>
    <row r="528" spans="2:16" x14ac:dyDescent="0.2">
      <c r="B528" s="362"/>
      <c r="C528" s="362"/>
      <c r="D528" s="362"/>
      <c r="E528" s="362"/>
      <c r="F528" s="362"/>
      <c r="G528" s="363" t="s">
        <v>960</v>
      </c>
      <c r="H528" s="362"/>
      <c r="I528" s="362"/>
      <c r="J528" s="362"/>
      <c r="K528" s="362"/>
      <c r="L528" s="362"/>
      <c r="M528" s="362"/>
      <c r="N528" s="362"/>
      <c r="O528" s="362"/>
      <c r="P528" s="362"/>
    </row>
    <row r="529" spans="2:16" x14ac:dyDescent="0.2">
      <c r="B529" s="362"/>
      <c r="C529" s="364" t="s">
        <v>42</v>
      </c>
      <c r="D529" s="364" t="str">
        <f t="shared" ref="D529:D546" si="194">MID(C529,6,3)</f>
        <v>882</v>
      </c>
      <c r="E529" s="362" t="s">
        <v>893</v>
      </c>
      <c r="F529" s="364" t="s">
        <v>662</v>
      </c>
      <c r="G529" s="365" t="s">
        <v>268</v>
      </c>
      <c r="H529" s="362"/>
      <c r="I529" s="362">
        <f t="shared" ref="I529:O529" si="195">+I541/I534</f>
        <v>1</v>
      </c>
      <c r="J529" s="362">
        <f t="shared" si="195"/>
        <v>1</v>
      </c>
      <c r="K529" s="362">
        <f t="shared" si="195"/>
        <v>1</v>
      </c>
      <c r="L529" s="362">
        <f t="shared" si="195"/>
        <v>1</v>
      </c>
      <c r="M529" s="362">
        <f t="shared" si="195"/>
        <v>1</v>
      </c>
      <c r="N529" s="362">
        <f t="shared" si="195"/>
        <v>1</v>
      </c>
      <c r="O529" s="362">
        <f t="shared" si="195"/>
        <v>1</v>
      </c>
      <c r="P529" s="574">
        <f>SUM(J529:O529)</f>
        <v>6</v>
      </c>
    </row>
    <row r="530" spans="2:16" x14ac:dyDescent="0.2">
      <c r="B530" s="362"/>
      <c r="C530" s="364" t="s">
        <v>42</v>
      </c>
      <c r="D530" s="364" t="str">
        <f t="shared" si="194"/>
        <v>882</v>
      </c>
      <c r="E530" s="362" t="s">
        <v>893</v>
      </c>
      <c r="F530" s="364" t="s">
        <v>662</v>
      </c>
      <c r="G530" s="365" t="s">
        <v>468</v>
      </c>
      <c r="H530" s="362"/>
      <c r="I530" s="449">
        <f>IF(I532=0,I532,IF(I532&gt;=(I529*100),(I529*100),I532))</f>
        <v>0</v>
      </c>
      <c r="J530" s="449">
        <f t="shared" ref="J530:O530" si="196">IF(J532=0,J532,IF(J532&gt;=(J529*100),(J529*100),J532))</f>
        <v>0</v>
      </c>
      <c r="K530" s="449">
        <f t="shared" si="196"/>
        <v>0</v>
      </c>
      <c r="L530" s="449">
        <f t="shared" si="196"/>
        <v>0</v>
      </c>
      <c r="M530" s="449">
        <f t="shared" si="196"/>
        <v>0</v>
      </c>
      <c r="N530" s="449">
        <f t="shared" si="196"/>
        <v>0</v>
      </c>
      <c r="O530" s="449">
        <f t="shared" si="196"/>
        <v>0</v>
      </c>
      <c r="P530" s="574">
        <f>SUM(J530:O530)</f>
        <v>0</v>
      </c>
    </row>
    <row r="531" spans="2:16" x14ac:dyDescent="0.2">
      <c r="B531" s="362"/>
      <c r="C531" s="364" t="s">
        <v>42</v>
      </c>
      <c r="D531" s="364" t="str">
        <f t="shared" si="194"/>
        <v>882</v>
      </c>
      <c r="E531" s="362" t="s">
        <v>893</v>
      </c>
      <c r="F531" s="364" t="s">
        <v>662</v>
      </c>
      <c r="G531" s="365" t="s">
        <v>469</v>
      </c>
      <c r="H531" s="362"/>
      <c r="I531" s="449">
        <f>+I532-I530</f>
        <v>0</v>
      </c>
      <c r="J531" s="449">
        <f t="shared" ref="J531:O531" si="197">+J532-J530</f>
        <v>0</v>
      </c>
      <c r="K531" s="449">
        <f t="shared" si="197"/>
        <v>0</v>
      </c>
      <c r="L531" s="449">
        <f t="shared" si="197"/>
        <v>0</v>
      </c>
      <c r="M531" s="449">
        <f t="shared" si="197"/>
        <v>0</v>
      </c>
      <c r="N531" s="449">
        <f t="shared" si="197"/>
        <v>0</v>
      </c>
      <c r="O531" s="449">
        <f t="shared" si="197"/>
        <v>0</v>
      </c>
      <c r="P531" s="574">
        <f>SUM(J531:O531)</f>
        <v>0</v>
      </c>
    </row>
    <row r="532" spans="2:16" x14ac:dyDescent="0.2">
      <c r="B532" s="362"/>
      <c r="C532" s="364" t="s">
        <v>42</v>
      </c>
      <c r="D532" s="364" t="str">
        <f t="shared" si="194"/>
        <v>882</v>
      </c>
      <c r="E532" s="362" t="s">
        <v>893</v>
      </c>
      <c r="F532" s="364" t="s">
        <v>662</v>
      </c>
      <c r="G532" s="365" t="s">
        <v>470</v>
      </c>
      <c r="H532" s="325" t="s">
        <v>518</v>
      </c>
      <c r="I532" s="395">
        <f>SUMIFS('Data-Cashout'!$J$3:$J$3943,'Data-Cashout'!$E$3:$E$3943,'Mar16-Aug16 FT-TS-Cashout-LG&amp;E'!$H$532,'Data-Cashout'!$A$3:$A$3943,'Mar16-Aug16 FT-TS-Cashout-LG&amp;E'!I$348,'Data-Cashout'!$B$3:$B$3943,'Mar16-Aug16 FT-TS-Cashout-LG&amp;E'!$C$532,'Data-Cashout'!$F$3:$F$3943,'Mar16-Aug16 FT-TS-Cashout-LG&amp;E'!I$351,'Data-Cashout'!$D$3:$D$3943,'Mar16-Aug16 FT-TS-Cashout-LG&amp;E'!$F$532)/10</f>
        <v>0</v>
      </c>
      <c r="J532" s="395">
        <f>SUMIFS('Data-Cashout'!$J$3:$J$3943,'Data-Cashout'!$E$3:$E$3943,'Mar16-Aug16 FT-TS-Cashout-LG&amp;E'!$H$532,'Data-Cashout'!$A$3:$A$3943,'Mar16-Aug16 FT-TS-Cashout-LG&amp;E'!J$348,'Data-Cashout'!$B$3:$B$3943,'Mar16-Aug16 FT-TS-Cashout-LG&amp;E'!$C$532,'Data-Cashout'!$F$3:$F$3943,'Mar16-Aug16 FT-TS-Cashout-LG&amp;E'!J$351,'Data-Cashout'!$D$3:$D$3943,'Mar16-Aug16 FT-TS-Cashout-LG&amp;E'!$F$532)/10</f>
        <v>0</v>
      </c>
      <c r="K532" s="395">
        <f>SUMIFS('Data-Cashout'!$J$3:$J$3943,'Data-Cashout'!$E$3:$E$3943,'Mar16-Aug16 FT-TS-Cashout-LG&amp;E'!$H$532,'Data-Cashout'!$A$3:$A$3943,'Mar16-Aug16 FT-TS-Cashout-LG&amp;E'!K$348,'Data-Cashout'!$B$3:$B$3943,'Mar16-Aug16 FT-TS-Cashout-LG&amp;E'!$C$532,'Data-Cashout'!$F$3:$F$3943,'Mar16-Aug16 FT-TS-Cashout-LG&amp;E'!K$351,'Data-Cashout'!$D$3:$D$3943,'Mar16-Aug16 FT-TS-Cashout-LG&amp;E'!$F$532)/10</f>
        <v>0</v>
      </c>
      <c r="L532" s="395">
        <f>SUMIFS('Data-Cashout'!$J$3:$J$3943,'Data-Cashout'!$E$3:$E$3943,'Mar16-Aug16 FT-TS-Cashout-LG&amp;E'!$H$532,'Data-Cashout'!$A$3:$A$3943,'Mar16-Aug16 FT-TS-Cashout-LG&amp;E'!L$348,'Data-Cashout'!$B$3:$B$3943,'Mar16-Aug16 FT-TS-Cashout-LG&amp;E'!$C$532,'Data-Cashout'!$F$3:$F$3943,'Mar16-Aug16 FT-TS-Cashout-LG&amp;E'!L$351,'Data-Cashout'!$D$3:$D$3943,'Mar16-Aug16 FT-TS-Cashout-LG&amp;E'!$F$532)/10</f>
        <v>0</v>
      </c>
      <c r="M532" s="395">
        <f>SUMIFS('Data-Cashout'!$J$3:$J$3943,'Data-Cashout'!$E$3:$E$3943,'Mar16-Aug16 FT-TS-Cashout-LG&amp;E'!$H$532,'Data-Cashout'!$A$3:$A$3943,'Mar16-Aug16 FT-TS-Cashout-LG&amp;E'!M$348,'Data-Cashout'!$B$3:$B$3943,'Mar16-Aug16 FT-TS-Cashout-LG&amp;E'!$C$532,'Data-Cashout'!$F$3:$F$3943,'Mar16-Aug16 FT-TS-Cashout-LG&amp;E'!M$351,'Data-Cashout'!$D$3:$D$3943,'Mar16-Aug16 FT-TS-Cashout-LG&amp;E'!$F$532)/10</f>
        <v>0</v>
      </c>
      <c r="N532" s="395">
        <f>SUMIFS('Data-Cashout'!$J$3:$J$3943,'Data-Cashout'!$E$3:$E$3943,'Mar16-Aug16 FT-TS-Cashout-LG&amp;E'!$H$532,'Data-Cashout'!$A$3:$A$3943,'Mar16-Aug16 FT-TS-Cashout-LG&amp;E'!N$348,'Data-Cashout'!$B$3:$B$3943,'Mar16-Aug16 FT-TS-Cashout-LG&amp;E'!$C$532,'Data-Cashout'!$F$3:$F$3943,'Mar16-Aug16 FT-TS-Cashout-LG&amp;E'!N$351,'Data-Cashout'!$D$3:$D$3943,'Mar16-Aug16 FT-TS-Cashout-LG&amp;E'!$F$532)/10</f>
        <v>0</v>
      </c>
      <c r="O532" s="395">
        <f>SUMIFS('Data-Cashout'!$J$3:$J$3943,'Data-Cashout'!$E$3:$E$3943,'Mar16-Aug16 FT-TS-Cashout-LG&amp;E'!$H$532,'Data-Cashout'!$A$3:$A$3943,'Mar16-Aug16 FT-TS-Cashout-LG&amp;E'!O$348,'Data-Cashout'!$B$3:$B$3943,'Mar16-Aug16 FT-TS-Cashout-LG&amp;E'!$C$532,'Data-Cashout'!$F$3:$F$3943,'Mar16-Aug16 FT-TS-Cashout-LG&amp;E'!O$351,'Data-Cashout'!$D$3:$D$3943,'Mar16-Aug16 FT-TS-Cashout-LG&amp;E'!$F$532)/10</f>
        <v>0</v>
      </c>
      <c r="P532" s="574">
        <f>SUM(J532:O532)</f>
        <v>0</v>
      </c>
    </row>
    <row r="533" spans="2:16" x14ac:dyDescent="0.2">
      <c r="B533" s="362"/>
      <c r="C533" s="364" t="s">
        <v>42</v>
      </c>
      <c r="D533" s="364" t="str">
        <f t="shared" si="194"/>
        <v>882</v>
      </c>
      <c r="E533" s="362" t="s">
        <v>893</v>
      </c>
      <c r="F533" s="364" t="s">
        <v>662</v>
      </c>
      <c r="G533" s="366"/>
      <c r="H533" s="362"/>
      <c r="I533" s="362"/>
      <c r="J533" s="362"/>
      <c r="K533" s="362"/>
      <c r="L533" s="362"/>
      <c r="M533" s="362"/>
      <c r="N533" s="362"/>
      <c r="O533" s="362"/>
      <c r="P533" s="449"/>
    </row>
    <row r="534" spans="2:16" x14ac:dyDescent="0.2">
      <c r="B534" s="362"/>
      <c r="C534" s="364" t="s">
        <v>42</v>
      </c>
      <c r="D534" s="364" t="str">
        <f t="shared" si="194"/>
        <v>882</v>
      </c>
      <c r="E534" s="362" t="s">
        <v>893</v>
      </c>
      <c r="F534" s="364" t="s">
        <v>662</v>
      </c>
      <c r="G534" s="365" t="s">
        <v>596</v>
      </c>
      <c r="H534" s="362"/>
      <c r="I534" s="362">
        <f>VLOOKUP($C534,'Retail Rates'!$B$7:$O$34,6,FALSE)</f>
        <v>180</v>
      </c>
      <c r="J534" s="362">
        <f>VLOOKUP($C534,'Retail Rates'!$B$7:$O$34,6,FALSE)</f>
        <v>180</v>
      </c>
      <c r="K534" s="362">
        <f>VLOOKUP($C534,'Retail Rates'!$B$7:$O$34,6,FALSE)</f>
        <v>180</v>
      </c>
      <c r="L534" s="362">
        <f>VLOOKUP($C534,'Retail Rates'!$B$7:$O$34,6,FALSE)</f>
        <v>180</v>
      </c>
      <c r="M534" s="362">
        <f>VLOOKUP($C534,'Retail Rates'!$B$7:$O$34,6,FALSE)</f>
        <v>180</v>
      </c>
      <c r="N534" s="362">
        <f>VLOOKUP($C534,'Retail Rates'!$B$7:$O$34,6,FALSE)</f>
        <v>180</v>
      </c>
      <c r="O534" s="362">
        <f>VLOOKUP($C534,'Retail Rates'!$B$7:$O$34,6,FALSE)</f>
        <v>180</v>
      </c>
      <c r="P534" s="449"/>
    </row>
    <row r="535" spans="2:16" x14ac:dyDescent="0.2">
      <c r="B535" s="362"/>
      <c r="C535" s="364" t="s">
        <v>42</v>
      </c>
      <c r="D535" s="364" t="str">
        <f t="shared" si="194"/>
        <v>882</v>
      </c>
      <c r="E535" s="362" t="s">
        <v>893</v>
      </c>
      <c r="F535" s="364" t="s">
        <v>662</v>
      </c>
      <c r="G535" s="365" t="s">
        <v>471</v>
      </c>
      <c r="H535" s="362"/>
      <c r="I535" s="362">
        <f>VLOOKUP($C535,'Retail Rates'!$B$44:$O$53,7,FALSE)</f>
        <v>2.2778999999999998</v>
      </c>
      <c r="J535" s="362">
        <f>VLOOKUP($C535,'Retail Rates'!$B$44:$O$53,7,FALSE)</f>
        <v>2.2778999999999998</v>
      </c>
      <c r="K535" s="362">
        <f>VLOOKUP($C535,'Retail Rates'!$B$44:$O$53,7,FALSE)</f>
        <v>2.2778999999999998</v>
      </c>
      <c r="L535" s="362">
        <f>VLOOKUP($C535,'Retail Rates'!$B$44:$O$53,7,FALSE)</f>
        <v>2.2778999999999998</v>
      </c>
      <c r="M535" s="362">
        <f>VLOOKUP($C535,'Retail Rates'!$B$44:$O$53,7,FALSE)</f>
        <v>2.2778999999999998</v>
      </c>
      <c r="N535" s="362">
        <f>VLOOKUP($C535,'Retail Rates'!$B$44:$O$53,7,FALSE)</f>
        <v>2.2778999999999998</v>
      </c>
      <c r="O535" s="362">
        <f>VLOOKUP($C535,'Retail Rates'!$B$44:$O$53,7,FALSE)</f>
        <v>2.2778999999999998</v>
      </c>
      <c r="P535" s="449"/>
    </row>
    <row r="536" spans="2:16" x14ac:dyDescent="0.2">
      <c r="B536" s="362"/>
      <c r="C536" s="364" t="s">
        <v>42</v>
      </c>
      <c r="D536" s="364" t="str">
        <f t="shared" si="194"/>
        <v>882</v>
      </c>
      <c r="E536" s="362" t="s">
        <v>893</v>
      </c>
      <c r="F536" s="364" t="s">
        <v>662</v>
      </c>
      <c r="G536" s="365" t="s">
        <v>472</v>
      </c>
      <c r="H536" s="362"/>
      <c r="I536" s="362">
        <f>+I535</f>
        <v>2.2778999999999998</v>
      </c>
      <c r="J536" s="362">
        <f t="shared" ref="J536:O536" si="198">+J535</f>
        <v>2.2778999999999998</v>
      </c>
      <c r="K536" s="362">
        <f t="shared" si="198"/>
        <v>2.2778999999999998</v>
      </c>
      <c r="L536" s="362">
        <f t="shared" si="198"/>
        <v>2.2778999999999998</v>
      </c>
      <c r="M536" s="362">
        <f t="shared" si="198"/>
        <v>2.2778999999999998</v>
      </c>
      <c r="N536" s="362">
        <f t="shared" si="198"/>
        <v>2.2778999999999998</v>
      </c>
      <c r="O536" s="362">
        <f t="shared" si="198"/>
        <v>2.2778999999999998</v>
      </c>
      <c r="P536" s="449"/>
    </row>
    <row r="537" spans="2:16" x14ac:dyDescent="0.2">
      <c r="B537" s="362"/>
      <c r="C537" s="364" t="s">
        <v>42</v>
      </c>
      <c r="D537" s="364" t="str">
        <f t="shared" si="194"/>
        <v>882</v>
      </c>
      <c r="E537" s="362" t="s">
        <v>893</v>
      </c>
      <c r="F537" s="364" t="s">
        <v>662</v>
      </c>
      <c r="G537" s="365" t="s">
        <v>542</v>
      </c>
      <c r="H537" s="362"/>
      <c r="I537" s="362">
        <f>SUMIF('GSC-DSM-GLT Factors'!$A$11:$A$58,'Mar16-Aug16 FT-TS-Cashout-LG&amp;E'!I$5,'GSC-DSM-GLT Factors'!$I$11:$I$58)</f>
        <v>3.2343000000000002</v>
      </c>
      <c r="J537" s="362">
        <f>SUMIF('GSC-DSM-GLT Factors'!$A$11:$A$58,'Mar16-Aug16 FT-TS-Cashout-LG&amp;E'!J$5,'GSC-DSM-GLT Factors'!$I$11:$I$58)</f>
        <v>3.2343000000000002</v>
      </c>
      <c r="K537" s="362">
        <f>SUMIF('GSC-DSM-GLT Factors'!$A$11:$A$58,'Mar16-Aug16 FT-TS-Cashout-LG&amp;E'!K$5,'GSC-DSM-GLT Factors'!$I$11:$I$58)</f>
        <v>3.2343000000000002</v>
      </c>
      <c r="L537" s="362">
        <f>SUMIF('GSC-DSM-GLT Factors'!$A$11:$A$58,'Mar16-Aug16 FT-TS-Cashout-LG&amp;E'!L$5,'GSC-DSM-GLT Factors'!$I$11:$I$58)</f>
        <v>3.5129999999999999</v>
      </c>
      <c r="M537" s="362">
        <f>SUMIF('GSC-DSM-GLT Factors'!$A$11:$A$58,'Mar16-Aug16 FT-TS-Cashout-LG&amp;E'!M$5,'GSC-DSM-GLT Factors'!$I$11:$I$58)</f>
        <v>3.5129999999999999</v>
      </c>
      <c r="N537" s="362">
        <f>SUMIF('GSC-DSM-GLT Factors'!$A$11:$A$58,'Mar16-Aug16 FT-TS-Cashout-LG&amp;E'!N$5,'GSC-DSM-GLT Factors'!$I$11:$I$58)</f>
        <v>3.5129999999999999</v>
      </c>
      <c r="O537" s="362">
        <f>SUMIF('GSC-DSM-GLT Factors'!$A$11:$A$58,'Mar16-Aug16 FT-TS-Cashout-LG&amp;E'!O$5,'GSC-DSM-GLT Factors'!$I$11:$I$58)</f>
        <v>3.8216000000000001</v>
      </c>
      <c r="P537" s="449"/>
    </row>
    <row r="538" spans="2:16" x14ac:dyDescent="0.2">
      <c r="B538" s="362"/>
      <c r="C538" s="364" t="s">
        <v>42</v>
      </c>
      <c r="D538" s="364" t="str">
        <f t="shared" si="194"/>
        <v>882</v>
      </c>
      <c r="E538" s="362" t="s">
        <v>893</v>
      </c>
      <c r="F538" s="364" t="s">
        <v>662</v>
      </c>
      <c r="G538" s="365" t="s">
        <v>754</v>
      </c>
      <c r="H538" s="362"/>
      <c r="I538" s="362">
        <f>SUMIF('GSC-DSM-GLT Factors'!$A$11:$A$58,'Mar16-Aug16 FT-TS-Cashout-LG&amp;E'!I$5,'GSC-DSM-GLT Factors'!$M$11:$M$58)</f>
        <v>245.08</v>
      </c>
      <c r="J538" s="362">
        <f>SUMIF('GSC-DSM-GLT Factors'!$A$11:$A$58,'Mar16-Aug16 FT-TS-Cashout-LG&amp;E'!J$5,'GSC-DSM-GLT Factors'!$M$11:$M$58)</f>
        <v>245.08</v>
      </c>
      <c r="K538" s="362">
        <f>SUMIF('GSC-DSM-GLT Factors'!$A$11:$A$58,'Mar16-Aug16 FT-TS-Cashout-LG&amp;E'!K$5,'GSC-DSM-GLT Factors'!$M$11:$M$58)</f>
        <v>245.08</v>
      </c>
      <c r="L538" s="362">
        <f>SUMIF('GSC-DSM-GLT Factors'!$A$11:$A$58,'Mar16-Aug16 FT-TS-Cashout-LG&amp;E'!L$5,'GSC-DSM-GLT Factors'!$M$11:$M$58)</f>
        <v>259.54000000000002</v>
      </c>
      <c r="M538" s="362">
        <f>SUMIF('GSC-DSM-GLT Factors'!$A$11:$A$58,'Mar16-Aug16 FT-TS-Cashout-LG&amp;E'!M$5,'GSC-DSM-GLT Factors'!$M$11:$M$58)</f>
        <v>259.54000000000002</v>
      </c>
      <c r="N538" s="362">
        <f>SUMIF('GSC-DSM-GLT Factors'!$A$11:$A$58,'Mar16-Aug16 FT-TS-Cashout-LG&amp;E'!N$5,'GSC-DSM-GLT Factors'!$M$11:$M$58)</f>
        <v>259.54000000000002</v>
      </c>
      <c r="O538" s="362">
        <f>SUMIF('GSC-DSM-GLT Factors'!$A$11:$A$58,'Mar16-Aug16 FT-TS-Cashout-LG&amp;E'!O$5,'GSC-DSM-GLT Factors'!$M$11:$M$58)</f>
        <v>259.54000000000002</v>
      </c>
      <c r="P538" s="362"/>
    </row>
    <row r="539" spans="2:16" x14ac:dyDescent="0.2">
      <c r="B539" s="362"/>
      <c r="C539" s="364" t="s">
        <v>42</v>
      </c>
      <c r="D539" s="364" t="str">
        <f t="shared" si="194"/>
        <v>882</v>
      </c>
      <c r="E539" s="362" t="s">
        <v>893</v>
      </c>
      <c r="F539" s="364" t="s">
        <v>662</v>
      </c>
      <c r="G539" s="365"/>
      <c r="H539" s="362"/>
      <c r="I539" s="362"/>
      <c r="J539" s="362"/>
      <c r="K539" s="667" t="s">
        <v>958</v>
      </c>
      <c r="L539" s="362"/>
      <c r="M539" s="362"/>
      <c r="N539" s="362"/>
      <c r="O539" s="362"/>
      <c r="P539" s="362"/>
    </row>
    <row r="540" spans="2:16" x14ac:dyDescent="0.2">
      <c r="B540" s="362"/>
      <c r="C540" s="364" t="s">
        <v>42</v>
      </c>
      <c r="D540" s="364" t="str">
        <f t="shared" si="194"/>
        <v>882</v>
      </c>
      <c r="E540" s="362" t="s">
        <v>893</v>
      </c>
      <c r="F540" s="364" t="s">
        <v>662</v>
      </c>
      <c r="G540" s="367" t="s">
        <v>273</v>
      </c>
      <c r="H540" s="362"/>
      <c r="I540" s="362"/>
      <c r="J540" s="362"/>
      <c r="K540" s="667" t="s">
        <v>959</v>
      </c>
      <c r="L540" s="362"/>
      <c r="M540" s="362"/>
      <c r="N540" s="362"/>
      <c r="O540" s="362"/>
      <c r="P540" s="362"/>
    </row>
    <row r="541" spans="2:16" x14ac:dyDescent="0.2">
      <c r="B541" s="362"/>
      <c r="C541" s="364" t="s">
        <v>42</v>
      </c>
      <c r="D541" s="364" t="str">
        <f t="shared" si="194"/>
        <v>882</v>
      </c>
      <c r="E541" s="362" t="s">
        <v>893</v>
      </c>
      <c r="F541" s="364" t="s">
        <v>662</v>
      </c>
      <c r="G541" s="368" t="s">
        <v>169</v>
      </c>
      <c r="H541" s="325" t="s">
        <v>528</v>
      </c>
      <c r="I541" s="450">
        <f>SUMIFS('Data-Cashout'!$AI$3:$AI$3943,'Data-Cashout'!$E$3:$E$3943,'Mar16-Aug16 FT-TS-Cashout-LG&amp;E'!$H$541,'Data-Cashout'!$A$3:$A$3943,'Mar16-Aug16 FT-TS-Cashout-LG&amp;E'!I$348,'Data-Cashout'!$B$3:$B$3943,'Mar16-Aug16 FT-TS-Cashout-LG&amp;E'!$C$541,'Data-Cashout'!$D$3:$D$3943,'Mar16-Aug16 FT-TS-Cashout-LG&amp;E'!$F$541)</f>
        <v>180</v>
      </c>
      <c r="J541" s="450">
        <f>SUMIFS('Data-Cashout'!$AI$3:$AI$3943,'Data-Cashout'!$E$3:$E$3943,'Mar16-Aug16 FT-TS-Cashout-LG&amp;E'!$H$541,'Data-Cashout'!$A$3:$A$3943,'Mar16-Aug16 FT-TS-Cashout-LG&amp;E'!J$348,'Data-Cashout'!$B$3:$B$3943,'Mar16-Aug16 FT-TS-Cashout-LG&amp;E'!$C$541,'Data-Cashout'!$D$3:$D$3943,'Mar16-Aug16 FT-TS-Cashout-LG&amp;E'!$F$541)</f>
        <v>180</v>
      </c>
      <c r="K541" s="450">
        <f>SUMIFS('Data-Cashout'!$AI$3:$AI$3943,'Data-Cashout'!$E$3:$E$3943,'Mar16-Aug16 FT-TS-Cashout-LG&amp;E'!$H$541,'Data-Cashout'!$A$3:$A$3943,'Mar16-Aug16 FT-TS-Cashout-LG&amp;E'!K$348,'Data-Cashout'!$B$3:$B$3943,'Mar16-Aug16 FT-TS-Cashout-LG&amp;E'!$C$541,'Data-Cashout'!$D$3:$D$3943,'Mar16-Aug16 FT-TS-Cashout-LG&amp;E'!$F$541)</f>
        <v>180</v>
      </c>
      <c r="L541" s="450">
        <f>SUMIFS('Data-Cashout'!$AI$3:$AI$3943,'Data-Cashout'!$E$3:$E$3943,'Mar16-Aug16 FT-TS-Cashout-LG&amp;E'!$H$541,'Data-Cashout'!$A$3:$A$3943,'Mar16-Aug16 FT-TS-Cashout-LG&amp;E'!L$348,'Data-Cashout'!$B$3:$B$3943,'Mar16-Aug16 FT-TS-Cashout-LG&amp;E'!$C$548,'Data-Cashout'!$D$3:$D$3943,'Mar16-Aug16 FT-TS-Cashout-LG&amp;E'!$F$541)</f>
        <v>180</v>
      </c>
      <c r="M541" s="450">
        <f>SUMIFS('Data-Cashout'!$AI$3:$AI$3943,'Data-Cashout'!$E$3:$E$3943,'Mar16-Aug16 FT-TS-Cashout-LG&amp;E'!$H$541,'Data-Cashout'!$A$3:$A$3943,'Mar16-Aug16 FT-TS-Cashout-LG&amp;E'!M$348,'Data-Cashout'!$B$3:$B$3943,'Mar16-Aug16 FT-TS-Cashout-LG&amp;E'!$C$548,'Data-Cashout'!$D$3:$D$3943,'Mar16-Aug16 FT-TS-Cashout-LG&amp;E'!$F$541)</f>
        <v>180</v>
      </c>
      <c r="N541" s="450">
        <f>SUMIFS('Data-Cashout'!$AI$3:$AI$3943,'Data-Cashout'!$E$3:$E$3943,'Mar16-Aug16 FT-TS-Cashout-LG&amp;E'!$H$541,'Data-Cashout'!$A$3:$A$3943,'Mar16-Aug16 FT-TS-Cashout-LG&amp;E'!N$348,'Data-Cashout'!$B$3:$B$3943,'Mar16-Aug16 FT-TS-Cashout-LG&amp;E'!$C$548,'Data-Cashout'!$D$3:$D$3943,'Mar16-Aug16 FT-TS-Cashout-LG&amp;E'!$F$541)</f>
        <v>180</v>
      </c>
      <c r="O541" s="450">
        <f>SUMIFS('Data-Cashout'!$AI$3:$AI$3943,'Data-Cashout'!$E$3:$E$3943,'Mar16-Aug16 FT-TS-Cashout-LG&amp;E'!$H$541,'Data-Cashout'!$A$3:$A$3943,'Mar16-Aug16 FT-TS-Cashout-LG&amp;E'!O$348,'Data-Cashout'!$B$3:$B$3943,'Mar16-Aug16 FT-TS-Cashout-LG&amp;E'!$C$548,'Data-Cashout'!$D$3:$D$3943,'Mar16-Aug16 FT-TS-Cashout-LG&amp;E'!$F$541)</f>
        <v>180</v>
      </c>
      <c r="P541" s="574">
        <f t="shared" ref="P541:P548" si="199">SUM(J541:O541)</f>
        <v>1080</v>
      </c>
    </row>
    <row r="542" spans="2:16" x14ac:dyDescent="0.2">
      <c r="B542" s="362"/>
      <c r="C542" s="364" t="s">
        <v>42</v>
      </c>
      <c r="D542" s="364" t="str">
        <f t="shared" si="194"/>
        <v>882</v>
      </c>
      <c r="E542" s="362" t="s">
        <v>893</v>
      </c>
      <c r="F542" s="364" t="s">
        <v>662</v>
      </c>
      <c r="G542" s="368" t="s">
        <v>670</v>
      </c>
      <c r="H542" s="362"/>
      <c r="I542" s="449">
        <f>I529*I538</f>
        <v>245.08</v>
      </c>
      <c r="J542" s="449">
        <f t="shared" ref="J542:O542" si="200">J529*J538</f>
        <v>245.08</v>
      </c>
      <c r="K542" s="449">
        <v>246.04</v>
      </c>
      <c r="L542" s="449">
        <f t="shared" si="200"/>
        <v>259.54000000000002</v>
      </c>
      <c r="M542" s="449">
        <f t="shared" si="200"/>
        <v>259.54000000000002</v>
      </c>
      <c r="N542" s="449">
        <f t="shared" si="200"/>
        <v>259.54000000000002</v>
      </c>
      <c r="O542" s="449">
        <f t="shared" si="200"/>
        <v>259.54000000000002</v>
      </c>
      <c r="P542" s="574">
        <f t="shared" si="199"/>
        <v>1529.28</v>
      </c>
    </row>
    <row r="543" spans="2:16" x14ac:dyDescent="0.2">
      <c r="B543" s="362"/>
      <c r="C543" s="364" t="s">
        <v>42</v>
      </c>
      <c r="D543" s="364" t="str">
        <f t="shared" si="194"/>
        <v>882</v>
      </c>
      <c r="E543" s="362" t="s">
        <v>893</v>
      </c>
      <c r="F543" s="364" t="s">
        <v>662</v>
      </c>
      <c r="G543" s="365" t="s">
        <v>473</v>
      </c>
      <c r="H543" s="362"/>
      <c r="I543" s="449">
        <f>ROUND(+I530*I535,2)</f>
        <v>0</v>
      </c>
      <c r="J543" s="449">
        <f t="shared" ref="J543:O543" si="201">ROUND(+J530*J535,2)</f>
        <v>0</v>
      </c>
      <c r="K543" s="449">
        <f t="shared" si="201"/>
        <v>0</v>
      </c>
      <c r="L543" s="449">
        <f t="shared" si="201"/>
        <v>0</v>
      </c>
      <c r="M543" s="449">
        <f t="shared" si="201"/>
        <v>0</v>
      </c>
      <c r="N543" s="449">
        <f t="shared" si="201"/>
        <v>0</v>
      </c>
      <c r="O543" s="449">
        <f t="shared" si="201"/>
        <v>0</v>
      </c>
      <c r="P543" s="574">
        <f t="shared" si="199"/>
        <v>0</v>
      </c>
    </row>
    <row r="544" spans="2:16" x14ac:dyDescent="0.2">
      <c r="B544" s="362"/>
      <c r="C544" s="364" t="s">
        <v>42</v>
      </c>
      <c r="D544" s="364" t="str">
        <f t="shared" si="194"/>
        <v>882</v>
      </c>
      <c r="E544" s="362" t="s">
        <v>893</v>
      </c>
      <c r="F544" s="364" t="s">
        <v>662</v>
      </c>
      <c r="G544" s="365" t="s">
        <v>474</v>
      </c>
      <c r="H544" s="362"/>
      <c r="I544" s="451">
        <f>ROUND(+I531*I536,2)</f>
        <v>0</v>
      </c>
      <c r="J544" s="451">
        <f t="shared" ref="J544:O544" si="202">ROUND(+J531*J536,2)</f>
        <v>0</v>
      </c>
      <c r="K544" s="451">
        <f t="shared" si="202"/>
        <v>0</v>
      </c>
      <c r="L544" s="451">
        <f t="shared" si="202"/>
        <v>0</v>
      </c>
      <c r="M544" s="451">
        <f t="shared" si="202"/>
        <v>0</v>
      </c>
      <c r="N544" s="451">
        <f t="shared" si="202"/>
        <v>0</v>
      </c>
      <c r="O544" s="451">
        <f t="shared" si="202"/>
        <v>0</v>
      </c>
      <c r="P544" s="574">
        <f t="shared" si="199"/>
        <v>0</v>
      </c>
    </row>
    <row r="545" spans="2:16" x14ac:dyDescent="0.2">
      <c r="B545" s="362"/>
      <c r="C545" s="364" t="s">
        <v>42</v>
      </c>
      <c r="D545" s="364" t="str">
        <f t="shared" si="194"/>
        <v>882</v>
      </c>
      <c r="E545" s="362" t="s">
        <v>893</v>
      </c>
      <c r="F545" s="364" t="s">
        <v>662</v>
      </c>
      <c r="G545" s="365" t="s">
        <v>276</v>
      </c>
      <c r="H545" s="362"/>
      <c r="I545" s="449">
        <f>SUM(I541:I544)</f>
        <v>425.08000000000004</v>
      </c>
      <c r="J545" s="449">
        <f t="shared" ref="J545:O545" si="203">SUM(J541:J544)</f>
        <v>425.08000000000004</v>
      </c>
      <c r="K545" s="449">
        <f t="shared" si="203"/>
        <v>426.03999999999996</v>
      </c>
      <c r="L545" s="449">
        <f t="shared" si="203"/>
        <v>439.54</v>
      </c>
      <c r="M545" s="449">
        <f t="shared" si="203"/>
        <v>439.54</v>
      </c>
      <c r="N545" s="449">
        <f t="shared" si="203"/>
        <v>439.54</v>
      </c>
      <c r="O545" s="449">
        <f t="shared" si="203"/>
        <v>439.54</v>
      </c>
      <c r="P545" s="574">
        <f t="shared" si="199"/>
        <v>2609.2800000000002</v>
      </c>
    </row>
    <row r="546" spans="2:16" x14ac:dyDescent="0.2">
      <c r="B546" s="362"/>
      <c r="C546" s="364" t="s">
        <v>42</v>
      </c>
      <c r="D546" s="364" t="str">
        <f t="shared" si="194"/>
        <v>882</v>
      </c>
      <c r="E546" s="362" t="s">
        <v>893</v>
      </c>
      <c r="F546" s="364" t="s">
        <v>662</v>
      </c>
      <c r="G546" s="365" t="s">
        <v>196</v>
      </c>
      <c r="H546" s="325" t="s">
        <v>196</v>
      </c>
      <c r="I546" s="450">
        <f>SUMIFS('Data-Cashout'!$AI$3:$AI$3943,'Data-Cashout'!$E$3:$E$3943,'Mar16-Aug16 FT-TS-Cashout-LG&amp;E'!$H$546,'Data-Cashout'!$A$3:$A$3943,'Mar16-Aug16 FT-TS-Cashout-LG&amp;E'!I$348,'Data-Cashout'!$B$3:$B$3943,'Mar16-Aug16 FT-TS-Cashout-LG&amp;E'!$C$546,'Data-Cashout'!$D$3:$D$3943,'Mar16-Aug16 FT-TS-Cashout-LG&amp;E'!$F$546)</f>
        <v>0</v>
      </c>
      <c r="J546" s="450">
        <f>SUMIFS('Data-Cashout'!$AI$3:$AI$3943,'Data-Cashout'!$E$3:$E$3943,'Mar16-Aug16 FT-TS-Cashout-LG&amp;E'!$H$546,'Data-Cashout'!$A$3:$A$3943,'Mar16-Aug16 FT-TS-Cashout-LG&amp;E'!J$348,'Data-Cashout'!$B$3:$B$3943,'Mar16-Aug16 FT-TS-Cashout-LG&amp;E'!$C$546,'Data-Cashout'!$D$3:$D$3943,'Mar16-Aug16 FT-TS-Cashout-LG&amp;E'!$F$546)</f>
        <v>0</v>
      </c>
      <c r="K546" s="450">
        <f>SUMIFS('Data-Cashout'!$AI$3:$AI$3943,'Data-Cashout'!$E$3:$E$3943,'Mar16-Aug16 FT-TS-Cashout-LG&amp;E'!$H$546,'Data-Cashout'!$A$3:$A$3943,'Mar16-Aug16 FT-TS-Cashout-LG&amp;E'!K$348,'Data-Cashout'!$B$3:$B$3943,'Mar16-Aug16 FT-TS-Cashout-LG&amp;E'!$C$546,'Data-Cashout'!$D$3:$D$3943,'Mar16-Aug16 FT-TS-Cashout-LG&amp;E'!$F$546)</f>
        <v>0</v>
      </c>
      <c r="L546" s="450">
        <f>SUMIFS('Data-Cashout'!$AI$3:$AI$3943,'Data-Cashout'!$E$3:$E$3943,'Mar16-Aug16 FT-TS-Cashout-LG&amp;E'!$H$546,'Data-Cashout'!$A$3:$A$3943,'Mar16-Aug16 FT-TS-Cashout-LG&amp;E'!L$348,'Data-Cashout'!$B$3:$B$3943,'Mar16-Aug16 FT-TS-Cashout-LG&amp;E'!$C$546,'Data-Cashout'!$D$3:$D$3943,'Mar16-Aug16 FT-TS-Cashout-LG&amp;E'!$F$546)</f>
        <v>0</v>
      </c>
      <c r="M546" s="450">
        <f>SUMIFS('Data-Cashout'!$AI$3:$AI$3943,'Data-Cashout'!$E$3:$E$3943,'Mar16-Aug16 FT-TS-Cashout-LG&amp;E'!$H$546,'Data-Cashout'!$A$3:$A$3943,'Mar16-Aug16 FT-TS-Cashout-LG&amp;E'!M$348,'Data-Cashout'!$B$3:$B$3943,'Mar16-Aug16 FT-TS-Cashout-LG&amp;E'!$C$546,'Data-Cashout'!$D$3:$D$3943,'Mar16-Aug16 FT-TS-Cashout-LG&amp;E'!$F$546)</f>
        <v>0</v>
      </c>
      <c r="N546" s="450">
        <f>SUMIFS('Data-Cashout'!$AI$3:$AI$3943,'Data-Cashout'!$E$3:$E$3943,'Mar16-Aug16 FT-TS-Cashout-LG&amp;E'!$H$546,'Data-Cashout'!$A$3:$A$3943,'Mar16-Aug16 FT-TS-Cashout-LG&amp;E'!N$348,'Data-Cashout'!$B$3:$B$3943,'Mar16-Aug16 FT-TS-Cashout-LG&amp;E'!$C$546,'Data-Cashout'!$D$3:$D$3943,'Mar16-Aug16 FT-TS-Cashout-LG&amp;E'!$F$546)</f>
        <v>0</v>
      </c>
      <c r="O546" s="450">
        <f>SUMIFS('Data-Cashout'!$AI$3:$AI$3943,'Data-Cashout'!$E$3:$E$3943,'Mar16-Aug16 FT-TS-Cashout-LG&amp;E'!$H$546,'Data-Cashout'!$A$3:$A$3943,'Mar16-Aug16 FT-TS-Cashout-LG&amp;E'!O$348,'Data-Cashout'!$B$3:$B$3943,'Mar16-Aug16 FT-TS-Cashout-LG&amp;E'!$C$546,'Data-Cashout'!$D$3:$D$3943,'Mar16-Aug16 FT-TS-Cashout-LG&amp;E'!$F$546)</f>
        <v>0</v>
      </c>
      <c r="P546" s="574">
        <f t="shared" si="199"/>
        <v>0</v>
      </c>
    </row>
    <row r="547" spans="2:16" x14ac:dyDescent="0.2">
      <c r="B547" s="362"/>
      <c r="C547" s="364" t="s">
        <v>93</v>
      </c>
      <c r="D547" s="364" t="str">
        <f>MID(C547,6,3)</f>
        <v>882</v>
      </c>
      <c r="E547" s="362"/>
      <c r="F547" s="364" t="s">
        <v>662</v>
      </c>
      <c r="G547" s="365" t="s">
        <v>763</v>
      </c>
      <c r="H547" s="325" t="s">
        <v>525</v>
      </c>
      <c r="I547" s="450">
        <f>SUMIFS('Data-Cashout'!$AB$3:$AB$3943,'Data-Cashout'!$E$3:$E$3943,'Mar16-Aug16 FT-TS-Cashout-LG&amp;E'!$H$547,'Data-Cashout'!$A$3:$A$3943,'Mar16-Aug16 FT-TS-Cashout-LG&amp;E'!I$348,'Data-Cashout'!$B$3:$B$3943,'Mar16-Aug16 FT-TS-Cashout-LG&amp;E'!$C$547,'Data-Cashout'!$D$3:$D$3943,'Mar16-Aug16 FT-TS-Cashout-LG&amp;E'!$F$547,'Data-Cashout'!$F$3:$F$3943,'Mar16-Aug16 FT-TS-Cashout-LG&amp;E'!I396)</f>
        <v>0</v>
      </c>
      <c r="J547" s="450">
        <f>SUMIFS('Data-Cashout'!$AB$3:$AB$3943,'Data-Cashout'!$E$3:$E$3943,'Mar16-Aug16 FT-TS-Cashout-LG&amp;E'!$H$547,'Data-Cashout'!$A$3:$A$3943,'Mar16-Aug16 FT-TS-Cashout-LG&amp;E'!J$348,'Data-Cashout'!$B$3:$B$3943,'Mar16-Aug16 FT-TS-Cashout-LG&amp;E'!$C$547,'Data-Cashout'!$D$3:$D$3943,'Mar16-Aug16 FT-TS-Cashout-LG&amp;E'!$F$547,'Data-Cashout'!$F$3:$F$3943,'Mar16-Aug16 FT-TS-Cashout-LG&amp;E'!J396)</f>
        <v>0</v>
      </c>
      <c r="K547" s="450">
        <f>SUMIFS('Data-Cashout'!$AB$3:$AB$3943,'Data-Cashout'!$E$3:$E$3943,'Mar16-Aug16 FT-TS-Cashout-LG&amp;E'!$H$547,'Data-Cashout'!$A$3:$A$3943,'Mar16-Aug16 FT-TS-Cashout-LG&amp;E'!K$348,'Data-Cashout'!$B$3:$B$3943,'Mar16-Aug16 FT-TS-Cashout-LG&amp;E'!$C$547,'Data-Cashout'!$D$3:$D$3943,'Mar16-Aug16 FT-TS-Cashout-LG&amp;E'!$F$547,'Data-Cashout'!$F$3:$F$3943,'Mar16-Aug16 FT-TS-Cashout-LG&amp;E'!K396)</f>
        <v>0</v>
      </c>
      <c r="L547" s="450">
        <f>SUMIFS('Data-Cashout'!$AB$3:$AB$3943,'Data-Cashout'!$E$3:$E$3943,'Mar16-Aug16 FT-TS-Cashout-LG&amp;E'!$H$547,'Data-Cashout'!$A$3:$A$3943,'Mar16-Aug16 FT-TS-Cashout-LG&amp;E'!L$348,'Data-Cashout'!$B$3:$B$3943,'Mar16-Aug16 FT-TS-Cashout-LG&amp;E'!$C$547,'Data-Cashout'!$D$3:$D$3943,'Mar16-Aug16 FT-TS-Cashout-LG&amp;E'!$F$547,'Data-Cashout'!$F$3:$F$3943,'Mar16-Aug16 FT-TS-Cashout-LG&amp;E'!L396)</f>
        <v>0</v>
      </c>
      <c r="M547" s="450">
        <f>SUMIFS('Data-Cashout'!$AB$3:$AB$3943,'Data-Cashout'!$E$3:$E$3943,'Mar16-Aug16 FT-TS-Cashout-LG&amp;E'!$H$547,'Data-Cashout'!$A$3:$A$3943,'Mar16-Aug16 FT-TS-Cashout-LG&amp;E'!M$348,'Data-Cashout'!$B$3:$B$3943,'Mar16-Aug16 FT-TS-Cashout-LG&amp;E'!$C$547,'Data-Cashout'!$D$3:$D$3943,'Mar16-Aug16 FT-TS-Cashout-LG&amp;E'!$F$547,'Data-Cashout'!$F$3:$F$3943,'Mar16-Aug16 FT-TS-Cashout-LG&amp;E'!M396)</f>
        <v>0</v>
      </c>
      <c r="N547" s="450">
        <f>SUMIFS('Data-Cashout'!$AB$3:$AB$3943,'Data-Cashout'!$E$3:$E$3943,'Mar16-Aug16 FT-TS-Cashout-LG&amp;E'!$H$547,'Data-Cashout'!$A$3:$A$3943,'Mar16-Aug16 FT-TS-Cashout-LG&amp;E'!N$348,'Data-Cashout'!$B$3:$B$3943,'Mar16-Aug16 FT-TS-Cashout-LG&amp;E'!$C$547,'Data-Cashout'!$D$3:$D$3943,'Mar16-Aug16 FT-TS-Cashout-LG&amp;E'!$F$547,'Data-Cashout'!$F$3:$F$3943,'Mar16-Aug16 FT-TS-Cashout-LG&amp;E'!N396)</f>
        <v>0</v>
      </c>
      <c r="O547" s="450">
        <f>SUMIFS('Data-Cashout'!$AB$3:$AB$3943,'Data-Cashout'!$E$3:$E$3943,'Mar16-Aug16 FT-TS-Cashout-LG&amp;E'!$H$547,'Data-Cashout'!$A$3:$A$3943,'Mar16-Aug16 FT-TS-Cashout-LG&amp;E'!O$348,'Data-Cashout'!$B$3:$B$3943,'Mar16-Aug16 FT-TS-Cashout-LG&amp;E'!$C$547,'Data-Cashout'!$D$3:$D$3943,'Mar16-Aug16 FT-TS-Cashout-LG&amp;E'!$F$547,'Data-Cashout'!$F$3:$F$3943,'Mar16-Aug16 FT-TS-Cashout-LG&amp;E'!O396)</f>
        <v>0</v>
      </c>
      <c r="P547" s="574">
        <f t="shared" si="199"/>
        <v>0</v>
      </c>
    </row>
    <row r="548" spans="2:16" x14ac:dyDescent="0.2">
      <c r="B548" s="362"/>
      <c r="C548" s="364" t="s">
        <v>1001</v>
      </c>
      <c r="D548" s="364"/>
      <c r="E548" s="362"/>
      <c r="F548" s="364"/>
      <c r="G548" s="365" t="s">
        <v>288</v>
      </c>
      <c r="H548" s="362"/>
      <c r="I548" s="449">
        <f>+I545+I546+I547</f>
        <v>425.08000000000004</v>
      </c>
      <c r="J548" s="449">
        <f t="shared" ref="J548:O548" si="204">+J545+J546+J547</f>
        <v>425.08000000000004</v>
      </c>
      <c r="K548" s="449">
        <f t="shared" si="204"/>
        <v>426.03999999999996</v>
      </c>
      <c r="L548" s="449">
        <f t="shared" si="204"/>
        <v>439.54</v>
      </c>
      <c r="M548" s="449">
        <f t="shared" si="204"/>
        <v>439.54</v>
      </c>
      <c r="N548" s="449">
        <f t="shared" si="204"/>
        <v>439.54</v>
      </c>
      <c r="O548" s="449">
        <f t="shared" si="204"/>
        <v>439.54</v>
      </c>
      <c r="P548" s="574">
        <f t="shared" si="199"/>
        <v>2609.2800000000002</v>
      </c>
    </row>
    <row r="549" spans="2:16" x14ac:dyDescent="0.2">
      <c r="B549" s="362"/>
      <c r="C549" s="364"/>
      <c r="D549" s="364"/>
      <c r="E549" s="362"/>
      <c r="F549" s="364"/>
      <c r="G549" s="365"/>
      <c r="H549" s="362"/>
      <c r="I549" s="449"/>
      <c r="J549" s="449"/>
      <c r="K549" s="449"/>
      <c r="L549" s="449"/>
      <c r="M549" s="449"/>
      <c r="N549" s="449"/>
      <c r="O549" s="449"/>
      <c r="P549" s="398"/>
    </row>
    <row r="550" spans="2:16" x14ac:dyDescent="0.2">
      <c r="B550" s="362"/>
      <c r="C550" s="364"/>
      <c r="D550" s="364"/>
      <c r="E550" s="362"/>
      <c r="F550" s="364"/>
      <c r="G550" s="365"/>
      <c r="H550" s="362"/>
      <c r="I550" s="449"/>
      <c r="J550" s="449"/>
      <c r="K550" s="449"/>
      <c r="L550" s="449"/>
      <c r="M550" s="449"/>
      <c r="N550" s="449"/>
      <c r="O550" s="449"/>
      <c r="P550" s="398"/>
    </row>
    <row r="551" spans="2:16" x14ac:dyDescent="0.2">
      <c r="B551" s="362"/>
      <c r="C551" s="364" t="s">
        <v>96</v>
      </c>
      <c r="D551" s="364" t="str">
        <f t="shared" ref="D551:D564" si="205">MID(C551,6,3)</f>
        <v>892</v>
      </c>
      <c r="E551" s="362" t="s">
        <v>893</v>
      </c>
      <c r="F551" s="364" t="s">
        <v>662</v>
      </c>
      <c r="G551" s="365" t="s">
        <v>268</v>
      </c>
      <c r="H551" s="362"/>
      <c r="I551" s="362">
        <f>+I560/I554</f>
        <v>1</v>
      </c>
      <c r="J551" s="362">
        <f t="shared" ref="J551:O551" si="206">+J560/J554</f>
        <v>1</v>
      </c>
      <c r="K551" s="362">
        <f t="shared" si="206"/>
        <v>1</v>
      </c>
      <c r="L551" s="362">
        <f t="shared" si="206"/>
        <v>1</v>
      </c>
      <c r="M551" s="362">
        <f t="shared" si="206"/>
        <v>1</v>
      </c>
      <c r="N551" s="362">
        <f t="shared" si="206"/>
        <v>1</v>
      </c>
      <c r="O551" s="362">
        <f t="shared" si="206"/>
        <v>1</v>
      </c>
      <c r="P551" s="574">
        <f>SUM(J551:O551)</f>
        <v>6</v>
      </c>
    </row>
    <row r="552" spans="2:16" x14ac:dyDescent="0.2">
      <c r="B552" s="362"/>
      <c r="C552" s="364" t="s">
        <v>96</v>
      </c>
      <c r="D552" s="364" t="str">
        <f t="shared" si="205"/>
        <v>892</v>
      </c>
      <c r="E552" s="362" t="s">
        <v>893</v>
      </c>
      <c r="F552" s="364" t="s">
        <v>662</v>
      </c>
      <c r="G552" s="365" t="s">
        <v>470</v>
      </c>
      <c r="H552" s="325" t="s">
        <v>518</v>
      </c>
      <c r="I552" s="395">
        <f>SUMIFS('Data-Cashout'!$J$3:$J$3943,'Data-Cashout'!$E$3:$E$3943,'Mar16-Aug16 FT-TS-Cashout-LG&amp;E'!$H$552,'Data-Cashout'!$A$3:$A$3943,'Mar16-Aug16 FT-TS-Cashout-LG&amp;E'!I$348,'Data-Cashout'!$B$3:$B$3943,'Mar16-Aug16 FT-TS-Cashout-LG&amp;E'!$C$552,'Data-Cashout'!$F$3:$F$3943,'Mar16-Aug16 FT-TS-Cashout-LG&amp;E'!I$351,'Data-Cashout'!$D$3:$D$3943,'Mar16-Aug16 FT-TS-Cashout-LG&amp;E'!$F$552)/10</f>
        <v>0</v>
      </c>
      <c r="J552" s="395">
        <f>SUMIFS('Data-Cashout'!$J$3:$J$3943,'Data-Cashout'!$E$3:$E$3943,'Mar16-Aug16 FT-TS-Cashout-LG&amp;E'!$H$552,'Data-Cashout'!$A$3:$A$3943,'Mar16-Aug16 FT-TS-Cashout-LG&amp;E'!J$348,'Data-Cashout'!$B$3:$B$3943,'Mar16-Aug16 FT-TS-Cashout-LG&amp;E'!$C$552,'Data-Cashout'!$F$3:$F$3943,'Mar16-Aug16 FT-TS-Cashout-LG&amp;E'!J$351,'Data-Cashout'!$D$3:$D$3943,'Mar16-Aug16 FT-TS-Cashout-LG&amp;E'!$F$552)/10</f>
        <v>0</v>
      </c>
      <c r="K552" s="395">
        <f>SUMIFS('Data-Cashout'!$J$3:$J$3943,'Data-Cashout'!$E$3:$E$3943,'Mar16-Aug16 FT-TS-Cashout-LG&amp;E'!$H$552,'Data-Cashout'!$A$3:$A$3943,'Mar16-Aug16 FT-TS-Cashout-LG&amp;E'!K$348,'Data-Cashout'!$B$3:$B$3943,'Mar16-Aug16 FT-TS-Cashout-LG&amp;E'!$C$552,'Data-Cashout'!$F$3:$F$3943,'Mar16-Aug16 FT-TS-Cashout-LG&amp;E'!K$351,'Data-Cashout'!$D$3:$D$3943,'Mar16-Aug16 FT-TS-Cashout-LG&amp;E'!$F$552)/10</f>
        <v>0</v>
      </c>
      <c r="L552" s="395">
        <f>SUMIFS('Data-Cashout'!$J$3:$J$3943,'Data-Cashout'!$E$3:$E$3943,'Mar16-Aug16 FT-TS-Cashout-LG&amp;E'!$H$552,'Data-Cashout'!$A$3:$A$3943,'Mar16-Aug16 FT-TS-Cashout-LG&amp;E'!L$348,'Data-Cashout'!$B$3:$B$3943,'Mar16-Aug16 FT-TS-Cashout-LG&amp;E'!$C$552,'Data-Cashout'!$F$3:$F$3943,'Mar16-Aug16 FT-TS-Cashout-LG&amp;E'!L$351,'Data-Cashout'!$D$3:$D$3943,'Mar16-Aug16 FT-TS-Cashout-LG&amp;E'!$F$552)/10</f>
        <v>0</v>
      </c>
      <c r="M552" s="395">
        <f>SUMIFS('Data-Cashout'!$J$3:$J$3943,'Data-Cashout'!$E$3:$E$3943,'Mar16-Aug16 FT-TS-Cashout-LG&amp;E'!$H$552,'Data-Cashout'!$A$3:$A$3943,'Mar16-Aug16 FT-TS-Cashout-LG&amp;E'!M$348,'Data-Cashout'!$B$3:$B$3943,'Mar16-Aug16 FT-TS-Cashout-LG&amp;E'!$C$552,'Data-Cashout'!$F$3:$F$3943,'Mar16-Aug16 FT-TS-Cashout-LG&amp;E'!M$351,'Data-Cashout'!$D$3:$D$3943,'Mar16-Aug16 FT-TS-Cashout-LG&amp;E'!$F$552)/10</f>
        <v>0</v>
      </c>
      <c r="N552" s="395">
        <f>SUMIFS('Data-Cashout'!$J$3:$J$3943,'Data-Cashout'!$E$3:$E$3943,'Mar16-Aug16 FT-TS-Cashout-LG&amp;E'!$H$552,'Data-Cashout'!$A$3:$A$3943,'Mar16-Aug16 FT-TS-Cashout-LG&amp;E'!N$348,'Data-Cashout'!$B$3:$B$3943,'Mar16-Aug16 FT-TS-Cashout-LG&amp;E'!$C$552,'Data-Cashout'!$F$3:$F$3943,'Mar16-Aug16 FT-TS-Cashout-LG&amp;E'!N$351,'Data-Cashout'!$D$3:$D$3943,'Mar16-Aug16 FT-TS-Cashout-LG&amp;E'!$F$552)/10</f>
        <v>0</v>
      </c>
      <c r="O552" s="395">
        <f>SUMIFS('Data-Cashout'!$J$3:$J$3943,'Data-Cashout'!$E$3:$E$3943,'Mar16-Aug16 FT-TS-Cashout-LG&amp;E'!$H$552,'Data-Cashout'!$A$3:$A$3943,'Mar16-Aug16 FT-TS-Cashout-LG&amp;E'!O$348,'Data-Cashout'!$B$3:$B$3943,'Mar16-Aug16 FT-TS-Cashout-LG&amp;E'!$C$552,'Data-Cashout'!$F$3:$F$3943,'Mar16-Aug16 FT-TS-Cashout-LG&amp;E'!O$351,'Data-Cashout'!$D$3:$D$3943,'Mar16-Aug16 FT-TS-Cashout-LG&amp;E'!$F$552)/10</f>
        <v>0</v>
      </c>
      <c r="P552" s="398"/>
    </row>
    <row r="553" spans="2:16" x14ac:dyDescent="0.2">
      <c r="B553" s="362"/>
      <c r="C553" s="364" t="s">
        <v>96</v>
      </c>
      <c r="D553" s="364" t="str">
        <f t="shared" si="205"/>
        <v>892</v>
      </c>
      <c r="E553" s="362" t="s">
        <v>893</v>
      </c>
      <c r="F553" s="364" t="s">
        <v>662</v>
      </c>
      <c r="G553" s="366"/>
      <c r="H553" s="362"/>
      <c r="I553" s="362"/>
      <c r="J553" s="362"/>
      <c r="K553" s="362"/>
      <c r="L553" s="362"/>
      <c r="M553" s="362"/>
      <c r="N553" s="362"/>
      <c r="O553" s="362"/>
      <c r="P553" s="398"/>
    </row>
    <row r="554" spans="2:16" x14ac:dyDescent="0.2">
      <c r="B554" s="362"/>
      <c r="C554" s="364" t="s">
        <v>96</v>
      </c>
      <c r="D554" s="364" t="str">
        <f t="shared" si="205"/>
        <v>892</v>
      </c>
      <c r="E554" s="362" t="s">
        <v>893</v>
      </c>
      <c r="F554" s="364" t="s">
        <v>662</v>
      </c>
      <c r="G554" s="365" t="s">
        <v>596</v>
      </c>
      <c r="H554" s="362"/>
      <c r="I554" s="362">
        <f>VLOOKUP($C554,'Retail Rates'!$B$45:$O$63,5,FALSE)</f>
        <v>400</v>
      </c>
      <c r="J554" s="362">
        <f>VLOOKUP($C554,'Retail Rates'!$B$45:$O$63,5,FALSE)</f>
        <v>400</v>
      </c>
      <c r="K554" s="362">
        <f>VLOOKUP($C554,'Retail Rates'!$B$45:$O$63,5,FALSE)</f>
        <v>400</v>
      </c>
      <c r="L554" s="362">
        <f>VLOOKUP($C554,'Retail Rates'!$B$45:$O$63,5,FALSE)</f>
        <v>400</v>
      </c>
      <c r="M554" s="362">
        <f>VLOOKUP($C554,'Retail Rates'!$B$45:$O$63,5,FALSE)</f>
        <v>400</v>
      </c>
      <c r="N554" s="362">
        <f>VLOOKUP($C554,'Retail Rates'!$B$45:$O$63,5,FALSE)</f>
        <v>400</v>
      </c>
      <c r="O554" s="362">
        <f>VLOOKUP($C554,'Retail Rates'!$B$45:$O$63,5,FALSE)</f>
        <v>400</v>
      </c>
      <c r="P554" s="398"/>
    </row>
    <row r="555" spans="2:16" x14ac:dyDescent="0.2">
      <c r="B555" s="362"/>
      <c r="C555" s="364" t="s">
        <v>96</v>
      </c>
      <c r="D555" s="364" t="str">
        <f t="shared" si="205"/>
        <v>892</v>
      </c>
      <c r="E555" s="362" t="s">
        <v>893</v>
      </c>
      <c r="F555" s="364" t="s">
        <v>662</v>
      </c>
      <c r="G555" s="365" t="s">
        <v>961</v>
      </c>
      <c r="H555" s="362"/>
      <c r="I555" s="362">
        <f>VLOOKUP($C555,'Retail Rates'!$B$45:$O$63,7,FALSE)</f>
        <v>0.70089999999999997</v>
      </c>
      <c r="J555" s="362">
        <f>VLOOKUP($C555,'Retail Rates'!$B$45:$O$63,7,FALSE)</f>
        <v>0.70089999999999997</v>
      </c>
      <c r="K555" s="362">
        <f>VLOOKUP($C555,'Retail Rates'!$B$45:$O$63,7,FALSE)</f>
        <v>0.70089999999999997</v>
      </c>
      <c r="L555" s="362">
        <f>VLOOKUP($C555,'Retail Rates'!$B$45:$O$63,7,FALSE)</f>
        <v>0.70089999999999997</v>
      </c>
      <c r="M555" s="362">
        <f>VLOOKUP($C555,'Retail Rates'!$B$45:$O$63,7,FALSE)</f>
        <v>0.70089999999999997</v>
      </c>
      <c r="N555" s="362">
        <f>VLOOKUP($C555,'Retail Rates'!$B$45:$O$63,7,FALSE)</f>
        <v>0.70089999999999997</v>
      </c>
      <c r="O555" s="362">
        <f>VLOOKUP($C555,'Retail Rates'!$B$45:$O$63,7,FALSE)</f>
        <v>0.70089999999999997</v>
      </c>
      <c r="P555" s="398"/>
    </row>
    <row r="556" spans="2:16" x14ac:dyDescent="0.2">
      <c r="B556" s="362"/>
      <c r="C556" s="364" t="s">
        <v>96</v>
      </c>
      <c r="D556" s="364" t="str">
        <f t="shared" si="205"/>
        <v>892</v>
      </c>
      <c r="E556" s="362" t="s">
        <v>893</v>
      </c>
      <c r="F556" s="364" t="s">
        <v>662</v>
      </c>
      <c r="G556" s="365" t="s">
        <v>542</v>
      </c>
      <c r="H556" s="362"/>
      <c r="I556" s="362">
        <f>SUMIF('GSC-DSM-GLT Factors'!$A$11:$A$58,'Mar16-Aug16 FT-TS-Cashout-LG&amp;E'!I$5,'GSC-DSM-GLT Factors'!$I$11:$I$58)</f>
        <v>3.2343000000000002</v>
      </c>
      <c r="J556" s="362">
        <f>SUMIF('GSC-DSM-GLT Factors'!$A$11:$A$58,'Mar16-Aug16 FT-TS-Cashout-LG&amp;E'!J$5,'GSC-DSM-GLT Factors'!$I$11:$I$58)</f>
        <v>3.2343000000000002</v>
      </c>
      <c r="K556" s="362">
        <f>SUMIF('GSC-DSM-GLT Factors'!$A$11:$A$58,'Mar16-Aug16 FT-TS-Cashout-LG&amp;E'!K$5,'GSC-DSM-GLT Factors'!$I$11:$I$58)</f>
        <v>3.2343000000000002</v>
      </c>
      <c r="L556" s="362">
        <f>SUMIF('GSC-DSM-GLT Factors'!$A$11:$A$58,'Mar16-Aug16 FT-TS-Cashout-LG&amp;E'!L$5,'GSC-DSM-GLT Factors'!$I$11:$I$58)</f>
        <v>3.5129999999999999</v>
      </c>
      <c r="M556" s="362">
        <f>SUMIF('GSC-DSM-GLT Factors'!$A$11:$A$58,'Mar16-Aug16 FT-TS-Cashout-LG&amp;E'!M$5,'GSC-DSM-GLT Factors'!$I$11:$I$58)</f>
        <v>3.5129999999999999</v>
      </c>
      <c r="N556" s="362">
        <f>SUMIF('GSC-DSM-GLT Factors'!$A$11:$A$58,'Mar16-Aug16 FT-TS-Cashout-LG&amp;E'!N$5,'GSC-DSM-GLT Factors'!$I$11:$I$58)</f>
        <v>3.5129999999999999</v>
      </c>
      <c r="O556" s="362">
        <f>SUMIF('GSC-DSM-GLT Factors'!$A$11:$A$58,'Mar16-Aug16 FT-TS-Cashout-LG&amp;E'!O$5,'GSC-DSM-GLT Factors'!$I$11:$I$58)</f>
        <v>3.8216000000000001</v>
      </c>
      <c r="P556" s="398"/>
    </row>
    <row r="557" spans="2:16" x14ac:dyDescent="0.2">
      <c r="B557" s="362"/>
      <c r="C557" s="364" t="s">
        <v>96</v>
      </c>
      <c r="D557" s="364" t="str">
        <f t="shared" si="205"/>
        <v>892</v>
      </c>
      <c r="E557" s="362" t="s">
        <v>893</v>
      </c>
      <c r="F557" s="364" t="s">
        <v>662</v>
      </c>
      <c r="G557" s="365" t="s">
        <v>754</v>
      </c>
      <c r="H557" s="362"/>
      <c r="I557" s="668">
        <f>SUMIF('GSC-DSM-GLT Factors'!$A$11:$A$58,'Mar16-Aug16 FT-TS-Cashout-LG&amp;E'!I$5,'GSC-DSM-GLT Factors'!$N$11:$N$58)</f>
        <v>2688.31</v>
      </c>
      <c r="J557" s="668">
        <f>SUMIF('GSC-DSM-GLT Factors'!$A$11:$A$58,'Mar16-Aug16 FT-TS-Cashout-LG&amp;E'!J$5,'GSC-DSM-GLT Factors'!$N$11:$N$58)</f>
        <v>2688.31</v>
      </c>
      <c r="K557" s="668">
        <f>SUMIF('GSC-DSM-GLT Factors'!$A$11:$A$58,'Mar16-Aug16 FT-TS-Cashout-LG&amp;E'!K$5,'GSC-DSM-GLT Factors'!$N$11:$N$58)</f>
        <v>2688.31</v>
      </c>
      <c r="L557" s="668">
        <f>SUMIF('GSC-DSM-GLT Factors'!$A$11:$A$58,'Mar16-Aug16 FT-TS-Cashout-LG&amp;E'!L$5,'GSC-DSM-GLT Factors'!$N$11:$N$58)</f>
        <v>2838.87</v>
      </c>
      <c r="M557" s="668">
        <f>SUMIF('GSC-DSM-GLT Factors'!$A$11:$A$58,'Mar16-Aug16 FT-TS-Cashout-LG&amp;E'!M$5,'GSC-DSM-GLT Factors'!$N$11:$N$58)</f>
        <v>2838.87</v>
      </c>
      <c r="N557" s="668">
        <f>SUMIF('GSC-DSM-GLT Factors'!$A$11:$A$58,'Mar16-Aug16 FT-TS-Cashout-LG&amp;E'!N$5,'GSC-DSM-GLT Factors'!$N$11:$N$58)</f>
        <v>2838.87</v>
      </c>
      <c r="O557" s="668">
        <f>SUMIF('GSC-DSM-GLT Factors'!$A$11:$A$58,'Mar16-Aug16 FT-TS-Cashout-LG&amp;E'!O$5,'GSC-DSM-GLT Factors'!$N$11:$N$58)</f>
        <v>2838.87</v>
      </c>
      <c r="P557" s="398"/>
    </row>
    <row r="558" spans="2:16" x14ac:dyDescent="0.2">
      <c r="B558" s="362"/>
      <c r="C558" s="364" t="s">
        <v>96</v>
      </c>
      <c r="D558" s="364" t="str">
        <f t="shared" si="205"/>
        <v>892</v>
      </c>
      <c r="E558" s="362" t="s">
        <v>893</v>
      </c>
      <c r="F558" s="364" t="s">
        <v>662</v>
      </c>
      <c r="G558" s="365"/>
      <c r="H558" s="362"/>
      <c r="I558" s="362"/>
      <c r="J558" s="362"/>
      <c r="K558" s="667" t="s">
        <v>958</v>
      </c>
      <c r="L558" s="362"/>
      <c r="M558" s="362"/>
      <c r="N558" s="362"/>
      <c r="O558" s="362"/>
      <c r="P558" s="398"/>
    </row>
    <row r="559" spans="2:16" x14ac:dyDescent="0.2">
      <c r="B559" s="362"/>
      <c r="C559" s="364" t="s">
        <v>96</v>
      </c>
      <c r="D559" s="364" t="str">
        <f t="shared" si="205"/>
        <v>892</v>
      </c>
      <c r="E559" s="362" t="s">
        <v>893</v>
      </c>
      <c r="F559" s="364" t="s">
        <v>662</v>
      </c>
      <c r="G559" s="367" t="s">
        <v>273</v>
      </c>
      <c r="H559" s="362"/>
      <c r="I559" s="362"/>
      <c r="J559" s="362"/>
      <c r="K559" s="667" t="s">
        <v>959</v>
      </c>
      <c r="L559" s="362"/>
      <c r="M559" s="362"/>
      <c r="N559" s="362"/>
      <c r="O559" s="362"/>
      <c r="P559" s="398"/>
    </row>
    <row r="560" spans="2:16" x14ac:dyDescent="0.2">
      <c r="B560" s="362"/>
      <c r="C560" s="364" t="s">
        <v>96</v>
      </c>
      <c r="D560" s="364" t="str">
        <f t="shared" si="205"/>
        <v>892</v>
      </c>
      <c r="E560" s="362" t="s">
        <v>893</v>
      </c>
      <c r="F560" s="364" t="s">
        <v>662</v>
      </c>
      <c r="G560" s="368" t="s">
        <v>169</v>
      </c>
      <c r="H560" s="325" t="s">
        <v>528</v>
      </c>
      <c r="I560" s="450">
        <f>SUMIFS('Data-Cashout'!$AI$3:$AI$3943,'Data-Cashout'!$E$3:$E$3943,'Mar16-Aug16 FT-TS-Cashout-LG&amp;E'!$H$560,'Data-Cashout'!$A$3:$A$3943,'Mar16-Aug16 FT-TS-Cashout-LG&amp;E'!I$348,'Data-Cashout'!$B$3:$B$3943,'Mar16-Aug16 FT-TS-Cashout-LG&amp;E'!$C$560,'Data-Cashout'!$D$3:$D$3943,'Mar16-Aug16 FT-TS-Cashout-LG&amp;E'!$F$560)</f>
        <v>400</v>
      </c>
      <c r="J560" s="450">
        <f>SUMIFS('Data-Cashout'!$AI$3:$AI$3943,'Data-Cashout'!$E$3:$E$3943,'Mar16-Aug16 FT-TS-Cashout-LG&amp;E'!$H$560,'Data-Cashout'!$A$3:$A$3943,'Mar16-Aug16 FT-TS-Cashout-LG&amp;E'!J$348,'Data-Cashout'!$B$3:$B$3943,'Mar16-Aug16 FT-TS-Cashout-LG&amp;E'!$C$560,'Data-Cashout'!$D$3:$D$3943,'Mar16-Aug16 FT-TS-Cashout-LG&amp;E'!$F$560)</f>
        <v>400</v>
      </c>
      <c r="K560" s="450">
        <f>SUMIFS('Data-Cashout'!$AI$3:$AI$3943,'Data-Cashout'!$E$3:$E$3943,'Mar16-Aug16 FT-TS-Cashout-LG&amp;E'!$H$560,'Data-Cashout'!$A$3:$A$3943,'Mar16-Aug16 FT-TS-Cashout-LG&amp;E'!K$348,'Data-Cashout'!$B$3:$B$3943,'Mar16-Aug16 FT-TS-Cashout-LG&amp;E'!$C$560,'Data-Cashout'!$D$3:$D$3943,'Mar16-Aug16 FT-TS-Cashout-LG&amp;E'!$F$560)</f>
        <v>400</v>
      </c>
      <c r="L560" s="450">
        <f>SUMIFS('Data-Cashout'!$AI$3:$AI$3943,'Data-Cashout'!$E$3:$E$3943,'Mar16-Aug16 FT-TS-Cashout-LG&amp;E'!$H$560,'Data-Cashout'!$A$3:$A$3943,'Mar16-Aug16 FT-TS-Cashout-LG&amp;E'!L$348,'Data-Cashout'!$B$3:$B$3943,'Mar16-Aug16 FT-TS-Cashout-LG&amp;E'!$C$566,'Data-Cashout'!$D$3:$D$3943,'Mar16-Aug16 FT-TS-Cashout-LG&amp;E'!$F$560)</f>
        <v>400</v>
      </c>
      <c r="M560" s="450">
        <f>SUMIFS('Data-Cashout'!$AI$3:$AI$3943,'Data-Cashout'!$E$3:$E$3943,'Mar16-Aug16 FT-TS-Cashout-LG&amp;E'!$H$560,'Data-Cashout'!$A$3:$A$3943,'Mar16-Aug16 FT-TS-Cashout-LG&amp;E'!M$348,'Data-Cashout'!$B$3:$B$3943,'Mar16-Aug16 FT-TS-Cashout-LG&amp;E'!$C$566,'Data-Cashout'!$D$3:$D$3943,'Mar16-Aug16 FT-TS-Cashout-LG&amp;E'!$F$560)</f>
        <v>400</v>
      </c>
      <c r="N560" s="450">
        <f>SUMIFS('Data-Cashout'!$AI$3:$AI$3943,'Data-Cashout'!$E$3:$E$3943,'Mar16-Aug16 FT-TS-Cashout-LG&amp;E'!$H$560,'Data-Cashout'!$A$3:$A$3943,'Mar16-Aug16 FT-TS-Cashout-LG&amp;E'!N$348,'Data-Cashout'!$B$3:$B$3943,'Mar16-Aug16 FT-TS-Cashout-LG&amp;E'!$C$566,'Data-Cashout'!$D$3:$D$3943,'Mar16-Aug16 FT-TS-Cashout-LG&amp;E'!$F$560)</f>
        <v>400</v>
      </c>
      <c r="O560" s="450">
        <f>SUMIFS('Data-Cashout'!$AI$3:$AI$3943,'Data-Cashout'!$E$3:$E$3943,'Mar16-Aug16 FT-TS-Cashout-LG&amp;E'!$H$560,'Data-Cashout'!$A$3:$A$3943,'Mar16-Aug16 FT-TS-Cashout-LG&amp;E'!O$348,'Data-Cashout'!$B$3:$B$3943,'Mar16-Aug16 FT-TS-Cashout-LG&amp;E'!$C$566,'Data-Cashout'!$D$3:$D$3943,'Mar16-Aug16 FT-TS-Cashout-LG&amp;E'!$F$560)</f>
        <v>400</v>
      </c>
      <c r="P560" s="574">
        <f t="shared" ref="P560:P572" si="207">SUM(J560:O560)</f>
        <v>2400</v>
      </c>
    </row>
    <row r="561" spans="2:16" x14ac:dyDescent="0.2">
      <c r="B561" s="362"/>
      <c r="C561" s="364" t="s">
        <v>96</v>
      </c>
      <c r="D561" s="364" t="str">
        <f t="shared" si="205"/>
        <v>892</v>
      </c>
      <c r="E561" s="362" t="s">
        <v>893</v>
      </c>
      <c r="F561" s="364" t="s">
        <v>662</v>
      </c>
      <c r="G561" s="368" t="s">
        <v>670</v>
      </c>
      <c r="H561" s="362"/>
      <c r="I561" s="449">
        <f>I551*I557</f>
        <v>2688.31</v>
      </c>
      <c r="J561" s="449">
        <f t="shared" ref="J561:O561" si="208">J551*J557</f>
        <v>2688.31</v>
      </c>
      <c r="K561" s="449">
        <v>2698.35</v>
      </c>
      <c r="L561" s="449">
        <f t="shared" si="208"/>
        <v>2838.87</v>
      </c>
      <c r="M561" s="449">
        <f t="shared" si="208"/>
        <v>2838.87</v>
      </c>
      <c r="N561" s="449">
        <f t="shared" si="208"/>
        <v>2838.87</v>
      </c>
      <c r="O561" s="449">
        <f t="shared" si="208"/>
        <v>2838.87</v>
      </c>
      <c r="P561" s="574">
        <f t="shared" si="207"/>
        <v>16742.139999999996</v>
      </c>
    </row>
    <row r="562" spans="2:16" x14ac:dyDescent="0.2">
      <c r="B562" s="362"/>
      <c r="C562" s="364" t="s">
        <v>96</v>
      </c>
      <c r="D562" s="364" t="str">
        <f t="shared" si="205"/>
        <v>892</v>
      </c>
      <c r="E562" s="362" t="s">
        <v>893</v>
      </c>
      <c r="F562" s="364" t="s">
        <v>662</v>
      </c>
      <c r="G562" s="365" t="s">
        <v>961</v>
      </c>
      <c r="H562" s="362"/>
      <c r="I562" s="451">
        <f>I552*I555</f>
        <v>0</v>
      </c>
      <c r="J562" s="451">
        <f t="shared" ref="J562:O562" si="209">J552*J555</f>
        <v>0</v>
      </c>
      <c r="K562" s="451">
        <f t="shared" si="209"/>
        <v>0</v>
      </c>
      <c r="L562" s="451">
        <f t="shared" si="209"/>
        <v>0</v>
      </c>
      <c r="M562" s="451">
        <f t="shared" si="209"/>
        <v>0</v>
      </c>
      <c r="N562" s="451">
        <f t="shared" si="209"/>
        <v>0</v>
      </c>
      <c r="O562" s="451">
        <f t="shared" si="209"/>
        <v>0</v>
      </c>
      <c r="P562" s="574">
        <f t="shared" si="207"/>
        <v>0</v>
      </c>
    </row>
    <row r="563" spans="2:16" x14ac:dyDescent="0.2">
      <c r="B563" s="362"/>
      <c r="C563" s="364" t="s">
        <v>96</v>
      </c>
      <c r="D563" s="364" t="str">
        <f t="shared" si="205"/>
        <v>892</v>
      </c>
      <c r="E563" s="362" t="s">
        <v>893</v>
      </c>
      <c r="F563" s="364" t="s">
        <v>662</v>
      </c>
      <c r="G563" s="365" t="s">
        <v>276</v>
      </c>
      <c r="H563" s="362"/>
      <c r="I563" s="449">
        <f>SUM(I560:I562)</f>
        <v>3088.31</v>
      </c>
      <c r="J563" s="449">
        <f t="shared" ref="J563:O563" si="210">SUM(J560:J562)</f>
        <v>3088.31</v>
      </c>
      <c r="K563" s="449">
        <f t="shared" si="210"/>
        <v>3098.35</v>
      </c>
      <c r="L563" s="449">
        <f t="shared" si="210"/>
        <v>3238.87</v>
      </c>
      <c r="M563" s="449">
        <f t="shared" si="210"/>
        <v>3238.87</v>
      </c>
      <c r="N563" s="449">
        <f t="shared" si="210"/>
        <v>3238.87</v>
      </c>
      <c r="O563" s="449">
        <f t="shared" si="210"/>
        <v>3238.87</v>
      </c>
      <c r="P563" s="574">
        <f t="shared" si="207"/>
        <v>19142.139999999996</v>
      </c>
    </row>
    <row r="564" spans="2:16" x14ac:dyDescent="0.2">
      <c r="B564" s="362"/>
      <c r="C564" s="364" t="s">
        <v>96</v>
      </c>
      <c r="D564" s="364" t="str">
        <f t="shared" si="205"/>
        <v>892</v>
      </c>
      <c r="E564" s="362" t="s">
        <v>893</v>
      </c>
      <c r="F564" s="364" t="s">
        <v>662</v>
      </c>
      <c r="G564" s="365" t="s">
        <v>196</v>
      </c>
      <c r="H564" s="325" t="s">
        <v>196</v>
      </c>
      <c r="I564" s="450">
        <f>SUMIFS('Data-Cashout'!$AI$3:$AI$3943,'Data-Cashout'!$E$3:$E$3943,'Mar16-Aug16 FT-TS-Cashout-LG&amp;E'!$H$564,'Data-Cashout'!$A$3:$A$3943,'Mar16-Aug16 FT-TS-Cashout-LG&amp;E'!I$348,'Data-Cashout'!$B$3:$B$3943,'Mar16-Aug16 FT-TS-Cashout-LG&amp;E'!$C$564,'Data-Cashout'!$D$3:$D$3943,'Mar16-Aug16 FT-TS-Cashout-LG&amp;E'!$F$564)</f>
        <v>0</v>
      </c>
      <c r="J564" s="450">
        <f>SUMIFS('Data-Cashout'!$AI$3:$AI$3943,'Data-Cashout'!$E$3:$E$3943,'Mar16-Aug16 FT-TS-Cashout-LG&amp;E'!$H$564,'Data-Cashout'!$A$3:$A$3943,'Mar16-Aug16 FT-TS-Cashout-LG&amp;E'!J$348,'Data-Cashout'!$B$3:$B$3943,'Mar16-Aug16 FT-TS-Cashout-LG&amp;E'!$C$564,'Data-Cashout'!$D$3:$D$3943,'Mar16-Aug16 FT-TS-Cashout-LG&amp;E'!$F$564)</f>
        <v>0</v>
      </c>
      <c r="K564" s="450">
        <f>SUMIFS('Data-Cashout'!$AI$3:$AI$3943,'Data-Cashout'!$E$3:$E$3943,'Mar16-Aug16 FT-TS-Cashout-LG&amp;E'!$H$564,'Data-Cashout'!$A$3:$A$3943,'Mar16-Aug16 FT-TS-Cashout-LG&amp;E'!K$348,'Data-Cashout'!$B$3:$B$3943,'Mar16-Aug16 FT-TS-Cashout-LG&amp;E'!$C$564,'Data-Cashout'!$D$3:$D$3943,'Mar16-Aug16 FT-TS-Cashout-LG&amp;E'!$F$564)</f>
        <v>0</v>
      </c>
      <c r="L564" s="450">
        <f>SUMIFS('Data-Cashout'!$AI$3:$AI$3943,'Data-Cashout'!$E$3:$E$3943,'Mar16-Aug16 FT-TS-Cashout-LG&amp;E'!$H$564,'Data-Cashout'!$A$3:$A$3943,'Mar16-Aug16 FT-TS-Cashout-LG&amp;E'!L$348,'Data-Cashout'!$B$3:$B$3943,'Mar16-Aug16 FT-TS-Cashout-LG&amp;E'!$C$564,'Data-Cashout'!$D$3:$D$3943,'Mar16-Aug16 FT-TS-Cashout-LG&amp;E'!$F$564)</f>
        <v>0</v>
      </c>
      <c r="M564" s="450">
        <f>SUMIFS('Data-Cashout'!$AI$3:$AI$3943,'Data-Cashout'!$E$3:$E$3943,'Mar16-Aug16 FT-TS-Cashout-LG&amp;E'!$H$564,'Data-Cashout'!$A$3:$A$3943,'Mar16-Aug16 FT-TS-Cashout-LG&amp;E'!M$348,'Data-Cashout'!$B$3:$B$3943,'Mar16-Aug16 FT-TS-Cashout-LG&amp;E'!$C$564,'Data-Cashout'!$D$3:$D$3943,'Mar16-Aug16 FT-TS-Cashout-LG&amp;E'!$F$564)</f>
        <v>0</v>
      </c>
      <c r="N564" s="450">
        <f>SUMIFS('Data-Cashout'!$AI$3:$AI$3943,'Data-Cashout'!$E$3:$E$3943,'Mar16-Aug16 FT-TS-Cashout-LG&amp;E'!$H$564,'Data-Cashout'!$A$3:$A$3943,'Mar16-Aug16 FT-TS-Cashout-LG&amp;E'!N$348,'Data-Cashout'!$B$3:$B$3943,'Mar16-Aug16 FT-TS-Cashout-LG&amp;E'!$C$564,'Data-Cashout'!$D$3:$D$3943,'Mar16-Aug16 FT-TS-Cashout-LG&amp;E'!$F$564)</f>
        <v>0</v>
      </c>
      <c r="O564" s="450">
        <f>SUMIFS('Data-Cashout'!$AI$3:$AI$3943,'Data-Cashout'!$E$3:$E$3943,'Mar16-Aug16 FT-TS-Cashout-LG&amp;E'!$H$564,'Data-Cashout'!$A$3:$A$3943,'Mar16-Aug16 FT-TS-Cashout-LG&amp;E'!O$348,'Data-Cashout'!$B$3:$B$3943,'Mar16-Aug16 FT-TS-Cashout-LG&amp;E'!$C$564,'Data-Cashout'!$D$3:$D$3943,'Mar16-Aug16 FT-TS-Cashout-LG&amp;E'!$F$564)</f>
        <v>0</v>
      </c>
      <c r="P564" s="574">
        <f t="shared" si="207"/>
        <v>0</v>
      </c>
    </row>
    <row r="565" spans="2:16" x14ac:dyDescent="0.2">
      <c r="B565" s="362"/>
      <c r="C565" s="364" t="s">
        <v>99</v>
      </c>
      <c r="D565" s="364" t="str">
        <f>MID(C565,6,3)</f>
        <v>892</v>
      </c>
      <c r="E565" s="362" t="s">
        <v>893</v>
      </c>
      <c r="F565" s="364" t="s">
        <v>662</v>
      </c>
      <c r="G565" s="365" t="s">
        <v>763</v>
      </c>
      <c r="H565" s="325" t="s">
        <v>525</v>
      </c>
      <c r="I565" s="450">
        <f>SUMIFS('Data-Cashout'!$AB$3:$AB$3943,'Data-Cashout'!$E$3:$E$3943,'Mar16-Aug16 FT-TS-Cashout-LG&amp;E'!$H$565,'Data-Cashout'!$A$3:$A$3943,'Mar16-Aug16 FT-TS-Cashout-LG&amp;E'!I$348,'Data-Cashout'!$B$3:$B$3943,'Mar16-Aug16 FT-TS-Cashout-LG&amp;E'!$C$565,'Data-Cashout'!$D$3:$D$3943,'Mar16-Aug16 FT-TS-Cashout-LG&amp;E'!$F$565,'Data-Cashout'!$F$3:$F$3943,'Mar16-Aug16 FT-TS-Cashout-LG&amp;E'!I418)</f>
        <v>0</v>
      </c>
      <c r="J565" s="450">
        <f>SUMIFS('Data-Cashout'!$AB$3:$AB$3943,'Data-Cashout'!$E$3:$E$3943,'Mar16-Aug16 FT-TS-Cashout-LG&amp;E'!$H$565,'Data-Cashout'!$A$3:$A$3943,'Mar16-Aug16 FT-TS-Cashout-LG&amp;E'!J$348,'Data-Cashout'!$B$3:$B$3943,'Mar16-Aug16 FT-TS-Cashout-LG&amp;E'!$C$565,'Data-Cashout'!$D$3:$D$3943,'Mar16-Aug16 FT-TS-Cashout-LG&amp;E'!$F$565,'Data-Cashout'!$F$3:$F$3943,'Mar16-Aug16 FT-TS-Cashout-LG&amp;E'!J418)</f>
        <v>0</v>
      </c>
      <c r="K565" s="450">
        <f>SUMIFS('Data-Cashout'!$AB$3:$AB$3943,'Data-Cashout'!$E$3:$E$3943,'Mar16-Aug16 FT-TS-Cashout-LG&amp;E'!$H$565,'Data-Cashout'!$A$3:$A$3943,'Mar16-Aug16 FT-TS-Cashout-LG&amp;E'!K$348,'Data-Cashout'!$B$3:$B$3943,'Mar16-Aug16 FT-TS-Cashout-LG&amp;E'!$C$565,'Data-Cashout'!$D$3:$D$3943,'Mar16-Aug16 FT-TS-Cashout-LG&amp;E'!$F$565,'Data-Cashout'!$F$3:$F$3943,'Mar16-Aug16 FT-TS-Cashout-LG&amp;E'!K418)</f>
        <v>0</v>
      </c>
      <c r="L565" s="450">
        <f>SUMIFS('Data-Cashout'!$AB$3:$AB$3943,'Data-Cashout'!$E$3:$E$3943,'Mar16-Aug16 FT-TS-Cashout-LG&amp;E'!$H$565,'Data-Cashout'!$A$3:$A$3943,'Mar16-Aug16 FT-TS-Cashout-LG&amp;E'!L$348,'Data-Cashout'!$B$3:$B$3943,'Mar16-Aug16 FT-TS-Cashout-LG&amp;E'!$C$565,'Data-Cashout'!$D$3:$D$3943,'Mar16-Aug16 FT-TS-Cashout-LG&amp;E'!$F$565,'Data-Cashout'!$F$3:$F$3943,'Mar16-Aug16 FT-TS-Cashout-LG&amp;E'!L418)</f>
        <v>0</v>
      </c>
      <c r="M565" s="450">
        <f>SUMIFS('Data-Cashout'!$AB$3:$AB$3943,'Data-Cashout'!$E$3:$E$3943,'Mar16-Aug16 FT-TS-Cashout-LG&amp;E'!$H$565,'Data-Cashout'!$A$3:$A$3943,'Mar16-Aug16 FT-TS-Cashout-LG&amp;E'!M$348,'Data-Cashout'!$B$3:$B$3943,'Mar16-Aug16 FT-TS-Cashout-LG&amp;E'!$C$565,'Data-Cashout'!$D$3:$D$3943,'Mar16-Aug16 FT-TS-Cashout-LG&amp;E'!$F$565,'Data-Cashout'!$F$3:$F$3943,'Mar16-Aug16 FT-TS-Cashout-LG&amp;E'!M418)</f>
        <v>0</v>
      </c>
      <c r="N565" s="450">
        <f>SUMIFS('Data-Cashout'!$AB$3:$AB$3943,'Data-Cashout'!$E$3:$E$3943,'Mar16-Aug16 FT-TS-Cashout-LG&amp;E'!$H$565,'Data-Cashout'!$A$3:$A$3943,'Mar16-Aug16 FT-TS-Cashout-LG&amp;E'!N$348,'Data-Cashout'!$B$3:$B$3943,'Mar16-Aug16 FT-TS-Cashout-LG&amp;E'!$C$565,'Data-Cashout'!$D$3:$D$3943,'Mar16-Aug16 FT-TS-Cashout-LG&amp;E'!$F$565,'Data-Cashout'!$F$3:$F$3943,'Mar16-Aug16 FT-TS-Cashout-LG&amp;E'!N418)</f>
        <v>0</v>
      </c>
      <c r="O565" s="450">
        <f>SUMIFS('Data-Cashout'!$AB$3:$AB$3943,'Data-Cashout'!$E$3:$E$3943,'Mar16-Aug16 FT-TS-Cashout-LG&amp;E'!$H$565,'Data-Cashout'!$A$3:$A$3943,'Mar16-Aug16 FT-TS-Cashout-LG&amp;E'!O$348,'Data-Cashout'!$B$3:$B$3943,'Mar16-Aug16 FT-TS-Cashout-LG&amp;E'!$C$565,'Data-Cashout'!$D$3:$D$3943,'Mar16-Aug16 FT-TS-Cashout-LG&amp;E'!$F$565,'Data-Cashout'!$F$3:$F$3943,'Mar16-Aug16 FT-TS-Cashout-LG&amp;E'!O418)</f>
        <v>0</v>
      </c>
      <c r="P565" s="574">
        <f t="shared" si="207"/>
        <v>0</v>
      </c>
    </row>
    <row r="566" spans="2:16" x14ac:dyDescent="0.2">
      <c r="B566" s="362"/>
      <c r="C566" s="364" t="s">
        <v>1003</v>
      </c>
      <c r="D566" s="364"/>
      <c r="E566" s="362"/>
      <c r="F566" s="364"/>
      <c r="G566" s="365" t="s">
        <v>278</v>
      </c>
      <c r="H566" s="362"/>
      <c r="I566" s="449">
        <f>+I563+I564+I565</f>
        <v>3088.31</v>
      </c>
      <c r="J566" s="449">
        <f t="shared" ref="J566:O566" si="211">+J563+J564+J565</f>
        <v>3088.31</v>
      </c>
      <c r="K566" s="449">
        <f t="shared" si="211"/>
        <v>3098.35</v>
      </c>
      <c r="L566" s="449">
        <f t="shared" si="211"/>
        <v>3238.87</v>
      </c>
      <c r="M566" s="449">
        <f t="shared" si="211"/>
        <v>3238.87</v>
      </c>
      <c r="N566" s="449">
        <f t="shared" si="211"/>
        <v>3238.87</v>
      </c>
      <c r="O566" s="449">
        <f t="shared" si="211"/>
        <v>3238.87</v>
      </c>
      <c r="P566" s="574">
        <f t="shared" si="207"/>
        <v>19142.139999999996</v>
      </c>
    </row>
    <row r="567" spans="2:16" x14ac:dyDescent="0.2">
      <c r="B567" s="362"/>
      <c r="C567" s="364"/>
      <c r="D567" s="364"/>
      <c r="E567" s="362"/>
      <c r="F567" s="364"/>
      <c r="G567" s="365"/>
      <c r="H567" s="362"/>
      <c r="I567" s="449"/>
      <c r="J567" s="449"/>
      <c r="K567" s="449"/>
      <c r="L567" s="449"/>
      <c r="M567" s="449"/>
      <c r="N567" s="449"/>
      <c r="O567" s="449"/>
      <c r="P567" s="398"/>
    </row>
    <row r="568" spans="2:16" x14ac:dyDescent="0.2">
      <c r="B568" s="362"/>
      <c r="C568" s="364"/>
      <c r="D568" s="364"/>
      <c r="E568" s="362"/>
      <c r="F568" s="364"/>
      <c r="G568" s="365" t="s">
        <v>962</v>
      </c>
      <c r="H568" s="362"/>
      <c r="I568" s="449">
        <f>I548+I566</f>
        <v>3513.39</v>
      </c>
      <c r="J568" s="449">
        <f t="shared" ref="J568:O568" si="212">J548+J566</f>
        <v>3513.39</v>
      </c>
      <c r="K568" s="449">
        <f t="shared" si="212"/>
        <v>3524.39</v>
      </c>
      <c r="L568" s="449">
        <f t="shared" si="212"/>
        <v>3678.41</v>
      </c>
      <c r="M568" s="449">
        <f t="shared" si="212"/>
        <v>3678.41</v>
      </c>
      <c r="N568" s="449">
        <f t="shared" si="212"/>
        <v>3678.41</v>
      </c>
      <c r="O568" s="449">
        <f t="shared" si="212"/>
        <v>3678.41</v>
      </c>
      <c r="P568" s="574">
        <f t="shared" si="207"/>
        <v>21751.42</v>
      </c>
    </row>
    <row r="569" spans="2:16" x14ac:dyDescent="0.2">
      <c r="B569" s="362"/>
      <c r="C569" s="364"/>
      <c r="D569" s="364"/>
      <c r="E569" s="362"/>
      <c r="F569" s="364"/>
      <c r="G569" s="365"/>
      <c r="H569" s="362"/>
      <c r="I569" s="449"/>
      <c r="J569" s="449"/>
      <c r="K569" s="449"/>
      <c r="L569" s="449"/>
      <c r="M569" s="449"/>
      <c r="N569" s="449"/>
      <c r="O569" s="449"/>
      <c r="P569" s="398"/>
    </row>
    <row r="570" spans="2:16" x14ac:dyDescent="0.2">
      <c r="B570" s="362"/>
      <c r="C570" s="362"/>
      <c r="D570" s="362"/>
      <c r="E570" s="362"/>
      <c r="F570" s="364" t="s">
        <v>950</v>
      </c>
      <c r="G570" s="368" t="s">
        <v>532</v>
      </c>
      <c r="H570" s="362"/>
      <c r="I570" s="449">
        <f>SUMIFS('Bruise Report-Cashouts'!$C$5:$C$76,'Bruise Report-Cashouts'!$A$5:$A$76,'Mar16-Aug16 FT-TS-Cashout-LG&amp;E'!I$348,'Bruise Report-Cashouts'!$B$5:$B$76,'Mar16-Aug16 FT-TS-Cashout-LG&amp;E'!$F$570)</f>
        <v>3513.39</v>
      </c>
      <c r="J570" s="449">
        <f>SUMIFS('Bruise Report-Cashouts'!$C$5:$C$76,'Bruise Report-Cashouts'!$A$5:$A$76,'Mar16-Aug16 FT-TS-Cashout-LG&amp;E'!J$348,'Bruise Report-Cashouts'!$B$5:$B$76,'Mar16-Aug16 FT-TS-Cashout-LG&amp;E'!$F$570)</f>
        <v>3513.39</v>
      </c>
      <c r="K570" s="449">
        <f>SUMIFS('Bruise Report-Cashouts'!$C$5:$C$76,'Bruise Report-Cashouts'!$A$5:$A$76,'Mar16-Aug16 FT-TS-Cashout-LG&amp;E'!K$348,'Bruise Report-Cashouts'!$B$5:$B$76,'Mar16-Aug16 FT-TS-Cashout-LG&amp;E'!$F$570)</f>
        <v>3524.39</v>
      </c>
      <c r="L570" s="449">
        <f>SUMIFS('Bruise Report-Cashouts'!$C$5:$C$76,'Bruise Report-Cashouts'!$A$5:$A$76,'Mar16-Aug16 FT-TS-Cashout-LG&amp;E'!L$348,'Bruise Report-Cashouts'!$B$5:$B$76,'Mar16-Aug16 FT-TS-Cashout-LG&amp;E'!$F$570)</f>
        <v>3678.41</v>
      </c>
      <c r="M570" s="449">
        <f>SUMIFS('Bruise Report-Cashouts'!$C$5:$C$76,'Bruise Report-Cashouts'!$A$5:$A$76,'Mar16-Aug16 FT-TS-Cashout-LG&amp;E'!M$348,'Bruise Report-Cashouts'!$B$5:$B$76,'Mar16-Aug16 FT-TS-Cashout-LG&amp;E'!$F$570)</f>
        <v>3678.41</v>
      </c>
      <c r="N570" s="449">
        <f>SUMIFS('Bruise Report-Cashouts'!$C$5:$C$76,'Bruise Report-Cashouts'!$A$5:$A$76,'Mar16-Aug16 FT-TS-Cashout-LG&amp;E'!N$348,'Bruise Report-Cashouts'!$B$5:$B$76,'Mar16-Aug16 FT-TS-Cashout-LG&amp;E'!$F$570)</f>
        <v>3678.41</v>
      </c>
      <c r="O570" s="449">
        <f>SUMIFS('Bruise Report-Cashouts'!$C$5:$C$76,'Bruise Report-Cashouts'!$A$5:$A$76,'Mar16-Aug16 FT-TS-Cashout-LG&amp;E'!O$348,'Bruise Report-Cashouts'!$B$5:$B$76,'Mar16-Aug16 FT-TS-Cashout-LG&amp;E'!$F$570)</f>
        <v>3678.41</v>
      </c>
      <c r="P570" s="574">
        <f t="shared" si="207"/>
        <v>21751.42</v>
      </c>
    </row>
    <row r="571" spans="2:16" x14ac:dyDescent="0.2">
      <c r="B571" s="362"/>
      <c r="C571" s="362"/>
      <c r="D571" s="362"/>
      <c r="E571" s="362"/>
      <c r="F571" s="362"/>
      <c r="G571" s="368"/>
      <c r="H571" s="362"/>
      <c r="I571" s="449"/>
      <c r="J571" s="449"/>
      <c r="K571" s="449"/>
      <c r="L571" s="449"/>
      <c r="M571" s="449"/>
      <c r="N571" s="449"/>
      <c r="O571" s="449"/>
      <c r="P571" s="449"/>
    </row>
    <row r="572" spans="2:16" x14ac:dyDescent="0.2">
      <c r="B572" s="362"/>
      <c r="C572" s="362"/>
      <c r="D572" s="362"/>
      <c r="E572" s="362"/>
      <c r="F572" s="362"/>
      <c r="G572" s="368" t="s">
        <v>262</v>
      </c>
      <c r="H572" s="362"/>
      <c r="I572" s="449">
        <f>I568-I570</f>
        <v>0</v>
      </c>
      <c r="J572" s="449">
        <f t="shared" ref="J572:O572" si="213">J568-J570</f>
        <v>0</v>
      </c>
      <c r="K572" s="449">
        <f t="shared" si="213"/>
        <v>0</v>
      </c>
      <c r="L572" s="449">
        <f t="shared" si="213"/>
        <v>0</v>
      </c>
      <c r="M572" s="449">
        <f t="shared" si="213"/>
        <v>0</v>
      </c>
      <c r="N572" s="449">
        <f t="shared" si="213"/>
        <v>0</v>
      </c>
      <c r="O572" s="449">
        <f t="shared" si="213"/>
        <v>0</v>
      </c>
      <c r="P572" s="574">
        <f t="shared" si="207"/>
        <v>0</v>
      </c>
    </row>
    <row r="573" spans="2:16" x14ac:dyDescent="0.2">
      <c r="B573" s="362"/>
      <c r="C573" s="362"/>
      <c r="D573" s="362"/>
      <c r="E573" s="362"/>
      <c r="F573" s="362"/>
      <c r="G573" s="368"/>
      <c r="H573" s="362"/>
      <c r="I573" s="362"/>
      <c r="J573" s="362"/>
      <c r="K573" s="362"/>
      <c r="L573" s="362"/>
      <c r="M573" s="362"/>
      <c r="N573" s="362"/>
      <c r="O573" s="362"/>
      <c r="P573" s="449"/>
    </row>
    <row r="577" spans="2:16" x14ac:dyDescent="0.2">
      <c r="B577" s="373" t="s">
        <v>544</v>
      </c>
      <c r="C577" s="374"/>
      <c r="D577" s="374"/>
      <c r="E577" s="374"/>
      <c r="F577" s="374"/>
      <c r="G577" s="374"/>
      <c r="H577" s="373" t="s">
        <v>535</v>
      </c>
      <c r="I577" s="314">
        <v>42430</v>
      </c>
      <c r="J577" s="314">
        <f t="shared" ref="J577:O577" si="214">EDATE(I577,1)</f>
        <v>42461</v>
      </c>
      <c r="K577" s="314">
        <f t="shared" si="214"/>
        <v>42491</v>
      </c>
      <c r="L577" s="314">
        <f t="shared" si="214"/>
        <v>42522</v>
      </c>
      <c r="M577" s="314">
        <f t="shared" si="214"/>
        <v>42552</v>
      </c>
      <c r="N577" s="314">
        <f t="shared" si="214"/>
        <v>42583</v>
      </c>
      <c r="O577" s="314">
        <f t="shared" si="214"/>
        <v>42614</v>
      </c>
      <c r="P577" s="374"/>
    </row>
    <row r="578" spans="2:16" x14ac:dyDescent="0.2">
      <c r="B578" s="374"/>
      <c r="C578" s="374"/>
      <c r="D578" s="374"/>
      <c r="E578" s="374"/>
      <c r="F578" s="374"/>
      <c r="G578" s="375" t="s">
        <v>1238</v>
      </c>
      <c r="H578" s="374"/>
      <c r="I578" s="407" t="s">
        <v>511</v>
      </c>
      <c r="J578" s="407" t="s">
        <v>511</v>
      </c>
      <c r="K578" s="407" t="s">
        <v>511</v>
      </c>
      <c r="L578" s="407" t="s">
        <v>511</v>
      </c>
      <c r="M578" s="407" t="s">
        <v>511</v>
      </c>
      <c r="N578" s="407" t="s">
        <v>511</v>
      </c>
      <c r="O578" s="407" t="s">
        <v>511</v>
      </c>
      <c r="P578" s="374"/>
    </row>
    <row r="579" spans="2:16" x14ac:dyDescent="0.2">
      <c r="B579" s="374">
        <f>VLOOKUP($C579,'Retail Rates'!$B$45:$R$53,13,FALSE)</f>
        <v>0</v>
      </c>
      <c r="C579" s="376" t="s">
        <v>57</v>
      </c>
      <c r="D579" s="376" t="str">
        <f t="shared" ref="D579:D597" si="215">MID(C579,6,3)</f>
        <v>997</v>
      </c>
      <c r="E579" s="374" t="str">
        <f>VLOOKUP($C579,'Retail Rates'!$B$45:$R$53,3,FALSE)</f>
        <v>PR</v>
      </c>
      <c r="F579" s="374" t="s">
        <v>664</v>
      </c>
      <c r="G579" s="377" t="s">
        <v>285</v>
      </c>
      <c r="H579" s="374"/>
      <c r="I579" s="441">
        <v>43200</v>
      </c>
      <c r="J579" s="441">
        <v>43200</v>
      </c>
      <c r="K579" s="441">
        <v>43200</v>
      </c>
      <c r="L579" s="441">
        <v>43200</v>
      </c>
      <c r="M579" s="441">
        <v>43200</v>
      </c>
      <c r="N579" s="441">
        <v>43200</v>
      </c>
      <c r="O579" s="441">
        <v>43200</v>
      </c>
      <c r="P579" s="574">
        <f>SUM(J579:O579)</f>
        <v>259200</v>
      </c>
    </row>
    <row r="580" spans="2:16" x14ac:dyDescent="0.2">
      <c r="B580" s="374">
        <f>VLOOKUP($C580,'Retail Rates'!$B$45:$R$53,13,FALSE)</f>
        <v>0</v>
      </c>
      <c r="C580" s="376" t="s">
        <v>57</v>
      </c>
      <c r="D580" s="376" t="str">
        <f t="shared" si="215"/>
        <v>997</v>
      </c>
      <c r="E580" s="374" t="str">
        <f>VLOOKUP($C580,'Retail Rates'!$B$45:$R$53,3,FALSE)</f>
        <v>PR</v>
      </c>
      <c r="F580" s="374" t="s">
        <v>664</v>
      </c>
      <c r="G580" s="377" t="s">
        <v>269</v>
      </c>
      <c r="H580" s="325" t="s">
        <v>518</v>
      </c>
      <c r="I580" s="396">
        <f>SUMIFS('Data FT-TS-Cashout-P'!$H$14:$H$4704,'Data FT-TS-Cashout-P'!$A$6:$A$4696,'Mar16-Aug16 FT-TS-Cashout-LG&amp;E'!I$577,'Data FT-TS-Cashout-P'!$B$14:$B$4704,'Mar16-Aug16 FT-TS-Cashout-LG&amp;E'!$C$580,'Data FT-TS-Cashout-P'!$D$14:$D$4704,'Mar16-Aug16 FT-TS-Cashout-LG&amp;E'!$F$580,'Data FT-TS-Cashout-P'!$E$14:$E$4704,'Mar16-Aug16 FT-TS-Cashout-LG&amp;E'!$H$580,'Data FT-TS-Cashout-P'!$F$14:$F$4704,'Mar16-Aug16 FT-TS-Cashout-LG&amp;E'!I$578)/10</f>
        <v>9629</v>
      </c>
      <c r="J580" s="396">
        <f>SUMIFS('Data FT-TS-Cashout-P'!$H$14:$H$4704,'Data FT-TS-Cashout-P'!$A$6:$A$4696,'Mar16-Aug16 FT-TS-Cashout-LG&amp;E'!J$577,'Data FT-TS-Cashout-P'!$B$14:$B$4704,'Mar16-Aug16 FT-TS-Cashout-LG&amp;E'!$C$580,'Data FT-TS-Cashout-P'!$D$14:$D$4704,'Mar16-Aug16 FT-TS-Cashout-LG&amp;E'!$F$580,'Data FT-TS-Cashout-P'!$E$14:$E$4704,'Mar16-Aug16 FT-TS-Cashout-LG&amp;E'!$H$580,'Data FT-TS-Cashout-P'!$F$14:$F$4704,'Mar16-Aug16 FT-TS-Cashout-LG&amp;E'!J$578)/10</f>
        <v>301.3</v>
      </c>
      <c r="K580" s="396">
        <f>SUMIFS('Data FT-TS-Cashout-P'!$H$14:$H$4704,'Data FT-TS-Cashout-P'!$A$6:$A$4696,'Mar16-Aug16 FT-TS-Cashout-LG&amp;E'!K$577,'Data FT-TS-Cashout-P'!$B$14:$B$4704,'Mar16-Aug16 FT-TS-Cashout-LG&amp;E'!$C$580,'Data FT-TS-Cashout-P'!$D$14:$D$4704,'Mar16-Aug16 FT-TS-Cashout-LG&amp;E'!$F$580,'Data FT-TS-Cashout-P'!$E$14:$E$4704,'Mar16-Aug16 FT-TS-Cashout-LG&amp;E'!$H$580,'Data FT-TS-Cashout-P'!$F$14:$F$4704,'Mar16-Aug16 FT-TS-Cashout-LG&amp;E'!K$578)/10</f>
        <v>18660.099999999999</v>
      </c>
      <c r="L580" s="396">
        <f>SUMIFS('Data FT-TS-Cashout-P'!$H$14:$H$4704,'Data FT-TS-Cashout-P'!$A$6:$A$4696,'Mar16-Aug16 FT-TS-Cashout-LG&amp;E'!L$577,'Data FT-TS-Cashout-P'!$B$14:$B$4704,'Mar16-Aug16 FT-TS-Cashout-LG&amp;E'!$C$580,'Data FT-TS-Cashout-P'!$D$14:$D$4704,'Mar16-Aug16 FT-TS-Cashout-LG&amp;E'!$F$580,'Data FT-TS-Cashout-P'!$E$14:$E$4704,'Mar16-Aug16 FT-TS-Cashout-LG&amp;E'!$H$580,'Data FT-TS-Cashout-P'!$F$14:$F$4704,'Mar16-Aug16 FT-TS-Cashout-LG&amp;E'!L$578)/10</f>
        <v>95127.8</v>
      </c>
      <c r="M580" s="396">
        <f>SUMIFS('Data FT-TS-Cashout-P'!$H$14:$H$4704,'Data FT-TS-Cashout-P'!$A$6:$A$4696,'Mar16-Aug16 FT-TS-Cashout-LG&amp;E'!M$577,'Data FT-TS-Cashout-P'!$B$14:$B$4704,'Mar16-Aug16 FT-TS-Cashout-LG&amp;E'!$C$580,'Data FT-TS-Cashout-P'!$D$14:$D$4704,'Mar16-Aug16 FT-TS-Cashout-LG&amp;E'!$F$580,'Data FT-TS-Cashout-P'!$E$14:$E$4704,'Mar16-Aug16 FT-TS-Cashout-LG&amp;E'!$H$580,'Data FT-TS-Cashout-P'!$F$14:$F$4704,'Mar16-Aug16 FT-TS-Cashout-LG&amp;E'!M$578)/10</f>
        <v>262356.09999999998</v>
      </c>
      <c r="N580" s="396">
        <f>SUMIFS('Data FT-TS-Cashout-P'!$H$14:$H$4704,'Data FT-TS-Cashout-P'!$A$6:$A$4696,'Mar16-Aug16 FT-TS-Cashout-LG&amp;E'!N$577,'Data FT-TS-Cashout-P'!$B$14:$B$4704,'Mar16-Aug16 FT-TS-Cashout-LG&amp;E'!$C$580,'Data FT-TS-Cashout-P'!$D$14:$D$4704,'Mar16-Aug16 FT-TS-Cashout-LG&amp;E'!$F$580,'Data FT-TS-Cashout-P'!$E$14:$E$4704,'Mar16-Aug16 FT-TS-Cashout-LG&amp;E'!$H$580,'Data FT-TS-Cashout-P'!$F$14:$F$4704,'Mar16-Aug16 FT-TS-Cashout-LG&amp;E'!N$578)/10</f>
        <v>270529.59999999998</v>
      </c>
      <c r="O580" s="396">
        <f>SUMIFS('Data FT-TS-Cashout-P'!$H$14:$H$4704,'Data FT-TS-Cashout-P'!$A$6:$A$4696,'Mar16-Aug16 FT-TS-Cashout-LG&amp;E'!O$577,'Data FT-TS-Cashout-P'!$B$14:$B$4704,'Mar16-Aug16 FT-TS-Cashout-LG&amp;E'!$C$580,'Data FT-TS-Cashout-P'!$D$14:$D$4704,'Mar16-Aug16 FT-TS-Cashout-LG&amp;E'!$F$580,'Data FT-TS-Cashout-P'!$E$14:$E$4704,'Mar16-Aug16 FT-TS-Cashout-LG&amp;E'!$H$580,'Data FT-TS-Cashout-P'!$F$14:$F$4704,'Mar16-Aug16 FT-TS-Cashout-LG&amp;E'!O$578)/10</f>
        <v>129634.8</v>
      </c>
      <c r="P580" s="574">
        <f>SUM(J580:O580)</f>
        <v>776609.7</v>
      </c>
    </row>
    <row r="581" spans="2:16" x14ac:dyDescent="0.2">
      <c r="B581" s="374">
        <f>VLOOKUP($C581,'Retail Rates'!$B$45:$R$53,13,FALSE)</f>
        <v>0</v>
      </c>
      <c r="C581" s="376" t="s">
        <v>57</v>
      </c>
      <c r="D581" s="376" t="str">
        <f t="shared" si="215"/>
        <v>997</v>
      </c>
      <c r="E581" s="374" t="str">
        <f>VLOOKUP($C581,'Retail Rates'!$B$45:$R$53,3,FALSE)</f>
        <v>PR</v>
      </c>
      <c r="F581" s="374" t="s">
        <v>664</v>
      </c>
      <c r="G581" s="377" t="s">
        <v>169</v>
      </c>
      <c r="H581" s="374" t="s">
        <v>537</v>
      </c>
      <c r="I581" s="374"/>
      <c r="J581" s="374"/>
      <c r="K581" s="374"/>
      <c r="L581" s="374"/>
      <c r="M581" s="374"/>
      <c r="N581" s="374"/>
      <c r="O581" s="374"/>
      <c r="P581" s="374"/>
    </row>
    <row r="582" spans="2:16" x14ac:dyDescent="0.2">
      <c r="B582" s="374">
        <f>VLOOKUP($C582,'Retail Rates'!$B$45:$R$53,13,FALSE)</f>
        <v>0</v>
      </c>
      <c r="C582" s="376" t="s">
        <v>57</v>
      </c>
      <c r="D582" s="376" t="str">
        <f t="shared" si="215"/>
        <v>997</v>
      </c>
      <c r="E582" s="374" t="str">
        <f>VLOOKUP($C582,'Retail Rates'!$B$45:$R$53,3,FALSE)</f>
        <v>PR</v>
      </c>
      <c r="F582" s="374" t="s">
        <v>664</v>
      </c>
      <c r="G582" s="377" t="s">
        <v>270</v>
      </c>
      <c r="H582" s="374"/>
      <c r="I582" s="374">
        <f>VLOOKUP($C582,'Retail Rates'!$B$45:$O$63,5,FALSE)</f>
        <v>800</v>
      </c>
      <c r="J582" s="374">
        <f>VLOOKUP($C582,'Retail Rates'!$B$45:$O$63,5,FALSE)</f>
        <v>800</v>
      </c>
      <c r="K582" s="374">
        <f>VLOOKUP($C582,'Retail Rates'!$B$45:$O$63,5,FALSE)</f>
        <v>800</v>
      </c>
      <c r="L582" s="374">
        <f>VLOOKUP($C582,'Retail Rates'!$B$45:$O$63,5,FALSE)</f>
        <v>800</v>
      </c>
      <c r="M582" s="374">
        <f>VLOOKUP($C582,'Retail Rates'!$B$45:$O$63,5,FALSE)</f>
        <v>800</v>
      </c>
      <c r="N582" s="374">
        <f>VLOOKUP($C582,'Retail Rates'!$B$45:$O$63,5,FALSE)</f>
        <v>800</v>
      </c>
      <c r="O582" s="374">
        <f>VLOOKUP($C582,'Retail Rates'!$B$45:$O$63,5,FALSE)</f>
        <v>800</v>
      </c>
      <c r="P582" s="374"/>
    </row>
    <row r="583" spans="2:16" x14ac:dyDescent="0.2">
      <c r="B583" s="374">
        <f>VLOOKUP($C583,'Retail Rates'!$B$45:$R$53,13,FALSE)</f>
        <v>0</v>
      </c>
      <c r="C583" s="376" t="s">
        <v>57</v>
      </c>
      <c r="D583" s="376" t="str">
        <f t="shared" si="215"/>
        <v>997</v>
      </c>
      <c r="E583" s="374" t="str">
        <f>VLOOKUP($C583,'Retail Rates'!$B$45:$R$53,3,FALSE)</f>
        <v>PR</v>
      </c>
      <c r="F583" s="374" t="s">
        <v>664</v>
      </c>
      <c r="G583" s="377" t="s">
        <v>286</v>
      </c>
      <c r="H583" s="374"/>
      <c r="I583" s="374">
        <f>VLOOKUP($C583,'Retail Rates'!$B$45:$O$63,11,FALSE)</f>
        <v>2.4801000000000002</v>
      </c>
      <c r="J583" s="374">
        <f>VLOOKUP($C583,'Retail Rates'!$B$45:$O$63,11,FALSE)</f>
        <v>2.4801000000000002</v>
      </c>
      <c r="K583" s="374">
        <f>VLOOKUP($C583,'Retail Rates'!$B$45:$O$63,11,FALSE)</f>
        <v>2.4801000000000002</v>
      </c>
      <c r="L583" s="374">
        <f>VLOOKUP($C583,'Retail Rates'!$B$45:$O$63,11,FALSE)</f>
        <v>2.4801000000000002</v>
      </c>
      <c r="M583" s="374">
        <f>VLOOKUP($C583,'Retail Rates'!$B$45:$O$63,11,FALSE)</f>
        <v>2.4801000000000002</v>
      </c>
      <c r="N583" s="374">
        <f>VLOOKUP($C583,'Retail Rates'!$B$45:$O$63,11,FALSE)</f>
        <v>2.4801000000000002</v>
      </c>
      <c r="O583" s="374">
        <f>VLOOKUP($C583,'Retail Rates'!$B$45:$O$63,11,FALSE)</f>
        <v>2.4801000000000002</v>
      </c>
      <c r="P583" s="374"/>
    </row>
    <row r="584" spans="2:16" x14ac:dyDescent="0.2">
      <c r="B584" s="374">
        <f>VLOOKUP($C584,'Retail Rates'!$B$45:$R$53,13,FALSE)</f>
        <v>0</v>
      </c>
      <c r="C584" s="376" t="s">
        <v>57</v>
      </c>
      <c r="D584" s="376" t="str">
        <f t="shared" si="215"/>
        <v>997</v>
      </c>
      <c r="E584" s="374" t="str">
        <f>VLOOKUP($C584,'Retail Rates'!$B$45:$R$53,3,FALSE)</f>
        <v>PR</v>
      </c>
      <c r="F584" s="374" t="s">
        <v>664</v>
      </c>
      <c r="G584" s="377" t="s">
        <v>2</v>
      </c>
      <c r="H584" s="374"/>
      <c r="I584" s="439">
        <f>VLOOKUP($C584,'Retail Rates'!$B$45:$O$63,7,FALSE)</f>
        <v>4.9699999999999994E-2</v>
      </c>
      <c r="J584" s="439">
        <f>VLOOKUP($C584,'Retail Rates'!$B$45:$O$63,7,FALSE)</f>
        <v>4.9699999999999994E-2</v>
      </c>
      <c r="K584" s="439">
        <f>VLOOKUP($C584,'Retail Rates'!$B$45:$O$63,7,FALSE)</f>
        <v>4.9699999999999994E-2</v>
      </c>
      <c r="L584" s="439">
        <f>VLOOKUP($C584,'Retail Rates'!$B$45:$O$63,7,FALSE)</f>
        <v>4.9699999999999994E-2</v>
      </c>
      <c r="M584" s="439">
        <f>VLOOKUP($C584,'Retail Rates'!$B$45:$O$63,7,FALSE)</f>
        <v>4.9699999999999994E-2</v>
      </c>
      <c r="N584" s="439">
        <f>VLOOKUP($C584,'Retail Rates'!$B$45:$O$63,7,FALSE)</f>
        <v>4.9699999999999994E-2</v>
      </c>
      <c r="O584" s="439">
        <f>VLOOKUP($C584,'Retail Rates'!$B$45:$O$63,7,FALSE)</f>
        <v>4.9699999999999994E-2</v>
      </c>
      <c r="P584" s="374"/>
    </row>
    <row r="585" spans="2:16" x14ac:dyDescent="0.2">
      <c r="B585" s="374">
        <f>VLOOKUP($C585,'Retail Rates'!$B$45:$R$53,13,FALSE)</f>
        <v>0</v>
      </c>
      <c r="C585" s="376" t="s">
        <v>57</v>
      </c>
      <c r="D585" s="376" t="str">
        <f t="shared" si="215"/>
        <v>997</v>
      </c>
      <c r="E585" s="374" t="str">
        <f>VLOOKUP($C585,'Retail Rates'!$B$45:$R$53,3,FALSE)</f>
        <v>PR</v>
      </c>
      <c r="F585" s="374" t="s">
        <v>664</v>
      </c>
      <c r="G585" s="377" t="s">
        <v>279</v>
      </c>
      <c r="H585" s="374"/>
      <c r="I585" s="439">
        <f>SUMIF('GSC-DSM-GLT Factors'!$A$11:$A$58,'Mar16-Aug16 FT-TS-Cashout-LG&amp;E'!I$5,'GSC-DSM-GLT Factors'!$F$11:$F$58)</f>
        <v>0.16619999999999999</v>
      </c>
      <c r="J585" s="439">
        <f>SUMIF('GSC-DSM-GLT Factors'!$A$11:$A$58,'Mar16-Aug16 FT-TS-Cashout-LG&amp;E'!J$5,'GSC-DSM-GLT Factors'!$F$11:$F$58)</f>
        <v>0.16619999999999999</v>
      </c>
      <c r="K585" s="439">
        <f>SUMIF('GSC-DSM-GLT Factors'!$A$11:$A$58,'Mar16-Aug16 FT-TS-Cashout-LG&amp;E'!K$5,'GSC-DSM-GLT Factors'!$F$11:$F$58)</f>
        <v>0.16619999999999999</v>
      </c>
      <c r="L585" s="439">
        <f>SUMIF('GSC-DSM-GLT Factors'!$A$11:$A$58,'Mar16-Aug16 FT-TS-Cashout-LG&amp;E'!L$5,'GSC-DSM-GLT Factors'!$F$11:$F$58)</f>
        <v>0.1673</v>
      </c>
      <c r="M585" s="439">
        <f>SUMIF('GSC-DSM-GLT Factors'!$A$11:$A$58,'Mar16-Aug16 FT-TS-Cashout-LG&amp;E'!M$5,'GSC-DSM-GLT Factors'!$F$11:$F$58)</f>
        <v>0.1673</v>
      </c>
      <c r="N585" s="439">
        <f>SUMIF('GSC-DSM-GLT Factors'!$A$11:$A$58,'Mar16-Aug16 FT-TS-Cashout-LG&amp;E'!N$5,'GSC-DSM-GLT Factors'!$F$11:$F$58)</f>
        <v>0.1673</v>
      </c>
      <c r="O585" s="439">
        <f>SUMIF('GSC-DSM-GLT Factors'!$A$11:$A$58,'Mar16-Aug16 FT-TS-Cashout-LG&amp;E'!O$5,'GSC-DSM-GLT Factors'!$F$11:$F$58)</f>
        <v>0.16619999999999999</v>
      </c>
      <c r="P585" s="374"/>
    </row>
    <row r="586" spans="2:16" x14ac:dyDescent="0.2">
      <c r="B586" s="374">
        <f>VLOOKUP($C586,'Retail Rates'!$B$45:$R$53,13,FALSE)</f>
        <v>0</v>
      </c>
      <c r="C586" s="376" t="s">
        <v>57</v>
      </c>
      <c r="D586" s="376" t="str">
        <f t="shared" si="215"/>
        <v>997</v>
      </c>
      <c r="E586" s="374" t="str">
        <f>VLOOKUP($C586,'Retail Rates'!$B$45:$R$53,3,FALSE)</f>
        <v>PR</v>
      </c>
      <c r="F586" s="374" t="s">
        <v>664</v>
      </c>
      <c r="G586" s="377" t="s">
        <v>280</v>
      </c>
      <c r="H586" s="374"/>
      <c r="I586" s="374">
        <f>VLOOKUP($C586,'Retail Rates'!$B$44:$O$53,10,FALSE)</f>
        <v>0.18329999999999999</v>
      </c>
      <c r="J586" s="374">
        <f>VLOOKUP($C586,'Retail Rates'!$B$44:$O$53,10,FALSE)</f>
        <v>0.18329999999999999</v>
      </c>
      <c r="K586" s="374">
        <f>VLOOKUP($C586,'Retail Rates'!$B$44:$O$53,10,FALSE)</f>
        <v>0.18329999999999999</v>
      </c>
      <c r="L586" s="374">
        <f>VLOOKUP($C586,'Retail Rates'!$B$44:$O$53,10,FALSE)</f>
        <v>0.18329999999999999</v>
      </c>
      <c r="M586" s="374">
        <f>VLOOKUP($C586,'Retail Rates'!$B$44:$O$53,10,FALSE)</f>
        <v>0.18329999999999999</v>
      </c>
      <c r="N586" s="374">
        <f>VLOOKUP($C586,'Retail Rates'!$B$44:$O$53,10,FALSE)</f>
        <v>0.18329999999999999</v>
      </c>
      <c r="O586" s="374">
        <f>VLOOKUP($C586,'Retail Rates'!$B$44:$O$53,10,FALSE)</f>
        <v>0.18329999999999999</v>
      </c>
      <c r="P586" s="374"/>
    </row>
    <row r="587" spans="2:16" x14ac:dyDescent="0.2">
      <c r="B587" s="374">
        <f>VLOOKUP($C587,'Retail Rates'!$B$45:$R$53,13,FALSE)</f>
        <v>0</v>
      </c>
      <c r="C587" s="376" t="s">
        <v>57</v>
      </c>
      <c r="D587" s="376" t="str">
        <f t="shared" si="215"/>
        <v>997</v>
      </c>
      <c r="E587" s="374" t="str">
        <f>VLOOKUP($C587,'Retail Rates'!$B$45:$R$53,3,FALSE)</f>
        <v>PR</v>
      </c>
      <c r="F587" s="374" t="s">
        <v>664</v>
      </c>
      <c r="G587" s="377"/>
      <c r="H587" s="374"/>
      <c r="I587" s="374"/>
      <c r="J587" s="374"/>
      <c r="K587" s="374"/>
      <c r="L587" s="374"/>
      <c r="M587" s="374"/>
      <c r="N587" s="374"/>
      <c r="O587" s="374"/>
      <c r="P587" s="374"/>
    </row>
    <row r="588" spans="2:16" x14ac:dyDescent="0.2">
      <c r="B588" s="374">
        <f>VLOOKUP($C588,'Retail Rates'!$B$45:$R$53,13,FALSE)</f>
        <v>0</v>
      </c>
      <c r="C588" s="376" t="s">
        <v>57</v>
      </c>
      <c r="D588" s="376" t="str">
        <f t="shared" si="215"/>
        <v>997</v>
      </c>
      <c r="E588" s="374" t="str">
        <f>VLOOKUP($C588,'Retail Rates'!$B$45:$R$53,3,FALSE)</f>
        <v>PR</v>
      </c>
      <c r="F588" s="374" t="s">
        <v>664</v>
      </c>
      <c r="G588" s="378" t="s">
        <v>273</v>
      </c>
      <c r="H588" s="374"/>
      <c r="I588" s="374"/>
      <c r="J588" s="374"/>
      <c r="K588" s="374"/>
      <c r="L588" s="374"/>
      <c r="M588" s="374"/>
      <c r="N588" s="374"/>
      <c r="O588" s="374"/>
      <c r="P588" s="374"/>
    </row>
    <row r="589" spans="2:16" x14ac:dyDescent="0.2">
      <c r="B589" s="374">
        <f>VLOOKUP($C589,'Retail Rates'!$B$45:$R$53,13,FALSE)</f>
        <v>0</v>
      </c>
      <c r="C589" s="376" t="s">
        <v>57</v>
      </c>
      <c r="D589" s="376" t="str">
        <f t="shared" si="215"/>
        <v>997</v>
      </c>
      <c r="E589" s="374" t="str">
        <f>VLOOKUP($C589,'Retail Rates'!$B$45:$R$53,3,FALSE)</f>
        <v>PR</v>
      </c>
      <c r="F589" s="374" t="s">
        <v>664</v>
      </c>
      <c r="G589" s="377" t="s">
        <v>287</v>
      </c>
      <c r="H589" s="374"/>
      <c r="I589" s="443">
        <f t="shared" ref="I589:O589" si="216">+I579*I583</f>
        <v>107140.32</v>
      </c>
      <c r="J589" s="443">
        <f t="shared" si="216"/>
        <v>107140.32</v>
      </c>
      <c r="K589" s="443">
        <f t="shared" si="216"/>
        <v>107140.32</v>
      </c>
      <c r="L589" s="443">
        <f t="shared" si="216"/>
        <v>107140.32</v>
      </c>
      <c r="M589" s="443">
        <f t="shared" si="216"/>
        <v>107140.32</v>
      </c>
      <c r="N589" s="443">
        <f t="shared" si="216"/>
        <v>107140.32</v>
      </c>
      <c r="O589" s="443">
        <f t="shared" si="216"/>
        <v>107140.32</v>
      </c>
      <c r="P589" s="574">
        <f t="shared" ref="P589:P601" si="217">SUM(J589:O589)</f>
        <v>642841.92000000016</v>
      </c>
    </row>
    <row r="590" spans="2:16" x14ac:dyDescent="0.2">
      <c r="B590" s="374">
        <f>VLOOKUP($C590,'Retail Rates'!$B$45:$R$53,13,FALSE)</f>
        <v>0</v>
      </c>
      <c r="C590" s="376" t="s">
        <v>57</v>
      </c>
      <c r="D590" s="376" t="str">
        <f t="shared" si="215"/>
        <v>997</v>
      </c>
      <c r="E590" s="374" t="str">
        <f>VLOOKUP($C590,'Retail Rates'!$B$45:$R$53,3,FALSE)</f>
        <v>PR</v>
      </c>
      <c r="F590" s="374" t="s">
        <v>664</v>
      </c>
      <c r="G590" s="377" t="s">
        <v>275</v>
      </c>
      <c r="H590" s="374"/>
      <c r="I590" s="442">
        <f t="shared" ref="I590:O590" si="218">ROUND(I580*I584,2)</f>
        <v>478.56</v>
      </c>
      <c r="J590" s="442">
        <f t="shared" si="218"/>
        <v>14.97</v>
      </c>
      <c r="K590" s="442">
        <f t="shared" si="218"/>
        <v>927.41</v>
      </c>
      <c r="L590" s="442">
        <f t="shared" si="218"/>
        <v>4727.8500000000004</v>
      </c>
      <c r="M590" s="442">
        <f t="shared" si="218"/>
        <v>13039.1</v>
      </c>
      <c r="N590" s="442">
        <f t="shared" si="218"/>
        <v>13445.32</v>
      </c>
      <c r="O590" s="442">
        <f t="shared" si="218"/>
        <v>6442.85</v>
      </c>
      <c r="P590" s="574">
        <f t="shared" si="217"/>
        <v>38597.5</v>
      </c>
    </row>
    <row r="591" spans="2:16" x14ac:dyDescent="0.2">
      <c r="B591" s="374">
        <f>VLOOKUP($C591,'Retail Rates'!$B$45:$R$53,13,FALSE)</f>
        <v>0</v>
      </c>
      <c r="C591" s="376" t="s">
        <v>57</v>
      </c>
      <c r="D591" s="376" t="str">
        <f t="shared" si="215"/>
        <v>997</v>
      </c>
      <c r="E591" s="374" t="str">
        <f>VLOOKUP($C591,'Retail Rates'!$B$45:$R$53,3,FALSE)</f>
        <v>PR</v>
      </c>
      <c r="F591" s="374" t="s">
        <v>664</v>
      </c>
      <c r="G591" s="377" t="s">
        <v>282</v>
      </c>
      <c r="H591" s="374"/>
      <c r="I591" s="440">
        <f t="shared" ref="I591:O591" si="219">SUM(I589:I590)</f>
        <v>107618.88</v>
      </c>
      <c r="J591" s="440">
        <f t="shared" si="219"/>
        <v>107155.29000000001</v>
      </c>
      <c r="K591" s="440">
        <f t="shared" si="219"/>
        <v>108067.73000000001</v>
      </c>
      <c r="L591" s="440">
        <f t="shared" si="219"/>
        <v>111868.17000000001</v>
      </c>
      <c r="M591" s="440">
        <f t="shared" si="219"/>
        <v>120179.42000000001</v>
      </c>
      <c r="N591" s="440">
        <f t="shared" si="219"/>
        <v>120585.64000000001</v>
      </c>
      <c r="O591" s="440">
        <f t="shared" si="219"/>
        <v>113583.17000000001</v>
      </c>
      <c r="P591" s="574">
        <f t="shared" si="217"/>
        <v>681439.42000000016</v>
      </c>
    </row>
    <row r="592" spans="2:16" x14ac:dyDescent="0.2">
      <c r="B592" s="374">
        <f>VLOOKUP($C592,'Retail Rates'!$B$45:$R$53,13,FALSE)</f>
        <v>0</v>
      </c>
      <c r="C592" s="376" t="s">
        <v>57</v>
      </c>
      <c r="D592" s="376" t="str">
        <f t="shared" si="215"/>
        <v>997</v>
      </c>
      <c r="E592" s="374" t="str">
        <f>VLOOKUP($C592,'Retail Rates'!$B$45:$R$53,3,FALSE)</f>
        <v>PR</v>
      </c>
      <c r="F592" s="374" t="s">
        <v>664</v>
      </c>
      <c r="G592" s="377" t="s">
        <v>274</v>
      </c>
      <c r="H592" s="374"/>
      <c r="I592" s="379"/>
      <c r="J592" s="379"/>
      <c r="K592" s="379"/>
      <c r="L592" s="379"/>
      <c r="M592" s="379"/>
      <c r="N592" s="379"/>
      <c r="O592" s="379"/>
      <c r="P592" s="398"/>
    </row>
    <row r="593" spans="2:16" x14ac:dyDescent="0.2">
      <c r="B593" s="374">
        <f>VLOOKUP($C593,'Retail Rates'!$B$45:$R$53,13,FALSE)</f>
        <v>0</v>
      </c>
      <c r="C593" s="376" t="s">
        <v>57</v>
      </c>
      <c r="D593" s="376" t="str">
        <f t="shared" si="215"/>
        <v>997</v>
      </c>
      <c r="E593" s="374" t="str">
        <f>VLOOKUP($C593,'Retail Rates'!$B$45:$R$53,3,FALSE)</f>
        <v>PR</v>
      </c>
      <c r="F593" s="374" t="s">
        <v>664</v>
      </c>
      <c r="G593" s="377" t="s">
        <v>282</v>
      </c>
      <c r="H593" s="374"/>
      <c r="I593" s="440">
        <f t="shared" ref="I593:O593" si="220">SUM(I591:I592)</f>
        <v>107618.88</v>
      </c>
      <c r="J593" s="440">
        <f t="shared" si="220"/>
        <v>107155.29000000001</v>
      </c>
      <c r="K593" s="440">
        <f t="shared" si="220"/>
        <v>108067.73000000001</v>
      </c>
      <c r="L593" s="440">
        <f t="shared" si="220"/>
        <v>111868.17000000001</v>
      </c>
      <c r="M593" s="440">
        <f t="shared" si="220"/>
        <v>120179.42000000001</v>
      </c>
      <c r="N593" s="440">
        <f t="shared" si="220"/>
        <v>120585.64000000001</v>
      </c>
      <c r="O593" s="440">
        <f t="shared" si="220"/>
        <v>113583.17000000001</v>
      </c>
      <c r="P593" s="574">
        <f t="shared" si="217"/>
        <v>681439.42000000016</v>
      </c>
    </row>
    <row r="594" spans="2:16" x14ac:dyDescent="0.2">
      <c r="B594" s="374">
        <f>VLOOKUP($C594,'Retail Rates'!$B$45:$R$53,13,FALSE)</f>
        <v>0</v>
      </c>
      <c r="C594" s="376" t="s">
        <v>57</v>
      </c>
      <c r="D594" s="376" t="str">
        <f t="shared" si="215"/>
        <v>997</v>
      </c>
      <c r="E594" s="374" t="str">
        <f>VLOOKUP($C594,'Retail Rates'!$B$45:$R$53,3,FALSE)</f>
        <v>PR</v>
      </c>
      <c r="F594" s="374" t="s">
        <v>664</v>
      </c>
      <c r="G594" s="377" t="s">
        <v>279</v>
      </c>
      <c r="H594" s="325" t="s">
        <v>676</v>
      </c>
      <c r="I594" s="396">
        <f>SUMIFS('Data FT-TS-Cashout-P'!$U$14:$U$4704,'Data FT-TS-Cashout-P'!$A$14:$A$4704,'Mar16-Aug16 FT-TS-Cashout-LG&amp;E'!I$577,'Data FT-TS-Cashout-P'!$B$14:$B$4704,'Mar16-Aug16 FT-TS-Cashout-LG&amp;E'!$C$594,'Data FT-TS-Cashout-P'!$D$14:$D$4704,'Mar16-Aug16 FT-TS-Cashout-LG&amp;E'!$F$594,'Data FT-TS-Cashout-P'!$E$14:$E$4704,'Mar16-Aug16 FT-TS-Cashout-LG&amp;E'!$H$594,'Data FT-TS-Cashout-P'!$F$14:$F$4704,'Mar16-Aug16 FT-TS-Cashout-LG&amp;E'!I$578)</f>
        <v>94.75</v>
      </c>
      <c r="J594" s="396">
        <f>SUMIFS('Data FT-TS-Cashout-P'!$U$14:$U$4704,'Data FT-TS-Cashout-P'!$A$14:$A$4704,'Mar16-Aug16 FT-TS-Cashout-LG&amp;E'!J$577,'Data FT-TS-Cashout-P'!$B$14:$B$4704,'Mar16-Aug16 FT-TS-Cashout-LG&amp;E'!$C$594,'Data FT-TS-Cashout-P'!$D$14:$D$4704,'Mar16-Aug16 FT-TS-Cashout-LG&amp;E'!$F$594,'Data FT-TS-Cashout-P'!$E$14:$E$4704,'Mar16-Aug16 FT-TS-Cashout-LG&amp;E'!$H$594,'Data FT-TS-Cashout-P'!$F$14:$F$4704,'Mar16-Aug16 FT-TS-Cashout-LG&amp;E'!J$578)</f>
        <v>1800.79</v>
      </c>
      <c r="K594" s="396">
        <f>SUMIFS('Data FT-TS-Cashout-P'!$U$14:$U$4704,'Data FT-TS-Cashout-P'!$A$14:$A$4704,'Mar16-Aug16 FT-TS-Cashout-LG&amp;E'!K$577,'Data FT-TS-Cashout-P'!$B$14:$B$4704,'Mar16-Aug16 FT-TS-Cashout-LG&amp;E'!$C$594,'Data FT-TS-Cashout-P'!$D$14:$D$4704,'Mar16-Aug16 FT-TS-Cashout-LG&amp;E'!$F$594,'Data FT-TS-Cashout-P'!$E$14:$E$4704,'Mar16-Aug16 FT-TS-Cashout-LG&amp;E'!$H$594,'Data FT-TS-Cashout-P'!$F$14:$F$4704,'Mar16-Aug16 FT-TS-Cashout-LG&amp;E'!K$578)</f>
        <v>138.94</v>
      </c>
      <c r="L594" s="396">
        <f>SUMIFS('Data FT-TS-Cashout-P'!$U$14:$U$4704,'Data FT-TS-Cashout-P'!$A$14:$A$4704,'Mar16-Aug16 FT-TS-Cashout-LG&amp;E'!L$577,'Data FT-TS-Cashout-P'!$B$14:$B$4704,'Mar16-Aug16 FT-TS-Cashout-LG&amp;E'!$C$594,'Data FT-TS-Cashout-P'!$D$14:$D$4704,'Mar16-Aug16 FT-TS-Cashout-LG&amp;E'!$F$594,'Data FT-TS-Cashout-P'!$E$14:$E$4704,'Mar16-Aug16 FT-TS-Cashout-LG&amp;E'!$H$594,'Data FT-TS-Cashout-P'!$F$14:$F$4704,'Mar16-Aug16 FT-TS-Cashout-LG&amp;E'!L$578)</f>
        <v>99.69</v>
      </c>
      <c r="M594" s="396">
        <f>SUMIFS('Data FT-TS-Cashout-P'!$U$14:$U$4704,'Data FT-TS-Cashout-P'!$A$14:$A$4704,'Mar16-Aug16 FT-TS-Cashout-LG&amp;E'!M$577,'Data FT-TS-Cashout-P'!$B$14:$B$4704,'Mar16-Aug16 FT-TS-Cashout-LG&amp;E'!$C$594,'Data FT-TS-Cashout-P'!$D$14:$D$4704,'Mar16-Aug16 FT-TS-Cashout-LG&amp;E'!$F$594,'Data FT-TS-Cashout-P'!$E$14:$E$4704,'Mar16-Aug16 FT-TS-Cashout-LG&amp;E'!$H$594,'Data FT-TS-Cashout-P'!$F$14:$F$4704,'Mar16-Aug16 FT-TS-Cashout-LG&amp;E'!M$578)</f>
        <v>452.09</v>
      </c>
      <c r="N594" s="396">
        <f>SUMIFS('Data FT-TS-Cashout-P'!$U$14:$U$4704,'Data FT-TS-Cashout-P'!$A$14:$A$4704,'Mar16-Aug16 FT-TS-Cashout-LG&amp;E'!N$577,'Data FT-TS-Cashout-P'!$B$14:$B$4704,'Mar16-Aug16 FT-TS-Cashout-LG&amp;E'!$C$594,'Data FT-TS-Cashout-P'!$D$14:$D$4704,'Mar16-Aug16 FT-TS-Cashout-LG&amp;E'!$F$594,'Data FT-TS-Cashout-P'!$E$14:$E$4704,'Mar16-Aug16 FT-TS-Cashout-LG&amp;E'!$H$594,'Data FT-TS-Cashout-P'!$F$14:$F$4704,'Mar16-Aug16 FT-TS-Cashout-LG&amp;E'!N$578)</f>
        <v>80.760000000000005</v>
      </c>
      <c r="O594" s="396">
        <f>SUMIFS('Data FT-TS-Cashout-P'!$U$14:$U$4704,'Data FT-TS-Cashout-P'!$A$14:$A$4704,'Mar16-Aug16 FT-TS-Cashout-LG&amp;E'!O$577,'Data FT-TS-Cashout-P'!$B$14:$B$4704,'Mar16-Aug16 FT-TS-Cashout-LG&amp;E'!$C$594,'Data FT-TS-Cashout-P'!$D$14:$D$4704,'Mar16-Aug16 FT-TS-Cashout-LG&amp;E'!$F$594,'Data FT-TS-Cashout-P'!$E$14:$E$4704,'Mar16-Aug16 FT-TS-Cashout-LG&amp;E'!$H$594,'Data FT-TS-Cashout-P'!$F$14:$F$4704,'Mar16-Aug16 FT-TS-Cashout-LG&amp;E'!O$578)</f>
        <v>158.97</v>
      </c>
      <c r="P594" s="574">
        <f t="shared" si="217"/>
        <v>2731.2400000000002</v>
      </c>
    </row>
    <row r="595" spans="2:16" x14ac:dyDescent="0.2">
      <c r="B595" s="374">
        <f>VLOOKUP($C595,'Retail Rates'!$B$45:$R$53,13,FALSE)</f>
        <v>0</v>
      </c>
      <c r="C595" s="376" t="s">
        <v>57</v>
      </c>
      <c r="D595" s="376" t="str">
        <f t="shared" si="215"/>
        <v>997</v>
      </c>
      <c r="E595" s="374" t="str">
        <f>VLOOKUP($C595,'Retail Rates'!$B$45:$R$53,3,FALSE)</f>
        <v>PR</v>
      </c>
      <c r="F595" s="374" t="s">
        <v>664</v>
      </c>
      <c r="G595" s="377" t="s">
        <v>280</v>
      </c>
      <c r="H595" s="325" t="s">
        <v>677</v>
      </c>
      <c r="I595" s="396">
        <f>SUMIFS('Data FT-TS-Cashout-P'!$V$14:$V$4704,'Data FT-TS-Cashout-P'!$A$14:$A$4704,'Mar16-Aug16 FT-TS-Cashout-LG&amp;E'!I$577,'Data FT-TS-Cashout-P'!$B$14:$B$4704,'Mar16-Aug16 FT-TS-Cashout-LG&amp;E'!$C$595,'Data FT-TS-Cashout-P'!$D$14:$D$4704,'Mar16-Aug16 FT-TS-Cashout-LG&amp;E'!$F$595,'Data FT-TS-Cashout-P'!$E$14:$E$4704,'Mar16-Aug16 FT-TS-Cashout-LG&amp;E'!$H$595,'Data FT-TS-Cashout-P'!$F$14:$F$4704,'Mar16-Aug16 FT-TS-Cashout-LG&amp;E'!I$578)</f>
        <v>104.5</v>
      </c>
      <c r="J595" s="396">
        <f>SUMIFS('Data FT-TS-Cashout-P'!$V$14:$V$4704,'Data FT-TS-Cashout-P'!$A$14:$A$4704,'Mar16-Aug16 FT-TS-Cashout-LG&amp;E'!J$577,'Data FT-TS-Cashout-P'!$B$14:$B$4704,'Mar16-Aug16 FT-TS-Cashout-LG&amp;E'!$C$595,'Data FT-TS-Cashout-P'!$D$14:$D$4704,'Mar16-Aug16 FT-TS-Cashout-LG&amp;E'!$F$595,'Data FT-TS-Cashout-P'!$E$14:$E$4704,'Mar16-Aug16 FT-TS-Cashout-LG&amp;E'!$H$595,'Data FT-TS-Cashout-P'!$F$14:$F$4704,'Mar16-Aug16 FT-TS-Cashout-LG&amp;E'!J$578)</f>
        <v>1986.08</v>
      </c>
      <c r="K595" s="396">
        <f>SUMIFS('Data FT-TS-Cashout-P'!$V$14:$V$4704,'Data FT-TS-Cashout-P'!$A$14:$A$4704,'Mar16-Aug16 FT-TS-Cashout-LG&amp;E'!K$577,'Data FT-TS-Cashout-P'!$B$14:$B$4704,'Mar16-Aug16 FT-TS-Cashout-LG&amp;E'!$C$595,'Data FT-TS-Cashout-P'!$D$14:$D$4704,'Mar16-Aug16 FT-TS-Cashout-LG&amp;E'!$F$595,'Data FT-TS-Cashout-P'!$E$14:$E$4704,'Mar16-Aug16 FT-TS-Cashout-LG&amp;E'!$H$595,'Data FT-TS-Cashout-P'!$F$14:$F$4704,'Mar16-Aug16 FT-TS-Cashout-LG&amp;E'!K$578)</f>
        <v>153.24</v>
      </c>
      <c r="L595" s="396">
        <f>SUMIFS('Data FT-TS-Cashout-P'!$V$14:$V$4704,'Data FT-TS-Cashout-P'!$A$14:$A$4704,'Mar16-Aug16 FT-TS-Cashout-LG&amp;E'!L$577,'Data FT-TS-Cashout-P'!$B$14:$B$4704,'Mar16-Aug16 FT-TS-Cashout-LG&amp;E'!$C$595,'Data FT-TS-Cashout-P'!$D$14:$D$4704,'Mar16-Aug16 FT-TS-Cashout-LG&amp;E'!$F$595,'Data FT-TS-Cashout-P'!$E$14:$E$4704,'Mar16-Aug16 FT-TS-Cashout-LG&amp;E'!$H$595,'Data FT-TS-Cashout-P'!$F$14:$F$4704,'Mar16-Aug16 FT-TS-Cashout-LG&amp;E'!L$578)</f>
        <v>109.23</v>
      </c>
      <c r="M595" s="396">
        <f>SUMIFS('Data FT-TS-Cashout-P'!$V$14:$V$4704,'Data FT-TS-Cashout-P'!$A$14:$A$4704,'Mar16-Aug16 FT-TS-Cashout-LG&amp;E'!M$577,'Data FT-TS-Cashout-P'!$B$14:$B$4704,'Mar16-Aug16 FT-TS-Cashout-LG&amp;E'!$C$595,'Data FT-TS-Cashout-P'!$D$14:$D$4704,'Mar16-Aug16 FT-TS-Cashout-LG&amp;E'!$F$595,'Data FT-TS-Cashout-P'!$E$14:$E$4704,'Mar16-Aug16 FT-TS-Cashout-LG&amp;E'!$H$595,'Data FT-TS-Cashout-P'!$F$14:$F$4704,'Mar16-Aug16 FT-TS-Cashout-LG&amp;E'!M$578)</f>
        <v>495.34</v>
      </c>
      <c r="N595" s="396">
        <f>SUMIFS('Data FT-TS-Cashout-P'!$V$14:$V$4704,'Data FT-TS-Cashout-P'!$A$14:$A$4704,'Mar16-Aug16 FT-TS-Cashout-LG&amp;E'!N$577,'Data FT-TS-Cashout-P'!$B$14:$B$4704,'Mar16-Aug16 FT-TS-Cashout-LG&amp;E'!$C$595,'Data FT-TS-Cashout-P'!$D$14:$D$4704,'Mar16-Aug16 FT-TS-Cashout-LG&amp;E'!$F$595,'Data FT-TS-Cashout-P'!$E$14:$E$4704,'Mar16-Aug16 FT-TS-Cashout-LG&amp;E'!$H$595,'Data FT-TS-Cashout-P'!$F$14:$F$4704,'Mar16-Aug16 FT-TS-Cashout-LG&amp;E'!N$578)</f>
        <v>88.47</v>
      </c>
      <c r="O595" s="396">
        <f>SUMIFS('Data FT-TS-Cashout-P'!$V$14:$V$4704,'Data FT-TS-Cashout-P'!$A$14:$A$4704,'Mar16-Aug16 FT-TS-Cashout-LG&amp;E'!O$577,'Data FT-TS-Cashout-P'!$B$14:$B$4704,'Mar16-Aug16 FT-TS-Cashout-LG&amp;E'!$C$595,'Data FT-TS-Cashout-P'!$D$14:$D$4704,'Mar16-Aug16 FT-TS-Cashout-LG&amp;E'!$F$595,'Data FT-TS-Cashout-P'!$E$14:$E$4704,'Mar16-Aug16 FT-TS-Cashout-LG&amp;E'!$H$595,'Data FT-TS-Cashout-P'!$F$14:$F$4704,'Mar16-Aug16 FT-TS-Cashout-LG&amp;E'!O$578)</f>
        <v>175.33</v>
      </c>
      <c r="P595" s="574">
        <f t="shared" si="217"/>
        <v>3007.6899999999996</v>
      </c>
    </row>
    <row r="596" spans="2:16" x14ac:dyDescent="0.2">
      <c r="B596" s="374">
        <f>VLOOKUP($C596,'Retail Rates'!$B$45:$R$53,13,FALSE)</f>
        <v>0</v>
      </c>
      <c r="C596" s="376" t="s">
        <v>57</v>
      </c>
      <c r="D596" s="376" t="str">
        <f t="shared" si="215"/>
        <v>997</v>
      </c>
      <c r="E596" s="374" t="str">
        <f>VLOOKUP($C596,'Retail Rates'!$B$45:$R$53,3,FALSE)</f>
        <v>PR</v>
      </c>
      <c r="F596" s="374" t="s">
        <v>664</v>
      </c>
      <c r="G596" s="377" t="s">
        <v>281</v>
      </c>
      <c r="H596" s="325" t="s">
        <v>672</v>
      </c>
      <c r="I596" s="396">
        <f>SUMIFS('Data FT-TS-Cashout-P'!$T$14:$T$4704,'Data FT-TS-Cashout-P'!$A$14:$A$4704,'Mar16-Aug16 FT-TS-Cashout-LG&amp;E'!I$577,'Data FT-TS-Cashout-P'!$B$14:$B$4704,'Mar16-Aug16 FT-TS-Cashout-LG&amp;E'!$C$596,'Data FT-TS-Cashout-P'!$D$14:$D$4704,'Mar16-Aug16 FT-TS-Cashout-LG&amp;E'!$F$596,'Data FT-TS-Cashout-P'!$E$14:$E$4704,'Mar16-Aug16 FT-TS-Cashout-LG&amp;E'!$H$596,'Data FT-TS-Cashout-P'!$F$14:$F$4704,'Mar16-Aug16 FT-TS-Cashout-LG&amp;E'!I$578)</f>
        <v>0</v>
      </c>
      <c r="J596" s="396">
        <f>SUMIFS('Data FT-TS-Cashout-P'!$T$14:$T$4704,'Data FT-TS-Cashout-P'!$A$14:$A$4704,'Mar16-Aug16 FT-TS-Cashout-LG&amp;E'!J$577,'Data FT-TS-Cashout-P'!$B$14:$B$4704,'Mar16-Aug16 FT-TS-Cashout-LG&amp;E'!$C$596,'Data FT-TS-Cashout-P'!$D$14:$D$4704,'Mar16-Aug16 FT-TS-Cashout-LG&amp;E'!$F$596,'Data FT-TS-Cashout-P'!$E$14:$E$4704,'Mar16-Aug16 FT-TS-Cashout-LG&amp;E'!$H$596,'Data FT-TS-Cashout-P'!$F$14:$F$4704,'Mar16-Aug16 FT-TS-Cashout-LG&amp;E'!J$578)</f>
        <v>0</v>
      </c>
      <c r="K596" s="396">
        <f>SUMIFS('Data FT-TS-Cashout-P'!$T$14:$T$4704,'Data FT-TS-Cashout-P'!$A$14:$A$4704,'Mar16-Aug16 FT-TS-Cashout-LG&amp;E'!K$577,'Data FT-TS-Cashout-P'!$B$14:$B$4704,'Mar16-Aug16 FT-TS-Cashout-LG&amp;E'!$C$596,'Data FT-TS-Cashout-P'!$D$14:$D$4704,'Mar16-Aug16 FT-TS-Cashout-LG&amp;E'!$F$596,'Data FT-TS-Cashout-P'!$E$14:$E$4704,'Mar16-Aug16 FT-TS-Cashout-LG&amp;E'!$H$596,'Data FT-TS-Cashout-P'!$F$14:$F$4704,'Mar16-Aug16 FT-TS-Cashout-LG&amp;E'!K$578)</f>
        <v>0</v>
      </c>
      <c r="L596" s="396">
        <f>SUMIFS('Data FT-TS-Cashout-P'!$T$14:$T$4704,'Data FT-TS-Cashout-P'!$A$14:$A$4704,'Mar16-Aug16 FT-TS-Cashout-LG&amp;E'!L$577,'Data FT-TS-Cashout-P'!$B$14:$B$4704,'Mar16-Aug16 FT-TS-Cashout-LG&amp;E'!$C$596,'Data FT-TS-Cashout-P'!$D$14:$D$4704,'Mar16-Aug16 FT-TS-Cashout-LG&amp;E'!$F$596,'Data FT-TS-Cashout-P'!$E$14:$E$4704,'Mar16-Aug16 FT-TS-Cashout-LG&amp;E'!$H$596,'Data FT-TS-Cashout-P'!$F$14:$F$4704,'Mar16-Aug16 FT-TS-Cashout-LG&amp;E'!L$578)</f>
        <v>0</v>
      </c>
      <c r="M596" s="396">
        <f>SUMIFS('Data FT-TS-Cashout-P'!$T$14:$T$4704,'Data FT-TS-Cashout-P'!$A$14:$A$4704,'Mar16-Aug16 FT-TS-Cashout-LG&amp;E'!M$577,'Data FT-TS-Cashout-P'!$B$14:$B$4704,'Mar16-Aug16 FT-TS-Cashout-LG&amp;E'!$C$596,'Data FT-TS-Cashout-P'!$D$14:$D$4704,'Mar16-Aug16 FT-TS-Cashout-LG&amp;E'!$F$596,'Data FT-TS-Cashout-P'!$E$14:$E$4704,'Mar16-Aug16 FT-TS-Cashout-LG&amp;E'!$H$596,'Data FT-TS-Cashout-P'!$F$14:$F$4704,'Mar16-Aug16 FT-TS-Cashout-LG&amp;E'!M$578)</f>
        <v>0</v>
      </c>
      <c r="N596" s="396">
        <f>SUMIFS('Data FT-TS-Cashout-P'!$T$14:$T$4704,'Data FT-TS-Cashout-P'!$A$14:$A$4704,'Mar16-Aug16 FT-TS-Cashout-LG&amp;E'!N$577,'Data FT-TS-Cashout-P'!$B$14:$B$4704,'Mar16-Aug16 FT-TS-Cashout-LG&amp;E'!$C$596,'Data FT-TS-Cashout-P'!$D$14:$D$4704,'Mar16-Aug16 FT-TS-Cashout-LG&amp;E'!$F$596,'Data FT-TS-Cashout-P'!$E$14:$E$4704,'Mar16-Aug16 FT-TS-Cashout-LG&amp;E'!$H$596,'Data FT-TS-Cashout-P'!$F$14:$F$4704,'Mar16-Aug16 FT-TS-Cashout-LG&amp;E'!N$578)</f>
        <v>0</v>
      </c>
      <c r="O596" s="396">
        <f>SUMIFS('Data FT-TS-Cashout-P'!$T$14:$T$4704,'Data FT-TS-Cashout-P'!$A$14:$A$4704,'Mar16-Aug16 FT-TS-Cashout-LG&amp;E'!O$577,'Data FT-TS-Cashout-P'!$B$14:$B$4704,'Mar16-Aug16 FT-TS-Cashout-LG&amp;E'!$C$596,'Data FT-TS-Cashout-P'!$D$14:$D$4704,'Mar16-Aug16 FT-TS-Cashout-LG&amp;E'!$F$596,'Data FT-TS-Cashout-P'!$E$14:$E$4704,'Mar16-Aug16 FT-TS-Cashout-LG&amp;E'!$H$596,'Data FT-TS-Cashout-P'!$F$14:$F$4704,'Mar16-Aug16 FT-TS-Cashout-LG&amp;E'!O$578)</f>
        <v>0</v>
      </c>
      <c r="P596" s="574">
        <f t="shared" si="217"/>
        <v>0</v>
      </c>
    </row>
    <row r="597" spans="2:16" x14ac:dyDescent="0.2">
      <c r="B597" s="374">
        <f>VLOOKUP($C597,'Retail Rates'!$B$45:$R$53,13,FALSE)</f>
        <v>0</v>
      </c>
      <c r="C597" s="376" t="s">
        <v>57</v>
      </c>
      <c r="D597" s="376" t="str">
        <f t="shared" si="215"/>
        <v>997</v>
      </c>
      <c r="E597" s="374" t="str">
        <f>VLOOKUP($C597,'Retail Rates'!$B$45:$R$53,3,FALSE)</f>
        <v>PR</v>
      </c>
      <c r="F597" s="374" t="s">
        <v>664</v>
      </c>
      <c r="G597" s="377" t="s">
        <v>289</v>
      </c>
      <c r="H597" s="374"/>
      <c r="I597" s="440">
        <f t="shared" ref="I597:O597" si="221">SUM(I593:I596)</f>
        <v>107818.13</v>
      </c>
      <c r="J597" s="440">
        <f t="shared" si="221"/>
        <v>110942.16</v>
      </c>
      <c r="K597" s="440">
        <f t="shared" si="221"/>
        <v>108359.91000000002</v>
      </c>
      <c r="L597" s="440">
        <f t="shared" si="221"/>
        <v>112077.09000000001</v>
      </c>
      <c r="M597" s="440">
        <f t="shared" si="221"/>
        <v>121126.85</v>
      </c>
      <c r="N597" s="440">
        <f t="shared" si="221"/>
        <v>120754.87000000001</v>
      </c>
      <c r="O597" s="440">
        <f t="shared" si="221"/>
        <v>113917.47000000002</v>
      </c>
      <c r="P597" s="574">
        <f t="shared" si="217"/>
        <v>687178.35</v>
      </c>
    </row>
    <row r="598" spans="2:16" x14ac:dyDescent="0.2">
      <c r="B598" s="374"/>
      <c r="C598" s="376"/>
      <c r="D598" s="376"/>
      <c r="E598" s="374"/>
      <c r="F598" s="374"/>
      <c r="G598" s="377"/>
      <c r="H598" s="374"/>
      <c r="I598" s="374"/>
      <c r="J598" s="374"/>
      <c r="K598" s="374"/>
      <c r="L598" s="374"/>
      <c r="M598" s="374"/>
      <c r="N598" s="374"/>
      <c r="O598" s="374"/>
      <c r="P598" s="441"/>
    </row>
    <row r="599" spans="2:16" x14ac:dyDescent="0.2">
      <c r="B599" s="374"/>
      <c r="C599" s="376"/>
      <c r="D599" s="376"/>
      <c r="E599" s="374"/>
      <c r="F599" s="374" t="s">
        <v>953</v>
      </c>
      <c r="G599" s="377" t="s">
        <v>1014</v>
      </c>
      <c r="H599" s="374"/>
      <c r="I599" s="440">
        <f>SUMIFS('Bruise Report-Tariff'!$C$5:$C$2994,'Bruise Report-Tariff'!$A$5:$A$2994,'Mar16-Aug16 FT-TS-Cashout-LG&amp;E'!I$4,'Bruise Report-Tariff'!$B$5:$B$2994,'Mar16-Aug16 FT-TS-Cashout-LG&amp;E'!$F$599)</f>
        <v>107818.13</v>
      </c>
      <c r="J599" s="440">
        <f>SUMIFS('Bruise Report-Tariff'!$C$5:$C$2994,'Bruise Report-Tariff'!$A$5:$A$2994,'Mar16-Aug16 FT-TS-Cashout-LG&amp;E'!J$4,'Bruise Report-Tariff'!$B$5:$B$2994,'Mar16-Aug16 FT-TS-Cashout-LG&amp;E'!$F$599)</f>
        <v>110942.16</v>
      </c>
      <c r="K599" s="440">
        <f>SUMIFS('Bruise Report-Tariff'!$C$5:$C$2994,'Bruise Report-Tariff'!$A$5:$A$2994,'Mar16-Aug16 FT-TS-Cashout-LG&amp;E'!K$4,'Bruise Report-Tariff'!$B$5:$B$2994,'Mar16-Aug16 FT-TS-Cashout-LG&amp;E'!$F$599)</f>
        <v>108359.91</v>
      </c>
      <c r="L599" s="440">
        <f>SUMIFS('Bruise Report-Tariff'!$C$5:$C$2994,'Bruise Report-Tariff'!$A$5:$A$2994,'Mar16-Aug16 FT-TS-Cashout-LG&amp;E'!L$4,'Bruise Report-Tariff'!$B$5:$B$2994,'Mar16-Aug16 FT-TS-Cashout-LG&amp;E'!$F$599)</f>
        <v>112077.09</v>
      </c>
      <c r="M599" s="440">
        <f>SUMIFS('Bruise Report-Tariff'!$C$5:$C$2994,'Bruise Report-Tariff'!$A$5:$A$2994,'Mar16-Aug16 FT-TS-Cashout-LG&amp;E'!M$4,'Bruise Report-Tariff'!$B$5:$B$2994,'Mar16-Aug16 FT-TS-Cashout-LG&amp;E'!$F$599)</f>
        <v>121126.85</v>
      </c>
      <c r="N599" s="440">
        <f>SUMIFS('Bruise Report-Tariff'!$C$5:$C$2994,'Bruise Report-Tariff'!$A$5:$A$2994,'Mar16-Aug16 FT-TS-Cashout-LG&amp;E'!N$4,'Bruise Report-Tariff'!$B$5:$B$2994,'Mar16-Aug16 FT-TS-Cashout-LG&amp;E'!$F$599)</f>
        <v>120754.87</v>
      </c>
      <c r="O599" s="440">
        <f>SUMIFS('Bruise Report-Tariff'!$C$5:$C$2994,'Bruise Report-Tariff'!$A$5:$A$2994,'Mar16-Aug16 FT-TS-Cashout-LG&amp;E'!O$4,'Bruise Report-Tariff'!$B$5:$B$2994,'Mar16-Aug16 FT-TS-Cashout-LG&amp;E'!$F$599)</f>
        <v>113917.47</v>
      </c>
      <c r="P599" s="574">
        <f t="shared" si="217"/>
        <v>687178.35</v>
      </c>
    </row>
    <row r="600" spans="2:16" x14ac:dyDescent="0.2">
      <c r="B600" s="374"/>
      <c r="C600" s="376"/>
      <c r="D600" s="376"/>
      <c r="E600" s="374"/>
      <c r="F600" s="374"/>
      <c r="G600" s="374"/>
      <c r="H600" s="374"/>
      <c r="I600" s="374"/>
      <c r="J600" s="374"/>
      <c r="K600" s="374"/>
      <c r="L600" s="374"/>
      <c r="M600" s="374"/>
      <c r="N600" s="374"/>
      <c r="O600" s="374"/>
      <c r="P600" s="441"/>
    </row>
    <row r="601" spans="2:16" x14ac:dyDescent="0.2">
      <c r="B601" s="374"/>
      <c r="C601" s="376"/>
      <c r="D601" s="376"/>
      <c r="E601" s="374"/>
      <c r="F601" s="374"/>
      <c r="G601" s="377" t="s">
        <v>262</v>
      </c>
      <c r="H601" s="374"/>
      <c r="I601" s="440">
        <f t="shared" ref="I601:O601" si="222">+I597-I599</f>
        <v>0</v>
      </c>
      <c r="J601" s="440">
        <f t="shared" si="222"/>
        <v>0</v>
      </c>
      <c r="K601" s="440">
        <f t="shared" si="222"/>
        <v>0</v>
      </c>
      <c r="L601" s="440">
        <f t="shared" si="222"/>
        <v>0</v>
      </c>
      <c r="M601" s="440">
        <f t="shared" si="222"/>
        <v>0</v>
      </c>
      <c r="N601" s="440">
        <f t="shared" si="222"/>
        <v>0</v>
      </c>
      <c r="O601" s="440">
        <f t="shared" si="222"/>
        <v>0</v>
      </c>
      <c r="P601" s="574">
        <f t="shared" si="217"/>
        <v>0</v>
      </c>
    </row>
    <row r="602" spans="2:16" x14ac:dyDescent="0.2">
      <c r="B602" s="374"/>
      <c r="C602" s="376"/>
      <c r="D602" s="376"/>
      <c r="E602" s="374"/>
      <c r="F602" s="374"/>
      <c r="G602" s="377"/>
      <c r="H602" s="374"/>
      <c r="I602" s="374"/>
      <c r="J602" s="374"/>
      <c r="K602" s="374"/>
      <c r="L602" s="374"/>
      <c r="M602" s="374"/>
      <c r="N602" s="374"/>
      <c r="O602" s="374"/>
      <c r="P602" s="441"/>
    </row>
    <row r="603" spans="2:16" ht="15" x14ac:dyDescent="0.25">
      <c r="B603" s="374"/>
      <c r="C603" s="376"/>
      <c r="D603" s="376"/>
      <c r="E603" s="374"/>
      <c r="F603" s="374"/>
      <c r="G603" s="377"/>
      <c r="H603" s="374"/>
      <c r="I603" s="380"/>
      <c r="J603" s="380"/>
      <c r="K603" s="380"/>
      <c r="L603" s="380"/>
      <c r="M603" s="380"/>
      <c r="N603" s="380"/>
      <c r="O603" s="380"/>
      <c r="P603" s="374"/>
    </row>
    <row r="604" spans="2:16" x14ac:dyDescent="0.2">
      <c r="B604" s="373"/>
      <c r="C604" s="376"/>
      <c r="D604" s="376"/>
      <c r="E604" s="374"/>
      <c r="F604" s="374"/>
      <c r="G604" s="377"/>
      <c r="H604" s="374"/>
      <c r="I604" s="374"/>
      <c r="J604" s="374"/>
      <c r="K604" s="374"/>
      <c r="L604" s="374"/>
      <c r="M604" s="374"/>
      <c r="N604" s="374"/>
      <c r="O604" s="374"/>
      <c r="P604" s="374"/>
    </row>
    <row r="605" spans="2:16" ht="25.5" x14ac:dyDescent="0.2">
      <c r="B605" s="381" t="s">
        <v>546</v>
      </c>
      <c r="C605" s="382"/>
      <c r="D605" s="382"/>
      <c r="E605" s="383"/>
      <c r="F605" s="383"/>
      <c r="G605" s="384"/>
      <c r="H605" s="325" t="s">
        <v>517</v>
      </c>
      <c r="I605" s="353" t="s">
        <v>526</v>
      </c>
      <c r="J605" s="353" t="s">
        <v>526</v>
      </c>
      <c r="K605" s="353" t="s">
        <v>526</v>
      </c>
      <c r="L605" s="353" t="s">
        <v>526</v>
      </c>
      <c r="M605" s="353" t="s">
        <v>526</v>
      </c>
      <c r="N605" s="353" t="s">
        <v>526</v>
      </c>
      <c r="O605" s="353"/>
      <c r="P605" s="374"/>
    </row>
    <row r="606" spans="2:16" x14ac:dyDescent="0.2">
      <c r="B606" s="383"/>
      <c r="C606" s="382"/>
      <c r="D606" s="382"/>
      <c r="E606" s="383"/>
      <c r="F606" s="383"/>
      <c r="G606" s="384"/>
      <c r="H606" s="383"/>
      <c r="I606" s="383"/>
      <c r="J606" s="383"/>
      <c r="K606" s="383"/>
      <c r="L606" s="383"/>
      <c r="M606" s="383"/>
      <c r="N606" s="383"/>
      <c r="O606" s="383"/>
      <c r="P606" s="383"/>
    </row>
    <row r="607" spans="2:16" x14ac:dyDescent="0.2">
      <c r="B607" s="383"/>
      <c r="C607" s="383"/>
      <c r="D607" s="383"/>
      <c r="E607" s="383"/>
      <c r="F607" s="383"/>
      <c r="G607" s="385" t="s">
        <v>1239</v>
      </c>
      <c r="H607" s="383"/>
      <c r="I607" s="383"/>
      <c r="J607" s="383"/>
      <c r="K607" s="383"/>
      <c r="L607" s="383"/>
      <c r="M607" s="383"/>
      <c r="N607" s="383"/>
      <c r="O607" s="383"/>
      <c r="P607" s="383"/>
    </row>
    <row r="608" spans="2:16" x14ac:dyDescent="0.2">
      <c r="B608" s="383">
        <f>VLOOKUP($C608,'Retail Rates'!$B$45:$R$53,13,FALSE)</f>
        <v>0</v>
      </c>
      <c r="C608" s="382" t="s">
        <v>57</v>
      </c>
      <c r="D608" s="382" t="str">
        <f t="shared" ref="D608:D620" si="223">MID(C608,6,3)</f>
        <v>997</v>
      </c>
      <c r="E608" s="383" t="s">
        <v>1013</v>
      </c>
      <c r="F608" s="383"/>
      <c r="G608" s="384" t="s">
        <v>269</v>
      </c>
      <c r="H608" s="325" t="s">
        <v>518</v>
      </c>
      <c r="I608" s="411">
        <f>SUMIFS('Data-Cashout'!$J$3:$J$3943,'Data-Cashout'!$E$3:$E$3943,'Mar16-Aug16 FT-TS-Cashout-LG&amp;E'!$H608,'Data-Cashout'!$A$3:$A$3943,'Mar16-Aug16 FT-TS-Cashout-LG&amp;E'!I$577,'Data-Cashout'!$B$3:$B$3943,'Mar16-Aug16 FT-TS-Cashout-LG&amp;E'!$C608,'Data-Cashout'!$F$3:$F$3943,'Mar16-Aug16 FT-TS-Cashout-LG&amp;E'!I$605)/10</f>
        <v>0</v>
      </c>
      <c r="J608" s="411">
        <f>SUMIFS('Data-Cashout'!$J$3:$J$3943,'Data-Cashout'!$E$3:$E$3943,'Mar16-Aug16 FT-TS-Cashout-LG&amp;E'!$H608,'Data-Cashout'!$A$3:$A$3943,'Mar16-Aug16 FT-TS-Cashout-LG&amp;E'!J$577,'Data-Cashout'!$B$3:$B$3943,'Mar16-Aug16 FT-TS-Cashout-LG&amp;E'!$C608,'Data-Cashout'!$F$3:$F$3943,'Mar16-Aug16 FT-TS-Cashout-LG&amp;E'!J$605)/10</f>
        <v>0</v>
      </c>
      <c r="K608" s="411">
        <f>SUMIFS('Data-Cashout'!$J$3:$J$3943,'Data-Cashout'!$E$3:$E$3943,'Mar16-Aug16 FT-TS-Cashout-LG&amp;E'!$H608,'Data-Cashout'!$A$3:$A$3943,'Mar16-Aug16 FT-TS-Cashout-LG&amp;E'!K$577,'Data-Cashout'!$B$3:$B$3943,'Mar16-Aug16 FT-TS-Cashout-LG&amp;E'!$C608,'Data-Cashout'!$F$3:$F$3943,'Mar16-Aug16 FT-TS-Cashout-LG&amp;E'!K$605)/10</f>
        <v>0</v>
      </c>
      <c r="L608" s="411">
        <f>SUMIFS('Data-Cashout'!$J$3:$J$3943,'Data-Cashout'!$E$3:$E$3943,'Mar16-Aug16 FT-TS-Cashout-LG&amp;E'!$H608,'Data-Cashout'!$A$3:$A$3943,'Mar16-Aug16 FT-TS-Cashout-LG&amp;E'!L$577,'Data-Cashout'!$B$3:$B$3943,'Mar16-Aug16 FT-TS-Cashout-LG&amp;E'!$C608,'Data-Cashout'!$F$3:$F$3943,'Mar16-Aug16 FT-TS-Cashout-LG&amp;E'!L$605)/10</f>
        <v>0</v>
      </c>
      <c r="M608" s="411">
        <f>SUMIFS('Data-Cashout'!$J$3:$J$3943,'Data-Cashout'!$E$3:$E$3943,'Mar16-Aug16 FT-TS-Cashout-LG&amp;E'!$H608,'Data-Cashout'!$A$3:$A$3943,'Mar16-Aug16 FT-TS-Cashout-LG&amp;E'!M$577,'Data-Cashout'!$B$3:$B$3943,'Mar16-Aug16 FT-TS-Cashout-LG&amp;E'!$C608,'Data-Cashout'!$F$3:$F$3943,'Mar16-Aug16 FT-TS-Cashout-LG&amp;E'!M$605)/10</f>
        <v>0</v>
      </c>
      <c r="N608" s="411">
        <f>SUMIFS('Data-Cashout'!$J$3:$J$3943,'Data-Cashout'!$E$3:$E$3943,'Mar16-Aug16 FT-TS-Cashout-LG&amp;E'!$H608,'Data-Cashout'!$A$3:$A$3943,'Mar16-Aug16 FT-TS-Cashout-LG&amp;E'!N$577,'Data-Cashout'!$B$3:$B$3943,'Mar16-Aug16 FT-TS-Cashout-LG&amp;E'!$C608,'Data-Cashout'!$F$3:$F$3943,'Mar16-Aug16 FT-TS-Cashout-LG&amp;E'!N$605)/10</f>
        <v>0</v>
      </c>
      <c r="O608" s="411">
        <f>SUMIFS('Data-Cashout'!$J$3:$J$3943,'Data-Cashout'!$E$3:$E$3943,'Mar16-Aug16 FT-TS-Cashout-LG&amp;E'!$H608,'Data-Cashout'!$A$3:$A$3943,'Mar16-Aug16 FT-TS-Cashout-LG&amp;E'!O$577,'Data-Cashout'!$B$3:$B$3943,'Mar16-Aug16 FT-TS-Cashout-LG&amp;E'!$C608,'Data-Cashout'!$F$3:$F$3943,'Mar16-Aug16 FT-TS-Cashout-LG&amp;E'!O$605)/10</f>
        <v>0</v>
      </c>
      <c r="P608" s="574">
        <f>SUM(J608:O608)</f>
        <v>0</v>
      </c>
    </row>
    <row r="609" spans="2:16" x14ac:dyDescent="0.2">
      <c r="B609" s="383">
        <f>VLOOKUP($C609,'Retail Rates'!$B$45:$R$53,13,FALSE)</f>
        <v>0</v>
      </c>
      <c r="C609" s="382" t="s">
        <v>57</v>
      </c>
      <c r="D609" s="382" t="str">
        <f t="shared" si="223"/>
        <v>997</v>
      </c>
      <c r="E609" s="383" t="s">
        <v>1013</v>
      </c>
      <c r="F609" s="383"/>
      <c r="G609" s="384" t="s">
        <v>169</v>
      </c>
      <c r="H609" s="383" t="s">
        <v>537</v>
      </c>
      <c r="I609" s="383">
        <f>VLOOKUP($C609,'Retail Rates'!$B$44:$O$53,9,FALSE)</f>
        <v>0</v>
      </c>
      <c r="J609" s="383">
        <f>VLOOKUP($C609,'Retail Rates'!$B$44:$O$53,9,FALSE)</f>
        <v>0</v>
      </c>
      <c r="K609" s="383">
        <f>VLOOKUP($C609,'Retail Rates'!$B$44:$O$53,9,FALSE)</f>
        <v>0</v>
      </c>
      <c r="L609" s="383">
        <f>VLOOKUP($C609,'Retail Rates'!$B$44:$O$53,9,FALSE)</f>
        <v>0</v>
      </c>
      <c r="M609" s="383">
        <f>VLOOKUP($C609,'Retail Rates'!$B$44:$O$53,9,FALSE)</f>
        <v>0</v>
      </c>
      <c r="N609" s="383">
        <f>VLOOKUP($C609,'Retail Rates'!$B$44:$O$53,9,FALSE)</f>
        <v>0</v>
      </c>
      <c r="O609" s="383">
        <f>VLOOKUP($C609,'Retail Rates'!$B$44:$O$53,9,FALSE)</f>
        <v>0</v>
      </c>
      <c r="P609" s="398"/>
    </row>
    <row r="610" spans="2:16" x14ac:dyDescent="0.2">
      <c r="B610" s="383">
        <f>VLOOKUP($C610,'Retail Rates'!$B$45:$R$53,13,FALSE)</f>
        <v>0</v>
      </c>
      <c r="C610" s="382" t="s">
        <v>57</v>
      </c>
      <c r="D610" s="382" t="str">
        <f t="shared" si="223"/>
        <v>997</v>
      </c>
      <c r="E610" s="383" t="s">
        <v>1013</v>
      </c>
      <c r="F610" s="383"/>
      <c r="G610" s="384" t="s">
        <v>2</v>
      </c>
      <c r="H610" s="383"/>
      <c r="I610" s="383">
        <f>VLOOKUP($C610,'Retail Rates'!$B$44:$O$53,7,FALSE)</f>
        <v>4.9699999999999994E-2</v>
      </c>
      <c r="J610" s="383">
        <f>VLOOKUP($C610,'Retail Rates'!$B$44:$O$53,7,FALSE)</f>
        <v>4.9699999999999994E-2</v>
      </c>
      <c r="K610" s="383">
        <f>VLOOKUP($C610,'Retail Rates'!$B$44:$O$53,7,FALSE)</f>
        <v>4.9699999999999994E-2</v>
      </c>
      <c r="L610" s="383">
        <f>VLOOKUP($C610,'Retail Rates'!$B$44:$O$53,7,FALSE)</f>
        <v>4.9699999999999994E-2</v>
      </c>
      <c r="M610" s="383">
        <f>VLOOKUP($C610,'Retail Rates'!$B$44:$O$53,7,FALSE)</f>
        <v>4.9699999999999994E-2</v>
      </c>
      <c r="N610" s="383">
        <f>VLOOKUP($C610,'Retail Rates'!$B$44:$O$53,7,FALSE)</f>
        <v>4.9699999999999994E-2</v>
      </c>
      <c r="O610" s="383">
        <f>VLOOKUP($C610,'Retail Rates'!$B$44:$O$53,7,FALSE)</f>
        <v>4.9699999999999994E-2</v>
      </c>
      <c r="P610" s="441"/>
    </row>
    <row r="611" spans="2:16" x14ac:dyDescent="0.2">
      <c r="B611" s="383">
        <f>VLOOKUP($C611,'Retail Rates'!$B$45:$R$53,13,FALSE)</f>
        <v>0</v>
      </c>
      <c r="C611" s="382" t="s">
        <v>57</v>
      </c>
      <c r="D611" s="382" t="str">
        <f t="shared" si="223"/>
        <v>997</v>
      </c>
      <c r="E611" s="383" t="s">
        <v>1013</v>
      </c>
      <c r="F611" s="383"/>
      <c r="G611" s="384" t="s">
        <v>541</v>
      </c>
      <c r="H611" s="383"/>
      <c r="I611" s="383"/>
      <c r="J611" s="383"/>
      <c r="K611" s="383"/>
      <c r="L611" s="383"/>
      <c r="M611" s="383"/>
      <c r="N611" s="383"/>
      <c r="O611" s="383"/>
      <c r="P611" s="441"/>
    </row>
    <row r="612" spans="2:16" x14ac:dyDescent="0.2">
      <c r="B612" s="383">
        <f>VLOOKUP($C612,'Retail Rates'!$B$45:$R$53,13,FALSE)</f>
        <v>0</v>
      </c>
      <c r="C612" s="382" t="s">
        <v>57</v>
      </c>
      <c r="D612" s="382" t="str">
        <f t="shared" si="223"/>
        <v>997</v>
      </c>
      <c r="E612" s="383" t="s">
        <v>1013</v>
      </c>
      <c r="F612" s="383"/>
      <c r="G612" s="386" t="s">
        <v>273</v>
      </c>
      <c r="H612" s="383"/>
      <c r="I612" s="383"/>
      <c r="J612" s="383"/>
      <c r="K612" s="383"/>
      <c r="L612" s="383"/>
      <c r="M612" s="383"/>
      <c r="N612" s="383"/>
      <c r="O612" s="383"/>
      <c r="P612" s="441"/>
    </row>
    <row r="613" spans="2:16" x14ac:dyDescent="0.2">
      <c r="B613" s="383">
        <f>VLOOKUP($C613,'Retail Rates'!$B$45:$R$53,13,FALSE)</f>
        <v>0</v>
      </c>
      <c r="C613" s="382" t="s">
        <v>57</v>
      </c>
      <c r="D613" s="382" t="str">
        <f t="shared" si="223"/>
        <v>997</v>
      </c>
      <c r="E613" s="383" t="s">
        <v>1013</v>
      </c>
      <c r="F613" s="383"/>
      <c r="G613" s="384" t="s">
        <v>169</v>
      </c>
      <c r="H613" s="325" t="s">
        <v>528</v>
      </c>
      <c r="I613" s="335">
        <f>SUMIFS('Data-Cashout'!$AI$3:$AI$3943,'Data-Cashout'!$E$3:$E$3943,'Mar16-Aug16 FT-TS-Cashout-LG&amp;E'!$H$613,'Data-Cashout'!$A$3:$A$3943,'Mar16-Aug16 FT-TS-Cashout-LG&amp;E'!I577,'Data-Cashout'!$B$3:$B$3943,'Mar16-Aug16 FT-TS-Cashout-LG&amp;E'!$C613)</f>
        <v>800</v>
      </c>
      <c r="J613" s="335">
        <f>SUMIFS('Data-Cashout'!$AI$3:$AI$3943,'Data-Cashout'!$E$3:$E$3943,'Mar16-Aug16 FT-TS-Cashout-LG&amp;E'!$H$613,'Data-Cashout'!$A$3:$A$3943,'Mar16-Aug16 FT-TS-Cashout-LG&amp;E'!J577,'Data-Cashout'!$B$3:$B$3943,'Mar16-Aug16 FT-TS-Cashout-LG&amp;E'!$C613)</f>
        <v>800</v>
      </c>
      <c r="K613" s="335">
        <f>SUMIFS('Data-Cashout'!$AI$3:$AI$3943,'Data-Cashout'!$E$3:$E$3943,'Mar16-Aug16 FT-TS-Cashout-LG&amp;E'!$H$613,'Data-Cashout'!$A$3:$A$3943,'Mar16-Aug16 FT-TS-Cashout-LG&amp;E'!K577,'Data-Cashout'!$B$3:$B$3943,'Mar16-Aug16 FT-TS-Cashout-LG&amp;E'!$C613)</f>
        <v>800</v>
      </c>
      <c r="L613" s="335">
        <f>SUMIFS('Data-Cashout'!$AI$3:$AI$3943,'Data-Cashout'!$E$3:$E$3943,'Mar16-Aug16 FT-TS-Cashout-LG&amp;E'!$H$613,'Data-Cashout'!$A$3:$A$3943,'Mar16-Aug16 FT-TS-Cashout-LG&amp;E'!L577,'Data-Cashout'!$B$3:$B$3943,'Mar16-Aug16 FT-TS-Cashout-LG&amp;E'!$C613)</f>
        <v>800</v>
      </c>
      <c r="M613" s="335">
        <f>SUMIFS('Data-Cashout'!$AI$3:$AI$3943,'Data-Cashout'!$E$3:$E$3943,'Mar16-Aug16 FT-TS-Cashout-LG&amp;E'!$H$613,'Data-Cashout'!$A$3:$A$3943,'Mar16-Aug16 FT-TS-Cashout-LG&amp;E'!M577,'Data-Cashout'!$B$3:$B$3943,'Mar16-Aug16 FT-TS-Cashout-LG&amp;E'!$C613)</f>
        <v>800</v>
      </c>
      <c r="N613" s="335">
        <f>SUMIFS('Data-Cashout'!$AI$3:$AI$3943,'Data-Cashout'!$E$3:$E$3943,'Mar16-Aug16 FT-TS-Cashout-LG&amp;E'!$H$613,'Data-Cashout'!$A$3:$A$3943,'Mar16-Aug16 FT-TS-Cashout-LG&amp;E'!N577,'Data-Cashout'!$B$3:$B$3943,'Mar16-Aug16 FT-TS-Cashout-LG&amp;E'!$C613)</f>
        <v>800</v>
      </c>
      <c r="O613" s="335">
        <f>SUMIFS('Data-Cashout'!$AI$3:$AI$3943,'Data-Cashout'!$E$3:$E$3943,'Mar16-Aug16 FT-TS-Cashout-LG&amp;E'!$H$613,'Data-Cashout'!$A$3:$A$3943,'Mar16-Aug16 FT-TS-Cashout-LG&amp;E'!O577,'Data-Cashout'!$B$3:$B$3943,'Mar16-Aug16 FT-TS-Cashout-LG&amp;E'!$C613)</f>
        <v>800</v>
      </c>
      <c r="P613" s="574">
        <f t="shared" ref="P613:P620" si="224">SUM(J613:O613)</f>
        <v>4800</v>
      </c>
    </row>
    <row r="614" spans="2:16" x14ac:dyDescent="0.2">
      <c r="B614" s="383">
        <f>VLOOKUP($C614,'Retail Rates'!$B$45:$R$53,13,FALSE)</f>
        <v>0</v>
      </c>
      <c r="C614" s="382" t="s">
        <v>57</v>
      </c>
      <c r="D614" s="382" t="str">
        <f t="shared" si="223"/>
        <v>997</v>
      </c>
      <c r="E614" s="383" t="s">
        <v>1013</v>
      </c>
      <c r="F614" s="383"/>
      <c r="G614" s="384" t="s">
        <v>275</v>
      </c>
      <c r="H614" s="383"/>
      <c r="I614" s="387">
        <f t="shared" ref="I614:O614" si="225">ROUND(I608*I610,2)</f>
        <v>0</v>
      </c>
      <c r="J614" s="387">
        <f t="shared" si="225"/>
        <v>0</v>
      </c>
      <c r="K614" s="387">
        <f t="shared" si="225"/>
        <v>0</v>
      </c>
      <c r="L614" s="387">
        <f t="shared" si="225"/>
        <v>0</v>
      </c>
      <c r="M614" s="387">
        <f t="shared" si="225"/>
        <v>0</v>
      </c>
      <c r="N614" s="387">
        <f t="shared" si="225"/>
        <v>0</v>
      </c>
      <c r="O614" s="387">
        <f t="shared" si="225"/>
        <v>0</v>
      </c>
      <c r="P614" s="574">
        <f t="shared" si="224"/>
        <v>0</v>
      </c>
    </row>
    <row r="615" spans="2:16" x14ac:dyDescent="0.2">
      <c r="B615" s="383">
        <f>VLOOKUP($C615,'Retail Rates'!$B$45:$R$53,13,FALSE)</f>
        <v>0</v>
      </c>
      <c r="C615" s="382" t="s">
        <v>57</v>
      </c>
      <c r="D615" s="382" t="str">
        <f t="shared" si="223"/>
        <v>997</v>
      </c>
      <c r="E615" s="383" t="s">
        <v>1013</v>
      </c>
      <c r="F615" s="383"/>
      <c r="G615" s="384" t="s">
        <v>541</v>
      </c>
      <c r="H615" s="325" t="s">
        <v>525</v>
      </c>
      <c r="I615" s="414">
        <f>SUMIFS('Data-Cashout'!$AB$3:$AB$3943,'Data-Cashout'!$E$3:$E$3943,'Mar16-Aug16 FT-TS-Cashout-LG&amp;E'!$H$615,'Data-Cashout'!$A$3:$A$3943,'Mar16-Aug16 FT-TS-Cashout-LG&amp;E'!I$577,'Data-Cashout'!$B$3:$B$3943,'Mar16-Aug16 FT-TS-Cashout-LG&amp;E'!$C615,'Data-Cashout'!$F$3:$F$3943,'Mar16-Aug16 FT-TS-Cashout-LG&amp;E'!I$350)</f>
        <v>0</v>
      </c>
      <c r="J615" s="414">
        <f>SUMIFS('Data-Cashout'!$AB$3:$AB$3943,'Data-Cashout'!$E$3:$E$3943,'Mar16-Aug16 FT-TS-Cashout-LG&amp;E'!$H$615,'Data-Cashout'!$A$3:$A$3943,'Mar16-Aug16 FT-TS-Cashout-LG&amp;E'!J$577,'Data-Cashout'!$B$3:$B$3943,'Mar16-Aug16 FT-TS-Cashout-LG&amp;E'!$C615,'Data-Cashout'!$F$3:$F$3943,'Mar16-Aug16 FT-TS-Cashout-LG&amp;E'!J$350)</f>
        <v>0</v>
      </c>
      <c r="K615" s="414">
        <f>SUMIFS('Data-Cashout'!$AB$3:$AB$3943,'Data-Cashout'!$E$3:$E$3943,'Mar16-Aug16 FT-TS-Cashout-LG&amp;E'!$H$615,'Data-Cashout'!$A$3:$A$3943,'Mar16-Aug16 FT-TS-Cashout-LG&amp;E'!K$577,'Data-Cashout'!$B$3:$B$3943,'Mar16-Aug16 FT-TS-Cashout-LG&amp;E'!$C615,'Data-Cashout'!$F$3:$F$3943,'Mar16-Aug16 FT-TS-Cashout-LG&amp;E'!K$350)</f>
        <v>0</v>
      </c>
      <c r="L615" s="414">
        <f>SUMIFS('Data-Cashout'!$AB$3:$AB$3943,'Data-Cashout'!$E$3:$E$3943,'Mar16-Aug16 FT-TS-Cashout-LG&amp;E'!$H$615,'Data-Cashout'!$A$3:$A$3943,'Mar16-Aug16 FT-TS-Cashout-LG&amp;E'!L$577,'Data-Cashout'!$B$3:$B$3943,'Mar16-Aug16 FT-TS-Cashout-LG&amp;E'!$C615,'Data-Cashout'!$F$3:$F$3943,'Mar16-Aug16 FT-TS-Cashout-LG&amp;E'!L$350)</f>
        <v>0</v>
      </c>
      <c r="M615" s="414">
        <f>SUMIFS('Data-Cashout'!$AB$3:$AB$3943,'Data-Cashout'!$E$3:$E$3943,'Mar16-Aug16 FT-TS-Cashout-LG&amp;E'!$H$615,'Data-Cashout'!$A$3:$A$3943,'Mar16-Aug16 FT-TS-Cashout-LG&amp;E'!M$577,'Data-Cashout'!$B$3:$B$3943,'Mar16-Aug16 FT-TS-Cashout-LG&amp;E'!$C615,'Data-Cashout'!$F$3:$F$3943,'Mar16-Aug16 FT-TS-Cashout-LG&amp;E'!M$350)</f>
        <v>0</v>
      </c>
      <c r="N615" s="414">
        <f>SUMIFS('Data-Cashout'!$AB$3:$AB$3943,'Data-Cashout'!$E$3:$E$3943,'Mar16-Aug16 FT-TS-Cashout-LG&amp;E'!$H$615,'Data-Cashout'!$A$3:$A$3943,'Mar16-Aug16 FT-TS-Cashout-LG&amp;E'!N$577,'Data-Cashout'!$B$3:$B$3943,'Mar16-Aug16 FT-TS-Cashout-LG&amp;E'!$C615,'Data-Cashout'!$F$3:$F$3943,'Mar16-Aug16 FT-TS-Cashout-LG&amp;E'!N$350)</f>
        <v>0</v>
      </c>
      <c r="O615" s="414">
        <f>SUMIFS('Data-Cashout'!$AB$3:$AB$3943,'Data-Cashout'!$E$3:$E$3943,'Mar16-Aug16 FT-TS-Cashout-LG&amp;E'!$H$615,'Data-Cashout'!$A$3:$A$3943,'Mar16-Aug16 FT-TS-Cashout-LG&amp;E'!O$577,'Data-Cashout'!$B$3:$B$3943,'Mar16-Aug16 FT-TS-Cashout-LG&amp;E'!$C615,'Data-Cashout'!$F$3:$F$3943,'Mar16-Aug16 FT-TS-Cashout-LG&amp;E'!O$350)</f>
        <v>0</v>
      </c>
      <c r="P615" s="574">
        <f t="shared" si="224"/>
        <v>0</v>
      </c>
    </row>
    <row r="616" spans="2:16" x14ac:dyDescent="0.2">
      <c r="B616" s="383">
        <f>VLOOKUP($C616,'Retail Rates'!$B$45:$R$53,13,FALSE)</f>
        <v>0</v>
      </c>
      <c r="C616" s="382" t="s">
        <v>57</v>
      </c>
      <c r="D616" s="382" t="str">
        <f t="shared" si="223"/>
        <v>997</v>
      </c>
      <c r="E616" s="383" t="s">
        <v>1013</v>
      </c>
      <c r="F616" s="383"/>
      <c r="G616" s="384" t="s">
        <v>289</v>
      </c>
      <c r="H616" s="383"/>
      <c r="I616" s="383">
        <f t="shared" ref="I616:O616" si="226">SUM(I613:I615)</f>
        <v>800</v>
      </c>
      <c r="J616" s="383">
        <f t="shared" si="226"/>
        <v>800</v>
      </c>
      <c r="K616" s="383">
        <f t="shared" si="226"/>
        <v>800</v>
      </c>
      <c r="L616" s="383">
        <f t="shared" si="226"/>
        <v>800</v>
      </c>
      <c r="M616" s="383">
        <f t="shared" si="226"/>
        <v>800</v>
      </c>
      <c r="N616" s="383">
        <f t="shared" si="226"/>
        <v>800</v>
      </c>
      <c r="O616" s="383">
        <f t="shared" si="226"/>
        <v>800</v>
      </c>
      <c r="P616" s="574">
        <f t="shared" si="224"/>
        <v>4800</v>
      </c>
    </row>
    <row r="617" spans="2:16" x14ac:dyDescent="0.2">
      <c r="B617" s="383">
        <f>VLOOKUP($C617,'Retail Rates'!$B$45:$R$53,13,FALSE)</f>
        <v>0</v>
      </c>
      <c r="C617" s="382" t="s">
        <v>57</v>
      </c>
      <c r="D617" s="382" t="str">
        <f t="shared" si="223"/>
        <v>997</v>
      </c>
      <c r="E617" s="383" t="s">
        <v>1013</v>
      </c>
      <c r="F617" s="383"/>
      <c r="G617" s="384"/>
      <c r="H617" s="383"/>
      <c r="I617" s="383"/>
      <c r="J617" s="383"/>
      <c r="K617" s="383"/>
      <c r="L617" s="383"/>
      <c r="M617" s="383"/>
      <c r="N617" s="383"/>
      <c r="O617" s="383"/>
      <c r="P617" s="441"/>
    </row>
    <row r="618" spans="2:16" x14ac:dyDescent="0.2">
      <c r="B618" s="383">
        <f>VLOOKUP($C618,'Retail Rates'!$B$45:$R$53,13,FALSE)</f>
        <v>0</v>
      </c>
      <c r="C618" s="382" t="s">
        <v>57</v>
      </c>
      <c r="D618" s="382" t="str">
        <f t="shared" si="223"/>
        <v>997</v>
      </c>
      <c r="E618" s="383" t="s">
        <v>1013</v>
      </c>
      <c r="F618" s="384" t="s">
        <v>953</v>
      </c>
      <c r="G618" s="384" t="s">
        <v>532</v>
      </c>
      <c r="H618" s="383"/>
      <c r="I618" s="552">
        <f>SUMIFS('Bruise Report-Cashouts'!$C$5:$C$76,'Bruise Report-Cashouts'!$A$5:$A$76,'Mar16-Aug16 FT-TS-Cashout-LG&amp;E'!I$577,'Bruise Report-Cashouts'!$B$5:$B$76,'Mar16-Aug16 FT-TS-Cashout-LG&amp;E'!$F$618)</f>
        <v>800</v>
      </c>
      <c r="J618" s="552">
        <f>SUMIFS('Bruise Report-Cashouts'!$C$5:$C$76,'Bruise Report-Cashouts'!$A$5:$A$76,'Mar16-Aug16 FT-TS-Cashout-LG&amp;E'!J$577,'Bruise Report-Cashouts'!$B$5:$B$76,'Mar16-Aug16 FT-TS-Cashout-LG&amp;E'!$F$618)</f>
        <v>800</v>
      </c>
      <c r="K618" s="552">
        <f>SUMIFS('Bruise Report-Cashouts'!$C$5:$C$76,'Bruise Report-Cashouts'!$A$5:$A$76,'Mar16-Aug16 FT-TS-Cashout-LG&amp;E'!K$577,'Bruise Report-Cashouts'!$B$5:$B$76,'Mar16-Aug16 FT-TS-Cashout-LG&amp;E'!$F$618)</f>
        <v>800</v>
      </c>
      <c r="L618" s="552">
        <f>SUMIFS('Bruise Report-Cashouts'!$C$5:$C$76,'Bruise Report-Cashouts'!$A$5:$A$76,'Mar16-Aug16 FT-TS-Cashout-LG&amp;E'!L$577,'Bruise Report-Cashouts'!$B$5:$B$76,'Mar16-Aug16 FT-TS-Cashout-LG&amp;E'!$F$618)</f>
        <v>800</v>
      </c>
      <c r="M618" s="552">
        <f>SUMIFS('Bruise Report-Cashouts'!$C$5:$C$76,'Bruise Report-Cashouts'!$A$5:$A$76,'Mar16-Aug16 FT-TS-Cashout-LG&amp;E'!M$577,'Bruise Report-Cashouts'!$B$5:$B$76,'Mar16-Aug16 FT-TS-Cashout-LG&amp;E'!$F$618)</f>
        <v>800</v>
      </c>
      <c r="N618" s="552">
        <f>SUMIFS('Bruise Report-Cashouts'!$C$5:$C$76,'Bruise Report-Cashouts'!$A$5:$A$76,'Mar16-Aug16 FT-TS-Cashout-LG&amp;E'!N$577,'Bruise Report-Cashouts'!$B$5:$B$76,'Mar16-Aug16 FT-TS-Cashout-LG&amp;E'!$F$618)</f>
        <v>800</v>
      </c>
      <c r="O618" s="552">
        <f>SUMIFS('Bruise Report-Cashouts'!$C$5:$C$76,'Bruise Report-Cashouts'!$A$5:$A$76,'Mar16-Aug16 FT-TS-Cashout-LG&amp;E'!O$577,'Bruise Report-Cashouts'!$B$5:$B$76,'Mar16-Aug16 FT-TS-Cashout-LG&amp;E'!$F$618)</f>
        <v>800</v>
      </c>
      <c r="P618" s="574">
        <f t="shared" si="224"/>
        <v>4800</v>
      </c>
    </row>
    <row r="619" spans="2:16" x14ac:dyDescent="0.2">
      <c r="B619" s="383">
        <f>VLOOKUP($C619,'Retail Rates'!$B$45:$R$53,13,FALSE)</f>
        <v>0</v>
      </c>
      <c r="C619" s="382" t="s">
        <v>57</v>
      </c>
      <c r="D619" s="382" t="str">
        <f t="shared" si="223"/>
        <v>997</v>
      </c>
      <c r="E619" s="383" t="s">
        <v>1013</v>
      </c>
      <c r="F619" s="383"/>
      <c r="G619" s="384"/>
      <c r="H619" s="383"/>
      <c r="I619" s="383"/>
      <c r="J619" s="383"/>
      <c r="K619" s="383"/>
      <c r="L619" s="383"/>
      <c r="M619" s="383"/>
      <c r="N619" s="383"/>
      <c r="O619" s="383"/>
      <c r="P619" s="398"/>
    </row>
    <row r="620" spans="2:16" x14ac:dyDescent="0.2">
      <c r="B620" s="383">
        <f>VLOOKUP($C620,'Retail Rates'!$B$45:$R$53,13,FALSE)</f>
        <v>0</v>
      </c>
      <c r="C620" s="382" t="s">
        <v>57</v>
      </c>
      <c r="D620" s="382" t="str">
        <f t="shared" si="223"/>
        <v>997</v>
      </c>
      <c r="E620" s="383" t="s">
        <v>1013</v>
      </c>
      <c r="F620" s="383"/>
      <c r="G620" s="384" t="s">
        <v>262</v>
      </c>
      <c r="H620" s="383"/>
      <c r="I620" s="383">
        <f t="shared" ref="I620:O620" si="227">+I616-I618</f>
        <v>0</v>
      </c>
      <c r="J620" s="383">
        <f t="shared" si="227"/>
        <v>0</v>
      </c>
      <c r="K620" s="383">
        <f t="shared" si="227"/>
        <v>0</v>
      </c>
      <c r="L620" s="383">
        <f t="shared" si="227"/>
        <v>0</v>
      </c>
      <c r="M620" s="383">
        <f t="shared" si="227"/>
        <v>0</v>
      </c>
      <c r="N620" s="383">
        <f t="shared" si="227"/>
        <v>0</v>
      </c>
      <c r="O620" s="383">
        <f t="shared" si="227"/>
        <v>0</v>
      </c>
      <c r="P620" s="574">
        <f t="shared" si="224"/>
        <v>0</v>
      </c>
    </row>
    <row r="621" spans="2:16" x14ac:dyDescent="0.2">
      <c r="B621" s="383"/>
      <c r="C621" s="382"/>
      <c r="D621" s="382"/>
      <c r="E621" s="383"/>
      <c r="F621" s="383"/>
      <c r="G621" s="384"/>
      <c r="H621" s="383"/>
      <c r="I621" s="383"/>
      <c r="J621" s="383"/>
      <c r="K621" s="383"/>
      <c r="L621" s="383"/>
      <c r="M621" s="383"/>
      <c r="N621" s="383"/>
      <c r="O621" s="383"/>
      <c r="P621" s="441"/>
    </row>
    <row r="622" spans="2:16" s="361" customFormat="1" x14ac:dyDescent="0.2">
      <c r="B622" s="388"/>
      <c r="C622" s="389"/>
      <c r="D622" s="389"/>
      <c r="E622" s="388"/>
      <c r="F622" s="388"/>
      <c r="G622" s="390"/>
      <c r="H622" s="388"/>
      <c r="I622" s="325" t="s">
        <v>698</v>
      </c>
      <c r="J622" s="325" t="s">
        <v>698</v>
      </c>
      <c r="K622" s="325" t="s">
        <v>698</v>
      </c>
      <c r="L622" s="325" t="s">
        <v>698</v>
      </c>
      <c r="M622" s="325" t="s">
        <v>698</v>
      </c>
      <c r="N622" s="325" t="s">
        <v>698</v>
      </c>
      <c r="O622" s="325" t="s">
        <v>698</v>
      </c>
      <c r="P622" s="388"/>
    </row>
    <row r="623" spans="2:16" s="361" customFormat="1" x14ac:dyDescent="0.2">
      <c r="B623" s="388"/>
      <c r="C623" s="389"/>
      <c r="D623" s="389"/>
      <c r="E623" s="388"/>
      <c r="F623" s="388"/>
      <c r="G623" s="390"/>
      <c r="H623" s="388"/>
      <c r="I623" s="325" t="s">
        <v>511</v>
      </c>
      <c r="J623" s="325" t="s">
        <v>511</v>
      </c>
      <c r="K623" s="325" t="s">
        <v>511</v>
      </c>
      <c r="L623" s="325" t="s">
        <v>511</v>
      </c>
      <c r="M623" s="325" t="s">
        <v>511</v>
      </c>
      <c r="N623" s="325" t="s">
        <v>511</v>
      </c>
      <c r="O623" s="325" t="s">
        <v>511</v>
      </c>
      <c r="P623" s="388"/>
    </row>
    <row r="624" spans="2:16" s="361" customFormat="1" x14ac:dyDescent="0.2">
      <c r="B624" s="391" t="s">
        <v>588</v>
      </c>
      <c r="C624" s="389"/>
      <c r="D624" s="389"/>
      <c r="E624" s="388"/>
      <c r="F624" s="388"/>
      <c r="G624" s="390"/>
      <c r="H624" s="388"/>
      <c r="I624" s="388"/>
      <c r="J624" s="388"/>
      <c r="K624" s="388"/>
      <c r="L624" s="388"/>
      <c r="M624" s="388"/>
      <c r="N624" s="388"/>
      <c r="O624" s="388"/>
      <c r="P624" s="388"/>
    </row>
    <row r="625" spans="2:16" s="361" customFormat="1" x14ac:dyDescent="0.2">
      <c r="B625" s="388"/>
      <c r="C625" s="389"/>
      <c r="D625" s="389"/>
      <c r="E625" s="388"/>
      <c r="F625" s="388"/>
      <c r="G625" s="392" t="s">
        <v>1240</v>
      </c>
      <c r="H625" s="388"/>
      <c r="I625" s="588">
        <v>16560</v>
      </c>
      <c r="J625" s="588">
        <v>16560</v>
      </c>
      <c r="K625" s="588">
        <v>16560</v>
      </c>
      <c r="L625" s="588">
        <v>16560</v>
      </c>
      <c r="M625" s="588">
        <v>16560</v>
      </c>
      <c r="N625" s="588">
        <v>16560</v>
      </c>
      <c r="O625" s="588">
        <v>16560</v>
      </c>
      <c r="P625" s="574">
        <f>SUM(J625:O625)</f>
        <v>99360</v>
      </c>
    </row>
    <row r="626" spans="2:16" s="361" customFormat="1" x14ac:dyDescent="0.2">
      <c r="B626" s="388" t="str">
        <f>VLOOKUP($C626,'Retail Rates'!$B$6:$R$34,4,FALSE)</f>
        <v>Gas Special Contracts - LG&amp;E</v>
      </c>
      <c r="C626" s="389" t="s">
        <v>45</v>
      </c>
      <c r="D626" s="389" t="str">
        <f>MID(C626,6,3)</f>
        <v>996</v>
      </c>
      <c r="E626" s="388" t="str">
        <f>VLOOKUP($C626,'Retail Rates'!$B$6:$R$34,3,FALSE)</f>
        <v>SPC-LGE</v>
      </c>
      <c r="F626" s="388"/>
      <c r="G626" s="390" t="s">
        <v>269</v>
      </c>
      <c r="H626" s="325" t="s">
        <v>518</v>
      </c>
      <c r="I626" s="411">
        <f>SUMIFS('Data LGE SC MC'!$H$4:$H$900,'Data LGE SC MC'!$A$4:$A$900,'Mar16-Aug16 FT-TS-Cashout-LG&amp;E'!I$577,'Data LGE SC MC'!$B$4:$B$900,'Mar16-Aug16 FT-TS-Cashout-LG&amp;E'!$C626,'Data LGE SC MC'!$E$4:$E$900,'Mar16-Aug16 FT-TS-Cashout-LG&amp;E'!$H626,'Data LGE SC MC'!$F$4:$F$900,'Mar16-Aug16 FT-TS-Cashout-LG&amp;E'!I$622)/10</f>
        <v>49614.9</v>
      </c>
      <c r="J626" s="411">
        <f>SUMIFS('Data LGE SC MC'!$H$4:$H$900,'Data LGE SC MC'!$A$4:$A$900,'Mar16-Aug16 FT-TS-Cashout-LG&amp;E'!J$577,'Data LGE SC MC'!$B$4:$B$900,'Mar16-Aug16 FT-TS-Cashout-LG&amp;E'!$C626,'Data LGE SC MC'!$E$4:$E$900,'Mar16-Aug16 FT-TS-Cashout-LG&amp;E'!$H626,'Data LGE SC MC'!$F$4:$F$900,'Mar16-Aug16 FT-TS-Cashout-LG&amp;E'!J$622)/10</f>
        <v>14777.2</v>
      </c>
      <c r="K626" s="411">
        <f>SUMIFS('Data LGE SC MC'!$H$4:$H$900,'Data LGE SC MC'!$A$4:$A$900,'Mar16-Aug16 FT-TS-Cashout-LG&amp;E'!K$577,'Data LGE SC MC'!$B$4:$B$900,'Mar16-Aug16 FT-TS-Cashout-LG&amp;E'!$C626,'Data LGE SC MC'!$E$4:$E$900,'Mar16-Aug16 FT-TS-Cashout-LG&amp;E'!$H626,'Data LGE SC MC'!$F$4:$F$900,'Mar16-Aug16 FT-TS-Cashout-LG&amp;E'!K$622)/10</f>
        <v>20134.2</v>
      </c>
      <c r="L626" s="411">
        <f>SUMIFS('Data LGE SC MC'!$H$4:$H$900,'Data LGE SC MC'!$A$4:$A$900,'Mar16-Aug16 FT-TS-Cashout-LG&amp;E'!L$577,'Data LGE SC MC'!$B$4:$B$900,'Mar16-Aug16 FT-TS-Cashout-LG&amp;E'!$C626,'Data LGE SC MC'!$E$4:$E$900,'Mar16-Aug16 FT-TS-Cashout-LG&amp;E'!$H626,'Data LGE SC MC'!$F$4:$F$900,'Mar16-Aug16 FT-TS-Cashout-LG&amp;E'!L$622)/10</f>
        <v>26813.200000000001</v>
      </c>
      <c r="M626" s="411">
        <f>SUMIFS('Data LGE SC MC'!$H$4:$H$900,'Data LGE SC MC'!$A$4:$A$900,'Mar16-Aug16 FT-TS-Cashout-LG&amp;E'!M$577,'Data LGE SC MC'!$B$4:$B$900,'Mar16-Aug16 FT-TS-Cashout-LG&amp;E'!$C626,'Data LGE SC MC'!$E$4:$E$900,'Mar16-Aug16 FT-TS-Cashout-LG&amp;E'!$H626,'Data LGE SC MC'!$F$4:$F$900,'Mar16-Aug16 FT-TS-Cashout-LG&amp;E'!M$622)/10</f>
        <v>23734.799999999999</v>
      </c>
      <c r="N626" s="411">
        <f>SUMIFS('Data LGE SC MC'!$H$4:$H$900,'Data LGE SC MC'!$A$4:$A$900,'Mar16-Aug16 FT-TS-Cashout-LG&amp;E'!N$577,'Data LGE SC MC'!$B$4:$B$900,'Mar16-Aug16 FT-TS-Cashout-LG&amp;E'!$C626,'Data LGE SC MC'!$E$4:$E$900,'Mar16-Aug16 FT-TS-Cashout-LG&amp;E'!$H626,'Data LGE SC MC'!$F$4:$F$900,'Mar16-Aug16 FT-TS-Cashout-LG&amp;E'!N$622)/10</f>
        <v>23879.9</v>
      </c>
      <c r="O626" s="411">
        <f>SUMIFS('Data LGE SC MC'!$H$4:$H$900,'Data LGE SC MC'!$A$4:$A$900,'Mar16-Aug16 FT-TS-Cashout-LG&amp;E'!O$577,'Data LGE SC MC'!$B$4:$B$900,'Mar16-Aug16 FT-TS-Cashout-LG&amp;E'!$C626,'Data LGE SC MC'!$E$4:$E$900,'Mar16-Aug16 FT-TS-Cashout-LG&amp;E'!$H626,'Data LGE SC MC'!$F$4:$F$900,'Mar16-Aug16 FT-TS-Cashout-LG&amp;E'!O$622)/10</f>
        <v>50965.3</v>
      </c>
      <c r="P626" s="574">
        <f>SUM(J626:O626)</f>
        <v>160304.60000000003</v>
      </c>
    </row>
    <row r="627" spans="2:16" s="361" customFormat="1" x14ac:dyDescent="0.2">
      <c r="B627" s="388" t="str">
        <f>VLOOKUP($C627,'Retail Rates'!$B$6:$R$34,4,FALSE)</f>
        <v>Gas Special Contracts - LG&amp;E</v>
      </c>
      <c r="C627" s="389" t="s">
        <v>45</v>
      </c>
      <c r="D627" s="389" t="str">
        <f t="shared" ref="D627:D635" si="228">MID(C627,6,3)</f>
        <v>996</v>
      </c>
      <c r="E627" s="388" t="str">
        <f>VLOOKUP($C627,'Retail Rates'!$B$6:$R$34,3,FALSE)</f>
        <v>SPC-LGE</v>
      </c>
      <c r="F627" s="388"/>
      <c r="G627" s="390" t="s">
        <v>169</v>
      </c>
      <c r="H627" s="388"/>
      <c r="I627" s="388">
        <f>VLOOKUP($C627,'Retail Rates'!$B$6:$R$34,5,FALSE)</f>
        <v>180</v>
      </c>
      <c r="J627" s="388">
        <f>VLOOKUP($C627,'Retail Rates'!$B$6:$R$34,5,FALSE)</f>
        <v>180</v>
      </c>
      <c r="K627" s="388">
        <f>VLOOKUP($C627,'Retail Rates'!$B$6:$R$34,5,FALSE)</f>
        <v>180</v>
      </c>
      <c r="L627" s="388">
        <f>VLOOKUP($C627,'Retail Rates'!$B$6:$R$34,5,FALSE)</f>
        <v>180</v>
      </c>
      <c r="M627" s="388">
        <f>VLOOKUP($C627,'Retail Rates'!$B$6:$R$34,5,FALSE)</f>
        <v>180</v>
      </c>
      <c r="N627" s="388">
        <f>VLOOKUP($C627,'Retail Rates'!$B$6:$R$34,5,FALSE)</f>
        <v>180</v>
      </c>
      <c r="O627" s="388">
        <f>VLOOKUP($C627,'Retail Rates'!$B$6:$R$34,5,FALSE)</f>
        <v>180</v>
      </c>
      <c r="P627" s="388"/>
    </row>
    <row r="628" spans="2:16" s="361" customFormat="1" x14ac:dyDescent="0.2">
      <c r="B628" s="388" t="str">
        <f>VLOOKUP($C628,'Retail Rates'!$B$6:$R$34,4,FALSE)</f>
        <v>Gas Special Contracts - LG&amp;E</v>
      </c>
      <c r="C628" s="389" t="s">
        <v>45</v>
      </c>
      <c r="D628" s="389" t="str">
        <f t="shared" si="228"/>
        <v>996</v>
      </c>
      <c r="E628" s="388" t="str">
        <f>VLOOKUP($C628,'Retail Rates'!$B$6:$R$34,3,FALSE)</f>
        <v>SPC-LGE</v>
      </c>
      <c r="F628" s="388"/>
      <c r="G628" s="390" t="s">
        <v>297</v>
      </c>
      <c r="H628" s="388"/>
      <c r="I628" s="388">
        <f>VLOOKUP($C628,'Retail Rates'!$B$6:$R$34,7,FALSE)/0.1</f>
        <v>0.33289999999999997</v>
      </c>
      <c r="J628" s="388">
        <f>VLOOKUP($C628,'Retail Rates'!$B$6:$R$34,7,FALSE)/0.1</f>
        <v>0.33289999999999997</v>
      </c>
      <c r="K628" s="388">
        <f>VLOOKUP($C628,'Retail Rates'!$B$6:$R$34,7,FALSE)/0.1</f>
        <v>0.33289999999999997</v>
      </c>
      <c r="L628" s="388">
        <f>VLOOKUP($C628,'Retail Rates'!$B$6:$R$34,7,FALSE)/0.1</f>
        <v>0.33289999999999997</v>
      </c>
      <c r="M628" s="388">
        <f>VLOOKUP($C628,'Retail Rates'!$B$6:$R$34,7,FALSE)/0.1</f>
        <v>0.33289999999999997</v>
      </c>
      <c r="N628" s="388">
        <f>VLOOKUP($C628,'Retail Rates'!$B$6:$R$34,7,FALSE)/0.1</f>
        <v>0.33289999999999997</v>
      </c>
      <c r="O628" s="388">
        <f>VLOOKUP($C628,'Retail Rates'!$B$6:$R$34,7,FALSE)/0.1</f>
        <v>0.33289999999999997</v>
      </c>
      <c r="P628" s="388"/>
    </row>
    <row r="629" spans="2:16" s="361" customFormat="1" x14ac:dyDescent="0.2">
      <c r="B629" s="388" t="str">
        <f>VLOOKUP($C629,'Retail Rates'!$B$6:$R$34,4,FALSE)</f>
        <v>Gas Special Contracts - LG&amp;E</v>
      </c>
      <c r="C629" s="389" t="s">
        <v>45</v>
      </c>
      <c r="D629" s="389" t="str">
        <f t="shared" si="228"/>
        <v>996</v>
      </c>
      <c r="E629" s="388" t="str">
        <f>VLOOKUP($C629,'Retail Rates'!$B$6:$R$34,3,FALSE)</f>
        <v>SPC-LGE</v>
      </c>
      <c r="F629" s="388"/>
      <c r="G629" s="390" t="s">
        <v>548</v>
      </c>
      <c r="H629" s="388"/>
      <c r="I629" s="388">
        <f>VLOOKUP($C629,'Retail Rates'!$B$6:$R$34,11,FALSE)*10</f>
        <v>11.2629</v>
      </c>
      <c r="J629" s="388">
        <f>VLOOKUP($C629,'Retail Rates'!$B$6:$R$34,11,FALSE)*10</f>
        <v>11.2629</v>
      </c>
      <c r="K629" s="388">
        <f>VLOOKUP($C629,'Retail Rates'!$B$6:$R$34,11,FALSE)*10</f>
        <v>11.2629</v>
      </c>
      <c r="L629" s="388">
        <f>VLOOKUP($C629,'Retail Rates'!$B$6:$R$34,11,FALSE)*10</f>
        <v>11.2629</v>
      </c>
      <c r="M629" s="388">
        <f>VLOOKUP($C629,'Retail Rates'!$B$6:$R$34,11,FALSE)*10</f>
        <v>11.2629</v>
      </c>
      <c r="N629" s="388">
        <f>VLOOKUP($C629,'Retail Rates'!$B$6:$R$34,11,FALSE)*10</f>
        <v>11.2629</v>
      </c>
      <c r="O629" s="388">
        <f>VLOOKUP($C629,'Retail Rates'!$B$6:$R$34,11,FALSE)*10</f>
        <v>11.2629</v>
      </c>
      <c r="P629" s="388"/>
    </row>
    <row r="630" spans="2:16" s="361" customFormat="1" x14ac:dyDescent="0.2">
      <c r="B630" s="388" t="str">
        <f>VLOOKUP($C630,'Retail Rates'!$B$6:$R$34,4,FALSE)</f>
        <v>Gas Special Contracts - LG&amp;E</v>
      </c>
      <c r="C630" s="389" t="s">
        <v>45</v>
      </c>
      <c r="D630" s="389" t="str">
        <f>MID(C630,6,3)</f>
        <v>996</v>
      </c>
      <c r="E630" s="388" t="str">
        <f>VLOOKUP($C630,'Retail Rates'!$B$6:$R$34,3,FALSE)</f>
        <v>SPC-LGE</v>
      </c>
      <c r="F630" s="388"/>
      <c r="G630" s="390" t="s">
        <v>805</v>
      </c>
      <c r="H630" s="388"/>
      <c r="I630" s="388"/>
      <c r="J630" s="388"/>
      <c r="K630" s="388"/>
      <c r="L630" s="388"/>
      <c r="M630" s="388"/>
      <c r="N630" s="388"/>
      <c r="O630" s="388"/>
      <c r="P630" s="388"/>
    </row>
    <row r="631" spans="2:16" s="361" customFormat="1" x14ac:dyDescent="0.2">
      <c r="B631" s="388" t="str">
        <f>VLOOKUP($C631,'Retail Rates'!$B$6:$R$34,4,FALSE)</f>
        <v>Gas Special Contracts - LG&amp;E</v>
      </c>
      <c r="C631" s="389" t="s">
        <v>45</v>
      </c>
      <c r="D631" s="389" t="str">
        <f t="shared" si="228"/>
        <v>996</v>
      </c>
      <c r="E631" s="388" t="str">
        <f>VLOOKUP($C631,'Retail Rates'!$B$6:$R$34,3,FALSE)</f>
        <v>SPC-LGE</v>
      </c>
      <c r="F631" s="388"/>
      <c r="G631" s="549" t="s">
        <v>804</v>
      </c>
      <c r="H631" s="388"/>
      <c r="I631" s="388"/>
      <c r="J631" s="388"/>
      <c r="K631" s="550"/>
      <c r="L631" s="388"/>
      <c r="M631" s="388"/>
      <c r="N631" s="388"/>
      <c r="O631" s="388"/>
      <c r="P631" s="388"/>
    </row>
    <row r="632" spans="2:16" s="361" customFormat="1" x14ac:dyDescent="0.2">
      <c r="B632" s="388" t="str">
        <f>VLOOKUP($C632,'Retail Rates'!$B$6:$R$34,4,FALSE)</f>
        <v>Gas Special Contracts - LG&amp;E</v>
      </c>
      <c r="C632" s="389" t="s">
        <v>45</v>
      </c>
      <c r="D632" s="389" t="str">
        <f t="shared" si="228"/>
        <v>996</v>
      </c>
      <c r="E632" s="388" t="str">
        <f>VLOOKUP($C632,'Retail Rates'!$B$6:$R$34,3,FALSE)</f>
        <v>SPC-LGE</v>
      </c>
      <c r="F632" s="388"/>
      <c r="G632" s="390" t="s">
        <v>295</v>
      </c>
      <c r="H632" s="325" t="s">
        <v>528</v>
      </c>
      <c r="I632" s="395">
        <f>SUMIFS('Data LGE SC MC'!$I$4:$I$900,'Data LGE SC MC'!$A$4:$A$900,'Mar16-Aug16 FT-TS-Cashout-LG&amp;E'!I$577,'Data LGE SC MC'!$B$4:$B$900,'Mar16-Aug16 FT-TS-Cashout-LG&amp;E'!$C632,'Data LGE SC MC'!$E$4:$E$900,'Mar16-Aug16 FT-TS-Cashout-LG&amp;E'!$H632,'Data LGE SC MC'!$F$4:$F$900,'Mar16-Aug16 FT-TS-Cashout-LG&amp;E'!I$622)</f>
        <v>180</v>
      </c>
      <c r="J632" s="395">
        <f>SUMIFS('Data LGE SC MC'!$I$4:$I$900,'Data LGE SC MC'!$A$4:$A$900,'Mar16-Aug16 FT-TS-Cashout-LG&amp;E'!J$577,'Data LGE SC MC'!$B$4:$B$900,'Mar16-Aug16 FT-TS-Cashout-LG&amp;E'!$C632,'Data LGE SC MC'!$E$4:$E$900,'Mar16-Aug16 FT-TS-Cashout-LG&amp;E'!$H632,'Data LGE SC MC'!$F$4:$F$900,'Mar16-Aug16 FT-TS-Cashout-LG&amp;E'!J$622)</f>
        <v>180</v>
      </c>
      <c r="K632" s="395">
        <f>SUMIFS('Data LGE SC MC'!$I$4:$I$900,'Data LGE SC MC'!$A$4:$A$900,'Mar16-Aug16 FT-TS-Cashout-LG&amp;E'!K$577,'Data LGE SC MC'!$B$4:$B$900,'Mar16-Aug16 FT-TS-Cashout-LG&amp;E'!$C632,'Data LGE SC MC'!$E$4:$E$900,'Mar16-Aug16 FT-TS-Cashout-LG&amp;E'!$H632,'Data LGE SC MC'!$F$4:$F$900,'Mar16-Aug16 FT-TS-Cashout-LG&amp;E'!K$622)</f>
        <v>180</v>
      </c>
      <c r="L632" s="395">
        <f>SUMIFS('Data LGE SC MC'!$I$4:$I$900,'Data LGE SC MC'!$A$4:$A$900,'Mar16-Aug16 FT-TS-Cashout-LG&amp;E'!L$577,'Data LGE SC MC'!$B$4:$B$900,'Mar16-Aug16 FT-TS-Cashout-LG&amp;E'!$C632,'Data LGE SC MC'!$E$4:$E$900,'Mar16-Aug16 FT-TS-Cashout-LG&amp;E'!$H632,'Data LGE SC MC'!$F$4:$F$900,'Mar16-Aug16 FT-TS-Cashout-LG&amp;E'!L$622)</f>
        <v>180</v>
      </c>
      <c r="M632" s="395">
        <f>SUMIFS('Data LGE SC MC'!$I$4:$I$900,'Data LGE SC MC'!$A$4:$A$900,'Mar16-Aug16 FT-TS-Cashout-LG&amp;E'!M$577,'Data LGE SC MC'!$B$4:$B$900,'Mar16-Aug16 FT-TS-Cashout-LG&amp;E'!$C632,'Data LGE SC MC'!$E$4:$E$900,'Mar16-Aug16 FT-TS-Cashout-LG&amp;E'!$H632,'Data LGE SC MC'!$F$4:$F$900,'Mar16-Aug16 FT-TS-Cashout-LG&amp;E'!M$622)</f>
        <v>180</v>
      </c>
      <c r="N632" s="395">
        <f>SUMIFS('Data LGE SC MC'!$I$4:$I$900,'Data LGE SC MC'!$A$4:$A$900,'Mar16-Aug16 FT-TS-Cashout-LG&amp;E'!N$577,'Data LGE SC MC'!$B$4:$B$900,'Mar16-Aug16 FT-TS-Cashout-LG&amp;E'!$C632,'Data LGE SC MC'!$E$4:$E$900,'Mar16-Aug16 FT-TS-Cashout-LG&amp;E'!$H632,'Data LGE SC MC'!$F$4:$F$900,'Mar16-Aug16 FT-TS-Cashout-LG&amp;E'!N$622)</f>
        <v>180</v>
      </c>
      <c r="O632" s="395">
        <f>SUMIFS('Data LGE SC MC'!$I$4:$I$900,'Data LGE SC MC'!$A$4:$A$900,'Mar16-Aug16 FT-TS-Cashout-LG&amp;E'!O$577,'Data LGE SC MC'!$B$4:$B$900,'Mar16-Aug16 FT-TS-Cashout-LG&amp;E'!$C632,'Data LGE SC MC'!$E$4:$E$900,'Mar16-Aug16 FT-TS-Cashout-LG&amp;E'!$H632,'Data LGE SC MC'!$F$4:$F$900,'Mar16-Aug16 FT-TS-Cashout-LG&amp;E'!O$622)</f>
        <v>180</v>
      </c>
      <c r="P632" s="574">
        <f t="shared" ref="P632:P641" si="229">SUM(J632:O632)</f>
        <v>1080</v>
      </c>
    </row>
    <row r="633" spans="2:16" s="361" customFormat="1" x14ac:dyDescent="0.2">
      <c r="B633" s="388" t="str">
        <f>VLOOKUP($C633,'Retail Rates'!$B$6:$R$34,4,FALSE)</f>
        <v>Gas Special Contracts - LG&amp;E</v>
      </c>
      <c r="C633" s="389" t="s">
        <v>45</v>
      </c>
      <c r="D633" s="389" t="str">
        <f t="shared" si="228"/>
        <v>996</v>
      </c>
      <c r="E633" s="388" t="str">
        <f>VLOOKUP($C633,'Retail Rates'!$B$6:$R$34,3,FALSE)</f>
        <v>SPC-LGE</v>
      </c>
      <c r="F633" s="388"/>
      <c r="G633" s="390" t="s">
        <v>297</v>
      </c>
      <c r="H633" s="388"/>
      <c r="I633" s="452">
        <f t="shared" ref="I633:O633" si="230">+I626*I628</f>
        <v>16516.800209999998</v>
      </c>
      <c r="J633" s="452">
        <f t="shared" si="230"/>
        <v>4919.3298800000002</v>
      </c>
      <c r="K633" s="452">
        <f t="shared" si="230"/>
        <v>6702.6751799999993</v>
      </c>
      <c r="L633" s="452">
        <f t="shared" si="230"/>
        <v>8926.1142799999998</v>
      </c>
      <c r="M633" s="452">
        <f t="shared" si="230"/>
        <v>7901.3149199999989</v>
      </c>
      <c r="N633" s="452">
        <f t="shared" si="230"/>
        <v>7949.6187099999997</v>
      </c>
      <c r="O633" s="452">
        <f t="shared" si="230"/>
        <v>16966.34837</v>
      </c>
      <c r="P633" s="574">
        <f t="shared" si="229"/>
        <v>53365.401339999997</v>
      </c>
    </row>
    <row r="634" spans="2:16" s="361" customFormat="1" x14ac:dyDescent="0.2">
      <c r="B634" s="388" t="str">
        <f>VLOOKUP($C634,'Retail Rates'!$B$6:$R$34,4,FALSE)</f>
        <v>Gas Special Contracts - LG&amp;E</v>
      </c>
      <c r="C634" s="389" t="s">
        <v>45</v>
      </c>
      <c r="D634" s="389" t="str">
        <f t="shared" si="228"/>
        <v>996</v>
      </c>
      <c r="E634" s="388" t="str">
        <f>VLOOKUP($C634,'Retail Rates'!$B$6:$R$34,3,FALSE)</f>
        <v>SPC-LGE</v>
      </c>
      <c r="F634" s="388"/>
      <c r="G634" s="390" t="s">
        <v>196</v>
      </c>
      <c r="H634" s="325" t="s">
        <v>196</v>
      </c>
      <c r="I634" s="395">
        <f>SUMIFS('Data LGE SC MC'!$P$4:$P$900,'Data LGE SC MC'!$A$4:$A$900,'Mar16-Aug16 FT-TS-Cashout-LG&amp;E'!I$577,'Data LGE SC MC'!$B$4:$B$900,'Mar16-Aug16 FT-TS-Cashout-LG&amp;E'!$C633,'Data LGE SC MC'!$E$4:$E$900,'Mar16-Aug16 FT-TS-Cashout-LG&amp;E'!$H634,'Data LGE SC MC'!$F$4:$F$900,'Mar16-Aug16 FT-TS-Cashout-LG&amp;E'!I$623)</f>
        <v>160469.47</v>
      </c>
      <c r="J634" s="395">
        <f>SUMIFS('Data LGE SC MC'!$P$4:$P$900,'Data LGE SC MC'!$A$4:$A$900,'Mar16-Aug16 FT-TS-Cashout-LG&amp;E'!J$577,'Data LGE SC MC'!$B$4:$B$900,'Mar16-Aug16 FT-TS-Cashout-LG&amp;E'!$C633,'Data LGE SC MC'!$E$4:$E$900,'Mar16-Aug16 FT-TS-Cashout-LG&amp;E'!$H634,'Data LGE SC MC'!$F$4:$F$900,'Mar16-Aug16 FT-TS-Cashout-LG&amp;E'!J$623)</f>
        <v>47793.9</v>
      </c>
      <c r="K634" s="395">
        <f>SUMIFS('Data LGE SC MC'!$P$4:$P$900,'Data LGE SC MC'!$A$4:$A$900,'Mar16-Aug16 FT-TS-Cashout-LG&amp;E'!K$577,'Data LGE SC MC'!$B$4:$B$900,'Mar16-Aug16 FT-TS-Cashout-LG&amp;E'!$C633,'Data LGE SC MC'!$E$4:$E$900,'Mar16-Aug16 FT-TS-Cashout-LG&amp;E'!$H634,'Data LGE SC MC'!$F$4:$F$900,'Mar16-Aug16 FT-TS-Cashout-LG&amp;E'!K$623)</f>
        <v>70731.44</v>
      </c>
      <c r="L634" s="395">
        <f>SUMIFS('Data LGE SC MC'!$P$4:$P$900,'Data LGE SC MC'!$A$4:$A$900,'Mar16-Aug16 FT-TS-Cashout-LG&amp;E'!L$577,'Data LGE SC MC'!$B$4:$B$900,'Mar16-Aug16 FT-TS-Cashout-LG&amp;E'!$C633,'Data LGE SC MC'!$E$4:$E$900,'Mar16-Aug16 FT-TS-Cashout-LG&amp;E'!$H634,'Data LGE SC MC'!$F$4:$F$900,'Mar16-Aug16 FT-TS-Cashout-LG&amp;E'!L$623)</f>
        <v>94194.77</v>
      </c>
      <c r="M634" s="395">
        <f>SUMIFS('Data LGE SC MC'!$P$4:$P$900,'Data LGE SC MC'!$A$4:$A$900,'Mar16-Aug16 FT-TS-Cashout-LG&amp;E'!M$577,'Data LGE SC MC'!$B$4:$B$900,'Mar16-Aug16 FT-TS-Cashout-LG&amp;E'!$C633,'Data LGE SC MC'!$E$4:$E$900,'Mar16-Aug16 FT-TS-Cashout-LG&amp;E'!$H634,'Data LGE SC MC'!$F$4:$F$900,'Mar16-Aug16 FT-TS-Cashout-LG&amp;E'!M$623)</f>
        <v>83380.350000000006</v>
      </c>
      <c r="N634" s="395">
        <f>SUMIFS('Data LGE SC MC'!$P$4:$P$900,'Data LGE SC MC'!$A$4:$A$900,'Mar16-Aug16 FT-TS-Cashout-LG&amp;E'!N$577,'Data LGE SC MC'!$B$4:$B$900,'Mar16-Aug16 FT-TS-Cashout-LG&amp;E'!$C633,'Data LGE SC MC'!$E$4:$E$900,'Mar16-Aug16 FT-TS-Cashout-LG&amp;E'!$H634,'Data LGE SC MC'!$F$4:$F$900,'Mar16-Aug16 FT-TS-Cashout-LG&amp;E'!N$623)</f>
        <v>91259.43</v>
      </c>
      <c r="O634" s="395">
        <f>SUMIFS('Data LGE SC MC'!$P$4:$P$900,'Data LGE SC MC'!$A$4:$A$900,'Mar16-Aug16 FT-TS-Cashout-LG&amp;E'!O$577,'Data LGE SC MC'!$B$4:$B$900,'Mar16-Aug16 FT-TS-Cashout-LG&amp;E'!$C633,'Data LGE SC MC'!$E$4:$E$900,'Mar16-Aug16 FT-TS-Cashout-LG&amp;E'!$H634,'Data LGE SC MC'!$F$4:$F$900,'Mar16-Aug16 FT-TS-Cashout-LG&amp;E'!O$623)</f>
        <v>194768.99</v>
      </c>
      <c r="P634" s="574">
        <f t="shared" si="229"/>
        <v>582128.87999999989</v>
      </c>
    </row>
    <row r="635" spans="2:16" s="361" customFormat="1" x14ac:dyDescent="0.2">
      <c r="B635" s="388" t="str">
        <f>VLOOKUP($C635,'Retail Rates'!$B$6:$R$34,4,FALSE)</f>
        <v>Gas Special Contracts - LG&amp;E</v>
      </c>
      <c r="C635" s="389" t="s">
        <v>45</v>
      </c>
      <c r="D635" s="389" t="str">
        <f t="shared" si="228"/>
        <v>996</v>
      </c>
      <c r="E635" s="388" t="str">
        <f>VLOOKUP($C635,'Retail Rates'!$B$6:$R$34,3,FALSE)</f>
        <v>SPC-LGE</v>
      </c>
      <c r="F635" s="388"/>
      <c r="G635" s="390" t="s">
        <v>296</v>
      </c>
      <c r="H635" s="325" t="s">
        <v>547</v>
      </c>
      <c r="I635" s="450">
        <f>SUMIFS('Data LGE SC MC'!$J$4:$J$900,'Data LGE SC MC'!$A$4:$A$900,'Mar16-Aug16 FT-TS-Cashout-LG&amp;E'!I$577,'Data LGE SC MC'!$B$4:$B$900,'Mar16-Aug16 FT-TS-Cashout-LG&amp;E'!$C634,'Data LGE SC MC'!$E$4:$E$900,'Mar16-Aug16 FT-TS-Cashout-LG&amp;E'!$H635,'Data LGE SC MC'!$F$4:$F$900,'Mar16-Aug16 FT-TS-Cashout-LG&amp;E'!I$622)</f>
        <v>186513.62</v>
      </c>
      <c r="J635" s="450">
        <f>SUMIFS('Data LGE SC MC'!$J$4:$J$900,'Data LGE SC MC'!$A$4:$A$900,'Mar16-Aug16 FT-TS-Cashout-LG&amp;E'!J$577,'Data LGE SC MC'!$B$4:$B$900,'Mar16-Aug16 FT-TS-Cashout-LG&amp;E'!$C634,'Data LGE SC MC'!$E$4:$E$900,'Mar16-Aug16 FT-TS-Cashout-LG&amp;E'!$H635,'Data LGE SC MC'!$F$4:$F$900,'Mar16-Aug16 FT-TS-Cashout-LG&amp;E'!J$622)</f>
        <v>186513.62</v>
      </c>
      <c r="K635" s="450">
        <f>SUMIFS('Data LGE SC MC'!$J$4:$J$900,'Data LGE SC MC'!$A$4:$A$900,'Mar16-Aug16 FT-TS-Cashout-LG&amp;E'!K$577,'Data LGE SC MC'!$B$4:$B$900,'Mar16-Aug16 FT-TS-Cashout-LG&amp;E'!$C634,'Data LGE SC MC'!$E$4:$E$900,'Mar16-Aug16 FT-TS-Cashout-LG&amp;E'!$H635,'Data LGE SC MC'!$F$4:$F$900,'Mar16-Aug16 FT-TS-Cashout-LG&amp;E'!K$622)</f>
        <v>186513.62</v>
      </c>
      <c r="L635" s="450">
        <f>SUMIFS('Data LGE SC MC'!$J$4:$J$900,'Data LGE SC MC'!$A$4:$A$900,'Mar16-Aug16 FT-TS-Cashout-LG&amp;E'!L$577,'Data LGE SC MC'!$B$4:$B$900,'Mar16-Aug16 FT-TS-Cashout-LG&amp;E'!$C634,'Data LGE SC MC'!$E$4:$E$900,'Mar16-Aug16 FT-TS-Cashout-LG&amp;E'!$H635,'Data LGE SC MC'!$F$4:$F$900,'Mar16-Aug16 FT-TS-Cashout-LG&amp;E'!L$622)</f>
        <v>186513.62</v>
      </c>
      <c r="M635" s="450">
        <f>SUMIFS('Data LGE SC MC'!$J$4:$J$900,'Data LGE SC MC'!$A$4:$A$900,'Mar16-Aug16 FT-TS-Cashout-LG&amp;E'!M$577,'Data LGE SC MC'!$B$4:$B$900,'Mar16-Aug16 FT-TS-Cashout-LG&amp;E'!$C634,'Data LGE SC MC'!$E$4:$E$900,'Mar16-Aug16 FT-TS-Cashout-LG&amp;E'!$H635,'Data LGE SC MC'!$F$4:$F$900,'Mar16-Aug16 FT-TS-Cashout-LG&amp;E'!M$622)</f>
        <v>186513.62</v>
      </c>
      <c r="N635" s="450">
        <f>SUMIFS('Data LGE SC MC'!$J$4:$J$900,'Data LGE SC MC'!$A$4:$A$900,'Mar16-Aug16 FT-TS-Cashout-LG&amp;E'!N$577,'Data LGE SC MC'!$B$4:$B$900,'Mar16-Aug16 FT-TS-Cashout-LG&amp;E'!$C634,'Data LGE SC MC'!$E$4:$E$900,'Mar16-Aug16 FT-TS-Cashout-LG&amp;E'!$H635,'Data LGE SC MC'!$F$4:$F$900,'Mar16-Aug16 FT-TS-Cashout-LG&amp;E'!N$622)</f>
        <v>186513.62</v>
      </c>
      <c r="O635" s="450">
        <f>SUMIFS('Data LGE SC MC'!$J$4:$J$900,'Data LGE SC MC'!$A$4:$A$900,'Mar16-Aug16 FT-TS-Cashout-LG&amp;E'!O$577,'Data LGE SC MC'!$B$4:$B$900,'Mar16-Aug16 FT-TS-Cashout-LG&amp;E'!$C634,'Data LGE SC MC'!$E$4:$E$900,'Mar16-Aug16 FT-TS-Cashout-LG&amp;E'!$H635,'Data LGE SC MC'!$F$4:$F$900,'Mar16-Aug16 FT-TS-Cashout-LG&amp;E'!O$622)</f>
        <v>186513.62</v>
      </c>
      <c r="P635" s="574">
        <f t="shared" si="229"/>
        <v>1119081.72</v>
      </c>
    </row>
    <row r="636" spans="2:16" s="361" customFormat="1" x14ac:dyDescent="0.2">
      <c r="B636" s="388"/>
      <c r="C636" s="389"/>
      <c r="D636" s="389"/>
      <c r="E636" s="388"/>
      <c r="F636" s="388"/>
      <c r="G636" s="390" t="s">
        <v>643</v>
      </c>
      <c r="H636" s="325" t="s">
        <v>673</v>
      </c>
      <c r="I636" s="414">
        <f>SUMIFS('Data LGE SC MC'!$X$4:$X$900,'Data LGE SC MC'!$A$4:$A$900,'Mar16-Aug16 FT-TS-Cashout-LG&amp;E'!I$577,'Data LGE SC MC'!$B$4:$B$900,'Mar16-Aug16 FT-TS-Cashout-LG&amp;E'!$C635,'Data LGE SC MC'!$E$4:$E$900,'Mar16-Aug16 FT-TS-Cashout-LG&amp;E'!$H636,'Data LGE SC MC'!$F$4:$F$900,'Mar16-Aug16 FT-TS-Cashout-LG&amp;E'!I$623)</f>
        <v>245.08</v>
      </c>
      <c r="J636" s="414">
        <f>SUMIFS('Data LGE SC MC'!$X$4:$X$900,'Data LGE SC MC'!$A$4:$A$900,'Mar16-Aug16 FT-TS-Cashout-LG&amp;E'!J$577,'Data LGE SC MC'!$B$4:$B$900,'Mar16-Aug16 FT-TS-Cashout-LG&amp;E'!$C635,'Data LGE SC MC'!$E$4:$E$900,'Mar16-Aug16 FT-TS-Cashout-LG&amp;E'!$H636,'Data LGE SC MC'!$F$4:$F$900,'Mar16-Aug16 FT-TS-Cashout-LG&amp;E'!J$623)</f>
        <v>246.04</v>
      </c>
      <c r="K636" s="414">
        <f>SUMIFS('Data LGE SC MC'!$X$4:$X$900,'Data LGE SC MC'!$A$4:$A$900,'Mar16-Aug16 FT-TS-Cashout-LG&amp;E'!K$577,'Data LGE SC MC'!$B$4:$B$900,'Mar16-Aug16 FT-TS-Cashout-LG&amp;E'!$C635,'Data LGE SC MC'!$E$4:$E$900,'Mar16-Aug16 FT-TS-Cashout-LG&amp;E'!$H636,'Data LGE SC MC'!$F$4:$F$900,'Mar16-Aug16 FT-TS-Cashout-LG&amp;E'!K$623)</f>
        <v>259.54000000000002</v>
      </c>
      <c r="L636" s="414">
        <f>SUMIFS('Data LGE SC MC'!$X$4:$X$900,'Data LGE SC MC'!$A$4:$A$900,'Mar16-Aug16 FT-TS-Cashout-LG&amp;E'!L$577,'Data LGE SC MC'!$B$4:$B$900,'Mar16-Aug16 FT-TS-Cashout-LG&amp;E'!$C635,'Data LGE SC MC'!$E$4:$E$900,'Mar16-Aug16 FT-TS-Cashout-LG&amp;E'!$H636,'Data LGE SC MC'!$F$4:$F$900,'Mar16-Aug16 FT-TS-Cashout-LG&amp;E'!L$623)</f>
        <v>259.54000000000002</v>
      </c>
      <c r="M636" s="414">
        <f>SUMIFS('Data LGE SC MC'!$X$4:$X$900,'Data LGE SC MC'!$A$4:$A$900,'Mar16-Aug16 FT-TS-Cashout-LG&amp;E'!M$577,'Data LGE SC MC'!$B$4:$B$900,'Mar16-Aug16 FT-TS-Cashout-LG&amp;E'!$C635,'Data LGE SC MC'!$E$4:$E$900,'Mar16-Aug16 FT-TS-Cashout-LG&amp;E'!$H636,'Data LGE SC MC'!$F$4:$F$900,'Mar16-Aug16 FT-TS-Cashout-LG&amp;E'!M$623)</f>
        <v>259.54000000000002</v>
      </c>
      <c r="N636" s="414">
        <f>SUMIFS('Data LGE SC MC'!$X$4:$X$900,'Data LGE SC MC'!$A$4:$A$900,'Mar16-Aug16 FT-TS-Cashout-LG&amp;E'!N$577,'Data LGE SC MC'!$B$4:$B$900,'Mar16-Aug16 FT-TS-Cashout-LG&amp;E'!$C635,'Data LGE SC MC'!$E$4:$E$900,'Mar16-Aug16 FT-TS-Cashout-LG&amp;E'!$H636,'Data LGE SC MC'!$F$4:$F$900,'Mar16-Aug16 FT-TS-Cashout-LG&amp;E'!N$623)</f>
        <v>259.54000000000002</v>
      </c>
      <c r="O636" s="414">
        <f>SUMIFS('Data LGE SC MC'!$X$4:$X$900,'Data LGE SC MC'!$A$4:$A$900,'Mar16-Aug16 FT-TS-Cashout-LG&amp;E'!O$577,'Data LGE SC MC'!$B$4:$B$900,'Mar16-Aug16 FT-TS-Cashout-LG&amp;E'!$C635,'Data LGE SC MC'!$E$4:$E$900,'Mar16-Aug16 FT-TS-Cashout-LG&amp;E'!$H636,'Data LGE SC MC'!$F$4:$F$900,'Mar16-Aug16 FT-TS-Cashout-LG&amp;E'!O$623)</f>
        <v>259.54000000000002</v>
      </c>
      <c r="P636" s="574">
        <f t="shared" si="229"/>
        <v>1543.74</v>
      </c>
    </row>
    <row r="637" spans="2:16" s="361" customFormat="1" x14ac:dyDescent="0.2">
      <c r="B637" s="388"/>
      <c r="C637" s="389"/>
      <c r="D637" s="389"/>
      <c r="E637" s="388"/>
      <c r="F637" s="388"/>
      <c r="G637" s="390" t="s">
        <v>289</v>
      </c>
      <c r="H637" s="388"/>
      <c r="I637" s="452">
        <f t="shared" ref="I637:O637" si="231">SUM(I632:I636)</f>
        <v>363924.97021</v>
      </c>
      <c r="J637" s="452">
        <f t="shared" si="231"/>
        <v>239652.88988</v>
      </c>
      <c r="K637" s="452">
        <f t="shared" si="231"/>
        <v>264387.27518</v>
      </c>
      <c r="L637" s="452">
        <f t="shared" si="231"/>
        <v>290074.04427999997</v>
      </c>
      <c r="M637" s="452">
        <f t="shared" si="231"/>
        <v>278234.82491999998</v>
      </c>
      <c r="N637" s="452">
        <f t="shared" si="231"/>
        <v>286162.20870999998</v>
      </c>
      <c r="O637" s="452">
        <f t="shared" si="231"/>
        <v>398688.49836999999</v>
      </c>
      <c r="P637" s="574">
        <f t="shared" si="229"/>
        <v>1757199.7413399999</v>
      </c>
    </row>
    <row r="638" spans="2:16" s="361" customFormat="1" x14ac:dyDescent="0.2">
      <c r="B638" s="388"/>
      <c r="C638" s="389"/>
      <c r="D638" s="389"/>
      <c r="E638" s="388"/>
      <c r="F638" s="388"/>
      <c r="G638" s="390"/>
      <c r="H638" s="388"/>
      <c r="I638" s="452"/>
      <c r="J638" s="452"/>
      <c r="K638" s="452"/>
      <c r="L638" s="452"/>
      <c r="M638" s="452"/>
      <c r="N638" s="452"/>
      <c r="O638" s="452"/>
      <c r="P638" s="398"/>
    </row>
    <row r="639" spans="2:16" s="361" customFormat="1" x14ac:dyDescent="0.2">
      <c r="B639" s="388"/>
      <c r="C639" s="389"/>
      <c r="D639" s="389"/>
      <c r="E639" s="388"/>
      <c r="F639" s="388"/>
      <c r="G639" s="390" t="s">
        <v>974</v>
      </c>
      <c r="H639" s="388"/>
      <c r="I639" s="550">
        <f>SUMIFS('SBR Mar16 - Aug16'!$E$16:$E$480,'SBR Mar16 - Aug16'!$A$16:$A$480,'Mar16-Aug16 FT-TS-Cashout-LG&amp;E'!I$577,'SBR Mar16 - Aug16'!$C$16:$C$480,'Mar16-Aug16 FT-TS-Cashout-LG&amp;E'!$C$635)</f>
        <v>363924.97</v>
      </c>
      <c r="J639" s="550">
        <f>SUMIFS('SBR Mar16 - Aug16'!$E$16:$E$480,'SBR Mar16 - Aug16'!$A$16:$A$480,'Mar16-Aug16 FT-TS-Cashout-LG&amp;E'!J$577,'SBR Mar16 - Aug16'!$C$16:$C$480,'Mar16-Aug16 FT-TS-Cashout-LG&amp;E'!$C$635)</f>
        <v>239652.89</v>
      </c>
      <c r="K639" s="550">
        <f>SUMIFS('SBR Mar16 - Aug16'!$E$16:$E$480,'SBR Mar16 - Aug16'!$A$16:$A$480,'Mar16-Aug16 FT-TS-Cashout-LG&amp;E'!K$577,'SBR Mar16 - Aug16'!$C$16:$C$480,'Mar16-Aug16 FT-TS-Cashout-LG&amp;E'!$C$635)</f>
        <v>264387.27999999997</v>
      </c>
      <c r="L639" s="550">
        <f>SUMIFS('SBR Mar16 - Aug16'!$E$16:$E$480,'SBR Mar16 - Aug16'!$A$16:$A$480,'Mar16-Aug16 FT-TS-Cashout-LG&amp;E'!L$577,'SBR Mar16 - Aug16'!$C$16:$C$480,'Mar16-Aug16 FT-TS-Cashout-LG&amp;E'!$C$635)</f>
        <v>290074.04000000004</v>
      </c>
      <c r="M639" s="550">
        <f>SUMIFS('SBR Mar16 - Aug16'!$E$16:$E$480,'SBR Mar16 - Aug16'!$A$16:$A$480,'Mar16-Aug16 FT-TS-Cashout-LG&amp;E'!M$577,'SBR Mar16 - Aug16'!$C$16:$C$480,'Mar16-Aug16 FT-TS-Cashout-LG&amp;E'!$C$635)</f>
        <v>278234.82</v>
      </c>
      <c r="N639" s="550">
        <f>SUMIFS('SBR Mar16 - Aug16'!$E$16:$E$480,'SBR Mar16 - Aug16'!$A$16:$A$480,'Mar16-Aug16 FT-TS-Cashout-LG&amp;E'!N$577,'SBR Mar16 - Aug16'!$C$16:$C$480,'Mar16-Aug16 FT-TS-Cashout-LG&amp;E'!$C$635)</f>
        <v>286162.20999999996</v>
      </c>
      <c r="O639" s="550">
        <f>SUMIFS('SBR Mar16 - Aug16'!$E$16:$E$480,'SBR Mar16 - Aug16'!$A$16:$A$480,'Mar16-Aug16 FT-TS-Cashout-LG&amp;E'!O$577,'SBR Mar16 - Aug16'!$C$16:$C$480,'Mar16-Aug16 FT-TS-Cashout-LG&amp;E'!$C$635)</f>
        <v>398688.5</v>
      </c>
      <c r="P639" s="574">
        <f t="shared" si="229"/>
        <v>1757199.74</v>
      </c>
    </row>
    <row r="640" spans="2:16" s="361" customFormat="1" x14ac:dyDescent="0.2">
      <c r="B640" s="388"/>
      <c r="C640" s="389"/>
      <c r="D640" s="389"/>
      <c r="E640" s="388"/>
      <c r="F640" s="388"/>
      <c r="G640" s="390"/>
      <c r="H640" s="388"/>
      <c r="I640" s="452"/>
      <c r="J640" s="452"/>
      <c r="K640" s="452"/>
      <c r="L640" s="452"/>
      <c r="M640" s="452"/>
      <c r="N640" s="452"/>
      <c r="O640" s="452"/>
      <c r="P640" s="398"/>
    </row>
    <row r="641" spans="2:16" s="361" customFormat="1" x14ac:dyDescent="0.2">
      <c r="B641" s="388"/>
      <c r="C641" s="389"/>
      <c r="D641" s="389"/>
      <c r="E641" s="388"/>
      <c r="F641" s="388"/>
      <c r="G641" s="390" t="s">
        <v>262</v>
      </c>
      <c r="H641" s="388"/>
      <c r="I641" s="452">
        <f>I637-I639</f>
        <v>2.1000002743676305E-4</v>
      </c>
      <c r="J641" s="452">
        <f t="shared" ref="J641:O641" si="232">J637-J639</f>
        <v>-1.2000001152046025E-4</v>
      </c>
      <c r="K641" s="452">
        <f t="shared" si="232"/>
        <v>-4.8199999728240073E-3</v>
      </c>
      <c r="L641" s="452">
        <f t="shared" si="232"/>
        <v>4.2799999355338514E-3</v>
      </c>
      <c r="M641" s="452">
        <f t="shared" si="232"/>
        <v>4.9199999775737524E-3</v>
      </c>
      <c r="N641" s="452">
        <f t="shared" si="232"/>
        <v>-1.289999985601753E-3</v>
      </c>
      <c r="O641" s="452">
        <f t="shared" si="232"/>
        <v>-1.6300000133924186E-3</v>
      </c>
      <c r="P641" s="574">
        <f t="shared" si="229"/>
        <v>1.3399999297689646E-3</v>
      </c>
    </row>
    <row r="642" spans="2:16" s="361" customFormat="1" x14ac:dyDescent="0.2">
      <c r="B642" s="388"/>
      <c r="C642" s="389"/>
      <c r="D642" s="389"/>
      <c r="E642" s="388"/>
      <c r="F642" s="388"/>
      <c r="G642" s="390"/>
      <c r="H642" s="388"/>
      <c r="I642" s="388"/>
      <c r="J642" s="388"/>
      <c r="K642" s="388"/>
      <c r="L642" s="388"/>
      <c r="M642" s="388"/>
      <c r="N642" s="388"/>
      <c r="O642" s="388"/>
      <c r="P642" s="388"/>
    </row>
    <row r="644" spans="2:16" x14ac:dyDescent="0.2">
      <c r="H644" s="725"/>
      <c r="I644" s="726"/>
      <c r="J644" s="726"/>
      <c r="K644" s="725"/>
      <c r="L644" s="726" t="s">
        <v>1026</v>
      </c>
      <c r="M644" s="725"/>
      <c r="N644" s="725"/>
    </row>
    <row r="645" spans="2:16" x14ac:dyDescent="0.2">
      <c r="F645" s="349"/>
      <c r="H645" s="349" t="s">
        <v>506</v>
      </c>
      <c r="I645" s="729">
        <f t="shared" ref="I645:N645" si="233">I11</f>
        <v>8</v>
      </c>
      <c r="J645" s="729">
        <f t="shared" si="233"/>
        <v>8</v>
      </c>
      <c r="K645" s="729">
        <f t="shared" si="233"/>
        <v>8</v>
      </c>
      <c r="L645" s="729">
        <f t="shared" si="233"/>
        <v>8</v>
      </c>
      <c r="M645" s="729">
        <f t="shared" si="233"/>
        <v>8</v>
      </c>
      <c r="N645" s="729">
        <f t="shared" si="233"/>
        <v>8</v>
      </c>
    </row>
    <row r="646" spans="2:16" x14ac:dyDescent="0.2">
      <c r="F646" s="349"/>
      <c r="H646" s="349" t="s">
        <v>1022</v>
      </c>
      <c r="I646" s="729">
        <f t="shared" ref="I646:N646" si="234">I90</f>
        <v>2</v>
      </c>
      <c r="J646" s="729">
        <f t="shared" si="234"/>
        <v>2</v>
      </c>
      <c r="K646" s="729">
        <f t="shared" si="234"/>
        <v>2</v>
      </c>
      <c r="L646" s="729">
        <f t="shared" si="234"/>
        <v>2</v>
      </c>
      <c r="M646" s="729">
        <f t="shared" si="234"/>
        <v>2</v>
      </c>
      <c r="N646" s="729">
        <f t="shared" si="234"/>
        <v>2</v>
      </c>
    </row>
    <row r="647" spans="2:16" x14ac:dyDescent="0.2">
      <c r="F647" s="349"/>
      <c r="H647" s="349" t="s">
        <v>1023</v>
      </c>
      <c r="I647" s="729">
        <f t="shared" ref="I647:N647" si="235">I31</f>
        <v>0</v>
      </c>
      <c r="J647" s="729">
        <f t="shared" si="235"/>
        <v>0</v>
      </c>
      <c r="K647" s="729">
        <f t="shared" si="235"/>
        <v>0</v>
      </c>
      <c r="L647" s="729">
        <f t="shared" si="235"/>
        <v>0</v>
      </c>
      <c r="M647" s="729">
        <f t="shared" si="235"/>
        <v>0</v>
      </c>
      <c r="N647" s="729">
        <f t="shared" si="235"/>
        <v>0</v>
      </c>
    </row>
    <row r="648" spans="2:16" x14ac:dyDescent="0.2">
      <c r="F648" s="349"/>
      <c r="H648" s="349" t="s">
        <v>1031</v>
      </c>
      <c r="I648" s="729"/>
      <c r="J648" s="729"/>
      <c r="K648" s="729"/>
      <c r="L648" s="729"/>
      <c r="M648" s="729"/>
      <c r="N648" s="729"/>
    </row>
    <row r="649" spans="2:16" x14ac:dyDescent="0.2">
      <c r="F649" s="349"/>
      <c r="H649" s="349" t="s">
        <v>507</v>
      </c>
      <c r="I649" s="729">
        <f t="shared" ref="I649:N649" si="236">I49</f>
        <v>63</v>
      </c>
      <c r="J649" s="729">
        <f t="shared" si="236"/>
        <v>63</v>
      </c>
      <c r="K649" s="729">
        <f t="shared" si="236"/>
        <v>63</v>
      </c>
      <c r="L649" s="729">
        <f t="shared" si="236"/>
        <v>65</v>
      </c>
      <c r="M649" s="729">
        <f t="shared" si="236"/>
        <v>61</v>
      </c>
      <c r="N649" s="729">
        <f t="shared" si="236"/>
        <v>63</v>
      </c>
    </row>
    <row r="650" spans="2:16" x14ac:dyDescent="0.2">
      <c r="F650" s="349"/>
      <c r="H650" s="349" t="s">
        <v>1024</v>
      </c>
      <c r="I650" s="729">
        <f t="shared" ref="I650:N650" si="237">I112</f>
        <v>1</v>
      </c>
      <c r="J650" s="729">
        <f t="shared" si="237"/>
        <v>1</v>
      </c>
      <c r="K650" s="729">
        <f t="shared" si="237"/>
        <v>1</v>
      </c>
      <c r="L650" s="729">
        <f t="shared" si="237"/>
        <v>1</v>
      </c>
      <c r="M650" s="729">
        <f t="shared" si="237"/>
        <v>1</v>
      </c>
      <c r="N650" s="729">
        <f t="shared" si="237"/>
        <v>1</v>
      </c>
    </row>
    <row r="651" spans="2:16" x14ac:dyDescent="0.2">
      <c r="F651" s="349"/>
      <c r="H651" s="349" t="s">
        <v>1025</v>
      </c>
      <c r="I651" s="729">
        <f t="shared" ref="I651:N651" si="238">I70</f>
        <v>71</v>
      </c>
      <c r="J651" s="729">
        <f t="shared" si="238"/>
        <v>71</v>
      </c>
      <c r="K651" s="729">
        <f t="shared" si="238"/>
        <v>70</v>
      </c>
      <c r="L651" s="729">
        <f t="shared" si="238"/>
        <v>119</v>
      </c>
      <c r="M651" s="729">
        <f t="shared" si="238"/>
        <v>21</v>
      </c>
      <c r="N651" s="729">
        <f t="shared" si="238"/>
        <v>70</v>
      </c>
    </row>
    <row r="652" spans="2:16" x14ac:dyDescent="0.2">
      <c r="F652" s="349"/>
      <c r="H652" s="349" t="s">
        <v>1032</v>
      </c>
      <c r="I652" s="729"/>
      <c r="J652" s="729"/>
      <c r="K652" s="729"/>
      <c r="L652" s="729"/>
      <c r="M652" s="729"/>
      <c r="N652" s="729"/>
    </row>
    <row r="653" spans="2:16" x14ac:dyDescent="0.2">
      <c r="F653" s="349"/>
      <c r="H653" s="349" t="s">
        <v>926</v>
      </c>
      <c r="I653" s="730">
        <f t="shared" ref="I653:N653" si="239">I212</f>
        <v>4</v>
      </c>
      <c r="J653" s="730">
        <f t="shared" si="239"/>
        <v>4</v>
      </c>
      <c r="K653" s="730">
        <f t="shared" si="239"/>
        <v>4</v>
      </c>
      <c r="L653" s="730">
        <f t="shared" si="239"/>
        <v>4</v>
      </c>
      <c r="M653" s="730">
        <f t="shared" si="239"/>
        <v>4</v>
      </c>
      <c r="N653" s="730">
        <f t="shared" si="239"/>
        <v>4</v>
      </c>
    </row>
    <row r="654" spans="2:16" x14ac:dyDescent="0.2">
      <c r="F654" s="349"/>
      <c r="H654" s="349" t="s">
        <v>1027</v>
      </c>
      <c r="I654" s="730">
        <f t="shared" ref="I654:N654" si="240">I304</f>
        <v>1</v>
      </c>
      <c r="J654" s="730">
        <f t="shared" si="240"/>
        <v>1</v>
      </c>
      <c r="K654" s="730">
        <f t="shared" si="240"/>
        <v>1</v>
      </c>
      <c r="L654" s="730">
        <f t="shared" si="240"/>
        <v>1</v>
      </c>
      <c r="M654" s="730">
        <f t="shared" si="240"/>
        <v>1</v>
      </c>
      <c r="N654" s="730">
        <f t="shared" si="240"/>
        <v>1</v>
      </c>
    </row>
    <row r="655" spans="2:16" x14ac:dyDescent="0.2">
      <c r="F655" s="349"/>
      <c r="H655" s="349" t="s">
        <v>1028</v>
      </c>
      <c r="I655" s="730">
        <f t="shared" ref="I655:N655" si="241">I238</f>
        <v>0</v>
      </c>
      <c r="J655" s="730">
        <f t="shared" si="241"/>
        <v>0</v>
      </c>
      <c r="K655" s="730">
        <f t="shared" si="241"/>
        <v>0</v>
      </c>
      <c r="L655" s="730">
        <f t="shared" si="241"/>
        <v>0</v>
      </c>
      <c r="M655" s="730">
        <f t="shared" si="241"/>
        <v>0</v>
      </c>
      <c r="N655" s="730">
        <f t="shared" si="241"/>
        <v>0</v>
      </c>
    </row>
    <row r="656" spans="2:16" x14ac:dyDescent="0.2">
      <c r="F656" s="349"/>
      <c r="H656" s="349" t="s">
        <v>1033</v>
      </c>
      <c r="I656" s="730"/>
      <c r="J656" s="730"/>
      <c r="K656" s="730"/>
      <c r="L656" s="730"/>
      <c r="M656" s="730"/>
      <c r="N656" s="730"/>
    </row>
    <row r="657" spans="6:14" x14ac:dyDescent="0.2">
      <c r="F657" s="349"/>
      <c r="H657" s="349" t="s">
        <v>923</v>
      </c>
      <c r="I657" s="730">
        <f t="shared" ref="I657:N657" si="242">I237</f>
        <v>1</v>
      </c>
      <c r="J657" s="730">
        <f t="shared" si="242"/>
        <v>1</v>
      </c>
      <c r="K657" s="730">
        <f t="shared" si="242"/>
        <v>1</v>
      </c>
      <c r="L657" s="730">
        <f t="shared" si="242"/>
        <v>1</v>
      </c>
      <c r="M657" s="730">
        <f t="shared" si="242"/>
        <v>1</v>
      </c>
      <c r="N657" s="730">
        <f t="shared" si="242"/>
        <v>1</v>
      </c>
    </row>
    <row r="658" spans="6:14" x14ac:dyDescent="0.2">
      <c r="F658" s="349"/>
      <c r="H658" s="349" t="s">
        <v>1029</v>
      </c>
      <c r="I658" s="730">
        <f t="shared" ref="I658:N658" si="243">I325</f>
        <v>1</v>
      </c>
      <c r="J658" s="730">
        <f t="shared" si="243"/>
        <v>1</v>
      </c>
      <c r="K658" s="730">
        <f t="shared" si="243"/>
        <v>1</v>
      </c>
      <c r="L658" s="730">
        <f t="shared" si="243"/>
        <v>1</v>
      </c>
      <c r="M658" s="730">
        <f t="shared" si="243"/>
        <v>1</v>
      </c>
      <c r="N658" s="730">
        <f t="shared" si="243"/>
        <v>1</v>
      </c>
    </row>
    <row r="659" spans="6:14" x14ac:dyDescent="0.2">
      <c r="F659" s="349"/>
      <c r="H659" s="349" t="s">
        <v>1030</v>
      </c>
      <c r="I659" s="729">
        <f t="shared" ref="I659:N659" si="244">I238</f>
        <v>0</v>
      </c>
      <c r="J659" s="729">
        <f t="shared" si="244"/>
        <v>0</v>
      </c>
      <c r="K659" s="729">
        <f t="shared" si="244"/>
        <v>0</v>
      </c>
      <c r="L659" s="729">
        <f t="shared" si="244"/>
        <v>0</v>
      </c>
      <c r="M659" s="729">
        <f t="shared" si="244"/>
        <v>0</v>
      </c>
      <c r="N659" s="729">
        <f t="shared" si="244"/>
        <v>0</v>
      </c>
    </row>
    <row r="660" spans="6:14" x14ac:dyDescent="0.2">
      <c r="F660" s="349"/>
      <c r="H660" s="349" t="s">
        <v>1034</v>
      </c>
    </row>
    <row r="661" spans="6:14" x14ac:dyDescent="0.2">
      <c r="F661" s="349"/>
      <c r="H661" s="727"/>
      <c r="I661" s="725"/>
      <c r="J661" s="725"/>
      <c r="K661" s="725"/>
      <c r="L661" s="726" t="s">
        <v>269</v>
      </c>
      <c r="M661" s="725"/>
      <c r="N661" s="725"/>
    </row>
    <row r="662" spans="6:14" x14ac:dyDescent="0.2">
      <c r="F662" s="349"/>
      <c r="H662" s="349" t="s">
        <v>506</v>
      </c>
      <c r="I662" s="731">
        <f t="shared" ref="I662:N662" si="245">I12</f>
        <v>53151.1</v>
      </c>
      <c r="J662" s="731">
        <f t="shared" si="245"/>
        <v>48224.7</v>
      </c>
      <c r="K662" s="731">
        <f t="shared" si="245"/>
        <v>41857.199999999997</v>
      </c>
      <c r="L662" s="731">
        <f t="shared" si="245"/>
        <v>40950.1</v>
      </c>
      <c r="M662" s="731">
        <f t="shared" si="245"/>
        <v>32696.7</v>
      </c>
      <c r="N662" s="731">
        <f t="shared" si="245"/>
        <v>33398.6</v>
      </c>
    </row>
    <row r="663" spans="6:14" x14ac:dyDescent="0.2">
      <c r="F663" s="349"/>
      <c r="H663" s="349" t="s">
        <v>1022</v>
      </c>
      <c r="I663" s="732">
        <f t="shared" ref="I663:N663" si="246">I91</f>
        <v>19237.400000000001</v>
      </c>
      <c r="J663" s="732">
        <f t="shared" si="246"/>
        <v>17874</v>
      </c>
      <c r="K663" s="732">
        <f t="shared" si="246"/>
        <v>12070.2</v>
      </c>
      <c r="L663" s="732">
        <f t="shared" si="246"/>
        <v>10134.799999999999</v>
      </c>
      <c r="M663" s="732">
        <f t="shared" si="246"/>
        <v>7918.7</v>
      </c>
      <c r="N663" s="732">
        <f t="shared" si="246"/>
        <v>7191.5</v>
      </c>
    </row>
    <row r="664" spans="6:14" x14ac:dyDescent="0.2">
      <c r="F664" s="349"/>
      <c r="H664" s="349" t="s">
        <v>1023</v>
      </c>
      <c r="I664" s="729"/>
      <c r="J664" s="729"/>
      <c r="K664" s="729"/>
      <c r="L664" s="729"/>
      <c r="M664" s="729"/>
      <c r="N664" s="729"/>
    </row>
    <row r="665" spans="6:14" x14ac:dyDescent="0.2">
      <c r="F665" s="349"/>
      <c r="H665" s="349" t="s">
        <v>1031</v>
      </c>
      <c r="I665" s="729">
        <f t="shared" ref="I665:N665" si="247">I354</f>
        <v>0</v>
      </c>
      <c r="J665" s="729">
        <f t="shared" si="247"/>
        <v>0</v>
      </c>
      <c r="K665" s="729">
        <f t="shared" si="247"/>
        <v>0</v>
      </c>
      <c r="L665" s="729">
        <f t="shared" si="247"/>
        <v>0</v>
      </c>
      <c r="M665" s="729">
        <f t="shared" si="247"/>
        <v>0</v>
      </c>
      <c r="N665" s="729">
        <f t="shared" si="247"/>
        <v>0</v>
      </c>
    </row>
    <row r="666" spans="6:14" x14ac:dyDescent="0.2">
      <c r="F666" s="349"/>
      <c r="H666" s="349" t="s">
        <v>1035</v>
      </c>
      <c r="I666" s="732">
        <f t="shared" ref="I666:N666" si="248">I390</f>
        <v>4.3</v>
      </c>
      <c r="J666" s="732">
        <f t="shared" si="248"/>
        <v>0</v>
      </c>
      <c r="K666" s="732">
        <f t="shared" si="248"/>
        <v>0</v>
      </c>
      <c r="L666" s="732">
        <f t="shared" si="248"/>
        <v>0</v>
      </c>
      <c r="M666" s="732">
        <f t="shared" si="248"/>
        <v>0</v>
      </c>
      <c r="N666" s="732">
        <f t="shared" si="248"/>
        <v>0</v>
      </c>
    </row>
    <row r="667" spans="6:14" x14ac:dyDescent="0.2">
      <c r="H667" s="349" t="s">
        <v>507</v>
      </c>
      <c r="I667" s="732">
        <f t="shared" ref="I667:N667" si="249">I50</f>
        <v>1226943.6000000001</v>
      </c>
      <c r="J667" s="732">
        <f t="shared" si="249"/>
        <v>1058278.7</v>
      </c>
      <c r="K667" s="732">
        <f t="shared" si="249"/>
        <v>853355.8</v>
      </c>
      <c r="L667" s="732">
        <f t="shared" si="249"/>
        <v>846705.5</v>
      </c>
      <c r="M667" s="732">
        <f t="shared" si="249"/>
        <v>669116.6</v>
      </c>
      <c r="N667" s="732">
        <f t="shared" si="249"/>
        <v>625035.30000000005</v>
      </c>
    </row>
    <row r="668" spans="6:14" x14ac:dyDescent="0.2">
      <c r="H668" s="349" t="s">
        <v>1024</v>
      </c>
      <c r="I668" s="731">
        <f t="shared" ref="I668:N668" si="250">I113</f>
        <v>25181.3</v>
      </c>
      <c r="J668" s="731">
        <f t="shared" si="250"/>
        <v>24465.8</v>
      </c>
      <c r="K668" s="731">
        <f t="shared" si="250"/>
        <v>20216.900000000001</v>
      </c>
      <c r="L668" s="731">
        <f t="shared" si="250"/>
        <v>19285.8</v>
      </c>
      <c r="M668" s="731">
        <f t="shared" si="250"/>
        <v>16242.1</v>
      </c>
      <c r="N668" s="731">
        <f t="shared" si="250"/>
        <v>18914.900000000001</v>
      </c>
    </row>
    <row r="669" spans="6:14" x14ac:dyDescent="0.2">
      <c r="H669" s="349" t="s">
        <v>1025</v>
      </c>
      <c r="I669" s="729"/>
      <c r="J669" s="729"/>
      <c r="K669" s="729"/>
      <c r="L669" s="729"/>
      <c r="M669" s="729"/>
      <c r="N669" s="729"/>
    </row>
    <row r="670" spans="6:14" x14ac:dyDescent="0.2">
      <c r="H670" s="349" t="s">
        <v>1032</v>
      </c>
      <c r="I670" s="732">
        <f t="shared" ref="I670:N670" si="251">I369</f>
        <v>1296.8</v>
      </c>
      <c r="J670" s="732">
        <f t="shared" si="251"/>
        <v>43.8</v>
      </c>
      <c r="K670" s="732">
        <f t="shared" si="251"/>
        <v>637.9</v>
      </c>
      <c r="L670" s="732">
        <f t="shared" si="251"/>
        <v>41.9</v>
      </c>
      <c r="M670" s="732">
        <f t="shared" si="251"/>
        <v>78.3</v>
      </c>
      <c r="N670" s="732">
        <f t="shared" si="251"/>
        <v>0</v>
      </c>
    </row>
    <row r="671" spans="6:14" x14ac:dyDescent="0.2">
      <c r="H671" s="349" t="s">
        <v>1036</v>
      </c>
      <c r="I671" s="732">
        <f t="shared" ref="I671:N671" si="252">I402</f>
        <v>0</v>
      </c>
      <c r="J671" s="732">
        <f t="shared" si="252"/>
        <v>0</v>
      </c>
      <c r="K671" s="732">
        <f t="shared" si="252"/>
        <v>0</v>
      </c>
      <c r="L671" s="732">
        <f t="shared" si="252"/>
        <v>0</v>
      </c>
      <c r="M671" s="732">
        <f t="shared" si="252"/>
        <v>0</v>
      </c>
      <c r="N671" s="732">
        <f t="shared" si="252"/>
        <v>0</v>
      </c>
    </row>
    <row r="672" spans="6:14" x14ac:dyDescent="0.2">
      <c r="H672" s="349" t="s">
        <v>926</v>
      </c>
      <c r="I672" s="732">
        <f t="shared" ref="I672:N672" si="253">I216</f>
        <v>6427.1</v>
      </c>
      <c r="J672" s="732">
        <f t="shared" si="253"/>
        <v>16641.3</v>
      </c>
      <c r="K672" s="732">
        <f t="shared" si="253"/>
        <v>26647.9</v>
      </c>
      <c r="L672" s="732">
        <f t="shared" si="253"/>
        <v>27289.7</v>
      </c>
      <c r="M672" s="732">
        <f t="shared" si="253"/>
        <v>34471</v>
      </c>
      <c r="N672" s="732">
        <f t="shared" si="253"/>
        <v>34281.5</v>
      </c>
    </row>
    <row r="673" spans="8:14" x14ac:dyDescent="0.2">
      <c r="H673" s="349" t="s">
        <v>1027</v>
      </c>
      <c r="I673" s="732">
        <f t="shared" ref="I673:N673" si="254">I307</f>
        <v>14068.9</v>
      </c>
      <c r="J673" s="732">
        <f t="shared" si="254"/>
        <v>17212.5</v>
      </c>
      <c r="K673" s="732">
        <f t="shared" si="254"/>
        <v>8255.6</v>
      </c>
      <c r="L673" s="732">
        <f t="shared" si="254"/>
        <v>15450.4</v>
      </c>
      <c r="M673" s="732">
        <f t="shared" si="254"/>
        <v>12167.2</v>
      </c>
      <c r="N673" s="732">
        <f t="shared" si="254"/>
        <v>12750.7</v>
      </c>
    </row>
    <row r="674" spans="8:14" x14ac:dyDescent="0.2">
      <c r="H674" s="349" t="s">
        <v>1028</v>
      </c>
      <c r="I674" s="729"/>
      <c r="J674" s="729"/>
      <c r="K674" s="729"/>
      <c r="L674" s="729"/>
      <c r="M674" s="729"/>
      <c r="N674" s="729"/>
    </row>
    <row r="675" spans="8:14" x14ac:dyDescent="0.2">
      <c r="H675" s="349" t="s">
        <v>1033</v>
      </c>
      <c r="I675" s="731">
        <f t="shared" ref="I675:N675" si="255">I486</f>
        <v>0</v>
      </c>
      <c r="J675" s="731">
        <f t="shared" si="255"/>
        <v>0</v>
      </c>
      <c r="K675" s="731">
        <f t="shared" si="255"/>
        <v>0</v>
      </c>
      <c r="L675" s="731">
        <f t="shared" si="255"/>
        <v>0</v>
      </c>
      <c r="M675" s="731">
        <f t="shared" si="255"/>
        <v>0</v>
      </c>
      <c r="N675" s="731">
        <f t="shared" si="255"/>
        <v>0</v>
      </c>
    </row>
    <row r="676" spans="8:14" x14ac:dyDescent="0.2">
      <c r="H676" s="349" t="s">
        <v>1037</v>
      </c>
      <c r="I676" s="731">
        <f t="shared" ref="I676:N676" si="256">I532</f>
        <v>0</v>
      </c>
      <c r="J676" s="731">
        <f t="shared" si="256"/>
        <v>0</v>
      </c>
      <c r="K676" s="731">
        <f t="shared" si="256"/>
        <v>0</v>
      </c>
      <c r="L676" s="731">
        <f t="shared" si="256"/>
        <v>0</v>
      </c>
      <c r="M676" s="731">
        <f t="shared" si="256"/>
        <v>0</v>
      </c>
      <c r="N676" s="731">
        <f t="shared" si="256"/>
        <v>0</v>
      </c>
    </row>
    <row r="677" spans="8:14" x14ac:dyDescent="0.2">
      <c r="H677" s="349" t="s">
        <v>923</v>
      </c>
      <c r="I677" s="732">
        <f t="shared" ref="I677:N677" si="257">I239</f>
        <v>10770.3</v>
      </c>
      <c r="J677" s="732">
        <f t="shared" si="257"/>
        <v>11616.3</v>
      </c>
      <c r="K677" s="732">
        <f t="shared" si="257"/>
        <v>6832.1</v>
      </c>
      <c r="L677" s="732">
        <f t="shared" si="257"/>
        <v>2999</v>
      </c>
      <c r="M677" s="732">
        <f t="shared" si="257"/>
        <v>4659.2</v>
      </c>
      <c r="N677" s="732">
        <f t="shared" si="257"/>
        <v>5926.1</v>
      </c>
    </row>
    <row r="678" spans="8:14" x14ac:dyDescent="0.2">
      <c r="H678" s="349" t="s">
        <v>1029</v>
      </c>
      <c r="I678" s="732">
        <f t="shared" ref="I678:N678" si="258">I326</f>
        <v>13091.3</v>
      </c>
      <c r="J678" s="732">
        <f t="shared" si="258"/>
        <v>15976.6</v>
      </c>
      <c r="K678" s="732">
        <f t="shared" si="258"/>
        <v>7738.8</v>
      </c>
      <c r="L678" s="732">
        <f t="shared" si="258"/>
        <v>14292.6</v>
      </c>
      <c r="M678" s="732">
        <f t="shared" si="258"/>
        <v>11906.8</v>
      </c>
      <c r="N678" s="732">
        <f t="shared" si="258"/>
        <v>13428.6</v>
      </c>
    </row>
    <row r="679" spans="8:14" x14ac:dyDescent="0.2">
      <c r="H679" s="349" t="s">
        <v>1030</v>
      </c>
      <c r="L679" s="729"/>
    </row>
    <row r="680" spans="8:14" x14ac:dyDescent="0.2">
      <c r="H680" s="349" t="s">
        <v>1034</v>
      </c>
      <c r="I680" s="403">
        <f t="shared" ref="I680:N680" si="259">I505</f>
        <v>0</v>
      </c>
      <c r="J680" s="403">
        <f t="shared" si="259"/>
        <v>0</v>
      </c>
      <c r="K680" s="403">
        <f t="shared" si="259"/>
        <v>0</v>
      </c>
      <c r="L680" s="403">
        <f t="shared" si="259"/>
        <v>0</v>
      </c>
      <c r="M680" s="403">
        <f t="shared" si="259"/>
        <v>0</v>
      </c>
      <c r="N680" s="403">
        <f t="shared" si="259"/>
        <v>0</v>
      </c>
    </row>
    <row r="681" spans="8:14" x14ac:dyDescent="0.2">
      <c r="H681" s="349" t="s">
        <v>1038</v>
      </c>
      <c r="I681" s="403">
        <f t="shared" ref="I681:N681" si="260">I552</f>
        <v>0</v>
      </c>
      <c r="J681" s="403">
        <f t="shared" si="260"/>
        <v>0</v>
      </c>
      <c r="K681" s="403">
        <f t="shared" si="260"/>
        <v>0</v>
      </c>
      <c r="L681" s="403">
        <f t="shared" si="260"/>
        <v>0</v>
      </c>
      <c r="M681" s="403">
        <f t="shared" si="260"/>
        <v>0</v>
      </c>
      <c r="N681" s="403">
        <f t="shared" si="260"/>
        <v>0</v>
      </c>
    </row>
    <row r="682" spans="8:14" x14ac:dyDescent="0.2">
      <c r="H682" s="725"/>
      <c r="I682" s="725"/>
      <c r="J682" s="725"/>
      <c r="K682" s="725"/>
      <c r="L682" s="726" t="s">
        <v>163</v>
      </c>
      <c r="M682" s="725"/>
      <c r="N682" s="725"/>
    </row>
    <row r="683" spans="8:14" x14ac:dyDescent="0.2">
      <c r="H683" s="349" t="s">
        <v>506</v>
      </c>
      <c r="I683" s="728">
        <f t="shared" ref="I683:N683" si="261">I28</f>
        <v>27552.6</v>
      </c>
      <c r="J683" s="728">
        <f t="shared" si="261"/>
        <v>25406.670000000002</v>
      </c>
      <c r="K683" s="728">
        <f t="shared" si="261"/>
        <v>22645.56</v>
      </c>
      <c r="L683" s="728">
        <f t="shared" si="261"/>
        <v>22250.14</v>
      </c>
      <c r="M683" s="728">
        <f t="shared" si="261"/>
        <v>18652.510000000002</v>
      </c>
      <c r="N683" s="728">
        <f t="shared" si="261"/>
        <v>18958.440000000002</v>
      </c>
    </row>
    <row r="684" spans="8:14" x14ac:dyDescent="0.2">
      <c r="H684" s="349" t="s">
        <v>1022</v>
      </c>
      <c r="I684" s="728">
        <f t="shared" ref="I684:N684" si="262">I108</f>
        <v>9626.8919600000008</v>
      </c>
      <c r="J684" s="728">
        <f t="shared" si="262"/>
        <v>9113.4695999999985</v>
      </c>
      <c r="K684" s="728">
        <f t="shared" si="262"/>
        <v>6835.6301400000002</v>
      </c>
      <c r="L684" s="728">
        <f t="shared" si="262"/>
        <v>5690.9183599999988</v>
      </c>
      <c r="M684" s="728">
        <f t="shared" si="262"/>
        <v>4836.3165899999995</v>
      </c>
      <c r="N684" s="728">
        <f t="shared" si="262"/>
        <v>4492.67155</v>
      </c>
    </row>
    <row r="685" spans="8:14" x14ac:dyDescent="0.2">
      <c r="H685" s="349" t="s">
        <v>1023</v>
      </c>
      <c r="I685" s="728">
        <f t="shared" ref="I685:N685" si="263">I39</f>
        <v>0</v>
      </c>
      <c r="J685" s="728">
        <f t="shared" si="263"/>
        <v>0</v>
      </c>
      <c r="K685" s="728">
        <f t="shared" si="263"/>
        <v>0</v>
      </c>
      <c r="L685" s="728">
        <f t="shared" si="263"/>
        <v>0</v>
      </c>
      <c r="M685" s="728">
        <f t="shared" si="263"/>
        <v>0</v>
      </c>
      <c r="N685" s="728">
        <f t="shared" si="263"/>
        <v>0</v>
      </c>
    </row>
    <row r="686" spans="8:14" x14ac:dyDescent="0.2">
      <c r="H686" s="349" t="s">
        <v>1031</v>
      </c>
      <c r="I686" s="728">
        <f t="shared" ref="I686:N686" si="264">I362</f>
        <v>0</v>
      </c>
      <c r="J686" s="728">
        <f t="shared" si="264"/>
        <v>0</v>
      </c>
      <c r="K686" s="728">
        <f t="shared" si="264"/>
        <v>0</v>
      </c>
      <c r="L686" s="728">
        <f t="shared" si="264"/>
        <v>0</v>
      </c>
      <c r="M686" s="728">
        <f t="shared" si="264"/>
        <v>0</v>
      </c>
      <c r="N686" s="728">
        <f t="shared" si="264"/>
        <v>0</v>
      </c>
    </row>
    <row r="687" spans="8:14" x14ac:dyDescent="0.2">
      <c r="H687" s="349" t="s">
        <v>1035</v>
      </c>
      <c r="I687" s="728">
        <f t="shared" ref="I687:N687" si="265">I398</f>
        <v>12.05</v>
      </c>
      <c r="J687" s="728">
        <f t="shared" si="265"/>
        <v>0</v>
      </c>
      <c r="K687" s="728">
        <f t="shared" si="265"/>
        <v>0</v>
      </c>
      <c r="L687" s="728">
        <f t="shared" si="265"/>
        <v>0</v>
      </c>
      <c r="M687" s="728">
        <f t="shared" si="265"/>
        <v>0</v>
      </c>
      <c r="N687" s="728">
        <f t="shared" si="265"/>
        <v>0</v>
      </c>
    </row>
    <row r="688" spans="8:14" x14ac:dyDescent="0.2">
      <c r="H688" s="349" t="s">
        <v>507</v>
      </c>
      <c r="I688" s="728">
        <f t="shared" ref="I688:N688" si="266">I67</f>
        <v>571665.20999999985</v>
      </c>
      <c r="J688" s="728">
        <f t="shared" si="266"/>
        <v>492494.27</v>
      </c>
      <c r="K688" s="728">
        <f t="shared" si="266"/>
        <v>404583.26</v>
      </c>
      <c r="L688" s="728">
        <f t="shared" si="266"/>
        <v>403637.36</v>
      </c>
      <c r="M688" s="728">
        <f t="shared" si="266"/>
        <v>323906.70999999996</v>
      </c>
      <c r="N688" s="728">
        <f t="shared" si="266"/>
        <v>308400.03999999998</v>
      </c>
    </row>
    <row r="689" spans="8:14" x14ac:dyDescent="0.2">
      <c r="H689" s="349" t="s">
        <v>1024</v>
      </c>
      <c r="I689" s="728">
        <f t="shared" ref="I689:N689" si="267">I129</f>
        <v>11383</v>
      </c>
      <c r="J689" s="728">
        <f t="shared" si="267"/>
        <v>11075.19</v>
      </c>
      <c r="K689" s="728">
        <f t="shared" si="267"/>
        <v>9247.31</v>
      </c>
      <c r="L689" s="728">
        <f t="shared" si="267"/>
        <v>8846.75</v>
      </c>
      <c r="M689" s="728">
        <f t="shared" si="267"/>
        <v>7537.35</v>
      </c>
      <c r="N689" s="728">
        <f t="shared" si="267"/>
        <v>8687.1899999999987</v>
      </c>
    </row>
    <row r="690" spans="8:14" x14ac:dyDescent="0.2">
      <c r="H690" s="349" t="s">
        <v>1025</v>
      </c>
      <c r="I690" s="728">
        <f t="shared" ref="I690:N690" si="268">I78</f>
        <v>95160.89</v>
      </c>
      <c r="J690" s="728">
        <f t="shared" si="268"/>
        <v>34661.550000000003</v>
      </c>
      <c r="K690" s="728">
        <f t="shared" si="268"/>
        <v>24514.940000000002</v>
      </c>
      <c r="L690" s="728">
        <f t="shared" si="268"/>
        <v>44980.979999999996</v>
      </c>
      <c r="M690" s="728">
        <f t="shared" si="268"/>
        <v>2130.71</v>
      </c>
      <c r="N690" s="728">
        <f t="shared" si="268"/>
        <v>27093.809999999998</v>
      </c>
    </row>
    <row r="691" spans="8:14" x14ac:dyDescent="0.2">
      <c r="H691" s="349" t="s">
        <v>1032</v>
      </c>
      <c r="I691" s="728">
        <f t="shared" ref="I691:N691" si="269">I380</f>
        <v>3626.5</v>
      </c>
      <c r="J691" s="728">
        <f t="shared" si="269"/>
        <v>103.16</v>
      </c>
      <c r="K691" s="728">
        <f t="shared" si="269"/>
        <v>1571.14</v>
      </c>
      <c r="L691" s="728">
        <f t="shared" si="269"/>
        <v>21340.74</v>
      </c>
      <c r="M691" s="728">
        <f t="shared" si="269"/>
        <v>18631.240000000002</v>
      </c>
      <c r="N691" s="728">
        <f t="shared" si="269"/>
        <v>1340.98</v>
      </c>
    </row>
    <row r="692" spans="8:14" x14ac:dyDescent="0.2">
      <c r="H692" s="349" t="s">
        <v>1036</v>
      </c>
      <c r="I692" s="728">
        <f t="shared" ref="I692:N692" si="270">I408</f>
        <v>0</v>
      </c>
      <c r="J692" s="728">
        <f t="shared" si="270"/>
        <v>0</v>
      </c>
      <c r="K692" s="728">
        <f t="shared" si="270"/>
        <v>0</v>
      </c>
      <c r="L692" s="728">
        <f t="shared" si="270"/>
        <v>0</v>
      </c>
      <c r="M692" s="728">
        <f t="shared" si="270"/>
        <v>0</v>
      </c>
      <c r="N692" s="728">
        <f t="shared" si="270"/>
        <v>0</v>
      </c>
    </row>
    <row r="693" spans="8:14" x14ac:dyDescent="0.2">
      <c r="H693" s="349" t="s">
        <v>926</v>
      </c>
      <c r="I693" s="728">
        <f t="shared" ref="I693:N693" si="271">I233-I226</f>
        <v>21222.049150000003</v>
      </c>
      <c r="J693" s="728">
        <f t="shared" si="271"/>
        <v>53123.077450000004</v>
      </c>
      <c r="K693" s="728">
        <f t="shared" si="271"/>
        <v>71038.268350000013</v>
      </c>
      <c r="L693" s="728">
        <f t="shared" si="271"/>
        <v>77636.244739999995</v>
      </c>
      <c r="M693" s="728">
        <f t="shared" si="271"/>
        <v>98806.278200000001</v>
      </c>
      <c r="N693" s="728">
        <f t="shared" si="271"/>
        <v>97744.142299999992</v>
      </c>
    </row>
    <row r="694" spans="8:14" x14ac:dyDescent="0.2">
      <c r="H694" s="349" t="s">
        <v>1027</v>
      </c>
      <c r="I694" s="728">
        <f t="shared" ref="I694:N694" si="272">I322</f>
        <v>41898.492159999994</v>
      </c>
      <c r="J694" s="728">
        <f t="shared" si="272"/>
        <v>51137.539999999994</v>
      </c>
      <c r="K694" s="728">
        <f t="shared" si="272"/>
        <v>20735.409400000004</v>
      </c>
      <c r="L694" s="728">
        <f t="shared" si="272"/>
        <v>48301.56768</v>
      </c>
      <c r="M694" s="728">
        <f t="shared" si="272"/>
        <v>38165.010240000003</v>
      </c>
      <c r="N694" s="728">
        <f t="shared" si="272"/>
        <v>39966.51094</v>
      </c>
    </row>
    <row r="695" spans="8:14" x14ac:dyDescent="0.2">
      <c r="H695" s="349" t="s">
        <v>1028</v>
      </c>
      <c r="I695" s="728">
        <f t="shared" ref="I695:N695" si="273">I226</f>
        <v>525</v>
      </c>
      <c r="J695" s="728">
        <f t="shared" si="273"/>
        <v>525</v>
      </c>
      <c r="K695" s="728">
        <f t="shared" si="273"/>
        <v>525</v>
      </c>
      <c r="L695" s="728">
        <f t="shared" si="273"/>
        <v>525</v>
      </c>
      <c r="M695" s="728">
        <f t="shared" si="273"/>
        <v>525</v>
      </c>
      <c r="N695" s="728">
        <f t="shared" si="273"/>
        <v>525</v>
      </c>
    </row>
    <row r="696" spans="8:14" x14ac:dyDescent="0.2">
      <c r="H696" s="349" t="s">
        <v>1033</v>
      </c>
      <c r="I696" s="728">
        <f t="shared" ref="I696:N696" si="274">I502</f>
        <v>5108.24</v>
      </c>
      <c r="J696" s="728">
        <f t="shared" si="274"/>
        <v>3239.9</v>
      </c>
      <c r="K696" s="728">
        <f t="shared" si="274"/>
        <v>13781.52</v>
      </c>
      <c r="L696" s="728">
        <f t="shared" si="274"/>
        <v>6386.16</v>
      </c>
      <c r="M696" s="728">
        <f t="shared" si="274"/>
        <v>6152.88</v>
      </c>
      <c r="N696" s="728">
        <f t="shared" si="274"/>
        <v>4215.74</v>
      </c>
    </row>
    <row r="697" spans="8:14" x14ac:dyDescent="0.2">
      <c r="H697" s="349" t="s">
        <v>1037</v>
      </c>
      <c r="I697" s="728">
        <f t="shared" ref="I697:N697" si="275">I548</f>
        <v>425.08000000000004</v>
      </c>
      <c r="J697" s="728">
        <f t="shared" si="275"/>
        <v>425.08000000000004</v>
      </c>
      <c r="K697" s="728">
        <f t="shared" si="275"/>
        <v>426.03999999999996</v>
      </c>
      <c r="L697" s="728">
        <f t="shared" si="275"/>
        <v>439.54</v>
      </c>
      <c r="M697" s="728">
        <f t="shared" si="275"/>
        <v>439.54</v>
      </c>
      <c r="N697" s="728">
        <f t="shared" si="275"/>
        <v>439.54</v>
      </c>
    </row>
    <row r="698" spans="8:14" x14ac:dyDescent="0.2">
      <c r="H698" s="349" t="s">
        <v>923</v>
      </c>
      <c r="I698" s="728">
        <f t="shared" ref="I698:N698" si="276">I252</f>
        <v>17010.249220000002</v>
      </c>
      <c r="J698" s="728">
        <f t="shared" si="276"/>
        <v>18303.189619999997</v>
      </c>
      <c r="K698" s="728">
        <f t="shared" si="276"/>
        <v>10991.500539999999</v>
      </c>
      <c r="L698" s="728">
        <f t="shared" si="276"/>
        <v>5183.7548999999999</v>
      </c>
      <c r="M698" s="728">
        <f t="shared" si="276"/>
        <v>7748.9299199999987</v>
      </c>
      <c r="N698" s="728">
        <f t="shared" si="276"/>
        <v>9706.4171100000003</v>
      </c>
    </row>
    <row r="699" spans="8:14" x14ac:dyDescent="0.2">
      <c r="H699" s="349" t="s">
        <v>1029</v>
      </c>
      <c r="I699" s="728">
        <f t="shared" ref="I699:N699" si="277">I339</f>
        <v>18380.352449999998</v>
      </c>
      <c r="J699" s="728">
        <f t="shared" si="277"/>
        <v>22310.125900000003</v>
      </c>
      <c r="K699" s="728">
        <f t="shared" si="277"/>
        <v>11090.236200000001</v>
      </c>
      <c r="L699" s="728">
        <f t="shared" si="277"/>
        <v>29283.842920000003</v>
      </c>
      <c r="M699" s="728">
        <f t="shared" si="277"/>
        <v>24487.430559999997</v>
      </c>
      <c r="N699" s="728">
        <f t="shared" si="277"/>
        <v>27546.864119999998</v>
      </c>
    </row>
    <row r="700" spans="8:14" x14ac:dyDescent="0.2">
      <c r="H700" s="349" t="s">
        <v>1030</v>
      </c>
      <c r="I700" s="728"/>
      <c r="J700" s="728"/>
      <c r="K700" s="728"/>
      <c r="L700" s="728"/>
      <c r="M700" s="728"/>
      <c r="N700" s="728"/>
    </row>
    <row r="701" spans="8:14" x14ac:dyDescent="0.2">
      <c r="H701" s="349" t="s">
        <v>1034</v>
      </c>
      <c r="I701" s="728">
        <f t="shared" ref="I701:N701" si="278">I519</f>
        <v>3088.31</v>
      </c>
      <c r="J701" s="728">
        <f t="shared" si="278"/>
        <v>3088.31</v>
      </c>
      <c r="K701" s="728">
        <f t="shared" si="278"/>
        <v>3098.35</v>
      </c>
      <c r="L701" s="728">
        <f t="shared" si="278"/>
        <v>3238.87</v>
      </c>
      <c r="M701" s="728">
        <f t="shared" si="278"/>
        <v>3238.87</v>
      </c>
      <c r="N701" s="728">
        <f t="shared" si="278"/>
        <v>3238.87</v>
      </c>
    </row>
    <row r="702" spans="8:14" x14ac:dyDescent="0.2">
      <c r="H702" s="349" t="s">
        <v>1038</v>
      </c>
      <c r="I702" s="728">
        <f t="shared" ref="I702:N702" si="279">I566</f>
        <v>3088.31</v>
      </c>
      <c r="J702" s="728">
        <f t="shared" si="279"/>
        <v>3088.31</v>
      </c>
      <c r="K702" s="728">
        <f t="shared" si="279"/>
        <v>3098.35</v>
      </c>
      <c r="L702" s="728">
        <f t="shared" si="279"/>
        <v>3238.87</v>
      </c>
      <c r="M702" s="728">
        <f t="shared" si="279"/>
        <v>3238.87</v>
      </c>
      <c r="N702" s="728">
        <f t="shared" si="279"/>
        <v>3238.87</v>
      </c>
    </row>
    <row r="704" spans="8:14" x14ac:dyDescent="0.2">
      <c r="H704" s="320" t="s">
        <v>1042</v>
      </c>
      <c r="I704" s="733">
        <f t="shared" ref="I704:N704" si="280">SUM(I683:I702)</f>
        <v>829773.22493999987</v>
      </c>
      <c r="J704" s="733">
        <f t="shared" si="280"/>
        <v>728094.8425700001</v>
      </c>
      <c r="K704" s="733">
        <f t="shared" si="280"/>
        <v>604182.51463000011</v>
      </c>
      <c r="L704" s="733">
        <f t="shared" si="280"/>
        <v>680980.73860000004</v>
      </c>
      <c r="M704" s="733">
        <f t="shared" si="280"/>
        <v>558497.64550999994</v>
      </c>
      <c r="N704" s="733">
        <f t="shared" si="280"/>
        <v>555595.08601999993</v>
      </c>
    </row>
    <row r="706" spans="8:14" x14ac:dyDescent="0.2">
      <c r="H706" s="320" t="s">
        <v>1041</v>
      </c>
      <c r="I706" s="733">
        <f t="shared" ref="I706:N706" si="281">I683+I684+I685+I688+I689+I690+I693+I694+I695+I698+I699</f>
        <v>814424.73493999988</v>
      </c>
      <c r="J706" s="733">
        <f t="shared" si="281"/>
        <v>718150.08256999997</v>
      </c>
      <c r="K706" s="733">
        <f t="shared" si="281"/>
        <v>582207.11463000008</v>
      </c>
      <c r="L706" s="733">
        <f t="shared" si="281"/>
        <v>646336.55859999987</v>
      </c>
      <c r="M706" s="733">
        <f t="shared" si="281"/>
        <v>526796.24551000004</v>
      </c>
      <c r="N706" s="733">
        <f t="shared" si="281"/>
        <v>543121.08601999993</v>
      </c>
    </row>
    <row r="708" spans="8:14" x14ac:dyDescent="0.2">
      <c r="H708" s="320" t="s">
        <v>1040</v>
      </c>
      <c r="I708" s="733">
        <f t="shared" ref="I708:N708" si="282">I686+I687+I691+I692+I696+I697+I701+I702</f>
        <v>15348.49</v>
      </c>
      <c r="J708" s="733">
        <f t="shared" si="282"/>
        <v>9944.76</v>
      </c>
      <c r="K708" s="733">
        <f t="shared" si="282"/>
        <v>21975.399999999998</v>
      </c>
      <c r="L708" s="733">
        <f t="shared" si="282"/>
        <v>34644.18</v>
      </c>
      <c r="M708" s="733">
        <f t="shared" si="282"/>
        <v>31701.4</v>
      </c>
      <c r="N708" s="733">
        <f t="shared" si="282"/>
        <v>12474</v>
      </c>
    </row>
    <row r="710" spans="8:14" x14ac:dyDescent="0.2">
      <c r="H710" s="320" t="s">
        <v>1044</v>
      </c>
      <c r="I710" s="733">
        <f>SUMIF('Bruise Report-Tariff'!$A$5:$A$76,'Mar16-Aug16 FT-TS-Cashout-LG&amp;E'!I$4,'Bruise Report-Tariff'!$C$5:$C$76)</f>
        <v>922242.86</v>
      </c>
      <c r="J710" s="733">
        <f>SUMIF('Bruise Report-Tariff'!$A$5:$A$76,'Mar16-Aug16 FT-TS-Cashout-LG&amp;E'!J$4,'Bruise Report-Tariff'!$C$5:$C$76)</f>
        <v>829092.19000000018</v>
      </c>
      <c r="K710" s="733">
        <f>SUMIF('Bruise Report-Tariff'!$A$5:$A$76,'Mar16-Aug16 FT-TS-Cashout-LG&amp;E'!K$4,'Bruise Report-Tariff'!$C$5:$C$76)</f>
        <v>690567.02</v>
      </c>
      <c r="L710" s="733">
        <f>SUMIF('Bruise Report-Tariff'!$A$5:$A$76,'Mar16-Aug16 FT-TS-Cashout-LG&amp;E'!L$4,'Bruise Report-Tariff'!$C$5:$C$76)</f>
        <v>738589.55999999994</v>
      </c>
      <c r="M710" s="733">
        <f>SUMIF('Bruise Report-Tariff'!$A$5:$A$76,'Mar16-Aug16 FT-TS-Cashout-LG&amp;E'!M$4,'Bruise Report-Tariff'!$C$5:$C$76)</f>
        <v>667695.43000000005</v>
      </c>
      <c r="N710" s="733">
        <f>SUMIF('Bruise Report-Tariff'!$A$5:$A$76,'Mar16-Aug16 FT-TS-Cashout-LG&amp;E'!N$4,'Bruise Report-Tariff'!$C$5:$C$76)</f>
        <v>663875.97</v>
      </c>
    </row>
    <row r="711" spans="8:14" x14ac:dyDescent="0.2">
      <c r="H711" s="320" t="s">
        <v>1043</v>
      </c>
      <c r="I711" s="735">
        <f t="shared" ref="I711:N711" si="283">-I597</f>
        <v>-107818.13</v>
      </c>
      <c r="J711" s="735">
        <f t="shared" si="283"/>
        <v>-110942.16</v>
      </c>
      <c r="K711" s="735">
        <f t="shared" si="283"/>
        <v>-108359.91000000002</v>
      </c>
      <c r="L711" s="735">
        <f t="shared" si="283"/>
        <v>-112077.09000000001</v>
      </c>
      <c r="M711" s="735">
        <f t="shared" si="283"/>
        <v>-121126.85</v>
      </c>
      <c r="N711" s="735">
        <f t="shared" si="283"/>
        <v>-120754.87000000001</v>
      </c>
    </row>
    <row r="712" spans="8:14" x14ac:dyDescent="0.2">
      <c r="I712" s="733">
        <f t="shared" ref="I712:N712" si="284">SUM(I710:I711)</f>
        <v>814424.73</v>
      </c>
      <c r="J712" s="733">
        <f t="shared" si="284"/>
        <v>718150.03000000014</v>
      </c>
      <c r="K712" s="733">
        <f t="shared" si="284"/>
        <v>582207.11</v>
      </c>
      <c r="L712" s="733">
        <f t="shared" si="284"/>
        <v>626512.47</v>
      </c>
      <c r="M712" s="733">
        <f t="shared" si="284"/>
        <v>546568.58000000007</v>
      </c>
      <c r="N712" s="733">
        <f t="shared" si="284"/>
        <v>543121.1</v>
      </c>
    </row>
    <row r="713" spans="8:14" x14ac:dyDescent="0.2">
      <c r="I713" s="734">
        <f t="shared" ref="I713:N713" si="285">I706</f>
        <v>814424.73493999988</v>
      </c>
      <c r="J713" s="734">
        <f t="shared" si="285"/>
        <v>718150.08256999997</v>
      </c>
      <c r="K713" s="734">
        <f t="shared" si="285"/>
        <v>582207.11463000008</v>
      </c>
      <c r="L713" s="734">
        <f t="shared" si="285"/>
        <v>646336.55859999987</v>
      </c>
      <c r="M713" s="734">
        <f t="shared" si="285"/>
        <v>526796.24551000004</v>
      </c>
      <c r="N713" s="734">
        <f t="shared" si="285"/>
        <v>543121.08601999993</v>
      </c>
    </row>
    <row r="714" spans="8:14" x14ac:dyDescent="0.2">
      <c r="I714" s="733">
        <f t="shared" ref="I714:N714" si="286">I712-I713</f>
        <v>-4.9399998970329762E-3</v>
      </c>
      <c r="J714" s="733">
        <f t="shared" si="286"/>
        <v>-5.2569999825209379E-2</v>
      </c>
      <c r="K714" s="733">
        <f t="shared" si="286"/>
        <v>-4.6300000976771116E-3</v>
      </c>
      <c r="L714" s="733">
        <f t="shared" si="286"/>
        <v>-19824.088599999901</v>
      </c>
      <c r="M714" s="733">
        <f t="shared" si="286"/>
        <v>19772.334490000037</v>
      </c>
      <c r="N714" s="733">
        <f t="shared" si="286"/>
        <v>1.3980000047013164E-2</v>
      </c>
    </row>
    <row r="716" spans="8:14" x14ac:dyDescent="0.2">
      <c r="H716" s="320" t="s">
        <v>1045</v>
      </c>
      <c r="I716" s="733">
        <f>SUMIF('Bruise Report-Cashouts'!$A$5:$A$76,'Mar16-Aug16 FT-TS-Cashout-LG&amp;E'!I$4,'Bruise Report-Cashouts'!$C$5:$C$76)</f>
        <v>16148.47</v>
      </c>
      <c r="J716" s="733">
        <f>SUMIF('Bruise Report-Cashouts'!$A$5:$A$76,'Mar16-Aug16 FT-TS-Cashout-LG&amp;E'!J$4,'Bruise Report-Cashouts'!$C$5:$C$76)</f>
        <v>10744.76</v>
      </c>
      <c r="K716" s="733">
        <f>SUMIF('Bruise Report-Cashouts'!$A$5:$A$76,'Mar16-Aug16 FT-TS-Cashout-LG&amp;E'!K$4,'Bruise Report-Cashouts'!$C$5:$C$76)</f>
        <v>22775.4</v>
      </c>
      <c r="L716" s="733">
        <f>SUMIF('Bruise Report-Cashouts'!$A$5:$A$76,'Mar16-Aug16 FT-TS-Cashout-LG&amp;E'!L$4,'Bruise Report-Cashouts'!$C$5:$C$76)</f>
        <v>35444.18</v>
      </c>
      <c r="M716" s="733">
        <f>SUMIF('Bruise Report-Cashouts'!$A$5:$A$76,'Mar16-Aug16 FT-TS-Cashout-LG&amp;E'!M$4,'Bruise Report-Cashouts'!$C$5:$C$76)</f>
        <v>32501.41</v>
      </c>
      <c r="N716" s="733">
        <f>SUMIF('Bruise Report-Cashouts'!$A$5:$A$76,'Mar16-Aug16 FT-TS-Cashout-LG&amp;E'!N$4,'Bruise Report-Cashouts'!$C$5:$C$76)</f>
        <v>13274</v>
      </c>
    </row>
    <row r="717" spans="8:14" x14ac:dyDescent="0.2">
      <c r="H717" s="320" t="s">
        <v>1043</v>
      </c>
      <c r="I717" s="735">
        <f t="shared" ref="I717:N717" si="287">-I616</f>
        <v>-800</v>
      </c>
      <c r="J717" s="735">
        <f t="shared" si="287"/>
        <v>-800</v>
      </c>
      <c r="K717" s="735">
        <f t="shared" si="287"/>
        <v>-800</v>
      </c>
      <c r="L717" s="735">
        <f t="shared" si="287"/>
        <v>-800</v>
      </c>
      <c r="M717" s="735">
        <f t="shared" si="287"/>
        <v>-800</v>
      </c>
      <c r="N717" s="735">
        <f t="shared" si="287"/>
        <v>-800</v>
      </c>
    </row>
    <row r="718" spans="8:14" x14ac:dyDescent="0.2">
      <c r="I718" s="733">
        <f t="shared" ref="I718:N718" si="288">SUM(I716:I717)</f>
        <v>15348.47</v>
      </c>
      <c r="J718" s="733">
        <f t="shared" si="288"/>
        <v>9944.76</v>
      </c>
      <c r="K718" s="733">
        <f t="shared" si="288"/>
        <v>21975.4</v>
      </c>
      <c r="L718" s="733">
        <f t="shared" si="288"/>
        <v>34644.18</v>
      </c>
      <c r="M718" s="733">
        <f t="shared" si="288"/>
        <v>31701.41</v>
      </c>
      <c r="N718" s="733">
        <f t="shared" si="288"/>
        <v>12474</v>
      </c>
    </row>
    <row r="719" spans="8:14" x14ac:dyDescent="0.2">
      <c r="I719" s="734">
        <f t="shared" ref="I719:N719" si="289">I708</f>
        <v>15348.49</v>
      </c>
      <c r="J719" s="734">
        <f t="shared" si="289"/>
        <v>9944.76</v>
      </c>
      <c r="K719" s="734">
        <f t="shared" si="289"/>
        <v>21975.399999999998</v>
      </c>
      <c r="L719" s="734">
        <f t="shared" si="289"/>
        <v>34644.18</v>
      </c>
      <c r="M719" s="734">
        <f t="shared" si="289"/>
        <v>31701.4</v>
      </c>
      <c r="N719" s="734">
        <f t="shared" si="289"/>
        <v>12474</v>
      </c>
    </row>
    <row r="720" spans="8:14" x14ac:dyDescent="0.2">
      <c r="I720" s="733">
        <f t="shared" ref="I720:N720" si="290">I718-I719</f>
        <v>-2.0000000000436557E-2</v>
      </c>
      <c r="J720" s="733">
        <f t="shared" si="290"/>
        <v>0</v>
      </c>
      <c r="K720" s="733">
        <f t="shared" si="290"/>
        <v>0</v>
      </c>
      <c r="L720" s="733">
        <f t="shared" si="290"/>
        <v>0</v>
      </c>
      <c r="M720" s="733">
        <f t="shared" si="290"/>
        <v>9.9999999983992893E-3</v>
      </c>
      <c r="N720" s="733">
        <f t="shared" si="290"/>
        <v>0</v>
      </c>
    </row>
  </sheetData>
  <pageMargins left="0.7" right="0.7" top="0.75" bottom="0.75" header="0.3" footer="0.3"/>
  <pageSetup scale="60" orientation="portrait" r:id="rId1"/>
  <rowBreaks count="2" manualBreakCount="2">
    <brk id="87" max="20" man="1"/>
    <brk id="57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EX53"/>
  <sheetViews>
    <sheetView topLeftCell="A30" workbookViewId="0">
      <selection activeCell="B65" sqref="B65"/>
    </sheetView>
  </sheetViews>
  <sheetFormatPr defaultRowHeight="15" x14ac:dyDescent="0.25"/>
  <cols>
    <col min="1" max="1" width="27.5703125" style="738" customWidth="1"/>
    <col min="2" max="2" width="37.28515625" style="738" bestFit="1" customWidth="1"/>
    <col min="3" max="4" width="15.85546875" style="738" customWidth="1"/>
    <col min="5" max="5" width="40.85546875" style="738" customWidth="1"/>
    <col min="6" max="6" width="18.7109375" style="738" customWidth="1"/>
    <col min="7" max="10" width="9.7109375" style="738" customWidth="1"/>
    <col min="11" max="13" width="11.28515625" style="738" customWidth="1"/>
    <col min="14" max="41" width="11.28515625" style="738" bestFit="1" customWidth="1"/>
    <col min="42" max="137" width="11.28515625" bestFit="1" customWidth="1"/>
    <col min="155" max="16384" width="9.140625" style="738"/>
  </cols>
  <sheetData>
    <row r="1" spans="1:41" x14ac:dyDescent="0.25">
      <c r="A1" s="737" t="s">
        <v>1060</v>
      </c>
    </row>
    <row r="2" spans="1:41" x14ac:dyDescent="0.25">
      <c r="A2" s="737" t="s">
        <v>1061</v>
      </c>
    </row>
    <row r="3" spans="1:41" x14ac:dyDescent="0.25">
      <c r="A3" s="739"/>
      <c r="B3" s="740"/>
      <c r="C3" s="741"/>
      <c r="D3" s="741"/>
      <c r="E3" s="741"/>
      <c r="F3" s="742">
        <v>2016</v>
      </c>
      <c r="G3" s="743"/>
      <c r="H3" s="743"/>
      <c r="I3" s="743"/>
      <c r="J3" s="743"/>
      <c r="K3" s="743"/>
      <c r="L3" s="743"/>
      <c r="M3" s="743"/>
      <c r="N3" s="743"/>
      <c r="O3" s="743"/>
      <c r="P3" s="743"/>
      <c r="Q3" s="744"/>
      <c r="R3" s="745">
        <v>2017</v>
      </c>
      <c r="S3" s="746"/>
      <c r="T3" s="746"/>
      <c r="U3" s="746"/>
      <c r="V3" s="746"/>
      <c r="W3" s="746"/>
      <c r="X3" s="746"/>
      <c r="Y3" s="746"/>
      <c r="Z3" s="746"/>
      <c r="AA3" s="746"/>
      <c r="AB3" s="746"/>
      <c r="AC3" s="746"/>
      <c r="AD3" s="745">
        <v>2018</v>
      </c>
      <c r="AE3" s="746"/>
      <c r="AF3" s="746"/>
      <c r="AG3" s="746"/>
      <c r="AH3" s="746"/>
      <c r="AI3" s="746"/>
      <c r="AJ3" s="746"/>
      <c r="AK3" s="746"/>
      <c r="AL3" s="746"/>
      <c r="AM3" s="746"/>
      <c r="AN3" s="746"/>
      <c r="AO3" s="746"/>
    </row>
    <row r="4" spans="1:41" x14ac:dyDescent="0.25">
      <c r="A4" s="747" t="s">
        <v>1062</v>
      </c>
      <c r="B4" s="748" t="s">
        <v>1063</v>
      </c>
      <c r="C4" s="748"/>
      <c r="D4" s="748"/>
      <c r="E4" s="748" t="s">
        <v>1064</v>
      </c>
      <c r="F4" s="749">
        <v>1</v>
      </c>
      <c r="G4" s="748">
        <v>2</v>
      </c>
      <c r="H4" s="748">
        <v>3</v>
      </c>
      <c r="I4" s="748">
        <v>4</v>
      </c>
      <c r="J4" s="748">
        <v>5</v>
      </c>
      <c r="K4" s="748">
        <v>6</v>
      </c>
      <c r="L4" s="748">
        <v>7</v>
      </c>
      <c r="M4" s="748">
        <v>8</v>
      </c>
      <c r="N4" s="748">
        <v>9</v>
      </c>
      <c r="O4" s="748">
        <v>10</v>
      </c>
      <c r="P4" s="748">
        <v>11</v>
      </c>
      <c r="Q4" s="750">
        <v>12</v>
      </c>
      <c r="R4" s="748">
        <v>1</v>
      </c>
      <c r="S4" s="748">
        <v>2</v>
      </c>
      <c r="T4" s="748">
        <v>3</v>
      </c>
      <c r="U4" s="748">
        <v>4</v>
      </c>
      <c r="V4" s="748">
        <v>5</v>
      </c>
      <c r="W4" s="748">
        <v>6</v>
      </c>
      <c r="X4" s="748">
        <v>7</v>
      </c>
      <c r="Y4" s="748">
        <v>8</v>
      </c>
      <c r="Z4" s="748">
        <v>9</v>
      </c>
      <c r="AA4" s="748">
        <v>10</v>
      </c>
      <c r="AB4" s="748">
        <v>11</v>
      </c>
      <c r="AC4" s="748">
        <v>12</v>
      </c>
      <c r="AD4" s="751">
        <v>1</v>
      </c>
      <c r="AE4" s="748">
        <v>2</v>
      </c>
      <c r="AF4" s="748">
        <v>3</v>
      </c>
      <c r="AG4" s="748">
        <v>4</v>
      </c>
      <c r="AH4" s="748">
        <v>5</v>
      </c>
      <c r="AI4" s="748">
        <v>6</v>
      </c>
      <c r="AJ4" s="748">
        <v>7</v>
      </c>
      <c r="AK4" s="748">
        <v>8</v>
      </c>
      <c r="AL4" s="748">
        <v>9</v>
      </c>
      <c r="AM4" s="748">
        <v>10</v>
      </c>
      <c r="AN4" s="748">
        <v>11</v>
      </c>
      <c r="AO4" s="748">
        <v>12</v>
      </c>
    </row>
    <row r="5" spans="1:41" x14ac:dyDescent="0.25">
      <c r="A5" s="752" t="s">
        <v>28</v>
      </c>
      <c r="B5" s="547" t="s">
        <v>129</v>
      </c>
      <c r="C5" s="547"/>
      <c r="D5" s="547" t="s">
        <v>35</v>
      </c>
      <c r="E5" s="50" t="s">
        <v>36</v>
      </c>
      <c r="F5" s="753">
        <v>296053</v>
      </c>
      <c r="G5" s="754">
        <v>296294</v>
      </c>
      <c r="H5" s="754">
        <v>296555</v>
      </c>
      <c r="I5" s="754">
        <v>295932</v>
      </c>
      <c r="J5" s="754">
        <v>294880</v>
      </c>
      <c r="K5" s="754">
        <v>294825</v>
      </c>
      <c r="L5" s="754">
        <v>294456</v>
      </c>
      <c r="M5" s="754">
        <v>294405</v>
      </c>
      <c r="N5" s="754">
        <v>294038</v>
      </c>
      <c r="O5" s="754">
        <v>294363</v>
      </c>
      <c r="P5" s="754">
        <v>295026</v>
      </c>
      <c r="Q5" s="755">
        <v>296103</v>
      </c>
      <c r="R5" s="754">
        <v>296660</v>
      </c>
      <c r="S5" s="754">
        <v>296902</v>
      </c>
      <c r="T5" s="754">
        <v>297166</v>
      </c>
      <c r="U5" s="754">
        <v>296546</v>
      </c>
      <c r="V5" s="754">
        <v>295996</v>
      </c>
      <c r="W5" s="754">
        <v>295913</v>
      </c>
      <c r="X5" s="754">
        <v>295517</v>
      </c>
      <c r="Y5" s="754">
        <v>295440</v>
      </c>
      <c r="Z5" s="754">
        <v>295049</v>
      </c>
      <c r="AA5" s="754">
        <v>295352</v>
      </c>
      <c r="AB5" s="754">
        <v>295494</v>
      </c>
      <c r="AC5" s="754">
        <v>296582</v>
      </c>
      <c r="AD5" s="754">
        <v>297150</v>
      </c>
      <c r="AE5" s="754">
        <v>297403</v>
      </c>
      <c r="AF5" s="754">
        <v>297676</v>
      </c>
      <c r="AG5" s="754">
        <v>297064</v>
      </c>
      <c r="AH5" s="754">
        <v>296521</v>
      </c>
      <c r="AI5" s="754">
        <v>296445</v>
      </c>
      <c r="AJ5" s="754">
        <v>296056</v>
      </c>
      <c r="AK5" s="754">
        <v>295986</v>
      </c>
      <c r="AL5" s="754">
        <v>295600</v>
      </c>
      <c r="AM5" s="754">
        <v>295908</v>
      </c>
      <c r="AN5" s="754">
        <v>296054</v>
      </c>
      <c r="AO5" s="754">
        <v>297145</v>
      </c>
    </row>
    <row r="6" spans="1:41" x14ac:dyDescent="0.25">
      <c r="A6" s="756" t="s">
        <v>28</v>
      </c>
      <c r="B6" s="547" t="s">
        <v>109</v>
      </c>
      <c r="C6" s="813" t="s">
        <v>799</v>
      </c>
      <c r="D6" s="791" t="s">
        <v>26</v>
      </c>
      <c r="E6" s="50" t="s">
        <v>27</v>
      </c>
      <c r="F6" s="753">
        <v>11</v>
      </c>
      <c r="G6" s="754">
        <v>11</v>
      </c>
      <c r="H6" s="754">
        <v>11</v>
      </c>
      <c r="I6" s="754">
        <v>11</v>
      </c>
      <c r="J6" s="754">
        <v>11</v>
      </c>
      <c r="K6" s="754">
        <v>11</v>
      </c>
      <c r="L6" s="754">
        <v>11</v>
      </c>
      <c r="M6" s="754">
        <v>11</v>
      </c>
      <c r="N6" s="754">
        <v>11</v>
      </c>
      <c r="O6" s="754">
        <v>11</v>
      </c>
      <c r="P6" s="754">
        <v>11</v>
      </c>
      <c r="Q6" s="755">
        <v>11</v>
      </c>
      <c r="R6" s="754">
        <v>11</v>
      </c>
      <c r="S6" s="754">
        <v>11</v>
      </c>
      <c r="T6" s="754">
        <v>11</v>
      </c>
      <c r="U6" s="754">
        <v>11</v>
      </c>
      <c r="V6" s="754">
        <v>11</v>
      </c>
      <c r="W6" s="754">
        <v>11</v>
      </c>
      <c r="X6" s="754">
        <v>11</v>
      </c>
      <c r="Y6" s="754">
        <v>11</v>
      </c>
      <c r="Z6" s="754">
        <v>11</v>
      </c>
      <c r="AA6" s="754">
        <v>11</v>
      </c>
      <c r="AB6" s="754">
        <v>11</v>
      </c>
      <c r="AC6" s="754">
        <v>11</v>
      </c>
      <c r="AD6" s="754">
        <v>11</v>
      </c>
      <c r="AE6" s="754">
        <v>11</v>
      </c>
      <c r="AF6" s="754">
        <v>11</v>
      </c>
      <c r="AG6" s="754">
        <v>11</v>
      </c>
      <c r="AH6" s="754">
        <v>11</v>
      </c>
      <c r="AI6" s="754">
        <v>11</v>
      </c>
      <c r="AJ6" s="754">
        <v>11</v>
      </c>
      <c r="AK6" s="754">
        <v>11</v>
      </c>
      <c r="AL6" s="754">
        <v>11</v>
      </c>
      <c r="AM6" s="754">
        <v>11</v>
      </c>
      <c r="AN6" s="754">
        <v>11</v>
      </c>
      <c r="AO6" s="754">
        <v>11</v>
      </c>
    </row>
    <row r="7" spans="1:41" x14ac:dyDescent="0.25">
      <c r="A7" s="752" t="s">
        <v>1065</v>
      </c>
      <c r="B7" s="757"/>
      <c r="C7" s="758"/>
      <c r="D7" s="758"/>
      <c r="E7" s="758"/>
      <c r="F7" s="759">
        <v>296064</v>
      </c>
      <c r="G7" s="760">
        <v>296305</v>
      </c>
      <c r="H7" s="760">
        <v>296566</v>
      </c>
      <c r="I7" s="760">
        <v>295943</v>
      </c>
      <c r="J7" s="760">
        <v>294891</v>
      </c>
      <c r="K7" s="760">
        <v>294836</v>
      </c>
      <c r="L7" s="760">
        <v>294467</v>
      </c>
      <c r="M7" s="760">
        <v>294416</v>
      </c>
      <c r="N7" s="760">
        <v>294049</v>
      </c>
      <c r="O7" s="760">
        <v>294374</v>
      </c>
      <c r="P7" s="760">
        <v>295037</v>
      </c>
      <c r="Q7" s="761">
        <v>296114</v>
      </c>
      <c r="R7" s="760">
        <v>296671</v>
      </c>
      <c r="S7" s="760">
        <v>296913</v>
      </c>
      <c r="T7" s="760">
        <v>297177</v>
      </c>
      <c r="U7" s="760">
        <v>296557</v>
      </c>
      <c r="V7" s="760">
        <v>296007</v>
      </c>
      <c r="W7" s="760">
        <v>295924</v>
      </c>
      <c r="X7" s="760">
        <v>295528</v>
      </c>
      <c r="Y7" s="760">
        <v>295451</v>
      </c>
      <c r="Z7" s="760">
        <v>295060</v>
      </c>
      <c r="AA7" s="760">
        <v>295363</v>
      </c>
      <c r="AB7" s="760">
        <v>295505</v>
      </c>
      <c r="AC7" s="760">
        <v>296593</v>
      </c>
      <c r="AD7" s="760">
        <v>297161</v>
      </c>
      <c r="AE7" s="760">
        <v>297414</v>
      </c>
      <c r="AF7" s="760">
        <v>297687</v>
      </c>
      <c r="AG7" s="760">
        <v>297075</v>
      </c>
      <c r="AH7" s="760">
        <v>296532</v>
      </c>
      <c r="AI7" s="760">
        <v>296456</v>
      </c>
      <c r="AJ7" s="760">
        <v>296067</v>
      </c>
      <c r="AK7" s="760">
        <v>295997</v>
      </c>
      <c r="AL7" s="760">
        <v>295611</v>
      </c>
      <c r="AM7" s="760">
        <v>295919</v>
      </c>
      <c r="AN7" s="760">
        <v>296065</v>
      </c>
      <c r="AO7" s="760">
        <v>297156</v>
      </c>
    </row>
    <row r="8" spans="1:41" x14ac:dyDescent="0.25">
      <c r="A8" s="752" t="s">
        <v>17</v>
      </c>
      <c r="B8" s="757" t="s">
        <v>1066</v>
      </c>
      <c r="C8" s="813"/>
      <c r="D8" s="547" t="s">
        <v>18</v>
      </c>
      <c r="E8" s="50" t="s">
        <v>19</v>
      </c>
      <c r="F8" s="753">
        <v>1</v>
      </c>
      <c r="G8" s="754">
        <v>1</v>
      </c>
      <c r="H8" s="754">
        <v>1</v>
      </c>
      <c r="I8" s="754">
        <v>1</v>
      </c>
      <c r="J8" s="754">
        <v>1</v>
      </c>
      <c r="K8" s="754">
        <v>1</v>
      </c>
      <c r="L8" s="754">
        <v>1</v>
      </c>
      <c r="M8" s="754">
        <v>1</v>
      </c>
      <c r="N8" s="754">
        <v>1</v>
      </c>
      <c r="O8" s="754">
        <v>1</v>
      </c>
      <c r="P8" s="754">
        <v>1</v>
      </c>
      <c r="Q8" s="755">
        <v>1</v>
      </c>
      <c r="R8" s="754">
        <v>1</v>
      </c>
      <c r="S8" s="754">
        <v>1</v>
      </c>
      <c r="T8" s="754">
        <v>1</v>
      </c>
      <c r="U8" s="754">
        <v>1</v>
      </c>
      <c r="V8" s="754">
        <v>1</v>
      </c>
      <c r="W8" s="754">
        <v>1</v>
      </c>
      <c r="X8" s="754">
        <v>1</v>
      </c>
      <c r="Y8" s="754">
        <v>1</v>
      </c>
      <c r="Z8" s="754">
        <v>1</v>
      </c>
      <c r="AA8" s="754">
        <v>1</v>
      </c>
      <c r="AB8" s="754">
        <v>1</v>
      </c>
      <c r="AC8" s="754">
        <v>1</v>
      </c>
      <c r="AD8" s="762">
        <v>1</v>
      </c>
      <c r="AE8" s="754">
        <v>1</v>
      </c>
      <c r="AF8" s="754">
        <v>1</v>
      </c>
      <c r="AG8" s="754">
        <v>1</v>
      </c>
      <c r="AH8" s="754">
        <v>1</v>
      </c>
      <c r="AI8" s="754">
        <v>1</v>
      </c>
      <c r="AJ8" s="754">
        <v>1</v>
      </c>
      <c r="AK8" s="754">
        <v>1</v>
      </c>
      <c r="AL8" s="754">
        <v>1</v>
      </c>
      <c r="AM8" s="754">
        <v>1</v>
      </c>
      <c r="AN8" s="754">
        <v>1</v>
      </c>
      <c r="AO8" s="754">
        <v>1</v>
      </c>
    </row>
    <row r="9" spans="1:41" x14ac:dyDescent="0.25">
      <c r="A9" s="756" t="s">
        <v>17</v>
      </c>
      <c r="B9" s="547" t="s">
        <v>118</v>
      </c>
      <c r="C9" s="813" t="s">
        <v>799</v>
      </c>
      <c r="D9" s="547" t="s">
        <v>31</v>
      </c>
      <c r="E9" s="50" t="s">
        <v>32</v>
      </c>
      <c r="F9" s="753">
        <v>6</v>
      </c>
      <c r="G9" s="754">
        <v>6</v>
      </c>
      <c r="H9" s="754">
        <v>6</v>
      </c>
      <c r="I9" s="754">
        <v>6</v>
      </c>
      <c r="J9" s="754">
        <v>6</v>
      </c>
      <c r="K9" s="754">
        <v>6</v>
      </c>
      <c r="L9" s="754">
        <v>6</v>
      </c>
      <c r="M9" s="754">
        <v>6</v>
      </c>
      <c r="N9" s="754">
        <v>6</v>
      </c>
      <c r="O9" s="754">
        <v>6</v>
      </c>
      <c r="P9" s="754">
        <v>6</v>
      </c>
      <c r="Q9" s="755">
        <v>6</v>
      </c>
      <c r="R9" s="754">
        <v>6</v>
      </c>
      <c r="S9" s="754">
        <v>6</v>
      </c>
      <c r="T9" s="754">
        <v>6</v>
      </c>
      <c r="U9" s="754">
        <v>6</v>
      </c>
      <c r="V9" s="754">
        <v>6</v>
      </c>
      <c r="W9" s="754">
        <v>6</v>
      </c>
      <c r="X9" s="754">
        <v>6</v>
      </c>
      <c r="Y9" s="754">
        <v>6</v>
      </c>
      <c r="Z9" s="754">
        <v>6</v>
      </c>
      <c r="AA9" s="754">
        <v>6</v>
      </c>
      <c r="AB9" s="754">
        <v>6</v>
      </c>
      <c r="AC9" s="754">
        <v>6</v>
      </c>
      <c r="AD9" s="762">
        <v>6</v>
      </c>
      <c r="AE9" s="754">
        <v>6</v>
      </c>
      <c r="AF9" s="754">
        <v>6</v>
      </c>
      <c r="AG9" s="754">
        <v>6</v>
      </c>
      <c r="AH9" s="754">
        <v>6</v>
      </c>
      <c r="AI9" s="754">
        <v>6</v>
      </c>
      <c r="AJ9" s="754">
        <v>6</v>
      </c>
      <c r="AK9" s="754">
        <v>6</v>
      </c>
      <c r="AL9" s="754">
        <v>6</v>
      </c>
      <c r="AM9" s="754">
        <v>6</v>
      </c>
      <c r="AN9" s="754">
        <v>6</v>
      </c>
      <c r="AO9" s="754">
        <v>6</v>
      </c>
    </row>
    <row r="10" spans="1:41" x14ac:dyDescent="0.25">
      <c r="A10" s="756" t="s">
        <v>17</v>
      </c>
      <c r="B10" s="547" t="s">
        <v>129</v>
      </c>
      <c r="C10" s="813"/>
      <c r="D10" s="547" t="s">
        <v>35</v>
      </c>
      <c r="E10" s="50" t="s">
        <v>36</v>
      </c>
      <c r="F10" s="753">
        <v>13</v>
      </c>
      <c r="G10" s="754">
        <v>13</v>
      </c>
      <c r="H10" s="754">
        <v>13</v>
      </c>
      <c r="I10" s="754">
        <v>13</v>
      </c>
      <c r="J10" s="754">
        <v>13</v>
      </c>
      <c r="K10" s="754">
        <v>13</v>
      </c>
      <c r="L10" s="754">
        <v>13</v>
      </c>
      <c r="M10" s="754">
        <v>13</v>
      </c>
      <c r="N10" s="754">
        <v>13</v>
      </c>
      <c r="O10" s="754">
        <v>13</v>
      </c>
      <c r="P10" s="754">
        <v>13</v>
      </c>
      <c r="Q10" s="755">
        <v>13</v>
      </c>
      <c r="R10" s="754">
        <v>13</v>
      </c>
      <c r="S10" s="754">
        <v>13</v>
      </c>
      <c r="T10" s="754">
        <v>13</v>
      </c>
      <c r="U10" s="754">
        <v>13</v>
      </c>
      <c r="V10" s="754">
        <v>13</v>
      </c>
      <c r="W10" s="754">
        <v>13</v>
      </c>
      <c r="X10" s="754">
        <v>13</v>
      </c>
      <c r="Y10" s="754">
        <v>13</v>
      </c>
      <c r="Z10" s="754">
        <v>13</v>
      </c>
      <c r="AA10" s="754">
        <v>13</v>
      </c>
      <c r="AB10" s="754">
        <v>13</v>
      </c>
      <c r="AC10" s="754">
        <v>13</v>
      </c>
      <c r="AD10" s="762">
        <v>13</v>
      </c>
      <c r="AE10" s="754">
        <v>13</v>
      </c>
      <c r="AF10" s="754">
        <v>13</v>
      </c>
      <c r="AG10" s="754">
        <v>13</v>
      </c>
      <c r="AH10" s="754">
        <v>13</v>
      </c>
      <c r="AI10" s="754">
        <v>13</v>
      </c>
      <c r="AJ10" s="754">
        <v>13</v>
      </c>
      <c r="AK10" s="754">
        <v>13</v>
      </c>
      <c r="AL10" s="754">
        <v>13</v>
      </c>
      <c r="AM10" s="754">
        <v>13</v>
      </c>
      <c r="AN10" s="754">
        <v>13</v>
      </c>
      <c r="AO10" s="754">
        <v>13</v>
      </c>
    </row>
    <row r="11" spans="1:41" x14ac:dyDescent="0.25">
      <c r="A11" s="763" t="s">
        <v>17</v>
      </c>
      <c r="B11" s="547" t="s">
        <v>1067</v>
      </c>
      <c r="C11" s="814" t="s">
        <v>799</v>
      </c>
      <c r="D11" s="547" t="s">
        <v>26</v>
      </c>
      <c r="E11" s="50" t="s">
        <v>27</v>
      </c>
      <c r="F11" s="753">
        <v>23279</v>
      </c>
      <c r="G11" s="754">
        <v>23287</v>
      </c>
      <c r="H11" s="754">
        <v>23268</v>
      </c>
      <c r="I11" s="754">
        <v>23145</v>
      </c>
      <c r="J11" s="754">
        <v>22961</v>
      </c>
      <c r="K11" s="754">
        <v>22804</v>
      </c>
      <c r="L11" s="754">
        <v>22680</v>
      </c>
      <c r="M11" s="754">
        <v>22692</v>
      </c>
      <c r="N11" s="754">
        <v>22701</v>
      </c>
      <c r="O11" s="754">
        <v>22767</v>
      </c>
      <c r="P11" s="754">
        <v>22938</v>
      </c>
      <c r="Q11" s="755">
        <v>23116</v>
      </c>
      <c r="R11" s="754">
        <v>23195</v>
      </c>
      <c r="S11" s="754">
        <v>23204</v>
      </c>
      <c r="T11" s="754">
        <v>23187</v>
      </c>
      <c r="U11" s="754">
        <v>23066</v>
      </c>
      <c r="V11" s="754">
        <v>22883</v>
      </c>
      <c r="W11" s="754">
        <v>22728</v>
      </c>
      <c r="X11" s="754">
        <v>22606</v>
      </c>
      <c r="Y11" s="754">
        <v>22620</v>
      </c>
      <c r="Z11" s="754">
        <v>22630</v>
      </c>
      <c r="AA11" s="754">
        <v>22698</v>
      </c>
      <c r="AB11" s="754">
        <v>22871</v>
      </c>
      <c r="AC11" s="754">
        <v>23050</v>
      </c>
      <c r="AD11" s="762">
        <v>23130</v>
      </c>
      <c r="AE11" s="754">
        <v>23141</v>
      </c>
      <c r="AF11" s="754">
        <v>23125</v>
      </c>
      <c r="AG11" s="754">
        <v>23005</v>
      </c>
      <c r="AH11" s="754">
        <v>22824</v>
      </c>
      <c r="AI11" s="754">
        <v>22670</v>
      </c>
      <c r="AJ11" s="754">
        <v>22549</v>
      </c>
      <c r="AK11" s="754">
        <v>22565</v>
      </c>
      <c r="AL11" s="754">
        <v>22576</v>
      </c>
      <c r="AM11" s="754">
        <v>22645</v>
      </c>
      <c r="AN11" s="754">
        <v>22819</v>
      </c>
      <c r="AO11" s="754">
        <v>23000</v>
      </c>
    </row>
    <row r="12" spans="1:41" x14ac:dyDescent="0.25">
      <c r="A12" s="763" t="s">
        <v>17</v>
      </c>
      <c r="B12" s="763" t="s">
        <v>1068</v>
      </c>
      <c r="C12" s="815" t="s">
        <v>800</v>
      </c>
      <c r="D12" s="791" t="s">
        <v>26</v>
      </c>
      <c r="E12" s="50" t="s">
        <v>27</v>
      </c>
      <c r="F12" s="753">
        <v>970</v>
      </c>
      <c r="G12" s="754">
        <v>970</v>
      </c>
      <c r="H12" s="754">
        <v>969</v>
      </c>
      <c r="I12" s="754">
        <v>964</v>
      </c>
      <c r="J12" s="754">
        <v>957</v>
      </c>
      <c r="K12" s="754">
        <v>950</v>
      </c>
      <c r="L12" s="754">
        <v>945</v>
      </c>
      <c r="M12" s="754">
        <v>946</v>
      </c>
      <c r="N12" s="754">
        <v>946</v>
      </c>
      <c r="O12" s="754">
        <v>949</v>
      </c>
      <c r="P12" s="754">
        <v>956</v>
      </c>
      <c r="Q12" s="755">
        <v>963</v>
      </c>
      <c r="R12" s="754">
        <v>966</v>
      </c>
      <c r="S12" s="754">
        <v>967</v>
      </c>
      <c r="T12" s="754">
        <v>966</v>
      </c>
      <c r="U12" s="754">
        <v>961</v>
      </c>
      <c r="V12" s="754">
        <v>953</v>
      </c>
      <c r="W12" s="754">
        <v>947</v>
      </c>
      <c r="X12" s="754">
        <v>942</v>
      </c>
      <c r="Y12" s="754">
        <v>943</v>
      </c>
      <c r="Z12" s="754">
        <v>943</v>
      </c>
      <c r="AA12" s="754">
        <v>946</v>
      </c>
      <c r="AB12" s="754">
        <v>953</v>
      </c>
      <c r="AC12" s="754">
        <v>960</v>
      </c>
      <c r="AD12" s="762">
        <v>964</v>
      </c>
      <c r="AE12" s="754">
        <v>964</v>
      </c>
      <c r="AF12" s="754">
        <v>964</v>
      </c>
      <c r="AG12" s="754">
        <v>959</v>
      </c>
      <c r="AH12" s="754">
        <v>951</v>
      </c>
      <c r="AI12" s="754">
        <v>945</v>
      </c>
      <c r="AJ12" s="754">
        <v>940</v>
      </c>
      <c r="AK12" s="754">
        <v>940</v>
      </c>
      <c r="AL12" s="754">
        <v>941</v>
      </c>
      <c r="AM12" s="754">
        <v>944</v>
      </c>
      <c r="AN12" s="754">
        <v>951</v>
      </c>
      <c r="AO12" s="754">
        <v>958</v>
      </c>
    </row>
    <row r="13" spans="1:41" x14ac:dyDescent="0.25">
      <c r="A13" s="752" t="s">
        <v>1069</v>
      </c>
      <c r="B13" s="757"/>
      <c r="C13" s="758"/>
      <c r="D13" s="758"/>
      <c r="E13" s="758"/>
      <c r="F13" s="759">
        <v>24269</v>
      </c>
      <c r="G13" s="760">
        <v>24277</v>
      </c>
      <c r="H13" s="760">
        <v>24257</v>
      </c>
      <c r="I13" s="760">
        <v>24129</v>
      </c>
      <c r="J13" s="760">
        <v>23938</v>
      </c>
      <c r="K13" s="760">
        <v>23774</v>
      </c>
      <c r="L13" s="760">
        <v>23645</v>
      </c>
      <c r="M13" s="760">
        <v>23658</v>
      </c>
      <c r="N13" s="760">
        <v>23667</v>
      </c>
      <c r="O13" s="760">
        <v>23736</v>
      </c>
      <c r="P13" s="760">
        <v>23914</v>
      </c>
      <c r="Q13" s="761">
        <v>24099</v>
      </c>
      <c r="R13" s="760">
        <v>24181</v>
      </c>
      <c r="S13" s="760">
        <v>24191</v>
      </c>
      <c r="T13" s="760">
        <v>24173</v>
      </c>
      <c r="U13" s="760">
        <v>24047</v>
      </c>
      <c r="V13" s="760">
        <v>23856</v>
      </c>
      <c r="W13" s="760">
        <v>23695</v>
      </c>
      <c r="X13" s="760">
        <v>23568</v>
      </c>
      <c r="Y13" s="760">
        <v>23583</v>
      </c>
      <c r="Z13" s="760">
        <v>23593</v>
      </c>
      <c r="AA13" s="760">
        <v>23664</v>
      </c>
      <c r="AB13" s="760">
        <v>23844</v>
      </c>
      <c r="AC13" s="760">
        <v>24030</v>
      </c>
      <c r="AD13" s="760">
        <v>24114</v>
      </c>
      <c r="AE13" s="760">
        <v>24125</v>
      </c>
      <c r="AF13" s="760">
        <v>24109</v>
      </c>
      <c r="AG13" s="760">
        <v>23984</v>
      </c>
      <c r="AH13" s="760">
        <v>23795</v>
      </c>
      <c r="AI13" s="760">
        <v>23635</v>
      </c>
      <c r="AJ13" s="760">
        <v>23509</v>
      </c>
      <c r="AK13" s="760">
        <v>23525</v>
      </c>
      <c r="AL13" s="760">
        <v>23537</v>
      </c>
      <c r="AM13" s="760">
        <v>23609</v>
      </c>
      <c r="AN13" s="760">
        <v>23790</v>
      </c>
      <c r="AO13" s="760">
        <v>23978</v>
      </c>
    </row>
    <row r="14" spans="1:41" x14ac:dyDescent="0.25">
      <c r="A14" s="752" t="s">
        <v>21</v>
      </c>
      <c r="B14" s="752" t="s">
        <v>1070</v>
      </c>
      <c r="C14" s="547"/>
      <c r="D14" s="547" t="s">
        <v>22</v>
      </c>
      <c r="E14" s="50" t="s">
        <v>23</v>
      </c>
      <c r="F14" s="753">
        <v>1</v>
      </c>
      <c r="G14" s="754">
        <v>1</v>
      </c>
      <c r="H14" s="754">
        <v>1</v>
      </c>
      <c r="I14" s="754">
        <v>1</v>
      </c>
      <c r="J14" s="754">
        <v>1</v>
      </c>
      <c r="K14" s="754">
        <v>1</v>
      </c>
      <c r="L14" s="754">
        <v>1</v>
      </c>
      <c r="M14" s="754">
        <v>1</v>
      </c>
      <c r="N14" s="754">
        <v>1</v>
      </c>
      <c r="O14" s="754">
        <v>1</v>
      </c>
      <c r="P14" s="754">
        <v>1</v>
      </c>
      <c r="Q14" s="755">
        <v>1</v>
      </c>
      <c r="R14" s="754">
        <v>1</v>
      </c>
      <c r="S14" s="754">
        <v>1</v>
      </c>
      <c r="T14" s="754">
        <v>1</v>
      </c>
      <c r="U14" s="754">
        <v>1</v>
      </c>
      <c r="V14" s="754">
        <v>1</v>
      </c>
      <c r="W14" s="754">
        <v>1</v>
      </c>
      <c r="X14" s="754">
        <v>1</v>
      </c>
      <c r="Y14" s="754">
        <v>1</v>
      </c>
      <c r="Z14" s="754">
        <v>1</v>
      </c>
      <c r="AA14" s="754">
        <v>1</v>
      </c>
      <c r="AB14" s="754">
        <v>1</v>
      </c>
      <c r="AC14" s="754">
        <v>1</v>
      </c>
      <c r="AD14" s="762">
        <v>1</v>
      </c>
      <c r="AE14" s="754">
        <v>1</v>
      </c>
      <c r="AF14" s="754">
        <v>1</v>
      </c>
      <c r="AG14" s="754">
        <v>1</v>
      </c>
      <c r="AH14" s="754">
        <v>1</v>
      </c>
      <c r="AI14" s="754">
        <v>1</v>
      </c>
      <c r="AJ14" s="754">
        <v>1</v>
      </c>
      <c r="AK14" s="754">
        <v>1</v>
      </c>
      <c r="AL14" s="754">
        <v>1</v>
      </c>
      <c r="AM14" s="754">
        <v>1</v>
      </c>
      <c r="AN14" s="754">
        <v>1</v>
      </c>
      <c r="AO14" s="754">
        <v>1</v>
      </c>
    </row>
    <row r="15" spans="1:41" x14ac:dyDescent="0.25">
      <c r="A15" s="763" t="s">
        <v>21</v>
      </c>
      <c r="B15" s="547" t="s">
        <v>1071</v>
      </c>
      <c r="C15" s="814" t="s">
        <v>799</v>
      </c>
      <c r="D15" s="547" t="s">
        <v>31</v>
      </c>
      <c r="E15" s="547" t="s">
        <v>32</v>
      </c>
      <c r="F15" s="753">
        <v>132</v>
      </c>
      <c r="G15" s="754">
        <v>132</v>
      </c>
      <c r="H15" s="754">
        <v>132</v>
      </c>
      <c r="I15" s="754">
        <v>133</v>
      </c>
      <c r="J15" s="754">
        <v>133</v>
      </c>
      <c r="K15" s="754">
        <v>133</v>
      </c>
      <c r="L15" s="754">
        <v>133</v>
      </c>
      <c r="M15" s="754">
        <v>134</v>
      </c>
      <c r="N15" s="754">
        <v>134</v>
      </c>
      <c r="O15" s="754">
        <v>134</v>
      </c>
      <c r="P15" s="754">
        <v>134</v>
      </c>
      <c r="Q15" s="755">
        <v>135</v>
      </c>
      <c r="R15" s="754">
        <v>135</v>
      </c>
      <c r="S15" s="754">
        <v>135</v>
      </c>
      <c r="T15" s="754">
        <v>135</v>
      </c>
      <c r="U15" s="754">
        <v>136</v>
      </c>
      <c r="V15" s="754">
        <v>136</v>
      </c>
      <c r="W15" s="754">
        <v>136</v>
      </c>
      <c r="X15" s="754">
        <v>136</v>
      </c>
      <c r="Y15" s="754">
        <v>137</v>
      </c>
      <c r="Z15" s="754">
        <v>137</v>
      </c>
      <c r="AA15" s="754">
        <v>137</v>
      </c>
      <c r="AB15" s="754">
        <v>137</v>
      </c>
      <c r="AC15" s="754">
        <v>138</v>
      </c>
      <c r="AD15" s="762">
        <v>138</v>
      </c>
      <c r="AE15" s="754">
        <v>138</v>
      </c>
      <c r="AF15" s="754">
        <v>138</v>
      </c>
      <c r="AG15" s="754">
        <v>139</v>
      </c>
      <c r="AH15" s="754">
        <v>139</v>
      </c>
      <c r="AI15" s="754">
        <v>139</v>
      </c>
      <c r="AJ15" s="754">
        <v>139</v>
      </c>
      <c r="AK15" s="754">
        <v>140</v>
      </c>
      <c r="AL15" s="754">
        <v>140</v>
      </c>
      <c r="AM15" s="754">
        <v>140</v>
      </c>
      <c r="AN15" s="754">
        <v>140</v>
      </c>
      <c r="AO15" s="754">
        <v>141</v>
      </c>
    </row>
    <row r="16" spans="1:41" x14ac:dyDescent="0.25">
      <c r="A16" s="763" t="s">
        <v>21</v>
      </c>
      <c r="B16" s="547" t="s">
        <v>1072</v>
      </c>
      <c r="C16" s="815" t="s">
        <v>800</v>
      </c>
      <c r="D16" s="791" t="s">
        <v>31</v>
      </c>
      <c r="E16" s="547" t="s">
        <v>32</v>
      </c>
      <c r="F16" s="753">
        <v>108</v>
      </c>
      <c r="G16" s="754">
        <v>108</v>
      </c>
      <c r="H16" s="754">
        <v>108</v>
      </c>
      <c r="I16" s="754">
        <v>108</v>
      </c>
      <c r="J16" s="754">
        <v>108</v>
      </c>
      <c r="K16" s="754">
        <v>109</v>
      </c>
      <c r="L16" s="754">
        <v>109</v>
      </c>
      <c r="M16" s="754">
        <v>109</v>
      </c>
      <c r="N16" s="754">
        <v>109</v>
      </c>
      <c r="O16" s="754">
        <v>110</v>
      </c>
      <c r="P16" s="754">
        <v>110</v>
      </c>
      <c r="Q16" s="755">
        <v>110</v>
      </c>
      <c r="R16" s="754">
        <v>110</v>
      </c>
      <c r="S16" s="754">
        <v>111</v>
      </c>
      <c r="T16" s="754">
        <v>111</v>
      </c>
      <c r="U16" s="754">
        <v>111</v>
      </c>
      <c r="V16" s="754">
        <v>111</v>
      </c>
      <c r="W16" s="754">
        <v>111</v>
      </c>
      <c r="X16" s="754">
        <v>111</v>
      </c>
      <c r="Y16" s="754">
        <v>112</v>
      </c>
      <c r="Z16" s="754">
        <v>112</v>
      </c>
      <c r="AA16" s="754">
        <v>112</v>
      </c>
      <c r="AB16" s="754">
        <v>112</v>
      </c>
      <c r="AC16" s="754">
        <v>113</v>
      </c>
      <c r="AD16" s="762">
        <v>113</v>
      </c>
      <c r="AE16" s="754">
        <v>113</v>
      </c>
      <c r="AF16" s="754">
        <v>113</v>
      </c>
      <c r="AG16" s="754">
        <v>114</v>
      </c>
      <c r="AH16" s="754">
        <v>114</v>
      </c>
      <c r="AI16" s="754">
        <v>114</v>
      </c>
      <c r="AJ16" s="754">
        <v>114</v>
      </c>
      <c r="AK16" s="754">
        <v>114</v>
      </c>
      <c r="AL16" s="754">
        <v>114</v>
      </c>
      <c r="AM16" s="754">
        <v>115</v>
      </c>
      <c r="AN16" s="754">
        <v>115</v>
      </c>
      <c r="AO16" s="754">
        <v>115</v>
      </c>
    </row>
    <row r="17" spans="1:154" x14ac:dyDescent="0.25">
      <c r="A17" s="752" t="s">
        <v>1073</v>
      </c>
      <c r="B17" s="757"/>
      <c r="C17" s="758"/>
      <c r="D17" s="758"/>
      <c r="E17" s="758"/>
      <c r="F17" s="759">
        <v>241</v>
      </c>
      <c r="G17" s="760">
        <v>241</v>
      </c>
      <c r="H17" s="760">
        <v>241</v>
      </c>
      <c r="I17" s="760">
        <v>242</v>
      </c>
      <c r="J17" s="760">
        <v>242</v>
      </c>
      <c r="K17" s="760">
        <v>243</v>
      </c>
      <c r="L17" s="760">
        <v>243</v>
      </c>
      <c r="M17" s="760">
        <v>244</v>
      </c>
      <c r="N17" s="760">
        <v>244</v>
      </c>
      <c r="O17" s="760">
        <v>245</v>
      </c>
      <c r="P17" s="760">
        <v>245</v>
      </c>
      <c r="Q17" s="761">
        <v>246</v>
      </c>
      <c r="R17" s="764">
        <v>246</v>
      </c>
      <c r="S17" s="764">
        <v>247</v>
      </c>
      <c r="T17" s="764">
        <v>247</v>
      </c>
      <c r="U17" s="764">
        <v>248</v>
      </c>
      <c r="V17" s="764">
        <v>248</v>
      </c>
      <c r="W17" s="764">
        <v>248</v>
      </c>
      <c r="X17" s="764">
        <v>248</v>
      </c>
      <c r="Y17" s="764">
        <v>250</v>
      </c>
      <c r="Z17" s="764">
        <v>250</v>
      </c>
      <c r="AA17" s="764">
        <v>250</v>
      </c>
      <c r="AB17" s="764">
        <v>250</v>
      </c>
      <c r="AC17" s="764">
        <v>252</v>
      </c>
      <c r="AD17" s="765">
        <v>252</v>
      </c>
      <c r="AE17" s="764">
        <v>252</v>
      </c>
      <c r="AF17" s="764">
        <v>252</v>
      </c>
      <c r="AG17" s="764">
        <v>254</v>
      </c>
      <c r="AH17" s="764">
        <v>254</v>
      </c>
      <c r="AI17" s="764">
        <v>254</v>
      </c>
      <c r="AJ17" s="764">
        <v>254</v>
      </c>
      <c r="AK17" s="764">
        <v>255</v>
      </c>
      <c r="AL17" s="764">
        <v>255</v>
      </c>
      <c r="AM17" s="764">
        <v>256</v>
      </c>
      <c r="AN17" s="764">
        <v>256</v>
      </c>
      <c r="AO17" s="764">
        <v>257</v>
      </c>
    </row>
    <row r="18" spans="1:154" x14ac:dyDescent="0.25">
      <c r="A18" s="752" t="s">
        <v>20</v>
      </c>
      <c r="B18" s="757" t="s">
        <v>1066</v>
      </c>
      <c r="C18" s="813"/>
      <c r="D18" s="547" t="s">
        <v>18</v>
      </c>
      <c r="E18" s="50" t="s">
        <v>19</v>
      </c>
      <c r="F18" s="767">
        <v>1</v>
      </c>
      <c r="G18" s="764">
        <v>1</v>
      </c>
      <c r="H18" s="764">
        <v>1</v>
      </c>
      <c r="I18" s="764">
        <v>1</v>
      </c>
      <c r="J18" s="764">
        <v>1</v>
      </c>
      <c r="K18" s="764">
        <v>1</v>
      </c>
      <c r="L18" s="764">
        <v>1</v>
      </c>
      <c r="M18" s="764">
        <v>1</v>
      </c>
      <c r="N18" s="764">
        <v>1</v>
      </c>
      <c r="O18" s="764">
        <v>1</v>
      </c>
      <c r="P18" s="764">
        <v>1</v>
      </c>
      <c r="Q18" s="766">
        <v>1</v>
      </c>
      <c r="R18" s="764">
        <v>1</v>
      </c>
      <c r="S18" s="764">
        <v>1</v>
      </c>
      <c r="T18" s="764">
        <v>1</v>
      </c>
      <c r="U18" s="764">
        <v>1</v>
      </c>
      <c r="V18" s="764">
        <v>1</v>
      </c>
      <c r="W18" s="764">
        <v>1</v>
      </c>
      <c r="X18" s="764">
        <v>1</v>
      </c>
      <c r="Y18" s="764">
        <v>1</v>
      </c>
      <c r="Z18" s="764">
        <v>1</v>
      </c>
      <c r="AA18" s="764">
        <v>1</v>
      </c>
      <c r="AB18" s="764">
        <v>1</v>
      </c>
      <c r="AC18" s="764">
        <v>1</v>
      </c>
      <c r="AD18" s="765">
        <v>1</v>
      </c>
      <c r="AE18" s="764">
        <v>1</v>
      </c>
      <c r="AF18" s="764">
        <v>1</v>
      </c>
      <c r="AG18" s="764">
        <v>1</v>
      </c>
      <c r="AH18" s="764">
        <v>1</v>
      </c>
      <c r="AI18" s="764">
        <v>1</v>
      </c>
      <c r="AJ18" s="764">
        <v>1</v>
      </c>
      <c r="AK18" s="764">
        <v>1</v>
      </c>
      <c r="AL18" s="764">
        <v>1</v>
      </c>
      <c r="AM18" s="764">
        <v>1</v>
      </c>
      <c r="AN18" s="764">
        <v>1</v>
      </c>
      <c r="AO18" s="764">
        <v>1</v>
      </c>
    </row>
    <row r="19" spans="1:154" x14ac:dyDescent="0.25">
      <c r="A19" s="756" t="s">
        <v>20</v>
      </c>
      <c r="B19" s="547" t="s">
        <v>1070</v>
      </c>
      <c r="C19" s="813"/>
      <c r="D19" s="547" t="s">
        <v>22</v>
      </c>
      <c r="E19" s="50" t="s">
        <v>23</v>
      </c>
      <c r="F19" s="753">
        <v>1</v>
      </c>
      <c r="G19" s="754">
        <v>1</v>
      </c>
      <c r="H19" s="754">
        <v>1</v>
      </c>
      <c r="I19" s="754">
        <v>1</v>
      </c>
      <c r="J19" s="754">
        <v>1</v>
      </c>
      <c r="K19" s="754">
        <v>1</v>
      </c>
      <c r="L19" s="754">
        <v>1</v>
      </c>
      <c r="M19" s="754">
        <v>1</v>
      </c>
      <c r="N19" s="754">
        <v>1</v>
      </c>
      <c r="O19" s="754">
        <v>1</v>
      </c>
      <c r="P19" s="754">
        <v>1</v>
      </c>
      <c r="Q19" s="755">
        <v>1</v>
      </c>
      <c r="R19" s="754">
        <v>1</v>
      </c>
      <c r="S19" s="754">
        <v>1</v>
      </c>
      <c r="T19" s="754">
        <v>1</v>
      </c>
      <c r="U19" s="754">
        <v>1</v>
      </c>
      <c r="V19" s="754">
        <v>1</v>
      </c>
      <c r="W19" s="754">
        <v>1</v>
      </c>
      <c r="X19" s="754">
        <v>1</v>
      </c>
      <c r="Y19" s="754">
        <v>1</v>
      </c>
      <c r="Z19" s="754">
        <v>1</v>
      </c>
      <c r="AA19" s="754">
        <v>1</v>
      </c>
      <c r="AB19" s="754">
        <v>1</v>
      </c>
      <c r="AC19" s="754">
        <v>1</v>
      </c>
      <c r="AD19" s="762">
        <v>1</v>
      </c>
      <c r="AE19" s="754">
        <v>1</v>
      </c>
      <c r="AF19" s="754">
        <v>1</v>
      </c>
      <c r="AG19" s="754">
        <v>1</v>
      </c>
      <c r="AH19" s="754">
        <v>1</v>
      </c>
      <c r="AI19" s="754">
        <v>1</v>
      </c>
      <c r="AJ19" s="754">
        <v>1</v>
      </c>
      <c r="AK19" s="754">
        <v>1</v>
      </c>
      <c r="AL19" s="754">
        <v>1</v>
      </c>
      <c r="AM19" s="754">
        <v>1</v>
      </c>
      <c r="AN19" s="754">
        <v>1</v>
      </c>
      <c r="AO19" s="754">
        <v>1</v>
      </c>
    </row>
    <row r="20" spans="1:154" x14ac:dyDescent="0.25">
      <c r="A20" s="756" t="s">
        <v>20</v>
      </c>
      <c r="B20" s="547" t="s">
        <v>129</v>
      </c>
      <c r="C20" s="813"/>
      <c r="D20" s="547" t="s">
        <v>35</v>
      </c>
      <c r="E20" s="547" t="s">
        <v>36</v>
      </c>
      <c r="F20" s="753">
        <v>55</v>
      </c>
      <c r="G20" s="754">
        <v>55</v>
      </c>
      <c r="H20" s="754">
        <v>55</v>
      </c>
      <c r="I20" s="754">
        <v>55</v>
      </c>
      <c r="J20" s="754">
        <v>55</v>
      </c>
      <c r="K20" s="754">
        <v>55</v>
      </c>
      <c r="L20" s="754">
        <v>55</v>
      </c>
      <c r="M20" s="754">
        <v>55</v>
      </c>
      <c r="N20" s="754">
        <v>55</v>
      </c>
      <c r="O20" s="754">
        <v>55</v>
      </c>
      <c r="P20" s="754">
        <v>55</v>
      </c>
      <c r="Q20" s="755">
        <v>55</v>
      </c>
      <c r="R20" s="754">
        <v>55</v>
      </c>
      <c r="S20" s="754">
        <v>55</v>
      </c>
      <c r="T20" s="754">
        <v>55</v>
      </c>
      <c r="U20" s="754">
        <v>55</v>
      </c>
      <c r="V20" s="754">
        <v>55</v>
      </c>
      <c r="W20" s="754">
        <v>55</v>
      </c>
      <c r="X20" s="754">
        <v>55</v>
      </c>
      <c r="Y20" s="754">
        <v>55</v>
      </c>
      <c r="Z20" s="754">
        <v>55</v>
      </c>
      <c r="AA20" s="754">
        <v>55</v>
      </c>
      <c r="AB20" s="754">
        <v>55</v>
      </c>
      <c r="AC20" s="754">
        <v>55</v>
      </c>
      <c r="AD20" s="762">
        <v>55</v>
      </c>
      <c r="AE20" s="754">
        <v>56</v>
      </c>
      <c r="AF20" s="754">
        <v>56</v>
      </c>
      <c r="AG20" s="754">
        <v>55</v>
      </c>
      <c r="AH20" s="754">
        <v>55</v>
      </c>
      <c r="AI20" s="754">
        <v>55</v>
      </c>
      <c r="AJ20" s="754">
        <v>55</v>
      </c>
      <c r="AK20" s="754">
        <v>55</v>
      </c>
      <c r="AL20" s="754">
        <v>55</v>
      </c>
      <c r="AM20" s="754">
        <v>55</v>
      </c>
      <c r="AN20" s="754">
        <v>55</v>
      </c>
      <c r="AO20" s="754">
        <v>55</v>
      </c>
    </row>
    <row r="21" spans="1:154" x14ac:dyDescent="0.25">
      <c r="A21" s="756" t="s">
        <v>20</v>
      </c>
      <c r="B21" s="547" t="s">
        <v>1067</v>
      </c>
      <c r="C21" s="814" t="s">
        <v>799</v>
      </c>
      <c r="D21" s="547" t="s">
        <v>26</v>
      </c>
      <c r="E21" s="50" t="s">
        <v>27</v>
      </c>
      <c r="F21" s="753">
        <v>1094</v>
      </c>
      <c r="G21" s="754">
        <v>1094</v>
      </c>
      <c r="H21" s="754">
        <v>1093</v>
      </c>
      <c r="I21" s="754">
        <v>1087</v>
      </c>
      <c r="J21" s="754">
        <v>1079</v>
      </c>
      <c r="K21" s="754">
        <v>1071</v>
      </c>
      <c r="L21" s="754">
        <v>1065</v>
      </c>
      <c r="M21" s="754">
        <v>1066</v>
      </c>
      <c r="N21" s="754">
        <v>1066</v>
      </c>
      <c r="O21" s="754">
        <v>1070</v>
      </c>
      <c r="P21" s="754">
        <v>1078</v>
      </c>
      <c r="Q21" s="755">
        <v>1086</v>
      </c>
      <c r="R21" s="754">
        <v>1090</v>
      </c>
      <c r="S21" s="754">
        <v>1090</v>
      </c>
      <c r="T21" s="754">
        <v>1089</v>
      </c>
      <c r="U21" s="754">
        <v>1084</v>
      </c>
      <c r="V21" s="754">
        <v>1075</v>
      </c>
      <c r="W21" s="754">
        <v>1068</v>
      </c>
      <c r="X21" s="754">
        <v>1062</v>
      </c>
      <c r="Y21" s="754">
        <v>1063</v>
      </c>
      <c r="Z21" s="754">
        <v>1063</v>
      </c>
      <c r="AA21" s="754">
        <v>1066</v>
      </c>
      <c r="AB21" s="754">
        <v>1074</v>
      </c>
      <c r="AC21" s="754">
        <v>1083</v>
      </c>
      <c r="AD21" s="762">
        <v>1087</v>
      </c>
      <c r="AE21" s="754">
        <v>1087</v>
      </c>
      <c r="AF21" s="754">
        <v>1086</v>
      </c>
      <c r="AG21" s="754">
        <v>1081</v>
      </c>
      <c r="AH21" s="754">
        <v>1072</v>
      </c>
      <c r="AI21" s="754">
        <v>1065</v>
      </c>
      <c r="AJ21" s="754">
        <v>1059</v>
      </c>
      <c r="AK21" s="754">
        <v>1060</v>
      </c>
      <c r="AL21" s="754">
        <v>1061</v>
      </c>
      <c r="AM21" s="754">
        <v>1064</v>
      </c>
      <c r="AN21" s="754">
        <v>1072</v>
      </c>
      <c r="AO21" s="754">
        <v>1080</v>
      </c>
    </row>
    <row r="22" spans="1:154" x14ac:dyDescent="0.25">
      <c r="A22" s="756" t="s">
        <v>20</v>
      </c>
      <c r="B22" s="547" t="s">
        <v>1068</v>
      </c>
      <c r="C22" s="814" t="s">
        <v>800</v>
      </c>
      <c r="D22" s="547" t="s">
        <v>26</v>
      </c>
      <c r="E22" s="50" t="s">
        <v>27</v>
      </c>
      <c r="F22" s="753">
        <v>46</v>
      </c>
      <c r="G22" s="754">
        <v>46</v>
      </c>
      <c r="H22" s="754">
        <v>46</v>
      </c>
      <c r="I22" s="754">
        <v>45</v>
      </c>
      <c r="J22" s="754">
        <v>45</v>
      </c>
      <c r="K22" s="754">
        <v>45</v>
      </c>
      <c r="L22" s="754">
        <v>44</v>
      </c>
      <c r="M22" s="754">
        <v>44</v>
      </c>
      <c r="N22" s="754">
        <v>44</v>
      </c>
      <c r="O22" s="754">
        <v>45</v>
      </c>
      <c r="P22" s="754">
        <v>45</v>
      </c>
      <c r="Q22" s="755">
        <v>45</v>
      </c>
      <c r="R22" s="754">
        <v>45</v>
      </c>
      <c r="S22" s="754">
        <v>45</v>
      </c>
      <c r="T22" s="754">
        <v>45</v>
      </c>
      <c r="U22" s="754">
        <v>45</v>
      </c>
      <c r="V22" s="754">
        <v>45</v>
      </c>
      <c r="W22" s="754">
        <v>44</v>
      </c>
      <c r="X22" s="754">
        <v>44</v>
      </c>
      <c r="Y22" s="754">
        <v>44</v>
      </c>
      <c r="Z22" s="754">
        <v>44</v>
      </c>
      <c r="AA22" s="754">
        <v>44</v>
      </c>
      <c r="AB22" s="754">
        <v>45</v>
      </c>
      <c r="AC22" s="754">
        <v>45</v>
      </c>
      <c r="AD22" s="762">
        <v>45</v>
      </c>
      <c r="AE22" s="754">
        <v>45</v>
      </c>
      <c r="AF22" s="754">
        <v>45</v>
      </c>
      <c r="AG22" s="754">
        <v>45</v>
      </c>
      <c r="AH22" s="754">
        <v>45</v>
      </c>
      <c r="AI22" s="754">
        <v>44</v>
      </c>
      <c r="AJ22" s="754">
        <v>44</v>
      </c>
      <c r="AK22" s="754">
        <v>44</v>
      </c>
      <c r="AL22" s="754">
        <v>44</v>
      </c>
      <c r="AM22" s="754">
        <v>44</v>
      </c>
      <c r="AN22" s="754">
        <v>45</v>
      </c>
      <c r="AO22" s="754">
        <v>45</v>
      </c>
    </row>
    <row r="23" spans="1:154" x14ac:dyDescent="0.25">
      <c r="A23" s="756" t="s">
        <v>20</v>
      </c>
      <c r="B23" s="547" t="s">
        <v>1071</v>
      </c>
      <c r="C23" s="814" t="s">
        <v>799</v>
      </c>
      <c r="D23" s="547" t="s">
        <v>31</v>
      </c>
      <c r="E23" s="50" t="s">
        <v>32</v>
      </c>
      <c r="F23" s="753">
        <v>3</v>
      </c>
      <c r="G23" s="754">
        <v>3</v>
      </c>
      <c r="H23" s="754">
        <v>3</v>
      </c>
      <c r="I23" s="754">
        <v>3</v>
      </c>
      <c r="J23" s="754">
        <v>3</v>
      </c>
      <c r="K23" s="754">
        <v>3</v>
      </c>
      <c r="L23" s="754">
        <v>3</v>
      </c>
      <c r="M23" s="754">
        <v>3</v>
      </c>
      <c r="N23" s="754">
        <v>3</v>
      </c>
      <c r="O23" s="754">
        <v>3</v>
      </c>
      <c r="P23" s="754">
        <v>3</v>
      </c>
      <c r="Q23" s="755">
        <v>3</v>
      </c>
      <c r="R23" s="754">
        <v>3</v>
      </c>
      <c r="S23" s="754">
        <v>3</v>
      </c>
      <c r="T23" s="754">
        <v>3</v>
      </c>
      <c r="U23" s="754">
        <v>3</v>
      </c>
      <c r="V23" s="754">
        <v>3</v>
      </c>
      <c r="W23" s="754">
        <v>3</v>
      </c>
      <c r="X23" s="754">
        <v>3</v>
      </c>
      <c r="Y23" s="754">
        <v>3</v>
      </c>
      <c r="Z23" s="754">
        <v>3</v>
      </c>
      <c r="AA23" s="754">
        <v>3</v>
      </c>
      <c r="AB23" s="754">
        <v>3</v>
      </c>
      <c r="AC23" s="754">
        <v>3</v>
      </c>
      <c r="AD23" s="762">
        <v>3</v>
      </c>
      <c r="AE23" s="754">
        <v>3</v>
      </c>
      <c r="AF23" s="754">
        <v>3</v>
      </c>
      <c r="AG23" s="754">
        <v>3</v>
      </c>
      <c r="AH23" s="754">
        <v>3</v>
      </c>
      <c r="AI23" s="754">
        <v>3</v>
      </c>
      <c r="AJ23" s="754">
        <v>3</v>
      </c>
      <c r="AK23" s="754">
        <v>3</v>
      </c>
      <c r="AL23" s="754">
        <v>3</v>
      </c>
      <c r="AM23" s="754">
        <v>3</v>
      </c>
      <c r="AN23" s="754">
        <v>3</v>
      </c>
      <c r="AO23" s="754">
        <v>3</v>
      </c>
    </row>
    <row r="24" spans="1:154" x14ac:dyDescent="0.25">
      <c r="A24" s="763" t="s">
        <v>20</v>
      </c>
      <c r="B24" s="763" t="s">
        <v>1072</v>
      </c>
      <c r="C24" s="815" t="s">
        <v>800</v>
      </c>
      <c r="D24" s="791" t="s">
        <v>31</v>
      </c>
      <c r="E24" s="50" t="s">
        <v>32</v>
      </c>
      <c r="F24" s="753">
        <v>2</v>
      </c>
      <c r="G24" s="754">
        <v>2</v>
      </c>
      <c r="H24" s="754">
        <v>2</v>
      </c>
      <c r="I24" s="754">
        <v>2</v>
      </c>
      <c r="J24" s="754">
        <v>2</v>
      </c>
      <c r="K24" s="754">
        <v>2</v>
      </c>
      <c r="L24" s="754">
        <v>2</v>
      </c>
      <c r="M24" s="754">
        <v>2</v>
      </c>
      <c r="N24" s="754">
        <v>2</v>
      </c>
      <c r="O24" s="754">
        <v>2</v>
      </c>
      <c r="P24" s="754">
        <v>2</v>
      </c>
      <c r="Q24" s="755">
        <v>2</v>
      </c>
      <c r="R24" s="754">
        <v>2</v>
      </c>
      <c r="S24" s="754">
        <v>2</v>
      </c>
      <c r="T24" s="754">
        <v>2</v>
      </c>
      <c r="U24" s="754">
        <v>2</v>
      </c>
      <c r="V24" s="754">
        <v>2</v>
      </c>
      <c r="W24" s="754">
        <v>2</v>
      </c>
      <c r="X24" s="754">
        <v>2</v>
      </c>
      <c r="Y24" s="754">
        <v>2</v>
      </c>
      <c r="Z24" s="754">
        <v>2</v>
      </c>
      <c r="AA24" s="754">
        <v>2</v>
      </c>
      <c r="AB24" s="754">
        <v>2</v>
      </c>
      <c r="AC24" s="754">
        <v>2</v>
      </c>
      <c r="AD24" s="762">
        <v>2</v>
      </c>
      <c r="AE24" s="754">
        <v>2</v>
      </c>
      <c r="AF24" s="754">
        <v>2</v>
      </c>
      <c r="AG24" s="754">
        <v>2</v>
      </c>
      <c r="AH24" s="754">
        <v>2</v>
      </c>
      <c r="AI24" s="754">
        <v>2</v>
      </c>
      <c r="AJ24" s="754">
        <v>2</v>
      </c>
      <c r="AK24" s="754">
        <v>2</v>
      </c>
      <c r="AL24" s="754">
        <v>2</v>
      </c>
      <c r="AM24" s="754">
        <v>2</v>
      </c>
      <c r="AN24" s="754">
        <v>2</v>
      </c>
      <c r="AO24" s="754">
        <v>2</v>
      </c>
    </row>
    <row r="25" spans="1:154" x14ac:dyDescent="0.25">
      <c r="A25" s="752" t="s">
        <v>1074</v>
      </c>
      <c r="B25" s="757"/>
      <c r="C25" s="547"/>
      <c r="D25" s="547"/>
      <c r="E25" s="758"/>
      <c r="F25" s="759">
        <v>1202</v>
      </c>
      <c r="G25" s="760">
        <v>1202</v>
      </c>
      <c r="H25" s="760">
        <v>1201</v>
      </c>
      <c r="I25" s="760">
        <v>1194</v>
      </c>
      <c r="J25" s="760">
        <v>1186</v>
      </c>
      <c r="K25" s="760">
        <v>1178</v>
      </c>
      <c r="L25" s="760">
        <v>1171</v>
      </c>
      <c r="M25" s="760">
        <v>1172</v>
      </c>
      <c r="N25" s="760">
        <v>1172</v>
      </c>
      <c r="O25" s="760">
        <v>1177</v>
      </c>
      <c r="P25" s="760">
        <v>1185</v>
      </c>
      <c r="Q25" s="761">
        <v>1193</v>
      </c>
      <c r="R25" s="760">
        <v>1197</v>
      </c>
      <c r="S25" s="760">
        <v>1197</v>
      </c>
      <c r="T25" s="760">
        <v>1196</v>
      </c>
      <c r="U25" s="760">
        <v>1191</v>
      </c>
      <c r="V25" s="760">
        <v>1182</v>
      </c>
      <c r="W25" s="760">
        <v>1174</v>
      </c>
      <c r="X25" s="760">
        <v>1168</v>
      </c>
      <c r="Y25" s="760">
        <v>1169</v>
      </c>
      <c r="Z25" s="760">
        <v>1169</v>
      </c>
      <c r="AA25" s="760">
        <v>1172</v>
      </c>
      <c r="AB25" s="760">
        <v>1181</v>
      </c>
      <c r="AC25" s="760">
        <v>1190</v>
      </c>
      <c r="AD25" s="760">
        <v>1194</v>
      </c>
      <c r="AE25" s="760">
        <v>1195</v>
      </c>
      <c r="AF25" s="760">
        <v>1194</v>
      </c>
      <c r="AG25" s="760">
        <v>1188</v>
      </c>
      <c r="AH25" s="760">
        <v>1179</v>
      </c>
      <c r="AI25" s="760">
        <v>1171</v>
      </c>
      <c r="AJ25" s="760">
        <v>1165</v>
      </c>
      <c r="AK25" s="760">
        <v>1166</v>
      </c>
      <c r="AL25" s="760">
        <v>1167</v>
      </c>
      <c r="AM25" s="760">
        <v>1170</v>
      </c>
      <c r="AN25" s="760">
        <v>1179</v>
      </c>
      <c r="AO25" s="760">
        <v>1187</v>
      </c>
    </row>
    <row r="26" spans="1:154" x14ac:dyDescent="0.25">
      <c r="A26" s="752" t="s">
        <v>663</v>
      </c>
      <c r="B26" s="752" t="s">
        <v>1075</v>
      </c>
      <c r="C26" s="547"/>
      <c r="D26" s="770" t="s">
        <v>52</v>
      </c>
      <c r="E26" s="50" t="s">
        <v>53</v>
      </c>
      <c r="F26" s="753">
        <v>62</v>
      </c>
      <c r="G26" s="754">
        <v>62</v>
      </c>
      <c r="H26" s="754">
        <v>62</v>
      </c>
      <c r="I26" s="754">
        <v>62</v>
      </c>
      <c r="J26" s="754">
        <v>62</v>
      </c>
      <c r="K26" s="754">
        <v>62</v>
      </c>
      <c r="L26" s="754">
        <v>62</v>
      </c>
      <c r="M26" s="754">
        <v>62</v>
      </c>
      <c r="N26" s="754">
        <v>62</v>
      </c>
      <c r="O26" s="754">
        <v>62</v>
      </c>
      <c r="P26" s="754">
        <v>62</v>
      </c>
      <c r="Q26" s="755">
        <v>62</v>
      </c>
      <c r="R26" s="754">
        <v>62</v>
      </c>
      <c r="S26" s="754">
        <v>62</v>
      </c>
      <c r="T26" s="754">
        <v>62</v>
      </c>
      <c r="U26" s="754">
        <v>62</v>
      </c>
      <c r="V26" s="754">
        <v>62</v>
      </c>
      <c r="W26" s="754">
        <v>62</v>
      </c>
      <c r="X26" s="754">
        <v>62</v>
      </c>
      <c r="Y26" s="754">
        <v>62</v>
      </c>
      <c r="Z26" s="754">
        <v>62</v>
      </c>
      <c r="AA26" s="754">
        <v>62</v>
      </c>
      <c r="AB26" s="754">
        <v>62</v>
      </c>
      <c r="AC26" s="754">
        <v>62</v>
      </c>
      <c r="AD26" s="762">
        <v>62</v>
      </c>
      <c r="AE26" s="754">
        <v>62</v>
      </c>
      <c r="AF26" s="754">
        <v>62</v>
      </c>
      <c r="AG26" s="754">
        <v>62</v>
      </c>
      <c r="AH26" s="754">
        <v>62</v>
      </c>
      <c r="AI26" s="754">
        <v>62</v>
      </c>
      <c r="AJ26" s="754">
        <v>62</v>
      </c>
      <c r="AK26" s="754">
        <v>62</v>
      </c>
      <c r="AL26" s="754">
        <v>62</v>
      </c>
      <c r="AM26" s="754">
        <v>62</v>
      </c>
      <c r="AN26" s="754">
        <v>62</v>
      </c>
      <c r="AO26" s="754">
        <v>62</v>
      </c>
    </row>
    <row r="27" spans="1:154" x14ac:dyDescent="0.25">
      <c r="A27" s="763" t="s">
        <v>663</v>
      </c>
      <c r="B27" s="547" t="s">
        <v>1076</v>
      </c>
      <c r="C27" s="547"/>
      <c r="D27" s="547" t="s">
        <v>96</v>
      </c>
      <c r="E27" s="547" t="s">
        <v>795</v>
      </c>
      <c r="F27" s="753">
        <v>2</v>
      </c>
      <c r="G27" s="754">
        <v>2</v>
      </c>
      <c r="H27" s="754">
        <v>2</v>
      </c>
      <c r="I27" s="754">
        <v>2</v>
      </c>
      <c r="J27" s="754">
        <v>2</v>
      </c>
      <c r="K27" s="754">
        <v>2</v>
      </c>
      <c r="L27" s="754">
        <v>2</v>
      </c>
      <c r="M27" s="754">
        <v>2</v>
      </c>
      <c r="N27" s="754">
        <v>2</v>
      </c>
      <c r="O27" s="754">
        <v>2</v>
      </c>
      <c r="P27" s="754">
        <v>2</v>
      </c>
      <c r="Q27" s="755">
        <v>2</v>
      </c>
      <c r="R27" s="754">
        <v>2</v>
      </c>
      <c r="S27" s="754">
        <v>2</v>
      </c>
      <c r="T27" s="754">
        <v>2</v>
      </c>
      <c r="U27" s="754">
        <v>2</v>
      </c>
      <c r="V27" s="754">
        <v>2</v>
      </c>
      <c r="W27" s="754">
        <v>2</v>
      </c>
      <c r="X27" s="754">
        <v>2</v>
      </c>
      <c r="Y27" s="754">
        <v>2</v>
      </c>
      <c r="Z27" s="754">
        <v>2</v>
      </c>
      <c r="AA27" s="754">
        <v>2</v>
      </c>
      <c r="AB27" s="754">
        <v>2</v>
      </c>
      <c r="AC27" s="754">
        <v>2</v>
      </c>
      <c r="AD27" s="762">
        <v>2</v>
      </c>
      <c r="AE27" s="754">
        <v>2</v>
      </c>
      <c r="AF27" s="754">
        <v>2</v>
      </c>
      <c r="AG27" s="754">
        <v>2</v>
      </c>
      <c r="AH27" s="754">
        <v>2</v>
      </c>
      <c r="AI27" s="754">
        <v>2</v>
      </c>
      <c r="AJ27" s="754">
        <v>2</v>
      </c>
      <c r="AK27" s="754">
        <v>2</v>
      </c>
      <c r="AL27" s="754">
        <v>2</v>
      </c>
      <c r="AM27" s="754">
        <v>2</v>
      </c>
      <c r="AN27" s="754">
        <v>2</v>
      </c>
      <c r="AO27" s="754">
        <v>2</v>
      </c>
    </row>
    <row r="28" spans="1:154" x14ac:dyDescent="0.25">
      <c r="A28" s="763" t="s">
        <v>663</v>
      </c>
      <c r="B28" s="547" t="s">
        <v>1076</v>
      </c>
      <c r="C28" s="813" t="s">
        <v>800</v>
      </c>
      <c r="D28" s="547" t="s">
        <v>42</v>
      </c>
      <c r="E28" s="547" t="s">
        <v>675</v>
      </c>
      <c r="F28" s="753">
        <v>5</v>
      </c>
      <c r="G28" s="754">
        <v>5</v>
      </c>
      <c r="H28" s="754">
        <v>5</v>
      </c>
      <c r="I28" s="754">
        <v>5</v>
      </c>
      <c r="J28" s="754">
        <v>5</v>
      </c>
      <c r="K28" s="754">
        <v>5</v>
      </c>
      <c r="L28" s="754">
        <v>5</v>
      </c>
      <c r="M28" s="754">
        <v>5</v>
      </c>
      <c r="N28" s="754">
        <v>5</v>
      </c>
      <c r="O28" s="754">
        <v>5</v>
      </c>
      <c r="P28" s="754">
        <v>5</v>
      </c>
      <c r="Q28" s="755">
        <v>5</v>
      </c>
      <c r="R28" s="754">
        <v>5</v>
      </c>
      <c r="S28" s="754">
        <v>5</v>
      </c>
      <c r="T28" s="754">
        <v>5</v>
      </c>
      <c r="U28" s="754">
        <v>5</v>
      </c>
      <c r="V28" s="754">
        <v>5</v>
      </c>
      <c r="W28" s="754">
        <v>5</v>
      </c>
      <c r="X28" s="754">
        <v>5</v>
      </c>
      <c r="Y28" s="754">
        <v>5</v>
      </c>
      <c r="Z28" s="754">
        <v>5</v>
      </c>
      <c r="AA28" s="754">
        <v>5</v>
      </c>
      <c r="AB28" s="754">
        <v>5</v>
      </c>
      <c r="AC28" s="754">
        <v>5</v>
      </c>
      <c r="AD28" s="762">
        <v>5</v>
      </c>
      <c r="AE28" s="754">
        <v>5</v>
      </c>
      <c r="AF28" s="754">
        <v>5</v>
      </c>
      <c r="AG28" s="754">
        <v>5</v>
      </c>
      <c r="AH28" s="754">
        <v>5</v>
      </c>
      <c r="AI28" s="754">
        <v>5</v>
      </c>
      <c r="AJ28" s="754">
        <v>5</v>
      </c>
      <c r="AK28" s="754">
        <v>5</v>
      </c>
      <c r="AL28" s="754">
        <v>5</v>
      </c>
      <c r="AM28" s="754">
        <v>5</v>
      </c>
      <c r="AN28" s="754">
        <v>5</v>
      </c>
      <c r="AO28" s="754">
        <v>5</v>
      </c>
    </row>
    <row r="29" spans="1:154" x14ac:dyDescent="0.25">
      <c r="A29" s="758" t="s">
        <v>1077</v>
      </c>
      <c r="B29" s="743"/>
      <c r="C29" s="743"/>
      <c r="D29" s="743"/>
      <c r="E29" s="743"/>
      <c r="F29" s="759">
        <v>69</v>
      </c>
      <c r="G29" s="760">
        <v>69</v>
      </c>
      <c r="H29" s="760">
        <v>69</v>
      </c>
      <c r="I29" s="760">
        <v>69</v>
      </c>
      <c r="J29" s="760">
        <v>69</v>
      </c>
      <c r="K29" s="760">
        <v>69</v>
      </c>
      <c r="L29" s="760">
        <v>69</v>
      </c>
      <c r="M29" s="760">
        <v>69</v>
      </c>
      <c r="N29" s="760">
        <v>69</v>
      </c>
      <c r="O29" s="760">
        <v>69</v>
      </c>
      <c r="P29" s="760">
        <v>69</v>
      </c>
      <c r="Q29" s="761">
        <v>69</v>
      </c>
      <c r="R29" s="760">
        <v>69</v>
      </c>
      <c r="S29" s="760">
        <v>69</v>
      </c>
      <c r="T29" s="760">
        <v>69</v>
      </c>
      <c r="U29" s="760">
        <v>69</v>
      </c>
      <c r="V29" s="760">
        <v>69</v>
      </c>
      <c r="W29" s="760">
        <v>69</v>
      </c>
      <c r="X29" s="760">
        <v>69</v>
      </c>
      <c r="Y29" s="760">
        <v>69</v>
      </c>
      <c r="Z29" s="760">
        <v>69</v>
      </c>
      <c r="AA29" s="760">
        <v>69</v>
      </c>
      <c r="AB29" s="760">
        <v>69</v>
      </c>
      <c r="AC29" s="760">
        <v>69</v>
      </c>
      <c r="AD29" s="768">
        <v>69</v>
      </c>
      <c r="AE29" s="760">
        <v>69</v>
      </c>
      <c r="AF29" s="760">
        <v>69</v>
      </c>
      <c r="AG29" s="760">
        <v>69</v>
      </c>
      <c r="AH29" s="760">
        <v>69</v>
      </c>
      <c r="AI29" s="760">
        <v>69</v>
      </c>
      <c r="AJ29" s="760">
        <v>69</v>
      </c>
      <c r="AK29" s="760">
        <v>69</v>
      </c>
      <c r="AL29" s="760">
        <v>69</v>
      </c>
      <c r="AM29" s="760">
        <v>69</v>
      </c>
      <c r="AN29" s="760">
        <v>69</v>
      </c>
      <c r="AO29" s="760">
        <v>69</v>
      </c>
    </row>
    <row r="30" spans="1:154" s="776" customFormat="1" x14ac:dyDescent="0.25">
      <c r="A30" s="769" t="s">
        <v>661</v>
      </c>
      <c r="B30" s="770" t="s">
        <v>1078</v>
      </c>
      <c r="C30" s="770"/>
      <c r="D30" s="770" t="s">
        <v>50</v>
      </c>
      <c r="E30" s="771" t="s">
        <v>51</v>
      </c>
      <c r="F30" s="772">
        <v>8</v>
      </c>
      <c r="G30" s="773">
        <v>8</v>
      </c>
      <c r="H30" s="773">
        <v>8</v>
      </c>
      <c r="I30" s="773">
        <v>8</v>
      </c>
      <c r="J30" s="773">
        <v>8</v>
      </c>
      <c r="K30" s="773">
        <v>8</v>
      </c>
      <c r="L30" s="773">
        <v>8</v>
      </c>
      <c r="M30" s="773">
        <v>8</v>
      </c>
      <c r="N30" s="773">
        <v>8</v>
      </c>
      <c r="O30" s="773">
        <v>8</v>
      </c>
      <c r="P30" s="773">
        <v>8</v>
      </c>
      <c r="Q30" s="774">
        <v>8</v>
      </c>
      <c r="R30" s="773">
        <v>8</v>
      </c>
      <c r="S30" s="773">
        <v>8</v>
      </c>
      <c r="T30" s="773">
        <v>8</v>
      </c>
      <c r="U30" s="773">
        <v>8</v>
      </c>
      <c r="V30" s="773">
        <v>8</v>
      </c>
      <c r="W30" s="773">
        <v>8</v>
      </c>
      <c r="X30" s="773">
        <v>8</v>
      </c>
      <c r="Y30" s="773">
        <v>8</v>
      </c>
      <c r="Z30" s="773">
        <v>8</v>
      </c>
      <c r="AA30" s="773">
        <v>8</v>
      </c>
      <c r="AB30" s="773">
        <v>8</v>
      </c>
      <c r="AC30" s="773">
        <v>8</v>
      </c>
      <c r="AD30" s="775">
        <v>8</v>
      </c>
      <c r="AE30" s="773">
        <v>8</v>
      </c>
      <c r="AF30" s="773">
        <v>8</v>
      </c>
      <c r="AG30" s="773">
        <v>8</v>
      </c>
      <c r="AH30" s="773">
        <v>8</v>
      </c>
      <c r="AI30" s="773">
        <v>8</v>
      </c>
      <c r="AJ30" s="773">
        <v>8</v>
      </c>
      <c r="AK30" s="773">
        <v>8</v>
      </c>
      <c r="AL30" s="773">
        <v>8</v>
      </c>
      <c r="AM30" s="773">
        <v>8</v>
      </c>
      <c r="AN30" s="773">
        <v>8</v>
      </c>
      <c r="AO30" s="773">
        <v>8</v>
      </c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</row>
    <row r="31" spans="1:154" s="776" customFormat="1" x14ac:dyDescent="0.25">
      <c r="A31" s="777" t="s">
        <v>1079</v>
      </c>
      <c r="B31" s="778"/>
      <c r="C31" s="778"/>
      <c r="D31" s="778"/>
      <c r="E31" s="779"/>
      <c r="F31" s="780">
        <v>8</v>
      </c>
      <c r="G31" s="781">
        <v>8</v>
      </c>
      <c r="H31" s="781">
        <v>8</v>
      </c>
      <c r="I31" s="781">
        <v>8</v>
      </c>
      <c r="J31" s="781">
        <v>8</v>
      </c>
      <c r="K31" s="781">
        <v>8</v>
      </c>
      <c r="L31" s="781">
        <v>8</v>
      </c>
      <c r="M31" s="781">
        <v>8</v>
      </c>
      <c r="N31" s="781">
        <v>8</v>
      </c>
      <c r="O31" s="781">
        <v>8</v>
      </c>
      <c r="P31" s="781">
        <v>8</v>
      </c>
      <c r="Q31" s="782">
        <v>8</v>
      </c>
      <c r="R31" s="781">
        <v>8</v>
      </c>
      <c r="S31" s="781">
        <v>8</v>
      </c>
      <c r="T31" s="781">
        <v>8</v>
      </c>
      <c r="U31" s="781">
        <v>8</v>
      </c>
      <c r="V31" s="781">
        <v>8</v>
      </c>
      <c r="W31" s="781">
        <v>8</v>
      </c>
      <c r="X31" s="781">
        <v>8</v>
      </c>
      <c r="Y31" s="781">
        <v>8</v>
      </c>
      <c r="Z31" s="781">
        <v>8</v>
      </c>
      <c r="AA31" s="781">
        <v>8</v>
      </c>
      <c r="AB31" s="781">
        <v>8</v>
      </c>
      <c r="AC31" s="781">
        <v>8</v>
      </c>
      <c r="AD31" s="783">
        <v>8</v>
      </c>
      <c r="AE31" s="781">
        <v>8</v>
      </c>
      <c r="AF31" s="781">
        <v>8</v>
      </c>
      <c r="AG31" s="781">
        <v>8</v>
      </c>
      <c r="AH31" s="781">
        <v>8</v>
      </c>
      <c r="AI31" s="781">
        <v>8</v>
      </c>
      <c r="AJ31" s="781">
        <v>8</v>
      </c>
      <c r="AK31" s="781">
        <v>8</v>
      </c>
      <c r="AL31" s="781">
        <v>8</v>
      </c>
      <c r="AM31" s="781">
        <v>8</v>
      </c>
      <c r="AN31" s="781">
        <v>8</v>
      </c>
      <c r="AO31" s="781">
        <v>8</v>
      </c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</row>
    <row r="32" spans="1:154" s="776" customFormat="1" x14ac:dyDescent="0.25">
      <c r="A32" s="784" t="s">
        <v>662</v>
      </c>
      <c r="B32" s="741" t="s">
        <v>1078</v>
      </c>
      <c r="C32" s="741"/>
      <c r="D32" s="741" t="s">
        <v>50</v>
      </c>
      <c r="E32" s="785" t="s">
        <v>51</v>
      </c>
      <c r="F32" s="786">
        <v>2</v>
      </c>
      <c r="G32" s="787">
        <v>2</v>
      </c>
      <c r="H32" s="787">
        <v>2</v>
      </c>
      <c r="I32" s="787">
        <v>2</v>
      </c>
      <c r="J32" s="787">
        <v>2</v>
      </c>
      <c r="K32" s="787">
        <v>2</v>
      </c>
      <c r="L32" s="787">
        <v>2</v>
      </c>
      <c r="M32" s="787">
        <v>2</v>
      </c>
      <c r="N32" s="787">
        <v>2</v>
      </c>
      <c r="O32" s="787">
        <v>2</v>
      </c>
      <c r="P32" s="787">
        <v>2</v>
      </c>
      <c r="Q32" s="788">
        <v>2</v>
      </c>
      <c r="R32" s="787">
        <v>2</v>
      </c>
      <c r="S32" s="787">
        <v>2</v>
      </c>
      <c r="T32" s="787">
        <v>2</v>
      </c>
      <c r="U32" s="787">
        <v>2</v>
      </c>
      <c r="V32" s="787">
        <v>2</v>
      </c>
      <c r="W32" s="787">
        <v>2</v>
      </c>
      <c r="X32" s="787">
        <v>2</v>
      </c>
      <c r="Y32" s="787">
        <v>2</v>
      </c>
      <c r="Z32" s="787">
        <v>2</v>
      </c>
      <c r="AA32" s="787">
        <v>2</v>
      </c>
      <c r="AB32" s="787">
        <v>2</v>
      </c>
      <c r="AC32" s="787">
        <v>2</v>
      </c>
      <c r="AD32" s="789">
        <v>2</v>
      </c>
      <c r="AE32" s="787">
        <v>2</v>
      </c>
      <c r="AF32" s="787">
        <v>2</v>
      </c>
      <c r="AG32" s="787">
        <v>2</v>
      </c>
      <c r="AH32" s="787">
        <v>2</v>
      </c>
      <c r="AI32" s="787">
        <v>2</v>
      </c>
      <c r="AJ32" s="787">
        <v>2</v>
      </c>
      <c r="AK32" s="787">
        <v>2</v>
      </c>
      <c r="AL32" s="787">
        <v>2</v>
      </c>
      <c r="AM32" s="787">
        <v>2</v>
      </c>
      <c r="AN32" s="787">
        <v>2</v>
      </c>
      <c r="AO32" s="787">
        <v>2</v>
      </c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</row>
    <row r="33" spans="1:154" s="776" customFormat="1" x14ac:dyDescent="0.25">
      <c r="A33" s="784" t="s">
        <v>662</v>
      </c>
      <c r="B33" s="741" t="s">
        <v>1075</v>
      </c>
      <c r="C33" s="741"/>
      <c r="D33" s="770" t="s">
        <v>52</v>
      </c>
      <c r="E33" s="785" t="s">
        <v>53</v>
      </c>
      <c r="F33" s="786">
        <v>1</v>
      </c>
      <c r="G33" s="787">
        <v>1</v>
      </c>
      <c r="H33" s="787">
        <v>1</v>
      </c>
      <c r="I33" s="787">
        <v>1</v>
      </c>
      <c r="J33" s="787">
        <v>1</v>
      </c>
      <c r="K33" s="787">
        <v>1</v>
      </c>
      <c r="L33" s="787">
        <v>1</v>
      </c>
      <c r="M33" s="787">
        <v>1</v>
      </c>
      <c r="N33" s="787">
        <v>1</v>
      </c>
      <c r="O33" s="787">
        <v>1</v>
      </c>
      <c r="P33" s="787">
        <v>1</v>
      </c>
      <c r="Q33" s="788">
        <v>1</v>
      </c>
      <c r="R33" s="787">
        <v>1</v>
      </c>
      <c r="S33" s="787">
        <v>1</v>
      </c>
      <c r="T33" s="787">
        <v>1</v>
      </c>
      <c r="U33" s="787">
        <v>1</v>
      </c>
      <c r="V33" s="787">
        <v>1</v>
      </c>
      <c r="W33" s="787">
        <v>1</v>
      </c>
      <c r="X33" s="787">
        <v>1</v>
      </c>
      <c r="Y33" s="787">
        <v>1</v>
      </c>
      <c r="Z33" s="787">
        <v>1</v>
      </c>
      <c r="AA33" s="787">
        <v>1</v>
      </c>
      <c r="AB33" s="787">
        <v>1</v>
      </c>
      <c r="AC33" s="787">
        <v>1</v>
      </c>
      <c r="AD33" s="789">
        <v>1</v>
      </c>
      <c r="AE33" s="787">
        <v>1</v>
      </c>
      <c r="AF33" s="787">
        <v>1</v>
      </c>
      <c r="AG33" s="787">
        <v>1</v>
      </c>
      <c r="AH33" s="787">
        <v>1</v>
      </c>
      <c r="AI33" s="787">
        <v>1</v>
      </c>
      <c r="AJ33" s="787">
        <v>1</v>
      </c>
      <c r="AK33" s="787">
        <v>1</v>
      </c>
      <c r="AL33" s="787">
        <v>1</v>
      </c>
      <c r="AM33" s="787">
        <v>1</v>
      </c>
      <c r="AN33" s="787">
        <v>1</v>
      </c>
      <c r="AO33" s="787">
        <v>1</v>
      </c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</row>
    <row r="34" spans="1:154" s="776" customFormat="1" x14ac:dyDescent="0.25">
      <c r="A34" s="777" t="s">
        <v>1080</v>
      </c>
      <c r="B34" s="778"/>
      <c r="C34" s="778"/>
      <c r="D34" s="778"/>
      <c r="E34" s="778"/>
      <c r="F34" s="780">
        <v>3</v>
      </c>
      <c r="G34" s="781">
        <v>3</v>
      </c>
      <c r="H34" s="781">
        <v>3</v>
      </c>
      <c r="I34" s="781">
        <v>3</v>
      </c>
      <c r="J34" s="781">
        <v>3</v>
      </c>
      <c r="K34" s="781">
        <v>3</v>
      </c>
      <c r="L34" s="781">
        <v>3</v>
      </c>
      <c r="M34" s="781">
        <v>3</v>
      </c>
      <c r="N34" s="781">
        <v>3</v>
      </c>
      <c r="O34" s="781">
        <v>3</v>
      </c>
      <c r="P34" s="781">
        <v>3</v>
      </c>
      <c r="Q34" s="782">
        <v>3</v>
      </c>
      <c r="R34" s="781">
        <v>3</v>
      </c>
      <c r="S34" s="781">
        <v>3</v>
      </c>
      <c r="T34" s="781">
        <v>3</v>
      </c>
      <c r="U34" s="781">
        <v>3</v>
      </c>
      <c r="V34" s="781">
        <v>3</v>
      </c>
      <c r="W34" s="781">
        <v>3</v>
      </c>
      <c r="X34" s="781">
        <v>3</v>
      </c>
      <c r="Y34" s="781">
        <v>3</v>
      </c>
      <c r="Z34" s="781">
        <v>3</v>
      </c>
      <c r="AA34" s="781">
        <v>3</v>
      </c>
      <c r="AB34" s="781">
        <v>3</v>
      </c>
      <c r="AC34" s="781">
        <v>3</v>
      </c>
      <c r="AD34" s="783">
        <v>3</v>
      </c>
      <c r="AE34" s="781">
        <v>3</v>
      </c>
      <c r="AF34" s="781">
        <v>3</v>
      </c>
      <c r="AG34" s="781">
        <v>3</v>
      </c>
      <c r="AH34" s="781">
        <v>3</v>
      </c>
      <c r="AI34" s="781">
        <v>3</v>
      </c>
      <c r="AJ34" s="781">
        <v>3</v>
      </c>
      <c r="AK34" s="781">
        <v>3</v>
      </c>
      <c r="AL34" s="781">
        <v>3</v>
      </c>
      <c r="AM34" s="781">
        <v>3</v>
      </c>
      <c r="AN34" s="781">
        <v>3</v>
      </c>
      <c r="AO34" s="781">
        <v>3</v>
      </c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</row>
    <row r="35" spans="1:154" x14ac:dyDescent="0.25">
      <c r="A35" s="758" t="s">
        <v>664</v>
      </c>
      <c r="B35" s="743" t="s">
        <v>1237</v>
      </c>
      <c r="C35" s="743"/>
      <c r="D35" s="743" t="s">
        <v>57</v>
      </c>
      <c r="E35" s="743" t="s">
        <v>1216</v>
      </c>
      <c r="F35" s="759">
        <v>1</v>
      </c>
      <c r="G35" s="760">
        <v>1</v>
      </c>
      <c r="H35" s="760">
        <v>1</v>
      </c>
      <c r="I35" s="760">
        <v>1</v>
      </c>
      <c r="J35" s="760">
        <v>1</v>
      </c>
      <c r="K35" s="760">
        <v>1</v>
      </c>
      <c r="L35" s="760">
        <v>1</v>
      </c>
      <c r="M35" s="760">
        <v>1</v>
      </c>
      <c r="N35" s="760">
        <v>1</v>
      </c>
      <c r="O35" s="760">
        <v>0</v>
      </c>
      <c r="P35" s="760">
        <v>0</v>
      </c>
      <c r="Q35" s="761">
        <v>0</v>
      </c>
      <c r="R35" s="760">
        <v>0</v>
      </c>
      <c r="S35" s="760">
        <v>0</v>
      </c>
      <c r="T35" s="760">
        <v>0</v>
      </c>
      <c r="U35" s="760">
        <v>0</v>
      </c>
      <c r="V35" s="760">
        <v>0</v>
      </c>
      <c r="W35" s="760">
        <v>0</v>
      </c>
      <c r="X35" s="760">
        <v>0</v>
      </c>
      <c r="Y35" s="760">
        <v>0</v>
      </c>
      <c r="Z35" s="760">
        <v>0</v>
      </c>
      <c r="AA35" s="760">
        <v>0</v>
      </c>
      <c r="AB35" s="760">
        <v>0</v>
      </c>
      <c r="AC35" s="760">
        <v>0</v>
      </c>
      <c r="AD35" s="768">
        <v>0</v>
      </c>
      <c r="AE35" s="760">
        <v>0</v>
      </c>
      <c r="AF35" s="760">
        <v>0</v>
      </c>
      <c r="AG35" s="760">
        <v>0</v>
      </c>
      <c r="AH35" s="760">
        <v>0</v>
      </c>
      <c r="AI35" s="760">
        <v>0</v>
      </c>
      <c r="AJ35" s="760">
        <v>0</v>
      </c>
      <c r="AK35" s="760">
        <v>0</v>
      </c>
      <c r="AL35" s="760">
        <v>0</v>
      </c>
      <c r="AM35" s="760">
        <v>0</v>
      </c>
      <c r="AN35" s="760">
        <v>0</v>
      </c>
      <c r="AO35" s="760">
        <v>0</v>
      </c>
    </row>
    <row r="36" spans="1:154" x14ac:dyDescent="0.25">
      <c r="A36" s="790" t="s">
        <v>165</v>
      </c>
      <c r="B36" s="791" t="s">
        <v>1236</v>
      </c>
      <c r="C36" s="791"/>
      <c r="D36" s="791" t="s">
        <v>45</v>
      </c>
      <c r="E36" s="791" t="s">
        <v>46</v>
      </c>
      <c r="F36" s="792">
        <v>1</v>
      </c>
      <c r="G36" s="793">
        <v>1</v>
      </c>
      <c r="H36" s="793">
        <v>1</v>
      </c>
      <c r="I36" s="793">
        <v>1</v>
      </c>
      <c r="J36" s="793">
        <v>1</v>
      </c>
      <c r="K36" s="793">
        <v>1</v>
      </c>
      <c r="L36" s="793">
        <v>1</v>
      </c>
      <c r="M36" s="793">
        <v>1</v>
      </c>
      <c r="N36" s="793">
        <v>1</v>
      </c>
      <c r="O36" s="793">
        <v>1</v>
      </c>
      <c r="P36" s="793">
        <v>1</v>
      </c>
      <c r="Q36" s="794">
        <v>1</v>
      </c>
      <c r="R36" s="754">
        <v>1</v>
      </c>
      <c r="S36" s="754">
        <v>1</v>
      </c>
      <c r="T36" s="754">
        <v>1</v>
      </c>
      <c r="U36" s="754">
        <v>1</v>
      </c>
      <c r="V36" s="754">
        <v>1</v>
      </c>
      <c r="W36" s="754">
        <v>1</v>
      </c>
      <c r="X36" s="754">
        <v>1</v>
      </c>
      <c r="Y36" s="754">
        <v>1</v>
      </c>
      <c r="Z36" s="754">
        <v>1</v>
      </c>
      <c r="AA36" s="754">
        <v>1</v>
      </c>
      <c r="AB36" s="754">
        <v>1</v>
      </c>
      <c r="AC36" s="754">
        <v>1</v>
      </c>
      <c r="AD36" s="762">
        <v>1</v>
      </c>
      <c r="AE36" s="754">
        <v>1</v>
      </c>
      <c r="AF36" s="754">
        <v>1</v>
      </c>
      <c r="AG36" s="754">
        <v>1</v>
      </c>
      <c r="AH36" s="754">
        <v>1</v>
      </c>
      <c r="AI36" s="754">
        <v>1</v>
      </c>
      <c r="AJ36" s="754">
        <v>1</v>
      </c>
      <c r="AK36" s="754">
        <v>1</v>
      </c>
      <c r="AL36" s="754">
        <v>1</v>
      </c>
      <c r="AM36" s="754">
        <v>1</v>
      </c>
      <c r="AN36" s="754">
        <v>1</v>
      </c>
      <c r="AO36" s="754">
        <v>1</v>
      </c>
    </row>
    <row r="37" spans="1:154" x14ac:dyDescent="0.25">
      <c r="A37" s="790" t="s">
        <v>424</v>
      </c>
      <c r="B37" s="791"/>
      <c r="C37" s="791"/>
      <c r="D37" s="791"/>
      <c r="E37" s="791"/>
      <c r="F37" s="792">
        <v>321858</v>
      </c>
      <c r="G37" s="793">
        <v>322107</v>
      </c>
      <c r="H37" s="793">
        <v>322347</v>
      </c>
      <c r="I37" s="793">
        <v>321590</v>
      </c>
      <c r="J37" s="793">
        <v>320339</v>
      </c>
      <c r="K37" s="793">
        <v>320113</v>
      </c>
      <c r="L37" s="793">
        <v>319608</v>
      </c>
      <c r="M37" s="793">
        <v>319572</v>
      </c>
      <c r="N37" s="793">
        <v>319214</v>
      </c>
      <c r="O37" s="793">
        <v>319613</v>
      </c>
      <c r="P37" s="793">
        <v>320462</v>
      </c>
      <c r="Q37" s="794">
        <v>321733</v>
      </c>
      <c r="R37" s="795">
        <v>322376</v>
      </c>
      <c r="S37" s="795">
        <v>322629</v>
      </c>
      <c r="T37" s="795">
        <v>322874</v>
      </c>
      <c r="U37" s="795">
        <v>322124</v>
      </c>
      <c r="V37" s="795">
        <v>321374</v>
      </c>
      <c r="W37" s="795">
        <v>321122</v>
      </c>
      <c r="X37" s="795">
        <v>320593</v>
      </c>
      <c r="Y37" s="795">
        <v>320534</v>
      </c>
      <c r="Z37" s="795">
        <v>320153</v>
      </c>
      <c r="AA37" s="795">
        <v>320530</v>
      </c>
      <c r="AB37" s="795">
        <v>320861</v>
      </c>
      <c r="AC37" s="795">
        <v>322146</v>
      </c>
      <c r="AD37" s="796">
        <v>322802</v>
      </c>
      <c r="AE37" s="795">
        <v>323067</v>
      </c>
      <c r="AF37" s="795">
        <v>323323</v>
      </c>
      <c r="AG37" s="795">
        <v>322582</v>
      </c>
      <c r="AH37" s="795">
        <v>321841</v>
      </c>
      <c r="AI37" s="795">
        <v>321597</v>
      </c>
      <c r="AJ37" s="795">
        <v>321076</v>
      </c>
      <c r="AK37" s="795">
        <v>321024</v>
      </c>
      <c r="AL37" s="795">
        <v>320651</v>
      </c>
      <c r="AM37" s="795">
        <v>321035</v>
      </c>
      <c r="AN37" s="795">
        <v>321371</v>
      </c>
      <c r="AO37" s="795">
        <v>322659</v>
      </c>
    </row>
    <row r="38" spans="1:154" s="776" customFormat="1" x14ac:dyDescent="0.25">
      <c r="F38" s="797"/>
      <c r="G38" s="797"/>
      <c r="H38" s="797"/>
      <c r="I38" s="797"/>
      <c r="J38" s="797"/>
      <c r="K38" s="797" t="s">
        <v>1081</v>
      </c>
      <c r="L38" s="797" t="s">
        <v>1081</v>
      </c>
      <c r="M38" s="797" t="s">
        <v>1081</v>
      </c>
      <c r="N38" s="797" t="s">
        <v>1081</v>
      </c>
      <c r="O38" s="797" t="s">
        <v>1081</v>
      </c>
      <c r="P38" s="797" t="s">
        <v>1081</v>
      </c>
      <c r="Q38" s="798" t="s">
        <v>1081</v>
      </c>
      <c r="R38" s="797" t="s">
        <v>1081</v>
      </c>
      <c r="S38" s="797" t="s">
        <v>1081</v>
      </c>
      <c r="T38" s="797" t="s">
        <v>1081</v>
      </c>
      <c r="U38" s="797" t="s">
        <v>1081</v>
      </c>
      <c r="V38" s="797" t="s">
        <v>1081</v>
      </c>
      <c r="W38" s="797" t="s">
        <v>1081</v>
      </c>
      <c r="X38" s="797" t="s">
        <v>1081</v>
      </c>
      <c r="Y38" s="797" t="s">
        <v>1081</v>
      </c>
      <c r="Z38" s="797" t="s">
        <v>1081</v>
      </c>
      <c r="AA38" s="797" t="s">
        <v>1081</v>
      </c>
      <c r="AB38" s="797" t="s">
        <v>1081</v>
      </c>
      <c r="AC38" s="798" t="s">
        <v>1081</v>
      </c>
      <c r="AD38" s="797" t="s">
        <v>1081</v>
      </c>
      <c r="AE38" s="797" t="s">
        <v>1081</v>
      </c>
      <c r="AF38" s="797" t="s">
        <v>1081</v>
      </c>
      <c r="AG38" s="797" t="s">
        <v>1081</v>
      </c>
      <c r="AH38" s="797" t="s">
        <v>1081</v>
      </c>
      <c r="AI38" s="797" t="s">
        <v>1081</v>
      </c>
      <c r="AJ38" s="797" t="s">
        <v>1081</v>
      </c>
      <c r="AK38" s="797" t="s">
        <v>1081</v>
      </c>
      <c r="AL38" s="797" t="s">
        <v>1081</v>
      </c>
      <c r="AM38" s="797" t="s">
        <v>1081</v>
      </c>
      <c r="AN38" s="797" t="s">
        <v>1081</v>
      </c>
      <c r="AO38" s="798" t="s">
        <v>1081</v>
      </c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</row>
    <row r="39" spans="1:154" s="776" customFormat="1" x14ac:dyDescent="0.25">
      <c r="A39" s="799" t="s">
        <v>1082</v>
      </c>
      <c r="F39" s="800" t="s">
        <v>1081</v>
      </c>
      <c r="G39" s="800"/>
      <c r="H39" s="800"/>
      <c r="I39" s="800"/>
      <c r="J39" s="800"/>
      <c r="K39" s="800" t="s">
        <v>1081</v>
      </c>
      <c r="L39" s="800" t="s">
        <v>1081</v>
      </c>
      <c r="M39" s="800" t="s">
        <v>1081</v>
      </c>
      <c r="N39" s="800" t="s">
        <v>1081</v>
      </c>
      <c r="O39" s="800" t="s">
        <v>1081</v>
      </c>
      <c r="P39" s="800" t="s">
        <v>1081</v>
      </c>
      <c r="Q39" s="801" t="s">
        <v>1081</v>
      </c>
      <c r="R39" s="800" t="s">
        <v>1081</v>
      </c>
      <c r="S39" s="800" t="s">
        <v>1081</v>
      </c>
      <c r="T39" s="800" t="s">
        <v>1081</v>
      </c>
      <c r="U39" s="800" t="s">
        <v>1081</v>
      </c>
      <c r="V39" s="800" t="s">
        <v>1081</v>
      </c>
      <c r="W39" s="800" t="s">
        <v>1081</v>
      </c>
      <c r="X39" s="800" t="s">
        <v>1081</v>
      </c>
      <c r="Y39" s="800" t="s">
        <v>1081</v>
      </c>
      <c r="Z39" s="800" t="s">
        <v>1081</v>
      </c>
      <c r="AA39" s="800" t="s">
        <v>1081</v>
      </c>
      <c r="AB39" s="800" t="s">
        <v>1081</v>
      </c>
      <c r="AC39" s="801" t="s">
        <v>1081</v>
      </c>
      <c r="AD39" s="800" t="s">
        <v>1081</v>
      </c>
      <c r="AE39" s="800" t="s">
        <v>1081</v>
      </c>
      <c r="AF39" s="800" t="s">
        <v>1081</v>
      </c>
      <c r="AG39" s="800" t="s">
        <v>1081</v>
      </c>
      <c r="AH39" s="800" t="s">
        <v>1081</v>
      </c>
      <c r="AI39" s="800" t="s">
        <v>1081</v>
      </c>
      <c r="AJ39" s="800" t="s">
        <v>1081</v>
      </c>
      <c r="AK39" s="800" t="s">
        <v>1081</v>
      </c>
      <c r="AL39" s="800" t="s">
        <v>1081</v>
      </c>
      <c r="AM39" s="800" t="s">
        <v>1081</v>
      </c>
      <c r="AN39" s="800" t="s">
        <v>1081</v>
      </c>
      <c r="AO39" s="801" t="s">
        <v>1081</v>
      </c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</row>
    <row r="40" spans="1:154" s="776" customFormat="1" x14ac:dyDescent="0.25">
      <c r="A40" s="802" t="s">
        <v>1083</v>
      </c>
      <c r="B40" s="803"/>
      <c r="C40" s="803"/>
      <c r="D40" s="803"/>
      <c r="E40" s="803"/>
      <c r="F40" s="804">
        <v>7</v>
      </c>
      <c r="G40" s="804">
        <v>7</v>
      </c>
      <c r="H40" s="804">
        <v>7</v>
      </c>
      <c r="I40" s="804">
        <v>7</v>
      </c>
      <c r="J40" s="804">
        <v>7</v>
      </c>
      <c r="K40" s="804">
        <v>7</v>
      </c>
      <c r="L40" s="804">
        <v>7</v>
      </c>
      <c r="M40" s="804">
        <v>7</v>
      </c>
      <c r="N40" s="804">
        <v>7</v>
      </c>
      <c r="O40" s="804">
        <v>7</v>
      </c>
      <c r="P40" s="804">
        <v>7</v>
      </c>
      <c r="Q40" s="804">
        <v>7</v>
      </c>
      <c r="R40" s="804">
        <v>7</v>
      </c>
      <c r="S40" s="804">
        <v>7</v>
      </c>
      <c r="T40" s="804">
        <v>7</v>
      </c>
      <c r="U40" s="804">
        <v>7</v>
      </c>
      <c r="V40" s="804">
        <v>7</v>
      </c>
      <c r="W40" s="804">
        <v>7</v>
      </c>
      <c r="X40" s="804">
        <v>7</v>
      </c>
      <c r="Y40" s="804">
        <v>7</v>
      </c>
      <c r="Z40" s="804">
        <v>7</v>
      </c>
      <c r="AA40" s="804">
        <v>7</v>
      </c>
      <c r="AB40" s="804">
        <v>7</v>
      </c>
      <c r="AC40" s="804">
        <v>7</v>
      </c>
      <c r="AD40" s="804">
        <v>7</v>
      </c>
      <c r="AE40" s="804">
        <v>7</v>
      </c>
      <c r="AF40" s="804">
        <v>7</v>
      </c>
      <c r="AG40" s="804">
        <v>7</v>
      </c>
      <c r="AH40" s="804">
        <v>7</v>
      </c>
      <c r="AI40" s="804">
        <v>7</v>
      </c>
      <c r="AJ40" s="804">
        <v>7</v>
      </c>
      <c r="AK40" s="804">
        <v>7</v>
      </c>
      <c r="AL40" s="804">
        <v>7</v>
      </c>
      <c r="AM40" s="804">
        <v>7</v>
      </c>
      <c r="AN40" s="804">
        <v>7</v>
      </c>
      <c r="AO40" s="804">
        <v>7</v>
      </c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</row>
    <row r="41" spans="1:154" s="776" customFormat="1" x14ac:dyDescent="0.25">
      <c r="A41" s="805" t="s">
        <v>1084</v>
      </c>
      <c r="B41" s="806"/>
      <c r="C41" s="806"/>
      <c r="D41" s="806"/>
      <c r="E41" s="806"/>
      <c r="F41" s="807">
        <v>73</v>
      </c>
      <c r="G41" s="807">
        <v>73</v>
      </c>
      <c r="H41" s="807">
        <v>73</v>
      </c>
      <c r="I41" s="807">
        <v>73</v>
      </c>
      <c r="J41" s="807">
        <v>73</v>
      </c>
      <c r="K41" s="807">
        <v>73</v>
      </c>
      <c r="L41" s="807">
        <v>73</v>
      </c>
      <c r="M41" s="807">
        <v>73</v>
      </c>
      <c r="N41" s="807">
        <v>73</v>
      </c>
      <c r="O41" s="807">
        <v>73</v>
      </c>
      <c r="P41" s="807">
        <v>73</v>
      </c>
      <c r="Q41" s="807">
        <v>73</v>
      </c>
      <c r="R41" s="807">
        <v>73</v>
      </c>
      <c r="S41" s="807">
        <v>73</v>
      </c>
      <c r="T41" s="807">
        <v>73</v>
      </c>
      <c r="U41" s="807">
        <v>73</v>
      </c>
      <c r="V41" s="807">
        <v>73</v>
      </c>
      <c r="W41" s="807">
        <v>73</v>
      </c>
      <c r="X41" s="807">
        <v>73</v>
      </c>
      <c r="Y41" s="807">
        <v>73</v>
      </c>
      <c r="Z41" s="807">
        <v>73</v>
      </c>
      <c r="AA41" s="807">
        <v>73</v>
      </c>
      <c r="AB41" s="807">
        <v>73</v>
      </c>
      <c r="AC41" s="807">
        <v>73</v>
      </c>
      <c r="AD41" s="807">
        <v>73</v>
      </c>
      <c r="AE41" s="807">
        <v>73</v>
      </c>
      <c r="AF41" s="807">
        <v>73</v>
      </c>
      <c r="AG41" s="807">
        <v>73</v>
      </c>
      <c r="AH41" s="807">
        <v>73</v>
      </c>
      <c r="AI41" s="807">
        <v>73</v>
      </c>
      <c r="AJ41" s="807">
        <v>73</v>
      </c>
      <c r="AK41" s="807">
        <v>73</v>
      </c>
      <c r="AL41" s="807">
        <v>73</v>
      </c>
      <c r="AM41" s="807">
        <v>73</v>
      </c>
      <c r="AN41" s="807">
        <v>73</v>
      </c>
      <c r="AO41" s="807">
        <v>73</v>
      </c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</row>
    <row r="42" spans="1:154" s="776" customFormat="1" x14ac:dyDescent="0.25">
      <c r="A42" s="808" t="s">
        <v>1217</v>
      </c>
      <c r="B42" s="809"/>
      <c r="C42" s="809"/>
      <c r="D42" s="809"/>
      <c r="E42" s="809"/>
      <c r="F42" s="810">
        <v>2</v>
      </c>
      <c r="G42" s="810">
        <v>2</v>
      </c>
      <c r="H42" s="810">
        <v>2</v>
      </c>
      <c r="I42" s="810">
        <v>2</v>
      </c>
      <c r="J42" s="810">
        <v>2</v>
      </c>
      <c r="K42" s="810">
        <v>2</v>
      </c>
      <c r="L42" s="810">
        <v>2</v>
      </c>
      <c r="M42" s="810">
        <v>2</v>
      </c>
      <c r="N42" s="810">
        <v>2</v>
      </c>
      <c r="O42" s="810">
        <v>1</v>
      </c>
      <c r="P42" s="810">
        <v>1</v>
      </c>
      <c r="Q42" s="810">
        <v>1</v>
      </c>
      <c r="R42" s="810">
        <v>1</v>
      </c>
      <c r="S42" s="810">
        <v>1</v>
      </c>
      <c r="T42" s="810">
        <v>1</v>
      </c>
      <c r="U42" s="810">
        <v>1</v>
      </c>
      <c r="V42" s="810">
        <v>1</v>
      </c>
      <c r="W42" s="810">
        <v>1</v>
      </c>
      <c r="X42" s="810">
        <v>1</v>
      </c>
      <c r="Y42" s="810">
        <v>1</v>
      </c>
      <c r="Z42" s="810">
        <v>1</v>
      </c>
      <c r="AA42" s="810">
        <v>1</v>
      </c>
      <c r="AB42" s="810">
        <v>1</v>
      </c>
      <c r="AC42" s="810">
        <v>1</v>
      </c>
      <c r="AD42" s="810">
        <v>1</v>
      </c>
      <c r="AE42" s="810">
        <v>1</v>
      </c>
      <c r="AF42" s="810">
        <v>1</v>
      </c>
      <c r="AG42" s="810">
        <v>1</v>
      </c>
      <c r="AH42" s="810">
        <v>1</v>
      </c>
      <c r="AI42" s="810">
        <v>1</v>
      </c>
      <c r="AJ42" s="810">
        <v>1</v>
      </c>
      <c r="AK42" s="810">
        <v>1</v>
      </c>
      <c r="AL42" s="810">
        <v>1</v>
      </c>
      <c r="AM42" s="810">
        <v>1</v>
      </c>
      <c r="AN42" s="810">
        <v>1</v>
      </c>
      <c r="AO42" s="810">
        <v>1</v>
      </c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</row>
    <row r="43" spans="1:154" x14ac:dyDescent="0.25">
      <c r="K43" s="811"/>
    </row>
    <row r="46" spans="1:154" x14ac:dyDescent="0.25">
      <c r="F46" s="738">
        <v>1</v>
      </c>
      <c r="G46" s="738">
        <v>2</v>
      </c>
      <c r="H46" s="738">
        <v>3</v>
      </c>
      <c r="I46" s="738">
        <v>4</v>
      </c>
      <c r="J46" s="738">
        <v>5</v>
      </c>
      <c r="K46" s="738">
        <v>6</v>
      </c>
      <c r="L46" s="738">
        <v>7</v>
      </c>
      <c r="M46" s="738">
        <v>8</v>
      </c>
      <c r="N46" s="738">
        <v>9</v>
      </c>
      <c r="O46" s="738">
        <v>10</v>
      </c>
      <c r="P46" s="738">
        <v>11</v>
      </c>
      <c r="Q46" s="738">
        <v>12</v>
      </c>
    </row>
    <row r="47" spans="1:154" x14ac:dyDescent="0.25">
      <c r="E47" s="738" t="s">
        <v>1067</v>
      </c>
      <c r="F47" s="738">
        <v>0.96</v>
      </c>
      <c r="G47" s="738">
        <v>0.96</v>
      </c>
      <c r="H47" s="738">
        <v>0.96</v>
      </c>
      <c r="I47" s="738">
        <v>0.96</v>
      </c>
      <c r="J47" s="738">
        <v>0.96</v>
      </c>
      <c r="K47" s="738">
        <v>0.96</v>
      </c>
      <c r="L47" s="738">
        <v>0.96</v>
      </c>
      <c r="M47" s="738">
        <v>0.96</v>
      </c>
      <c r="N47" s="738">
        <v>0.96</v>
      </c>
      <c r="O47" s="738">
        <v>0.96</v>
      </c>
      <c r="P47" s="738">
        <v>0.96</v>
      </c>
      <c r="Q47" s="738">
        <v>0.96</v>
      </c>
    </row>
    <row r="48" spans="1:154" x14ac:dyDescent="0.25">
      <c r="E48" s="738" t="s">
        <v>1071</v>
      </c>
      <c r="F48" s="738">
        <v>0.55000000000000004</v>
      </c>
      <c r="G48" s="738">
        <v>0.55000000000000004</v>
      </c>
      <c r="H48" s="738">
        <v>0.55000000000000004</v>
      </c>
      <c r="I48" s="738">
        <v>0.55000000000000004</v>
      </c>
      <c r="J48" s="738">
        <v>0.55000000000000004</v>
      </c>
      <c r="K48" s="738">
        <v>0.55000000000000004</v>
      </c>
      <c r="L48" s="738">
        <v>0.55000000000000004</v>
      </c>
      <c r="M48" s="738">
        <v>0.55000000000000004</v>
      </c>
      <c r="N48" s="738">
        <v>0.55000000000000004</v>
      </c>
      <c r="O48" s="738">
        <v>0.55000000000000004</v>
      </c>
      <c r="P48" s="738">
        <v>0.55000000000000004</v>
      </c>
      <c r="Q48" s="738">
        <v>0.55000000000000004</v>
      </c>
    </row>
    <row r="49" spans="5:17" x14ac:dyDescent="0.25">
      <c r="E49" s="738" t="s">
        <v>1085</v>
      </c>
      <c r="F49" s="738">
        <v>1</v>
      </c>
      <c r="G49" s="738">
        <v>1</v>
      </c>
      <c r="H49" s="738">
        <v>1</v>
      </c>
      <c r="I49" s="738">
        <v>1</v>
      </c>
      <c r="J49" s="738">
        <v>1</v>
      </c>
      <c r="K49" s="738">
        <v>1</v>
      </c>
      <c r="L49" s="738">
        <v>1</v>
      </c>
      <c r="M49" s="738">
        <v>1</v>
      </c>
      <c r="N49" s="738">
        <v>1</v>
      </c>
      <c r="O49" s="738">
        <v>1</v>
      </c>
      <c r="P49" s="738">
        <v>1</v>
      </c>
      <c r="Q49" s="738">
        <v>1</v>
      </c>
    </row>
    <row r="50" spans="5:17" x14ac:dyDescent="0.25">
      <c r="E50" s="738" t="s">
        <v>1086</v>
      </c>
      <c r="F50" s="738">
        <v>0</v>
      </c>
      <c r="G50" s="738">
        <v>0</v>
      </c>
      <c r="H50" s="738">
        <v>0</v>
      </c>
      <c r="I50" s="738">
        <v>0</v>
      </c>
      <c r="J50" s="738">
        <v>0</v>
      </c>
      <c r="K50" s="738">
        <v>0</v>
      </c>
      <c r="L50" s="738">
        <v>0</v>
      </c>
      <c r="M50" s="738">
        <v>0</v>
      </c>
      <c r="N50" s="738">
        <v>0</v>
      </c>
      <c r="O50" s="738">
        <v>0</v>
      </c>
      <c r="P50" s="738">
        <v>0</v>
      </c>
      <c r="Q50" s="738">
        <v>0</v>
      </c>
    </row>
    <row r="52" spans="5:17" x14ac:dyDescent="0.25">
      <c r="F52" s="812"/>
    </row>
    <row r="53" spans="5:17" x14ac:dyDescent="0.25">
      <c r="F53" s="812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F83"/>
  <sheetViews>
    <sheetView topLeftCell="A23" workbookViewId="0">
      <selection activeCell="B41" sqref="B41"/>
    </sheetView>
  </sheetViews>
  <sheetFormatPr defaultRowHeight="15" x14ac:dyDescent="0.25"/>
  <cols>
    <col min="1" max="1" width="27.5703125" style="738" customWidth="1"/>
    <col min="2" max="2" width="37.28515625" style="738" bestFit="1" customWidth="1"/>
    <col min="3" max="3" width="11.5703125" style="738" customWidth="1"/>
    <col min="4" max="4" width="14.7109375" style="738" customWidth="1"/>
    <col min="5" max="5" width="40.85546875" style="738" customWidth="1"/>
    <col min="6" max="6" width="10.85546875" style="738" customWidth="1"/>
    <col min="7" max="10" width="11.5703125" style="738" customWidth="1"/>
    <col min="11" max="13" width="13" style="738" customWidth="1"/>
    <col min="14" max="41" width="13" style="738" bestFit="1" customWidth="1"/>
    <col min="42" max="137" width="13" bestFit="1" customWidth="1"/>
    <col min="163" max="16384" width="9.140625" style="738"/>
  </cols>
  <sheetData>
    <row r="1" spans="1:41" x14ac:dyDescent="0.25">
      <c r="A1" s="737" t="s">
        <v>1060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O1" s="816"/>
    </row>
    <row r="2" spans="1:41" x14ac:dyDescent="0.25">
      <c r="A2" s="737" t="s">
        <v>1061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  <c r="V2" s="816"/>
      <c r="W2" s="816"/>
      <c r="X2" s="816"/>
      <c r="Y2" s="816"/>
      <c r="Z2" s="816"/>
      <c r="AA2" s="816"/>
      <c r="AB2" s="816"/>
      <c r="AC2" s="816"/>
      <c r="AD2" s="816"/>
      <c r="AE2" s="816"/>
      <c r="AF2" s="816"/>
      <c r="AG2" s="816"/>
      <c r="AH2" s="816"/>
      <c r="AI2" s="816"/>
      <c r="AJ2" s="816"/>
      <c r="AK2" s="816"/>
      <c r="AL2" s="816"/>
      <c r="AM2" s="816"/>
      <c r="AN2" s="816"/>
      <c r="AO2" s="816"/>
    </row>
    <row r="3" spans="1:41" x14ac:dyDescent="0.25">
      <c r="A3" s="817"/>
      <c r="B3" s="818"/>
      <c r="C3" s="819"/>
      <c r="D3" s="819"/>
      <c r="E3" s="819"/>
      <c r="F3" s="820">
        <v>2016</v>
      </c>
      <c r="G3" s="821"/>
      <c r="H3" s="821"/>
      <c r="I3" s="821"/>
      <c r="J3" s="821"/>
      <c r="K3" s="821"/>
      <c r="L3" s="821"/>
      <c r="M3" s="821"/>
      <c r="N3" s="821"/>
      <c r="O3" s="821"/>
      <c r="P3" s="821"/>
      <c r="Q3" s="822"/>
      <c r="R3" s="821">
        <v>2017</v>
      </c>
      <c r="S3" s="823"/>
      <c r="T3" s="823"/>
      <c r="U3" s="823"/>
      <c r="V3" s="823"/>
      <c r="W3" s="823"/>
      <c r="X3" s="823"/>
      <c r="Y3" s="823"/>
      <c r="Z3" s="823"/>
      <c r="AA3" s="823"/>
      <c r="AB3" s="823"/>
      <c r="AC3" s="823"/>
      <c r="AD3" s="824">
        <v>2018</v>
      </c>
      <c r="AE3" s="823"/>
      <c r="AF3" s="823"/>
      <c r="AG3" s="823"/>
      <c r="AH3" s="823"/>
      <c r="AI3" s="823"/>
      <c r="AJ3" s="823"/>
      <c r="AK3" s="823"/>
      <c r="AL3" s="823"/>
      <c r="AM3" s="823"/>
      <c r="AN3" s="823"/>
      <c r="AO3" s="823"/>
    </row>
    <row r="4" spans="1:41" x14ac:dyDescent="0.25">
      <c r="A4" s="825" t="s">
        <v>1062</v>
      </c>
      <c r="B4" s="826" t="s">
        <v>1063</v>
      </c>
      <c r="C4" s="826"/>
      <c r="D4" s="826"/>
      <c r="E4" s="826" t="s">
        <v>1064</v>
      </c>
      <c r="F4" s="827">
        <v>1</v>
      </c>
      <c r="G4" s="826">
        <v>2</v>
      </c>
      <c r="H4" s="826">
        <v>3</v>
      </c>
      <c r="I4" s="826">
        <v>4</v>
      </c>
      <c r="J4" s="826">
        <v>5</v>
      </c>
      <c r="K4" s="826">
        <v>6</v>
      </c>
      <c r="L4" s="826">
        <v>7</v>
      </c>
      <c r="M4" s="826">
        <v>8</v>
      </c>
      <c r="N4" s="826">
        <v>9</v>
      </c>
      <c r="O4" s="826">
        <v>10</v>
      </c>
      <c r="P4" s="826">
        <v>11</v>
      </c>
      <c r="Q4" s="828">
        <v>12</v>
      </c>
      <c r="R4" s="826">
        <v>1</v>
      </c>
      <c r="S4" s="826">
        <v>2</v>
      </c>
      <c r="T4" s="826">
        <v>3</v>
      </c>
      <c r="U4" s="826">
        <v>4</v>
      </c>
      <c r="V4" s="826">
        <v>5</v>
      </c>
      <c r="W4" s="826">
        <v>6</v>
      </c>
      <c r="X4" s="826">
        <v>7</v>
      </c>
      <c r="Y4" s="826">
        <v>8</v>
      </c>
      <c r="Z4" s="826">
        <v>9</v>
      </c>
      <c r="AA4" s="826">
        <v>10</v>
      </c>
      <c r="AB4" s="826">
        <v>11</v>
      </c>
      <c r="AC4" s="826">
        <v>12</v>
      </c>
      <c r="AD4" s="829">
        <v>1</v>
      </c>
      <c r="AE4" s="826">
        <v>2</v>
      </c>
      <c r="AF4" s="826">
        <v>3</v>
      </c>
      <c r="AG4" s="826">
        <v>4</v>
      </c>
      <c r="AH4" s="826">
        <v>5</v>
      </c>
      <c r="AI4" s="826">
        <v>6</v>
      </c>
      <c r="AJ4" s="826">
        <v>7</v>
      </c>
      <c r="AK4" s="826">
        <v>8</v>
      </c>
      <c r="AL4" s="826">
        <v>9</v>
      </c>
      <c r="AM4" s="826">
        <v>10</v>
      </c>
      <c r="AN4" s="826">
        <v>11</v>
      </c>
      <c r="AO4" s="826">
        <v>12</v>
      </c>
    </row>
    <row r="5" spans="1:41" x14ac:dyDescent="0.25">
      <c r="A5" s="825" t="s">
        <v>28</v>
      </c>
      <c r="B5" s="830" t="s">
        <v>129</v>
      </c>
      <c r="C5" s="830"/>
      <c r="D5" s="547" t="s">
        <v>35</v>
      </c>
      <c r="E5" s="500" t="s">
        <v>36</v>
      </c>
      <c r="F5" s="831">
        <v>4414123.2661144789</v>
      </c>
      <c r="G5" s="832">
        <v>3722318.6386824409</v>
      </c>
      <c r="H5" s="832">
        <v>2611227.9564235159</v>
      </c>
      <c r="I5" s="832">
        <v>1170558.065659048</v>
      </c>
      <c r="J5" s="832">
        <v>675538.14571980794</v>
      </c>
      <c r="K5" s="832">
        <v>394720.8557823489</v>
      </c>
      <c r="L5" s="832">
        <v>336428.79478029796</v>
      </c>
      <c r="M5" s="832">
        <v>325650.76386635238</v>
      </c>
      <c r="N5" s="832">
        <v>363764.39344404195</v>
      </c>
      <c r="O5" s="832">
        <v>722085.66512282589</v>
      </c>
      <c r="P5" s="832">
        <v>1883481.6010073496</v>
      </c>
      <c r="Q5" s="833">
        <v>3469224.5870117573</v>
      </c>
      <c r="R5" s="832">
        <v>4318716.4758666549</v>
      </c>
      <c r="S5" s="832">
        <v>3653204.9673057785</v>
      </c>
      <c r="T5" s="832">
        <v>2566782.7709593512</v>
      </c>
      <c r="U5" s="832">
        <v>1141427.4687500142</v>
      </c>
      <c r="V5" s="832">
        <v>661315.64633860893</v>
      </c>
      <c r="W5" s="832">
        <v>388515.46595175052</v>
      </c>
      <c r="X5" s="832">
        <v>331296.98807058868</v>
      </c>
      <c r="Y5" s="832">
        <v>325491.3270918983</v>
      </c>
      <c r="Z5" s="832">
        <v>357816.93975070916</v>
      </c>
      <c r="AA5" s="832">
        <v>698891.80484360305</v>
      </c>
      <c r="AB5" s="832">
        <v>1819452.5933574513</v>
      </c>
      <c r="AC5" s="832">
        <v>3382358.1656803363</v>
      </c>
      <c r="AD5" s="832">
        <v>4271060.0173833081</v>
      </c>
      <c r="AE5" s="832">
        <v>3619910.8909244579</v>
      </c>
      <c r="AF5" s="832">
        <v>2541717.4572656113</v>
      </c>
      <c r="AG5" s="832">
        <v>1125991.7271824393</v>
      </c>
      <c r="AH5" s="832">
        <v>653351.08191682771</v>
      </c>
      <c r="AI5" s="832">
        <v>384098.6410236744</v>
      </c>
      <c r="AJ5" s="832">
        <v>327832.70925787487</v>
      </c>
      <c r="AK5" s="832">
        <v>322000.38990628585</v>
      </c>
      <c r="AL5" s="832">
        <v>353718.40361416404</v>
      </c>
      <c r="AM5" s="832">
        <v>687834.81788437278</v>
      </c>
      <c r="AN5" s="832">
        <v>1796649.1211033091</v>
      </c>
      <c r="AO5" s="832">
        <v>3349009.8828109391</v>
      </c>
    </row>
    <row r="6" spans="1:41" x14ac:dyDescent="0.25">
      <c r="A6" s="834" t="s">
        <v>28</v>
      </c>
      <c r="B6" s="830" t="s">
        <v>109</v>
      </c>
      <c r="C6" s="830" t="s">
        <v>801</v>
      </c>
      <c r="D6" s="791" t="s">
        <v>26</v>
      </c>
      <c r="E6" s="500" t="s">
        <v>27</v>
      </c>
      <c r="F6" s="835">
        <v>501.843136849465</v>
      </c>
      <c r="G6" s="754">
        <v>430.95389564850814</v>
      </c>
      <c r="H6" s="754">
        <v>304.24379625279693</v>
      </c>
      <c r="I6" s="754">
        <v>158.8745428080868</v>
      </c>
      <c r="J6" s="754">
        <v>94.773690102326412</v>
      </c>
      <c r="K6" s="754">
        <v>71.347207789962027</v>
      </c>
      <c r="L6" s="754">
        <v>67.544615423401481</v>
      </c>
      <c r="M6" s="754">
        <v>70.816733642912155</v>
      </c>
      <c r="N6" s="754">
        <v>75.019124390395973</v>
      </c>
      <c r="O6" s="754">
        <v>117.20662681482511</v>
      </c>
      <c r="P6" s="754">
        <v>211.8946082262257</v>
      </c>
      <c r="Q6" s="755">
        <v>385.63835191271659</v>
      </c>
      <c r="R6" s="754">
        <v>494.53602729486573</v>
      </c>
      <c r="S6" s="754">
        <v>428.8066298048671</v>
      </c>
      <c r="T6" s="754">
        <v>300.98072476605938</v>
      </c>
      <c r="U6" s="754">
        <v>156.53548105234577</v>
      </c>
      <c r="V6" s="754">
        <v>93.895512795666576</v>
      </c>
      <c r="W6" s="754">
        <v>70.511009441739844</v>
      </c>
      <c r="X6" s="754">
        <v>66.319865027699649</v>
      </c>
      <c r="Y6" s="754">
        <v>70.591454607942396</v>
      </c>
      <c r="Z6" s="754">
        <v>73.783444637667088</v>
      </c>
      <c r="AA6" s="754">
        <v>114.95235745001607</v>
      </c>
      <c r="AB6" s="754">
        <v>206.89245386752822</v>
      </c>
      <c r="AC6" s="754">
        <v>379.33208043502094</v>
      </c>
      <c r="AD6" s="754">
        <v>493.15280512257954</v>
      </c>
      <c r="AE6" s="754">
        <v>426.8586764313805</v>
      </c>
      <c r="AF6" s="754">
        <v>299.52933628748019</v>
      </c>
      <c r="AG6" s="754">
        <v>155.74434852078548</v>
      </c>
      <c r="AH6" s="754">
        <v>93.175050786380339</v>
      </c>
      <c r="AI6" s="754">
        <v>69.833403767996899</v>
      </c>
      <c r="AJ6" s="754">
        <v>65.603029079336011</v>
      </c>
      <c r="AK6" s="754">
        <v>69.814555108749261</v>
      </c>
      <c r="AL6" s="754">
        <v>72.999957895562616</v>
      </c>
      <c r="AM6" s="754">
        <v>113.89168116733632</v>
      </c>
      <c r="AN6" s="754">
        <v>205.39454982671779</v>
      </c>
      <c r="AO6" s="754">
        <v>377.0536232220004</v>
      </c>
    </row>
    <row r="7" spans="1:41" x14ac:dyDescent="0.25">
      <c r="A7" s="836" t="s">
        <v>1065</v>
      </c>
      <c r="B7" s="837"/>
      <c r="C7" s="830"/>
      <c r="D7" s="830"/>
      <c r="E7" s="838"/>
      <c r="F7" s="839">
        <v>4414625.1092513287</v>
      </c>
      <c r="G7" s="760">
        <v>3722749.5925780893</v>
      </c>
      <c r="H7" s="760">
        <v>2611532.2002197686</v>
      </c>
      <c r="I7" s="760">
        <v>1170716.9402018562</v>
      </c>
      <c r="J7" s="760">
        <v>675632.91940991022</v>
      </c>
      <c r="K7" s="760">
        <v>394792.20299013885</v>
      </c>
      <c r="L7" s="760">
        <v>336496.33939572138</v>
      </c>
      <c r="M7" s="760">
        <v>325721.58059999527</v>
      </c>
      <c r="N7" s="760">
        <v>363839.41256843234</v>
      </c>
      <c r="O7" s="760">
        <v>722202.87174964068</v>
      </c>
      <c r="P7" s="760">
        <v>1883693.4956155757</v>
      </c>
      <c r="Q7" s="761">
        <v>3469610.2253636699</v>
      </c>
      <c r="R7" s="760">
        <v>4319211.0118939495</v>
      </c>
      <c r="S7" s="760">
        <v>3653633.7739355834</v>
      </c>
      <c r="T7" s="760">
        <v>2567083.7516841171</v>
      </c>
      <c r="U7" s="760">
        <v>1141584.0042310664</v>
      </c>
      <c r="V7" s="760">
        <v>661409.54185140459</v>
      </c>
      <c r="W7" s="760">
        <v>388585.97696119227</v>
      </c>
      <c r="X7" s="760">
        <v>331363.30793561635</v>
      </c>
      <c r="Y7" s="760">
        <v>325561.91854650626</v>
      </c>
      <c r="Z7" s="760">
        <v>357890.72319534683</v>
      </c>
      <c r="AA7" s="760">
        <v>699006.75720105309</v>
      </c>
      <c r="AB7" s="760">
        <v>1819659.4858113187</v>
      </c>
      <c r="AC7" s="760">
        <v>3382737.4977607713</v>
      </c>
      <c r="AD7" s="760">
        <v>4271553.1701884307</v>
      </c>
      <c r="AE7" s="760">
        <v>3620337.7496008892</v>
      </c>
      <c r="AF7" s="760">
        <v>2542016.9866018989</v>
      </c>
      <c r="AG7" s="760">
        <v>1126147.4715309602</v>
      </c>
      <c r="AH7" s="760">
        <v>653444.25696761406</v>
      </c>
      <c r="AI7" s="760">
        <v>384168.47442744242</v>
      </c>
      <c r="AJ7" s="760">
        <v>327898.3122869542</v>
      </c>
      <c r="AK7" s="760">
        <v>322070.20446139458</v>
      </c>
      <c r="AL7" s="760">
        <v>353791.40357205959</v>
      </c>
      <c r="AM7" s="760">
        <v>687948.70956554008</v>
      </c>
      <c r="AN7" s="760">
        <v>1796854.5156531357</v>
      </c>
      <c r="AO7" s="760">
        <v>3349386.9364341609</v>
      </c>
    </row>
    <row r="8" spans="1:41" x14ac:dyDescent="0.25">
      <c r="A8" s="840" t="s">
        <v>17</v>
      </c>
      <c r="B8" s="837" t="s">
        <v>1066</v>
      </c>
      <c r="C8" s="830"/>
      <c r="D8" s="547" t="s">
        <v>18</v>
      </c>
      <c r="E8" s="500" t="s">
        <v>19</v>
      </c>
      <c r="F8" s="835">
        <v>4989.0718969586515</v>
      </c>
      <c r="G8" s="754">
        <v>4071.9602439200016</v>
      </c>
      <c r="H8" s="754">
        <v>2825.3119577406587</v>
      </c>
      <c r="I8" s="754">
        <v>2178.3740592381669</v>
      </c>
      <c r="J8" s="754">
        <v>1574.7307463817574</v>
      </c>
      <c r="K8" s="754">
        <v>1531.5967204436708</v>
      </c>
      <c r="L8" s="754">
        <v>1469.017340895306</v>
      </c>
      <c r="M8" s="754">
        <v>1554.1788960899737</v>
      </c>
      <c r="N8" s="754">
        <v>1724.4753433866388</v>
      </c>
      <c r="O8" s="754">
        <v>2391.5437163582797</v>
      </c>
      <c r="P8" s="754">
        <v>3018.7754640449521</v>
      </c>
      <c r="Q8" s="755">
        <v>4576.0598163450322</v>
      </c>
      <c r="R8" s="754">
        <v>5216.1352497908947</v>
      </c>
      <c r="S8" s="754">
        <v>4352.4129729419774</v>
      </c>
      <c r="T8" s="754">
        <v>2899.9364816772791</v>
      </c>
      <c r="U8" s="754">
        <v>2177.5620345711168</v>
      </c>
      <c r="V8" s="754">
        <v>1573.243977184625</v>
      </c>
      <c r="W8" s="754">
        <v>1546.2559116037387</v>
      </c>
      <c r="X8" s="754">
        <v>1461.6391168987507</v>
      </c>
      <c r="Y8" s="754">
        <v>1639.3130276280183</v>
      </c>
      <c r="Z8" s="754">
        <v>1763.3259075604465</v>
      </c>
      <c r="AA8" s="754">
        <v>2421.0027654816572</v>
      </c>
      <c r="AB8" s="754">
        <v>2827.3024379849971</v>
      </c>
      <c r="AC8" s="754">
        <v>4240.8380330879954</v>
      </c>
      <c r="AD8" s="762">
        <v>5276.9122719887109</v>
      </c>
      <c r="AE8" s="754">
        <v>4391.7297313238323</v>
      </c>
      <c r="AF8" s="754">
        <v>2925.1883148591387</v>
      </c>
      <c r="AG8" s="754">
        <v>2195.1968228397118</v>
      </c>
      <c r="AH8" s="754">
        <v>1576.4376037452416</v>
      </c>
      <c r="AI8" s="754">
        <v>1542.5638774777246</v>
      </c>
      <c r="AJ8" s="754">
        <v>1455.3514977920422</v>
      </c>
      <c r="AK8" s="754">
        <v>1631.012564868319</v>
      </c>
      <c r="AL8" s="754">
        <v>1755.5864206983335</v>
      </c>
      <c r="AM8" s="754">
        <v>2417.2231432091776</v>
      </c>
      <c r="AN8" s="754">
        <v>2834.5024642582371</v>
      </c>
      <c r="AO8" s="754">
        <v>4265.0203694462234</v>
      </c>
    </row>
    <row r="9" spans="1:41" x14ac:dyDescent="0.25">
      <c r="A9" s="836" t="s">
        <v>17</v>
      </c>
      <c r="B9" s="830" t="s">
        <v>118</v>
      </c>
      <c r="C9" s="830" t="s">
        <v>801</v>
      </c>
      <c r="D9" s="547" t="s">
        <v>31</v>
      </c>
      <c r="E9" s="500" t="s">
        <v>32</v>
      </c>
      <c r="F9" s="835">
        <v>2684.5174165792619</v>
      </c>
      <c r="G9" s="754">
        <v>2477.7213437261039</v>
      </c>
      <c r="H9" s="754">
        <v>1892.2245291455492</v>
      </c>
      <c r="I9" s="754">
        <v>1373.8310200630456</v>
      </c>
      <c r="J9" s="754">
        <v>1207.0286318190699</v>
      </c>
      <c r="K9" s="754">
        <v>1152.0151448232866</v>
      </c>
      <c r="L9" s="754">
        <v>1189.190945409995</v>
      </c>
      <c r="M9" s="754">
        <v>1277.9963622414684</v>
      </c>
      <c r="N9" s="754">
        <v>1319.7953233361782</v>
      </c>
      <c r="O9" s="754">
        <v>2014.6677969809834</v>
      </c>
      <c r="P9" s="754">
        <v>2323.1182329860685</v>
      </c>
      <c r="Q9" s="755">
        <v>2801.433127276955</v>
      </c>
      <c r="R9" s="754">
        <v>2900.9410477749211</v>
      </c>
      <c r="S9" s="754">
        <v>2689.0462458685465</v>
      </c>
      <c r="T9" s="754">
        <v>1990.2725749457702</v>
      </c>
      <c r="U9" s="754">
        <v>1444.0471754657208</v>
      </c>
      <c r="V9" s="754">
        <v>1284.6946937918058</v>
      </c>
      <c r="W9" s="754">
        <v>1222.806128864775</v>
      </c>
      <c r="X9" s="754">
        <v>1251.3873016425498</v>
      </c>
      <c r="Y9" s="754">
        <v>1357.1411771907244</v>
      </c>
      <c r="Z9" s="754">
        <v>1376.9846869091891</v>
      </c>
      <c r="AA9" s="754">
        <v>2084.6112254973987</v>
      </c>
      <c r="AB9" s="754">
        <v>2374.0451331962363</v>
      </c>
      <c r="AC9" s="754">
        <v>2862.5424767200834</v>
      </c>
      <c r="AD9" s="762">
        <v>2989.2180047053821</v>
      </c>
      <c r="AE9" s="754">
        <v>2759.9489793095859</v>
      </c>
      <c r="AF9" s="754">
        <v>2049.6908752560203</v>
      </c>
      <c r="AG9" s="754">
        <v>1494.4054905439757</v>
      </c>
      <c r="AH9" s="754">
        <v>1330.8747495701086</v>
      </c>
      <c r="AI9" s="754">
        <v>1267.6167350425619</v>
      </c>
      <c r="AJ9" s="754">
        <v>1297.1969000635022</v>
      </c>
      <c r="AK9" s="754">
        <v>1407.291136844331</v>
      </c>
      <c r="AL9" s="754">
        <v>1429.6014724543452</v>
      </c>
      <c r="AM9" s="754">
        <v>2164.2937287990449</v>
      </c>
      <c r="AN9" s="754">
        <v>2459.2431583352591</v>
      </c>
      <c r="AO9" s="754">
        <v>2951.1965759039717</v>
      </c>
    </row>
    <row r="10" spans="1:41" x14ac:dyDescent="0.25">
      <c r="A10" s="836" t="s">
        <v>17</v>
      </c>
      <c r="B10" s="830" t="s">
        <v>129</v>
      </c>
      <c r="C10" s="830"/>
      <c r="D10" s="547" t="s">
        <v>35</v>
      </c>
      <c r="E10" s="500" t="s">
        <v>36</v>
      </c>
      <c r="F10" s="835">
        <v>174.76901105658126</v>
      </c>
      <c r="G10" s="754">
        <v>147.37829192809369</v>
      </c>
      <c r="H10" s="754">
        <v>103.38672032354611</v>
      </c>
      <c r="I10" s="754">
        <v>46.346072183800878</v>
      </c>
      <c r="J10" s="754">
        <v>26.74667800167083</v>
      </c>
      <c r="K10" s="754">
        <v>15.62823905214872</v>
      </c>
      <c r="L10" s="754">
        <v>13.320273179970892</v>
      </c>
      <c r="M10" s="754">
        <v>12.89353706717864</v>
      </c>
      <c r="N10" s="754">
        <v>14.402575430516661</v>
      </c>
      <c r="O10" s="754">
        <v>28.589640565868397</v>
      </c>
      <c r="P10" s="754">
        <v>74.572955240798166</v>
      </c>
      <c r="Q10" s="755">
        <v>137.35750309912095</v>
      </c>
      <c r="R10" s="754">
        <v>170.99155642415269</v>
      </c>
      <c r="S10" s="754">
        <v>144.64186449533165</v>
      </c>
      <c r="T10" s="754">
        <v>101.62699576636676</v>
      </c>
      <c r="U10" s="754">
        <v>45.192700312117474</v>
      </c>
      <c r="V10" s="754">
        <v>26.183564558354373</v>
      </c>
      <c r="W10" s="754">
        <v>15.382548168924046</v>
      </c>
      <c r="X10" s="754">
        <v>13.117088826132287</v>
      </c>
      <c r="Y10" s="754">
        <v>12.887224464263515</v>
      </c>
      <c r="Z10" s="754">
        <v>14.167097049505443</v>
      </c>
      <c r="AA10" s="754">
        <v>27.671322752974046</v>
      </c>
      <c r="AB10" s="754">
        <v>72.037845623037711</v>
      </c>
      <c r="AC10" s="754">
        <v>133.9181885093677</v>
      </c>
      <c r="AD10" s="762">
        <v>169.1046874770322</v>
      </c>
      <c r="AE10" s="754">
        <v>143.32364738801294</v>
      </c>
      <c r="AF10" s="754">
        <v>100.63458123193216</v>
      </c>
      <c r="AG10" s="754">
        <v>44.581550798147362</v>
      </c>
      <c r="AH10" s="754">
        <v>25.868222425030488</v>
      </c>
      <c r="AI10" s="754">
        <v>15.207672190580695</v>
      </c>
      <c r="AJ10" s="754">
        <v>12.979927141779234</v>
      </c>
      <c r="AK10" s="754">
        <v>12.749007291156072</v>
      </c>
      <c r="AL10" s="754">
        <v>14.004823124610235</v>
      </c>
      <c r="AM10" s="754">
        <v>27.233541893756854</v>
      </c>
      <c r="AN10" s="754">
        <v>71.134984498812543</v>
      </c>
      <c r="AO10" s="754">
        <v>132.59782519684742</v>
      </c>
    </row>
    <row r="11" spans="1:41" x14ac:dyDescent="0.25">
      <c r="A11" s="841" t="s">
        <v>17</v>
      </c>
      <c r="B11" s="830" t="s">
        <v>1087</v>
      </c>
      <c r="C11" s="830" t="s">
        <v>801</v>
      </c>
      <c r="D11" s="547" t="s">
        <v>26</v>
      </c>
      <c r="E11" s="500" t="s">
        <v>27</v>
      </c>
      <c r="F11" s="835">
        <v>1529310.9514666835</v>
      </c>
      <c r="G11" s="754">
        <v>1328918.2326320196</v>
      </c>
      <c r="H11" s="754">
        <v>982336.45533602475</v>
      </c>
      <c r="I11" s="754">
        <v>547553.35255957034</v>
      </c>
      <c r="J11" s="754">
        <v>330071.13530519971</v>
      </c>
      <c r="K11" s="754">
        <v>248483.03205945005</v>
      </c>
      <c r="L11" s="754">
        <v>237690.04391221207</v>
      </c>
      <c r="M11" s="754">
        <v>249204.65419470667</v>
      </c>
      <c r="N11" s="754">
        <v>263992.90097121632</v>
      </c>
      <c r="O11" s="754">
        <v>408198.98788675055</v>
      </c>
      <c r="P11" s="754">
        <v>707222.80537265376</v>
      </c>
      <c r="Q11" s="755">
        <v>1259131.9696916731</v>
      </c>
      <c r="R11" s="754">
        <v>1507043.3506072389</v>
      </c>
      <c r="S11" s="754">
        <v>1322296.7801779734</v>
      </c>
      <c r="T11" s="754">
        <v>971800.71354845376</v>
      </c>
      <c r="U11" s="754">
        <v>539491.89045517915</v>
      </c>
      <c r="V11" s="754">
        <v>327012.68121002289</v>
      </c>
      <c r="W11" s="754">
        <v>245570.77932517292</v>
      </c>
      <c r="X11" s="754">
        <v>233380.137437639</v>
      </c>
      <c r="Y11" s="754">
        <v>248411.89546214443</v>
      </c>
      <c r="Z11" s="754">
        <v>259644.53400152593</v>
      </c>
      <c r="AA11" s="754">
        <v>400347.97725581611</v>
      </c>
      <c r="AB11" s="754">
        <v>690527.53564361855</v>
      </c>
      <c r="AC11" s="754">
        <v>1238541.6212791312</v>
      </c>
      <c r="AD11" s="762">
        <v>1502828.1354113731</v>
      </c>
      <c r="AE11" s="754">
        <v>1316289.9409766523</v>
      </c>
      <c r="AF11" s="754">
        <v>967114.49864145077</v>
      </c>
      <c r="AG11" s="754">
        <v>536765.29082305275</v>
      </c>
      <c r="AH11" s="754">
        <v>324503.50684852427</v>
      </c>
      <c r="AI11" s="754">
        <v>243210.86199178538</v>
      </c>
      <c r="AJ11" s="754">
        <v>230857.58598070414</v>
      </c>
      <c r="AK11" s="754">
        <v>245677.97988766007</v>
      </c>
      <c r="AL11" s="754">
        <v>256887.43786635526</v>
      </c>
      <c r="AM11" s="754">
        <v>396653.92857587751</v>
      </c>
      <c r="AN11" s="754">
        <v>685528.10735807207</v>
      </c>
      <c r="AO11" s="754">
        <v>1231102.3240612596</v>
      </c>
    </row>
    <row r="12" spans="1:41" x14ac:dyDescent="0.25">
      <c r="A12" s="841" t="s">
        <v>17</v>
      </c>
      <c r="B12" s="830" t="s">
        <v>1088</v>
      </c>
      <c r="C12" s="830" t="s">
        <v>802</v>
      </c>
      <c r="D12" s="791" t="s">
        <v>26</v>
      </c>
      <c r="E12" s="500" t="s">
        <v>27</v>
      </c>
      <c r="F12" s="835">
        <v>291297.3240888922</v>
      </c>
      <c r="G12" s="754">
        <v>234514.98222917996</v>
      </c>
      <c r="H12" s="754">
        <v>121412.37088422777</v>
      </c>
      <c r="I12" s="754">
        <v>28818.597503135308</v>
      </c>
      <c r="J12" s="754">
        <v>13752.96397105</v>
      </c>
      <c r="K12" s="754">
        <v>10353.459669143762</v>
      </c>
      <c r="L12" s="754">
        <v>7351.2384715117205</v>
      </c>
      <c r="M12" s="754">
        <v>7707.3604390115543</v>
      </c>
      <c r="N12" s="754">
        <v>8164.7288960170072</v>
      </c>
      <c r="O12" s="754">
        <v>17008.291161947956</v>
      </c>
      <c r="P12" s="754">
        <v>61497.635249795945</v>
      </c>
      <c r="Q12" s="755">
        <v>139903.55218796365</v>
      </c>
      <c r="R12" s="754">
        <v>287055.8763061408</v>
      </c>
      <c r="S12" s="754">
        <v>233346.49061964243</v>
      </c>
      <c r="T12" s="754">
        <v>120110.20055093247</v>
      </c>
      <c r="U12" s="754">
        <v>28394.310023956823</v>
      </c>
      <c r="V12" s="754">
        <v>13625.528383750967</v>
      </c>
      <c r="W12" s="754">
        <v>10232.115805215548</v>
      </c>
      <c r="X12" s="754">
        <v>7217.9423949785323</v>
      </c>
      <c r="Y12" s="754">
        <v>7682.8421276951949</v>
      </c>
      <c r="Z12" s="754">
        <v>8030.2433196348302</v>
      </c>
      <c r="AA12" s="754">
        <v>16681.165718992354</v>
      </c>
      <c r="AB12" s="754">
        <v>60045.872664662449</v>
      </c>
      <c r="AC12" s="754">
        <v>137615.7356976812</v>
      </c>
      <c r="AD12" s="762">
        <v>286252.97817359492</v>
      </c>
      <c r="AE12" s="754">
        <v>232286.46017235046</v>
      </c>
      <c r="AF12" s="754">
        <v>119531.00545006694</v>
      </c>
      <c r="AG12" s="754">
        <v>28250.804780160695</v>
      </c>
      <c r="AH12" s="754">
        <v>13520.979452021858</v>
      </c>
      <c r="AI12" s="754">
        <v>10133.785916324401</v>
      </c>
      <c r="AJ12" s="754">
        <v>7139.9253396094127</v>
      </c>
      <c r="AK12" s="754">
        <v>7598.2880377626898</v>
      </c>
      <c r="AL12" s="754">
        <v>7944.9723051450155</v>
      </c>
      <c r="AM12" s="754">
        <v>16527.247023994911</v>
      </c>
      <c r="AN12" s="754">
        <v>59611.139770267102</v>
      </c>
      <c r="AO12" s="754">
        <v>136789.14711791769</v>
      </c>
    </row>
    <row r="13" spans="1:41" x14ac:dyDescent="0.25">
      <c r="A13" s="840" t="s">
        <v>1069</v>
      </c>
      <c r="B13" s="837"/>
      <c r="C13" s="830"/>
      <c r="D13" s="830"/>
      <c r="E13" s="838"/>
      <c r="F13" s="839">
        <v>1828456.6338801703</v>
      </c>
      <c r="G13" s="760">
        <v>1570130.2747407737</v>
      </c>
      <c r="H13" s="760">
        <v>1108569.7494274622</v>
      </c>
      <c r="I13" s="760">
        <v>579970.50121419074</v>
      </c>
      <c r="J13" s="760">
        <v>346632.60533245222</v>
      </c>
      <c r="K13" s="760">
        <v>261535.73183291295</v>
      </c>
      <c r="L13" s="760">
        <v>247712.81094320907</v>
      </c>
      <c r="M13" s="760">
        <v>259757.08342911687</v>
      </c>
      <c r="N13" s="760">
        <v>275216.30310938664</v>
      </c>
      <c r="O13" s="760">
        <v>429642.0802026036</v>
      </c>
      <c r="P13" s="760">
        <v>774136.90727472154</v>
      </c>
      <c r="Q13" s="761">
        <v>1406550.3723263578</v>
      </c>
      <c r="R13" s="764">
        <v>1802387.2947673697</v>
      </c>
      <c r="S13" s="764">
        <v>1562829.3718809218</v>
      </c>
      <c r="T13" s="764">
        <v>1096902.7501517758</v>
      </c>
      <c r="U13" s="764">
        <v>571553.0023894849</v>
      </c>
      <c r="V13" s="764">
        <v>343522.33182930865</v>
      </c>
      <c r="W13" s="764">
        <v>258587.33971902591</v>
      </c>
      <c r="X13" s="764">
        <v>243324.22333998498</v>
      </c>
      <c r="Y13" s="764">
        <v>259104.07901912261</v>
      </c>
      <c r="Z13" s="764">
        <v>270829.2550126799</v>
      </c>
      <c r="AA13" s="764">
        <v>421562.42828854051</v>
      </c>
      <c r="AB13" s="764">
        <v>755846.79372508521</v>
      </c>
      <c r="AC13" s="764">
        <v>1383394.65567513</v>
      </c>
      <c r="AD13" s="765">
        <v>1797516.3485491392</v>
      </c>
      <c r="AE13" s="764">
        <v>1555871.4035070243</v>
      </c>
      <c r="AF13" s="764">
        <v>1091721.0178628648</v>
      </c>
      <c r="AG13" s="764">
        <v>568750.27946739527</v>
      </c>
      <c r="AH13" s="764">
        <v>340957.66687628656</v>
      </c>
      <c r="AI13" s="764">
        <v>256170.03619282067</v>
      </c>
      <c r="AJ13" s="764">
        <v>240763.03964531087</v>
      </c>
      <c r="AK13" s="764">
        <v>256327.32063442655</v>
      </c>
      <c r="AL13" s="764">
        <v>268031.60288777755</v>
      </c>
      <c r="AM13" s="764">
        <v>417789.92601377441</v>
      </c>
      <c r="AN13" s="764">
        <v>750504.12773543142</v>
      </c>
      <c r="AO13" s="764">
        <v>1375240.2859497243</v>
      </c>
    </row>
    <row r="14" spans="1:41" x14ac:dyDescent="0.25">
      <c r="A14" s="840" t="s">
        <v>21</v>
      </c>
      <c r="B14" s="837" t="s">
        <v>1066</v>
      </c>
      <c r="C14" s="830"/>
      <c r="D14" s="547" t="s">
        <v>18</v>
      </c>
      <c r="E14" s="500" t="s">
        <v>19</v>
      </c>
      <c r="F14" s="835">
        <v>0</v>
      </c>
      <c r="G14" s="754">
        <v>0</v>
      </c>
      <c r="H14" s="754">
        <v>0</v>
      </c>
      <c r="I14" s="754">
        <v>0</v>
      </c>
      <c r="J14" s="754">
        <v>0</v>
      </c>
      <c r="K14" s="754">
        <v>0</v>
      </c>
      <c r="L14" s="754">
        <v>0</v>
      </c>
      <c r="M14" s="754">
        <v>0</v>
      </c>
      <c r="N14" s="754">
        <v>0</v>
      </c>
      <c r="O14" s="754">
        <v>0</v>
      </c>
      <c r="P14" s="754">
        <v>0</v>
      </c>
      <c r="Q14" s="755">
        <v>0</v>
      </c>
      <c r="R14" s="764">
        <v>0</v>
      </c>
      <c r="S14" s="764">
        <v>0</v>
      </c>
      <c r="T14" s="764">
        <v>0</v>
      </c>
      <c r="U14" s="764">
        <v>0</v>
      </c>
      <c r="V14" s="764">
        <v>0</v>
      </c>
      <c r="W14" s="764">
        <v>0</v>
      </c>
      <c r="X14" s="764">
        <v>0</v>
      </c>
      <c r="Y14" s="764">
        <v>0</v>
      </c>
      <c r="Z14" s="764">
        <v>0</v>
      </c>
      <c r="AA14" s="764">
        <v>0</v>
      </c>
      <c r="AB14" s="764">
        <v>0</v>
      </c>
      <c r="AC14" s="764">
        <v>0</v>
      </c>
      <c r="AD14" s="765">
        <v>0</v>
      </c>
      <c r="AE14" s="764">
        <v>0</v>
      </c>
      <c r="AF14" s="764">
        <v>0</v>
      </c>
      <c r="AG14" s="764">
        <v>0</v>
      </c>
      <c r="AH14" s="764">
        <v>0</v>
      </c>
      <c r="AI14" s="764">
        <v>0</v>
      </c>
      <c r="AJ14" s="764">
        <v>0</v>
      </c>
      <c r="AK14" s="764">
        <v>0</v>
      </c>
      <c r="AL14" s="764">
        <v>0</v>
      </c>
      <c r="AM14" s="764">
        <v>0</v>
      </c>
      <c r="AN14" s="764">
        <v>0</v>
      </c>
      <c r="AO14" s="764">
        <v>0</v>
      </c>
    </row>
    <row r="15" spans="1:41" x14ac:dyDescent="0.25">
      <c r="A15" s="836" t="s">
        <v>21</v>
      </c>
      <c r="B15" s="830" t="s">
        <v>1070</v>
      </c>
      <c r="C15" s="830"/>
      <c r="D15" s="547" t="s">
        <v>22</v>
      </c>
      <c r="E15" s="500" t="s">
        <v>23</v>
      </c>
      <c r="F15" s="835">
        <v>1423.2928856190063</v>
      </c>
      <c r="G15" s="754">
        <v>1389.2835269335794</v>
      </c>
      <c r="H15" s="754">
        <v>1648.5774193020554</v>
      </c>
      <c r="I15" s="754">
        <v>3864.621374219159</v>
      </c>
      <c r="J15" s="754">
        <v>6300.1513467776504</v>
      </c>
      <c r="K15" s="754">
        <v>7757.7498426669626</v>
      </c>
      <c r="L15" s="754">
        <v>7610.2523046788783</v>
      </c>
      <c r="M15" s="754">
        <v>8632.496235452174</v>
      </c>
      <c r="N15" s="754">
        <v>8809.202594149152</v>
      </c>
      <c r="O15" s="754">
        <v>10137.998801393907</v>
      </c>
      <c r="P15" s="754">
        <v>9514.0040202550063</v>
      </c>
      <c r="Q15" s="755">
        <v>3815.6661942184428</v>
      </c>
      <c r="R15" s="754">
        <v>1473.6636053583074</v>
      </c>
      <c r="S15" s="754">
        <v>1259.1612146264918</v>
      </c>
      <c r="T15" s="754">
        <v>1671.2906125677127</v>
      </c>
      <c r="U15" s="754">
        <v>3052.431795048054</v>
      </c>
      <c r="V15" s="754">
        <v>4684.0522226466455</v>
      </c>
      <c r="W15" s="754">
        <v>5713.5473770649041</v>
      </c>
      <c r="X15" s="754">
        <v>7402.7310408120866</v>
      </c>
      <c r="Y15" s="754">
        <v>6944.2115468104193</v>
      </c>
      <c r="Z15" s="754">
        <v>6957.5193144778632</v>
      </c>
      <c r="AA15" s="754">
        <v>11265.272992741122</v>
      </c>
      <c r="AB15" s="754">
        <v>6930.7913559313411</v>
      </c>
      <c r="AC15" s="754">
        <v>3553.0761802994793</v>
      </c>
      <c r="AD15" s="762">
        <v>1491.6660105822477</v>
      </c>
      <c r="AE15" s="754">
        <v>1269.9198371031255</v>
      </c>
      <c r="AF15" s="754">
        <v>1685.0335260595716</v>
      </c>
      <c r="AG15" s="754">
        <v>3075.4743062367816</v>
      </c>
      <c r="AH15" s="754">
        <v>4691.3193773405947</v>
      </c>
      <c r="AI15" s="754">
        <v>5700.2117631043129</v>
      </c>
      <c r="AJ15" s="754">
        <v>7370.8166153770353</v>
      </c>
      <c r="AK15" s="754">
        <v>6911.8845916474429</v>
      </c>
      <c r="AL15" s="754">
        <v>6928.4004287509351</v>
      </c>
      <c r="AM15" s="754">
        <v>11254.706557952653</v>
      </c>
      <c r="AN15" s="754">
        <v>6956.3112199808329</v>
      </c>
      <c r="AO15" s="754">
        <v>3572.005024248881</v>
      </c>
    </row>
    <row r="16" spans="1:41" x14ac:dyDescent="0.25">
      <c r="A16" s="841" t="s">
        <v>21</v>
      </c>
      <c r="B16" s="830" t="s">
        <v>1089</v>
      </c>
      <c r="C16" s="830" t="s">
        <v>801</v>
      </c>
      <c r="D16" s="547" t="s">
        <v>31</v>
      </c>
      <c r="E16" s="830" t="s">
        <v>32</v>
      </c>
      <c r="F16" s="835">
        <v>53221.663988972621</v>
      </c>
      <c r="G16" s="754">
        <v>50656.904337696928</v>
      </c>
      <c r="H16" s="754">
        <v>48064.980365007941</v>
      </c>
      <c r="I16" s="754">
        <v>53622.383230536841</v>
      </c>
      <c r="J16" s="754">
        <v>51598.717509468974</v>
      </c>
      <c r="K16" s="754">
        <v>53529.316301649262</v>
      </c>
      <c r="L16" s="754">
        <v>55993.476237330666</v>
      </c>
      <c r="M16" s="754">
        <v>59383.135555283428</v>
      </c>
      <c r="N16" s="754">
        <v>62143.029561906136</v>
      </c>
      <c r="O16" s="754">
        <v>91116.818928783337</v>
      </c>
      <c r="P16" s="754">
        <v>79160.084184823078</v>
      </c>
      <c r="Q16" s="755">
        <v>69424.457663557085</v>
      </c>
      <c r="R16" s="754">
        <v>57512.351658805674</v>
      </c>
      <c r="S16" s="754">
        <v>54977.432705065366</v>
      </c>
      <c r="T16" s="754">
        <v>50555.529094097234</v>
      </c>
      <c r="U16" s="754">
        <v>56363.009653285961</v>
      </c>
      <c r="V16" s="754">
        <v>54918.828637043953</v>
      </c>
      <c r="W16" s="754">
        <v>56818.676682968835</v>
      </c>
      <c r="X16" s="754">
        <v>58922.013667083309</v>
      </c>
      <c r="Y16" s="754">
        <v>63060.663452457113</v>
      </c>
      <c r="Z16" s="754">
        <v>64835.810971496692</v>
      </c>
      <c r="AA16" s="754">
        <v>94280.130875764662</v>
      </c>
      <c r="AB16" s="754">
        <v>80895.414591458117</v>
      </c>
      <c r="AC16" s="754">
        <v>70938.855205998436</v>
      </c>
      <c r="AD16" s="762">
        <v>59262.478706112655</v>
      </c>
      <c r="AE16" s="754">
        <v>56427.035984424692</v>
      </c>
      <c r="AF16" s="754">
        <v>52064.8317131812</v>
      </c>
      <c r="AG16" s="754">
        <v>58328.559149938323</v>
      </c>
      <c r="AH16" s="754">
        <v>56892.958819096966</v>
      </c>
      <c r="AI16" s="754">
        <v>58900.83777480702</v>
      </c>
      <c r="AJ16" s="754">
        <v>61078.974809888605</v>
      </c>
      <c r="AK16" s="754">
        <v>65390.921925946743</v>
      </c>
      <c r="AL16" s="754">
        <v>67313.290927494556</v>
      </c>
      <c r="AM16" s="754">
        <v>97883.909243596892</v>
      </c>
      <c r="AN16" s="754">
        <v>83798.531078007654</v>
      </c>
      <c r="AO16" s="754">
        <v>73135.860265860494</v>
      </c>
    </row>
    <row r="17" spans="1:162" x14ac:dyDescent="0.25">
      <c r="A17" s="841" t="s">
        <v>21</v>
      </c>
      <c r="B17" s="830" t="s">
        <v>1090</v>
      </c>
      <c r="C17" s="830" t="s">
        <v>802</v>
      </c>
      <c r="D17" s="547" t="s">
        <v>31</v>
      </c>
      <c r="E17" s="830" t="s">
        <v>32</v>
      </c>
      <c r="F17" s="835">
        <v>113096.03597656681</v>
      </c>
      <c r="G17" s="754">
        <v>102848.86638259678</v>
      </c>
      <c r="H17" s="754">
        <v>69166.67906184071</v>
      </c>
      <c r="I17" s="754">
        <v>31492.510786188301</v>
      </c>
      <c r="J17" s="754">
        <v>23182.032504254181</v>
      </c>
      <c r="K17" s="754">
        <v>17843.105433883087</v>
      </c>
      <c r="L17" s="754">
        <v>17682.150390735998</v>
      </c>
      <c r="M17" s="754">
        <v>19794.378518427809</v>
      </c>
      <c r="N17" s="754">
        <v>19624.114598496672</v>
      </c>
      <c r="O17" s="754">
        <v>33700.741247632192</v>
      </c>
      <c r="P17" s="754">
        <v>64767.341605764326</v>
      </c>
      <c r="Q17" s="755">
        <v>104136.68649533563</v>
      </c>
      <c r="R17" s="754">
        <v>122213.74727496205</v>
      </c>
      <c r="S17" s="754">
        <v>111620.84821937513</v>
      </c>
      <c r="T17" s="754">
        <v>72750.639428091148</v>
      </c>
      <c r="U17" s="754">
        <v>33102.085034469535</v>
      </c>
      <c r="V17" s="754">
        <v>24673.676634034247</v>
      </c>
      <c r="W17" s="754">
        <v>18939.558894322945</v>
      </c>
      <c r="X17" s="754">
        <v>18606.951684342097</v>
      </c>
      <c r="Y17" s="754">
        <v>21020.221150819038</v>
      </c>
      <c r="Z17" s="754">
        <v>20474.4666225779</v>
      </c>
      <c r="AA17" s="754">
        <v>34870.733337611593</v>
      </c>
      <c r="AB17" s="754">
        <v>66187.157393011163</v>
      </c>
      <c r="AC17" s="754">
        <v>106408.28280899764</v>
      </c>
      <c r="AD17" s="762">
        <v>125932.76725048937</v>
      </c>
      <c r="AE17" s="754">
        <v>114563.98215019557</v>
      </c>
      <c r="AF17" s="754">
        <v>74922.562709211983</v>
      </c>
      <c r="AG17" s="754">
        <v>34256.4553737733</v>
      </c>
      <c r="AH17" s="754">
        <v>25560.60468684067</v>
      </c>
      <c r="AI17" s="754">
        <v>19633.612591602341</v>
      </c>
      <c r="AJ17" s="754">
        <v>19288.097308385873</v>
      </c>
      <c r="AK17" s="754">
        <v>21796.973975315581</v>
      </c>
      <c r="AL17" s="754">
        <v>21256.828713945648</v>
      </c>
      <c r="AM17" s="754">
        <v>36203.63766543995</v>
      </c>
      <c r="AN17" s="754">
        <v>68562.434518369875</v>
      </c>
      <c r="AO17" s="754">
        <v>109703.79039879072</v>
      </c>
    </row>
    <row r="18" spans="1:162" x14ac:dyDescent="0.25">
      <c r="A18" s="840" t="s">
        <v>1073</v>
      </c>
      <c r="B18" s="837"/>
      <c r="C18" s="830"/>
      <c r="D18" s="830"/>
      <c r="E18" s="838"/>
      <c r="F18" s="839">
        <v>167740.99285115843</v>
      </c>
      <c r="G18" s="760">
        <v>154895.05424722729</v>
      </c>
      <c r="H18" s="760">
        <v>118880.23684615071</v>
      </c>
      <c r="I18" s="760">
        <v>88979.515390944303</v>
      </c>
      <c r="J18" s="760">
        <v>81080.901360500808</v>
      </c>
      <c r="K18" s="760">
        <v>79130.171578199312</v>
      </c>
      <c r="L18" s="760">
        <v>81285.878932745545</v>
      </c>
      <c r="M18" s="760">
        <v>87810.010309163408</v>
      </c>
      <c r="N18" s="760">
        <v>90576.346754551952</v>
      </c>
      <c r="O18" s="760">
        <v>134955.55897780944</v>
      </c>
      <c r="P18" s="760">
        <v>153441.42981084241</v>
      </c>
      <c r="Q18" s="761">
        <v>177376.81035311116</v>
      </c>
      <c r="R18" s="764">
        <v>181199.76253912604</v>
      </c>
      <c r="S18" s="764">
        <v>167857.44213906699</v>
      </c>
      <c r="T18" s="764">
        <v>124977.45913475609</v>
      </c>
      <c r="U18" s="764">
        <v>92517.526482803543</v>
      </c>
      <c r="V18" s="764">
        <v>84276.557493724846</v>
      </c>
      <c r="W18" s="764">
        <v>81471.782954356691</v>
      </c>
      <c r="X18" s="764">
        <v>84931.6963922375</v>
      </c>
      <c r="Y18" s="764">
        <v>91025.096150086567</v>
      </c>
      <c r="Z18" s="764">
        <v>92267.796908552467</v>
      </c>
      <c r="AA18" s="764">
        <v>140416.13720611739</v>
      </c>
      <c r="AB18" s="764">
        <v>154013.36334040063</v>
      </c>
      <c r="AC18" s="764">
        <v>180900.21419529556</v>
      </c>
      <c r="AD18" s="765">
        <v>186686.91196718428</v>
      </c>
      <c r="AE18" s="764">
        <v>172260.93797172338</v>
      </c>
      <c r="AF18" s="764">
        <v>128672.42794845277</v>
      </c>
      <c r="AG18" s="764">
        <v>95660.488829948416</v>
      </c>
      <c r="AH18" s="764">
        <v>87144.882883278231</v>
      </c>
      <c r="AI18" s="764">
        <v>84234.662129513672</v>
      </c>
      <c r="AJ18" s="764">
        <v>87737.888733651504</v>
      </c>
      <c r="AK18" s="764">
        <v>94099.780492909777</v>
      </c>
      <c r="AL18" s="764">
        <v>95498.520070191138</v>
      </c>
      <c r="AM18" s="764">
        <v>145342.2534669895</v>
      </c>
      <c r="AN18" s="764">
        <v>159317.27681635838</v>
      </c>
      <c r="AO18" s="764">
        <v>186411.65568890009</v>
      </c>
    </row>
    <row r="19" spans="1:162" x14ac:dyDescent="0.25">
      <c r="A19" s="840" t="s">
        <v>20</v>
      </c>
      <c r="B19" s="837" t="s">
        <v>1066</v>
      </c>
      <c r="C19" s="830"/>
      <c r="D19" s="547" t="s">
        <v>18</v>
      </c>
      <c r="E19" s="500" t="s">
        <v>19</v>
      </c>
      <c r="F19" s="842">
        <v>3913.443060487059</v>
      </c>
      <c r="G19" s="764">
        <v>3194.0579106230489</v>
      </c>
      <c r="H19" s="764">
        <v>2216.1832306869492</v>
      </c>
      <c r="I19" s="764">
        <v>1708.7231896713001</v>
      </c>
      <c r="J19" s="764">
        <v>1235.2235523645272</v>
      </c>
      <c r="K19" s="764">
        <v>1201.3890921754135</v>
      </c>
      <c r="L19" s="764">
        <v>1152.3016378991128</v>
      </c>
      <c r="M19" s="764">
        <v>1219.1026189392985</v>
      </c>
      <c r="N19" s="764">
        <v>1352.68366640927</v>
      </c>
      <c r="O19" s="764">
        <v>1875.9341123825275</v>
      </c>
      <c r="P19" s="764">
        <v>2367.9365891954858</v>
      </c>
      <c r="Q19" s="766">
        <v>3589.4751373629229</v>
      </c>
      <c r="R19" s="764">
        <v>4091.5522400669242</v>
      </c>
      <c r="S19" s="764">
        <v>3414.04587809547</v>
      </c>
      <c r="T19" s="764">
        <v>2274.7189325917348</v>
      </c>
      <c r="U19" s="764">
        <v>1708.0862350705556</v>
      </c>
      <c r="V19" s="764">
        <v>1234.0573261169941</v>
      </c>
      <c r="W19" s="764">
        <v>1212.887805984828</v>
      </c>
      <c r="X19" s="764">
        <v>1146.5141367176525</v>
      </c>
      <c r="Y19" s="764">
        <v>1285.8820887804234</v>
      </c>
      <c r="Z19" s="764">
        <v>1383.1581662565618</v>
      </c>
      <c r="AA19" s="764">
        <v>1899.0418794665634</v>
      </c>
      <c r="AB19" s="764">
        <v>2217.744569400867</v>
      </c>
      <c r="AC19" s="764">
        <v>3326.5261583732499</v>
      </c>
      <c r="AD19" s="765">
        <v>4139.2259197952335</v>
      </c>
      <c r="AE19" s="764">
        <v>3444.8860620872283</v>
      </c>
      <c r="AF19" s="764">
        <v>2294.526546787547</v>
      </c>
      <c r="AG19" s="764">
        <v>1721.9190162367206</v>
      </c>
      <c r="AH19" s="764">
        <v>1236.5624164343035</v>
      </c>
      <c r="AI19" s="764">
        <v>1209.991763268278</v>
      </c>
      <c r="AJ19" s="764">
        <v>1141.5821093048717</v>
      </c>
      <c r="AK19" s="764">
        <v>1279.371180728451</v>
      </c>
      <c r="AL19" s="764">
        <v>1377.0872893925241</v>
      </c>
      <c r="AM19" s="764">
        <v>1896.0771323434535</v>
      </c>
      <c r="AN19" s="764">
        <v>2223.39229175009</v>
      </c>
      <c r="AO19" s="764">
        <v>3345.4948560312578</v>
      </c>
    </row>
    <row r="20" spans="1:162" x14ac:dyDescent="0.25">
      <c r="A20" s="836" t="s">
        <v>20</v>
      </c>
      <c r="B20" s="830" t="s">
        <v>1070</v>
      </c>
      <c r="C20" s="830"/>
      <c r="D20" s="547" t="s">
        <v>22</v>
      </c>
      <c r="E20" s="500" t="s">
        <v>23</v>
      </c>
      <c r="F20" s="835">
        <v>231.08782476767317</v>
      </c>
      <c r="G20" s="754">
        <v>225.56601769636131</v>
      </c>
      <c r="H20" s="754">
        <v>267.66533693585473</v>
      </c>
      <c r="I20" s="754">
        <v>627.46533474770808</v>
      </c>
      <c r="J20" s="754">
        <v>1022.9013895483581</v>
      </c>
      <c r="K20" s="754">
        <v>1259.55912120926</v>
      </c>
      <c r="L20" s="754">
        <v>1235.6112145228369</v>
      </c>
      <c r="M20" s="754">
        <v>1401.5841697249689</v>
      </c>
      <c r="N20" s="754">
        <v>1430.2744614186154</v>
      </c>
      <c r="O20" s="754">
        <v>1646.0196732399875</v>
      </c>
      <c r="P20" s="754">
        <v>1544.7070073110381</v>
      </c>
      <c r="Q20" s="755">
        <v>619.5169032113871</v>
      </c>
      <c r="R20" s="754">
        <v>239.26608531695905</v>
      </c>
      <c r="S20" s="754">
        <v>204.43917696764717</v>
      </c>
      <c r="T20" s="754">
        <v>271.35308278094533</v>
      </c>
      <c r="U20" s="754">
        <v>495.5970980368956</v>
      </c>
      <c r="V20" s="754">
        <v>760.5092740689405</v>
      </c>
      <c r="W20" s="754">
        <v>927.65954808995355</v>
      </c>
      <c r="X20" s="754">
        <v>1201.9177717012219</v>
      </c>
      <c r="Y20" s="754">
        <v>1127.4719049699083</v>
      </c>
      <c r="Z20" s="754">
        <v>1129.632572752243</v>
      </c>
      <c r="AA20" s="754">
        <v>1829.0454885358122</v>
      </c>
      <c r="AB20" s="754">
        <v>1125.2929839975993</v>
      </c>
      <c r="AC20" s="754">
        <v>576.88242106412679</v>
      </c>
      <c r="AD20" s="762">
        <v>242.18898102298041</v>
      </c>
      <c r="AE20" s="754">
        <v>206.18596196934456</v>
      </c>
      <c r="AF20" s="754">
        <v>273.58440144830644</v>
      </c>
      <c r="AG20" s="754">
        <v>499.33831240084714</v>
      </c>
      <c r="AH20" s="754">
        <v>761.68917947522971</v>
      </c>
      <c r="AI20" s="754">
        <v>925.49435914449327</v>
      </c>
      <c r="AJ20" s="754">
        <v>1196.7361009242416</v>
      </c>
      <c r="AK20" s="754">
        <v>1122.2232552889782</v>
      </c>
      <c r="AL20" s="754">
        <v>1124.9047897145531</v>
      </c>
      <c r="AM20" s="754">
        <v>1827.3299073961266</v>
      </c>
      <c r="AN20" s="754">
        <v>1129.4364248390107</v>
      </c>
      <c r="AO20" s="754">
        <v>579.95573465813914</v>
      </c>
    </row>
    <row r="21" spans="1:162" x14ac:dyDescent="0.25">
      <c r="A21" s="836" t="s">
        <v>20</v>
      </c>
      <c r="B21" s="830" t="s">
        <v>129</v>
      </c>
      <c r="C21" s="830"/>
      <c r="D21" s="547" t="s">
        <v>35</v>
      </c>
      <c r="E21" s="830" t="s">
        <v>36</v>
      </c>
      <c r="F21" s="835">
        <v>930.21342063078748</v>
      </c>
      <c r="G21" s="754">
        <v>784.42547813451324</v>
      </c>
      <c r="H21" s="754">
        <v>550.27898927017964</v>
      </c>
      <c r="I21" s="754">
        <v>246.67839039804051</v>
      </c>
      <c r="J21" s="754">
        <v>142.3600138493062</v>
      </c>
      <c r="K21" s="754">
        <v>83.181781594154501</v>
      </c>
      <c r="L21" s="754">
        <v>70.89756246584119</v>
      </c>
      <c r="M21" s="754">
        <v>68.626246419664952</v>
      </c>
      <c r="N21" s="754">
        <v>76.658149383110171</v>
      </c>
      <c r="O21" s="754">
        <v>152.16923861159364</v>
      </c>
      <c r="P21" s="754">
        <v>396.91684104472859</v>
      </c>
      <c r="Q21" s="755">
        <v>731.08952230536636</v>
      </c>
      <c r="R21" s="754">
        <v>910.1078025142474</v>
      </c>
      <c r="S21" s="754">
        <v>769.86075921124029</v>
      </c>
      <c r="T21" s="754">
        <v>540.91280135273553</v>
      </c>
      <c r="U21" s="754">
        <v>240.53953324292038</v>
      </c>
      <c r="V21" s="754">
        <v>139.36282527941154</v>
      </c>
      <c r="W21" s="754">
        <v>81.874084334093723</v>
      </c>
      <c r="X21" s="754">
        <v>69.816107511898167</v>
      </c>
      <c r="Y21" s="754">
        <v>68.592647397073577</v>
      </c>
      <c r="Z21" s="754">
        <v>75.404808479246341</v>
      </c>
      <c r="AA21" s="754">
        <v>147.28146389229815</v>
      </c>
      <c r="AB21" s="754">
        <v>383.42364236520126</v>
      </c>
      <c r="AC21" s="754">
        <v>712.78366493501153</v>
      </c>
      <c r="AD21" s="762">
        <v>900.06488468246584</v>
      </c>
      <c r="AE21" s="754">
        <v>762.84450823448117</v>
      </c>
      <c r="AF21" s="754">
        <v>535.63064456087011</v>
      </c>
      <c r="AG21" s="754">
        <v>237.28667121394818</v>
      </c>
      <c r="AH21" s="754">
        <v>137.68440710484595</v>
      </c>
      <c r="AI21" s="754">
        <v>80.943301576798959</v>
      </c>
      <c r="AJ21" s="754">
        <v>69.086060240873508</v>
      </c>
      <c r="AK21" s="754">
        <v>67.856982254787184</v>
      </c>
      <c r="AL21" s="754">
        <v>74.541100537870591</v>
      </c>
      <c r="AM21" s="754">
        <v>144.9513618445886</v>
      </c>
      <c r="AN21" s="754">
        <v>378.61813634532592</v>
      </c>
      <c r="AO21" s="754">
        <v>705.75599071525392</v>
      </c>
    </row>
    <row r="22" spans="1:162" x14ac:dyDescent="0.25">
      <c r="A22" s="836" t="s">
        <v>20</v>
      </c>
      <c r="B22" s="830" t="s">
        <v>1087</v>
      </c>
      <c r="C22" s="830" t="s">
        <v>801</v>
      </c>
      <c r="D22" s="547" t="s">
        <v>26</v>
      </c>
      <c r="E22" s="500" t="s">
        <v>27</v>
      </c>
      <c r="F22" s="835">
        <v>214483.02213634213</v>
      </c>
      <c r="G22" s="754">
        <v>186378.3153018319</v>
      </c>
      <c r="H22" s="754">
        <v>137770.86438379731</v>
      </c>
      <c r="I22" s="754">
        <v>76793.341292188576</v>
      </c>
      <c r="J22" s="754">
        <v>46291.864026957504</v>
      </c>
      <c r="K22" s="754">
        <v>34849.283995906495</v>
      </c>
      <c r="L22" s="754">
        <v>33335.587442905809</v>
      </c>
      <c r="M22" s="754">
        <v>34950.490160854104</v>
      </c>
      <c r="N22" s="754">
        <v>37024.514320350172</v>
      </c>
      <c r="O22" s="754">
        <v>57249.150325497889</v>
      </c>
      <c r="P22" s="754">
        <v>99186.685660357965</v>
      </c>
      <c r="Q22" s="755">
        <v>176590.92146626703</v>
      </c>
      <c r="R22" s="754">
        <v>211360.03245037995</v>
      </c>
      <c r="S22" s="754">
        <v>185449.66888632442</v>
      </c>
      <c r="T22" s="754">
        <v>136293.24615522244</v>
      </c>
      <c r="U22" s="754">
        <v>75662.736196260128</v>
      </c>
      <c r="V22" s="754">
        <v>45862.921517411189</v>
      </c>
      <c r="W22" s="754">
        <v>34440.845955837845</v>
      </c>
      <c r="X22" s="754">
        <v>32731.131060176798</v>
      </c>
      <c r="Y22" s="754">
        <v>34839.307220182782</v>
      </c>
      <c r="Z22" s="754">
        <v>36414.663924573833</v>
      </c>
      <c r="AA22" s="754">
        <v>56148.060658067974</v>
      </c>
      <c r="AB22" s="754">
        <v>96845.205071710734</v>
      </c>
      <c r="AC22" s="754">
        <v>173703.16332255738</v>
      </c>
      <c r="AD22" s="762">
        <v>210768.85634371749</v>
      </c>
      <c r="AE22" s="754">
        <v>184607.22083862635</v>
      </c>
      <c r="AF22" s="754">
        <v>135636.01321337337</v>
      </c>
      <c r="AG22" s="754">
        <v>75280.335659146702</v>
      </c>
      <c r="AH22" s="754">
        <v>45511.014470904316</v>
      </c>
      <c r="AI22" s="754">
        <v>34109.871930462912</v>
      </c>
      <c r="AJ22" s="754">
        <v>32377.347900866436</v>
      </c>
      <c r="AK22" s="754">
        <v>34455.880635733985</v>
      </c>
      <c r="AL22" s="754">
        <v>36027.986309518055</v>
      </c>
      <c r="AM22" s="754">
        <v>55629.977187840988</v>
      </c>
      <c r="AN22" s="754">
        <v>96144.044534928107</v>
      </c>
      <c r="AO22" s="754">
        <v>172659.81569706023</v>
      </c>
    </row>
    <row r="23" spans="1:162" x14ac:dyDescent="0.25">
      <c r="A23" s="836" t="s">
        <v>20</v>
      </c>
      <c r="B23" s="830" t="s">
        <v>1088</v>
      </c>
      <c r="C23" s="830" t="s">
        <v>802</v>
      </c>
      <c r="D23" s="547" t="s">
        <v>26</v>
      </c>
      <c r="E23" s="500" t="s">
        <v>27</v>
      </c>
      <c r="F23" s="835">
        <v>40853.90897835089</v>
      </c>
      <c r="G23" s="754">
        <v>32890.290935617399</v>
      </c>
      <c r="H23" s="754">
        <v>17027.859642941239</v>
      </c>
      <c r="I23" s="754">
        <v>4041.7548048520343</v>
      </c>
      <c r="J23" s="754">
        <v>1928.8276677898978</v>
      </c>
      <c r="K23" s="754">
        <v>1452.0534998294386</v>
      </c>
      <c r="L23" s="754">
        <v>1030.9975497805931</v>
      </c>
      <c r="M23" s="754">
        <v>1080.9429946655919</v>
      </c>
      <c r="N23" s="754">
        <v>1145.0880717634084</v>
      </c>
      <c r="O23" s="754">
        <v>2385.381263562414</v>
      </c>
      <c r="P23" s="754">
        <v>8624.9291878572094</v>
      </c>
      <c r="Q23" s="755">
        <v>19621.213496251887</v>
      </c>
      <c r="R23" s="754">
        <v>40259.053800072383</v>
      </c>
      <c r="S23" s="754">
        <v>32726.412156410199</v>
      </c>
      <c r="T23" s="754">
        <v>16845.232670870184</v>
      </c>
      <c r="U23" s="754">
        <v>3982.249273487379</v>
      </c>
      <c r="V23" s="754">
        <v>1910.9550632254679</v>
      </c>
      <c r="W23" s="754">
        <v>1435.0352481599116</v>
      </c>
      <c r="X23" s="754">
        <v>1012.3030224796958</v>
      </c>
      <c r="Y23" s="754">
        <v>1077.5043470159633</v>
      </c>
      <c r="Z23" s="754">
        <v>1126.2267193167177</v>
      </c>
      <c r="AA23" s="754">
        <v>2339.5025274195009</v>
      </c>
      <c r="AB23" s="754">
        <v>8421.3221801487543</v>
      </c>
      <c r="AC23" s="754">
        <v>19300.351480284149</v>
      </c>
      <c r="AD23" s="762">
        <v>40146.44882737477</v>
      </c>
      <c r="AE23" s="754">
        <v>32577.744853875247</v>
      </c>
      <c r="AF23" s="754">
        <v>16764.001633113563</v>
      </c>
      <c r="AG23" s="754">
        <v>3962.1229294287773</v>
      </c>
      <c r="AH23" s="754">
        <v>1896.2922696210148</v>
      </c>
      <c r="AI23" s="754">
        <v>1421.2446637692894</v>
      </c>
      <c r="AJ23" s="754">
        <v>1001.3612752845298</v>
      </c>
      <c r="AK23" s="754">
        <v>1065.6457928577531</v>
      </c>
      <c r="AL23" s="754">
        <v>1114.2676178201471</v>
      </c>
      <c r="AM23" s="754">
        <v>2317.9157161600433</v>
      </c>
      <c r="AN23" s="754">
        <v>8360.3516986893956</v>
      </c>
      <c r="AO23" s="754">
        <v>19184.423966340022</v>
      </c>
    </row>
    <row r="24" spans="1:162" x14ac:dyDescent="0.25">
      <c r="A24" s="836" t="s">
        <v>20</v>
      </c>
      <c r="B24" s="830" t="s">
        <v>1089</v>
      </c>
      <c r="C24" s="830" t="s">
        <v>801</v>
      </c>
      <c r="D24" s="547" t="s">
        <v>31</v>
      </c>
      <c r="E24" s="500" t="s">
        <v>32</v>
      </c>
      <c r="F24" s="835">
        <v>1050.1879119245825</v>
      </c>
      <c r="G24" s="754">
        <v>999.57920522725487</v>
      </c>
      <c r="H24" s="754">
        <v>948.43448293316226</v>
      </c>
      <c r="I24" s="754">
        <v>1058.0950398124576</v>
      </c>
      <c r="J24" s="754">
        <v>1018.1633819356583</v>
      </c>
      <c r="K24" s="754">
        <v>1056.2586116290408</v>
      </c>
      <c r="L24" s="754">
        <v>1104.8822506426136</v>
      </c>
      <c r="M24" s="754">
        <v>1171.7681571410294</v>
      </c>
      <c r="N24" s="754">
        <v>1226.2273210737619</v>
      </c>
      <c r="O24" s="754">
        <v>1797.9479527708097</v>
      </c>
      <c r="P24" s="754">
        <v>1562.0136103797588</v>
      </c>
      <c r="Q24" s="755">
        <v>1369.9069282255828</v>
      </c>
      <c r="R24" s="754">
        <v>1134.8532152423472</v>
      </c>
      <c r="S24" s="754">
        <v>1084.8333353025137</v>
      </c>
      <c r="T24" s="754">
        <v>997.57883456205229</v>
      </c>
      <c r="U24" s="754">
        <v>1112.174009249952</v>
      </c>
      <c r="V24" s="754">
        <v>1083.6769399699954</v>
      </c>
      <c r="W24" s="754">
        <v>1121.1653855161032</v>
      </c>
      <c r="X24" s="754">
        <v>1162.6691437578336</v>
      </c>
      <c r="Y24" s="754">
        <v>1244.334384010175</v>
      </c>
      <c r="Z24" s="754">
        <v>1279.3621964957927</v>
      </c>
      <c r="AA24" s="754">
        <v>1860.3674962306823</v>
      </c>
      <c r="AB24" s="754">
        <v>1596.2557381084384</v>
      </c>
      <c r="AC24" s="754">
        <v>1399.7895337985638</v>
      </c>
      <c r="AD24" s="762">
        <v>1169.3873152997012</v>
      </c>
      <c r="AE24" s="754">
        <v>1113.4373985160355</v>
      </c>
      <c r="AF24" s="754">
        <v>1027.3609053805542</v>
      </c>
      <c r="AG24" s="754">
        <v>1150.9588980896065</v>
      </c>
      <c r="AH24" s="754">
        <v>1122.6311458021753</v>
      </c>
      <c r="AI24" s="754">
        <v>1162.2512938744221</v>
      </c>
      <c r="AJ24" s="754">
        <v>1205.2310320733607</v>
      </c>
      <c r="AK24" s="754">
        <v>1290.3158339893735</v>
      </c>
      <c r="AL24" s="754">
        <v>1328.2486706647232</v>
      </c>
      <c r="AM24" s="754">
        <v>1931.4784723913838</v>
      </c>
      <c r="AN24" s="754">
        <v>1653.5410165566095</v>
      </c>
      <c r="AO24" s="754">
        <v>1443.1415822572953</v>
      </c>
    </row>
    <row r="25" spans="1:162" x14ac:dyDescent="0.25">
      <c r="A25" s="841" t="s">
        <v>20</v>
      </c>
      <c r="B25" s="830" t="s">
        <v>1090</v>
      </c>
      <c r="C25" s="830" t="s">
        <v>802</v>
      </c>
      <c r="D25" s="547" t="s">
        <v>31</v>
      </c>
      <c r="E25" s="500" t="s">
        <v>32</v>
      </c>
      <c r="F25" s="835">
        <v>2231.6493128397378</v>
      </c>
      <c r="G25" s="754">
        <v>2029.44868940079</v>
      </c>
      <c r="H25" s="754">
        <v>1364.820353489185</v>
      </c>
      <c r="I25" s="754">
        <v>621.4208963977926</v>
      </c>
      <c r="J25" s="754">
        <v>457.43572231891909</v>
      </c>
      <c r="K25" s="754">
        <v>352.08620387634699</v>
      </c>
      <c r="L25" s="754">
        <v>348.91018441345688</v>
      </c>
      <c r="M25" s="754">
        <v>390.58938571367645</v>
      </c>
      <c r="N25" s="754">
        <v>387.22968033908268</v>
      </c>
      <c r="O25" s="754">
        <v>664.99444828509399</v>
      </c>
      <c r="P25" s="754">
        <v>1278.011135765257</v>
      </c>
      <c r="Q25" s="755">
        <v>2054.8603923383739</v>
      </c>
      <c r="R25" s="754">
        <v>2411.5630823899878</v>
      </c>
      <c r="S25" s="754">
        <v>2202.5404080384365</v>
      </c>
      <c r="T25" s="754">
        <v>1435.5402741258804</v>
      </c>
      <c r="U25" s="754">
        <v>653.18156098806708</v>
      </c>
      <c r="V25" s="754">
        <v>486.86934984159228</v>
      </c>
      <c r="W25" s="754">
        <v>373.72179517203443</v>
      </c>
      <c r="X25" s="754">
        <v>367.15867697615795</v>
      </c>
      <c r="Y25" s="754">
        <v>414.77812800339166</v>
      </c>
      <c r="Z25" s="754">
        <v>404.00911468288189</v>
      </c>
      <c r="AA25" s="754">
        <v>688.08112874285507</v>
      </c>
      <c r="AB25" s="754">
        <v>1306.0274220887222</v>
      </c>
      <c r="AC25" s="754">
        <v>2099.6843006978452</v>
      </c>
      <c r="AD25" s="762">
        <v>2484.9480450118649</v>
      </c>
      <c r="AE25" s="754">
        <v>2260.6153242598293</v>
      </c>
      <c r="AF25" s="754">
        <v>1478.3974004256759</v>
      </c>
      <c r="AG25" s="754">
        <v>675.95998776691181</v>
      </c>
      <c r="AH25" s="754">
        <v>504.37051478068753</v>
      </c>
      <c r="AI25" s="754">
        <v>387.41709795814069</v>
      </c>
      <c r="AJ25" s="754">
        <v>380.59927328632443</v>
      </c>
      <c r="AK25" s="754">
        <v>430.1052779964578</v>
      </c>
      <c r="AL25" s="754">
        <v>419.44694863096521</v>
      </c>
      <c r="AM25" s="754">
        <v>714.38244869270363</v>
      </c>
      <c r="AN25" s="754">
        <v>1352.8971953644987</v>
      </c>
      <c r="AO25" s="754">
        <v>2164.7123733859426</v>
      </c>
    </row>
    <row r="26" spans="1:162" x14ac:dyDescent="0.25">
      <c r="A26" s="840" t="s">
        <v>1074</v>
      </c>
      <c r="B26" s="837"/>
      <c r="C26" s="830"/>
      <c r="D26" s="830"/>
      <c r="E26" s="838"/>
      <c r="F26" s="839">
        <v>263693.51264534285</v>
      </c>
      <c r="G26" s="760">
        <v>226501.6835385313</v>
      </c>
      <c r="H26" s="760">
        <v>160146.1064200539</v>
      </c>
      <c r="I26" s="760">
        <v>85097.478948067903</v>
      </c>
      <c r="J26" s="760">
        <v>52096.775754764174</v>
      </c>
      <c r="K26" s="760">
        <v>40253.812306220148</v>
      </c>
      <c r="L26" s="760">
        <v>38279.187842630265</v>
      </c>
      <c r="M26" s="760">
        <v>40283.103733458338</v>
      </c>
      <c r="N26" s="760">
        <v>42642.675670737422</v>
      </c>
      <c r="O26" s="760">
        <v>65771.597014350322</v>
      </c>
      <c r="P26" s="760">
        <v>114961.20003191144</v>
      </c>
      <c r="Q26" s="761">
        <v>204576.98384596253</v>
      </c>
      <c r="R26" s="764">
        <v>260406.42867598281</v>
      </c>
      <c r="S26" s="764">
        <v>225851.80060034993</v>
      </c>
      <c r="T26" s="764">
        <v>158658.58275150595</v>
      </c>
      <c r="U26" s="764">
        <v>83854.563906335912</v>
      </c>
      <c r="V26" s="764">
        <v>51478.352295913588</v>
      </c>
      <c r="W26" s="764">
        <v>39593.189823094777</v>
      </c>
      <c r="X26" s="764">
        <v>37691.509919321259</v>
      </c>
      <c r="Y26" s="764">
        <v>40057.870720359715</v>
      </c>
      <c r="Z26" s="764">
        <v>41812.457502557285</v>
      </c>
      <c r="AA26" s="764">
        <v>64911.380642355682</v>
      </c>
      <c r="AB26" s="764">
        <v>111895.27160782031</v>
      </c>
      <c r="AC26" s="764">
        <v>201119.18088171032</v>
      </c>
      <c r="AD26" s="765">
        <v>259851.12031690453</v>
      </c>
      <c r="AE26" s="764">
        <v>224972.93494756852</v>
      </c>
      <c r="AF26" s="764">
        <v>158009.51474508989</v>
      </c>
      <c r="AG26" s="764">
        <v>83527.921474283517</v>
      </c>
      <c r="AH26" s="764">
        <v>51170.244404122575</v>
      </c>
      <c r="AI26" s="764">
        <v>39297.214410054337</v>
      </c>
      <c r="AJ26" s="764">
        <v>37371.943751980638</v>
      </c>
      <c r="AK26" s="764">
        <v>39711.398958849779</v>
      </c>
      <c r="AL26" s="764">
        <v>41466.482726278839</v>
      </c>
      <c r="AM26" s="764">
        <v>64462.112226669291</v>
      </c>
      <c r="AN26" s="764">
        <v>111242.28129847304</v>
      </c>
      <c r="AO26" s="764">
        <v>200083.30020044811</v>
      </c>
    </row>
    <row r="27" spans="1:162" x14ac:dyDescent="0.25">
      <c r="A27" s="840" t="s">
        <v>663</v>
      </c>
      <c r="B27" s="837" t="s">
        <v>1070</v>
      </c>
      <c r="C27" s="830"/>
      <c r="D27" s="547" t="s">
        <v>22</v>
      </c>
      <c r="E27" s="830" t="s">
        <v>23</v>
      </c>
      <c r="F27" s="831">
        <v>0</v>
      </c>
      <c r="G27" s="832">
        <v>0</v>
      </c>
      <c r="H27" s="832">
        <v>0</v>
      </c>
      <c r="I27" s="832">
        <v>0</v>
      </c>
      <c r="J27" s="832">
        <v>0</v>
      </c>
      <c r="K27" s="832">
        <v>0</v>
      </c>
      <c r="L27" s="832">
        <v>0</v>
      </c>
      <c r="M27" s="832">
        <v>0</v>
      </c>
      <c r="N27" s="832">
        <v>0</v>
      </c>
      <c r="O27" s="832">
        <v>0</v>
      </c>
      <c r="P27" s="832">
        <v>0</v>
      </c>
      <c r="Q27" s="833">
        <v>0</v>
      </c>
      <c r="R27" s="832">
        <v>0</v>
      </c>
      <c r="S27" s="832">
        <v>0</v>
      </c>
      <c r="T27" s="832">
        <v>0</v>
      </c>
      <c r="U27" s="832">
        <v>0</v>
      </c>
      <c r="V27" s="832">
        <v>0</v>
      </c>
      <c r="W27" s="832">
        <v>0</v>
      </c>
      <c r="X27" s="832">
        <v>0</v>
      </c>
      <c r="Y27" s="832">
        <v>0</v>
      </c>
      <c r="Z27" s="832">
        <v>0</v>
      </c>
      <c r="AA27" s="832">
        <v>0</v>
      </c>
      <c r="AB27" s="832">
        <v>0</v>
      </c>
      <c r="AC27" s="832">
        <v>0</v>
      </c>
      <c r="AD27" s="843">
        <v>0</v>
      </c>
      <c r="AE27" s="832">
        <v>0</v>
      </c>
      <c r="AF27" s="832">
        <v>0</v>
      </c>
      <c r="AG27" s="832">
        <v>0</v>
      </c>
      <c r="AH27" s="832">
        <v>0</v>
      </c>
      <c r="AI27" s="832">
        <v>0</v>
      </c>
      <c r="AJ27" s="832">
        <v>0</v>
      </c>
      <c r="AK27" s="832">
        <v>0</v>
      </c>
      <c r="AL27" s="832">
        <v>0</v>
      </c>
      <c r="AM27" s="832">
        <v>0</v>
      </c>
      <c r="AN27" s="832">
        <v>0</v>
      </c>
      <c r="AO27" s="832">
        <v>0</v>
      </c>
    </row>
    <row r="28" spans="1:162" x14ac:dyDescent="0.25">
      <c r="A28" s="836" t="s">
        <v>663</v>
      </c>
      <c r="B28" s="830" t="s">
        <v>1075</v>
      </c>
      <c r="C28" s="830"/>
      <c r="D28" s="741" t="s">
        <v>52</v>
      </c>
      <c r="E28" s="830" t="s">
        <v>53</v>
      </c>
      <c r="F28" s="835">
        <v>1389547.8612116606</v>
      </c>
      <c r="G28" s="754">
        <v>1235504.0460263651</v>
      </c>
      <c r="H28" s="754">
        <v>966277.2245346338</v>
      </c>
      <c r="I28" s="754">
        <v>719376.47569839761</v>
      </c>
      <c r="J28" s="754">
        <v>653265.45744426153</v>
      </c>
      <c r="K28" s="754">
        <v>630295.18016861263</v>
      </c>
      <c r="L28" s="754">
        <v>651878.58730385569</v>
      </c>
      <c r="M28" s="754">
        <v>692863.56792754994</v>
      </c>
      <c r="N28" s="754">
        <v>712772.43120893615</v>
      </c>
      <c r="O28" s="754">
        <v>1057421.427044258</v>
      </c>
      <c r="P28" s="754">
        <v>1307812.675256355</v>
      </c>
      <c r="Q28" s="755">
        <v>1365340.194171381</v>
      </c>
      <c r="R28" s="754">
        <v>1387554.4855345571</v>
      </c>
      <c r="S28" s="754">
        <v>1217905.4241899983</v>
      </c>
      <c r="T28" s="754">
        <v>964931.02528517949</v>
      </c>
      <c r="U28" s="754">
        <v>715546.328445822</v>
      </c>
      <c r="V28" s="754">
        <v>653254.39087358117</v>
      </c>
      <c r="W28" s="754">
        <v>626245.3451194925</v>
      </c>
      <c r="X28" s="754">
        <v>642026.52322069847</v>
      </c>
      <c r="Y28" s="754">
        <v>691863.6545942782</v>
      </c>
      <c r="Z28" s="754">
        <v>702268.59730756946</v>
      </c>
      <c r="AA28" s="754">
        <v>1042197.1961146459</v>
      </c>
      <c r="AB28" s="754">
        <v>1287895.1602221152</v>
      </c>
      <c r="AC28" s="754">
        <v>1356670.208550839</v>
      </c>
      <c r="AD28" s="762">
        <v>1399352.5168168538</v>
      </c>
      <c r="AE28" s="754">
        <v>1224557.084513359</v>
      </c>
      <c r="AF28" s="754">
        <v>970608.85947562743</v>
      </c>
      <c r="AG28" s="754">
        <v>720057.29083485866</v>
      </c>
      <c r="AH28" s="754">
        <v>654579.81118161895</v>
      </c>
      <c r="AI28" s="754">
        <v>626186.39478772052</v>
      </c>
      <c r="AJ28" s="754">
        <v>641682.33591458236</v>
      </c>
      <c r="AK28" s="754">
        <v>691321.79046964378</v>
      </c>
      <c r="AL28" s="754">
        <v>702091.05302338256</v>
      </c>
      <c r="AM28" s="754">
        <v>1044829.3690184435</v>
      </c>
      <c r="AN28" s="754">
        <v>1294803.4477189633</v>
      </c>
      <c r="AO28" s="754">
        <v>1365560.1820704101</v>
      </c>
    </row>
    <row r="29" spans="1:162" x14ac:dyDescent="0.25">
      <c r="A29" s="841" t="s">
        <v>663</v>
      </c>
      <c r="B29" s="830" t="s">
        <v>1076</v>
      </c>
      <c r="C29" s="830"/>
      <c r="D29" s="547" t="s">
        <v>96</v>
      </c>
      <c r="E29" s="830" t="s">
        <v>795</v>
      </c>
      <c r="F29" s="835">
        <v>17894.912782897212</v>
      </c>
      <c r="G29" s="754">
        <v>19540.613039893182</v>
      </c>
      <c r="H29" s="754">
        <v>20195.676364805331</v>
      </c>
      <c r="I29" s="754">
        <v>12469.953775222106</v>
      </c>
      <c r="J29" s="754">
        <v>11526.604792305967</v>
      </c>
      <c r="K29" s="754">
        <v>11904.283817954749</v>
      </c>
      <c r="L29" s="754">
        <v>12569.933362918295</v>
      </c>
      <c r="M29" s="754">
        <v>11638.906016295941</v>
      </c>
      <c r="N29" s="754">
        <v>22086.321834439168</v>
      </c>
      <c r="O29" s="754">
        <v>35865.447455286201</v>
      </c>
      <c r="P29" s="754">
        <v>24687.407265375707</v>
      </c>
      <c r="Q29" s="755">
        <v>22208.650501669857</v>
      </c>
      <c r="R29" s="754">
        <v>18927.44284242858</v>
      </c>
      <c r="S29" s="754">
        <v>11161.8061680388</v>
      </c>
      <c r="T29" s="754">
        <v>13805.982166876423</v>
      </c>
      <c r="U29" s="754">
        <v>13353.684323091527</v>
      </c>
      <c r="V29" s="754">
        <v>7128.1169277682548</v>
      </c>
      <c r="W29" s="754">
        <v>8433.7296597750901</v>
      </c>
      <c r="X29" s="754">
        <v>11549.767634831696</v>
      </c>
      <c r="Y29" s="754">
        <v>2963.4874209151917</v>
      </c>
      <c r="Z29" s="754">
        <v>21178.158210546801</v>
      </c>
      <c r="AA29" s="754">
        <v>38303.231784439988</v>
      </c>
      <c r="AB29" s="754">
        <v>43931.64073274564</v>
      </c>
      <c r="AC29" s="754">
        <v>31851.663137605676</v>
      </c>
      <c r="AD29" s="762">
        <v>19100.688541479052</v>
      </c>
      <c r="AE29" s="754">
        <v>11223.111809079635</v>
      </c>
      <c r="AF29" s="754">
        <v>13877.387782233985</v>
      </c>
      <c r="AG29" s="754">
        <v>13413.777047555188</v>
      </c>
      <c r="AH29" s="754">
        <v>7117.5730059686521</v>
      </c>
      <c r="AI29" s="754">
        <v>8388.5843632843826</v>
      </c>
      <c r="AJ29" s="754">
        <v>11465.17600498518</v>
      </c>
      <c r="AK29" s="754">
        <v>2940.7659912591625</v>
      </c>
      <c r="AL29" s="754">
        <v>21025.706188631764</v>
      </c>
      <c r="AM29" s="754">
        <v>38151.508800805263</v>
      </c>
      <c r="AN29" s="754">
        <v>43959.975907428488</v>
      </c>
      <c r="AO29" s="754">
        <v>31924.455566352884</v>
      </c>
    </row>
    <row r="30" spans="1:162" x14ac:dyDescent="0.25">
      <c r="A30" s="841" t="s">
        <v>663</v>
      </c>
      <c r="B30" s="830" t="s">
        <v>1076</v>
      </c>
      <c r="C30" s="830" t="s">
        <v>802</v>
      </c>
      <c r="D30" s="547" t="s">
        <v>42</v>
      </c>
      <c r="E30" s="830" t="s">
        <v>675</v>
      </c>
      <c r="F30" s="835">
        <v>19639.843471251148</v>
      </c>
      <c r="G30" s="754">
        <v>18369.504701971524</v>
      </c>
      <c r="H30" s="754">
        <v>27118.033350086615</v>
      </c>
      <c r="I30" s="754">
        <v>29715.03025961739</v>
      </c>
      <c r="J30" s="754">
        <v>35997.389860365955</v>
      </c>
      <c r="K30" s="754">
        <v>36256.48102408558</v>
      </c>
      <c r="L30" s="754">
        <v>41551.692913003964</v>
      </c>
      <c r="M30" s="754">
        <v>41864.845465486549</v>
      </c>
      <c r="N30" s="754">
        <v>39938.067917834123</v>
      </c>
      <c r="O30" s="754">
        <v>59082.675376749336</v>
      </c>
      <c r="P30" s="754">
        <v>46688.580641325236</v>
      </c>
      <c r="Q30" s="755">
        <v>36671.992604273983</v>
      </c>
      <c r="R30" s="754">
        <v>16630.208741260201</v>
      </c>
      <c r="S30" s="754">
        <v>10674.310202411034</v>
      </c>
      <c r="T30" s="754">
        <v>17048.16685907224</v>
      </c>
      <c r="U30" s="754">
        <v>30055.920163635063</v>
      </c>
      <c r="V30" s="754">
        <v>30244.297382700821</v>
      </c>
      <c r="W30" s="754">
        <v>32010.288214165412</v>
      </c>
      <c r="X30" s="754">
        <v>39948.130739861517</v>
      </c>
      <c r="Y30" s="754">
        <v>31370.296722112966</v>
      </c>
      <c r="Z30" s="754">
        <v>39557.317144769375</v>
      </c>
      <c r="AA30" s="754">
        <v>62749.217703875627</v>
      </c>
      <c r="AB30" s="754">
        <v>67334.440187129119</v>
      </c>
      <c r="AC30" s="754">
        <v>48604.148908228366</v>
      </c>
      <c r="AD30" s="762">
        <v>16809.78682723004</v>
      </c>
      <c r="AE30" s="754">
        <v>10750.435516215462</v>
      </c>
      <c r="AF30" s="754">
        <v>17164.277581412396</v>
      </c>
      <c r="AG30" s="754">
        <v>30240.393111459536</v>
      </c>
      <c r="AH30" s="754">
        <v>30248.792370754974</v>
      </c>
      <c r="AI30" s="754">
        <v>31890.843855573297</v>
      </c>
      <c r="AJ30" s="754">
        <v>39720.194603551383</v>
      </c>
      <c r="AK30" s="754">
        <v>31180.525596518983</v>
      </c>
      <c r="AL30" s="754">
        <v>39336.585367882275</v>
      </c>
      <c r="AM30" s="754">
        <v>62602.552501322643</v>
      </c>
      <c r="AN30" s="754">
        <v>67487.711584579432</v>
      </c>
      <c r="AO30" s="754">
        <v>48794.644052721342</v>
      </c>
    </row>
    <row r="31" spans="1:162" x14ac:dyDescent="0.25">
      <c r="A31" s="838" t="s">
        <v>1077</v>
      </c>
      <c r="B31" s="821"/>
      <c r="C31" s="821"/>
      <c r="D31" s="821"/>
      <c r="E31" s="821"/>
      <c r="F31" s="839">
        <v>1427082.617465809</v>
      </c>
      <c r="G31" s="760">
        <v>1273414.1637682298</v>
      </c>
      <c r="H31" s="760">
        <v>1013590.9342495258</v>
      </c>
      <c r="I31" s="760">
        <v>761561.45973323705</v>
      </c>
      <c r="J31" s="760">
        <v>700789.4520969335</v>
      </c>
      <c r="K31" s="760">
        <v>678455.94501065288</v>
      </c>
      <c r="L31" s="760">
        <v>706000.21357977798</v>
      </c>
      <c r="M31" s="760">
        <v>746367.31940933235</v>
      </c>
      <c r="N31" s="760">
        <v>774796.82096120948</v>
      </c>
      <c r="O31" s="760">
        <v>1152369.5498762936</v>
      </c>
      <c r="P31" s="760">
        <v>1379188.6631630559</v>
      </c>
      <c r="Q31" s="761">
        <v>1424220.8372773249</v>
      </c>
      <c r="R31" s="760">
        <v>1423112.1371182459</v>
      </c>
      <c r="S31" s="760">
        <v>1239741.5405604483</v>
      </c>
      <c r="T31" s="760">
        <v>995785.17431112821</v>
      </c>
      <c r="U31" s="760">
        <v>758955.93293254857</v>
      </c>
      <c r="V31" s="760">
        <v>690626.80518405023</v>
      </c>
      <c r="W31" s="760">
        <v>666689.36299343291</v>
      </c>
      <c r="X31" s="760">
        <v>693524.4215953917</v>
      </c>
      <c r="Y31" s="760">
        <v>726197.43873730628</v>
      </c>
      <c r="Z31" s="760">
        <v>763004.07266288565</v>
      </c>
      <c r="AA31" s="760">
        <v>1143249.6456029615</v>
      </c>
      <c r="AB31" s="760">
        <v>1399161.2411419901</v>
      </c>
      <c r="AC31" s="760">
        <v>1437126.020596673</v>
      </c>
      <c r="AD31" s="768">
        <v>1435262.9921855628</v>
      </c>
      <c r="AE31" s="760">
        <v>1246530.6318386539</v>
      </c>
      <c r="AF31" s="760">
        <v>1001650.5248392738</v>
      </c>
      <c r="AG31" s="760">
        <v>763711.46099387342</v>
      </c>
      <c r="AH31" s="760">
        <v>691946.17655834265</v>
      </c>
      <c r="AI31" s="760">
        <v>666465.82300657826</v>
      </c>
      <c r="AJ31" s="760">
        <v>692867.70652311901</v>
      </c>
      <c r="AK31" s="760">
        <v>725443.08205742191</v>
      </c>
      <c r="AL31" s="760">
        <v>762453.34457989654</v>
      </c>
      <c r="AM31" s="760">
        <v>1145583.4303205714</v>
      </c>
      <c r="AN31" s="760">
        <v>1406251.1352109711</v>
      </c>
      <c r="AO31" s="760">
        <v>1446279.2816894844</v>
      </c>
    </row>
    <row r="32" spans="1:162" s="776" customFormat="1" x14ac:dyDescent="0.25">
      <c r="A32" s="844" t="s">
        <v>661</v>
      </c>
      <c r="B32" s="845" t="s">
        <v>1078</v>
      </c>
      <c r="C32" s="845"/>
      <c r="D32" s="741" t="s">
        <v>50</v>
      </c>
      <c r="E32" s="846" t="s">
        <v>51</v>
      </c>
      <c r="F32" s="847">
        <v>70467.369862857217</v>
      </c>
      <c r="G32" s="773">
        <v>53766.35673366132</v>
      </c>
      <c r="H32" s="773">
        <v>44678.676233053971</v>
      </c>
      <c r="I32" s="773">
        <v>27217.417891804886</v>
      </c>
      <c r="J32" s="773">
        <v>29003.871631889651</v>
      </c>
      <c r="K32" s="773">
        <v>30500.502691316902</v>
      </c>
      <c r="L32" s="773">
        <v>26988.932016434272</v>
      </c>
      <c r="M32" s="773">
        <v>34231.799214494866</v>
      </c>
      <c r="N32" s="773">
        <v>35015.366638949621</v>
      </c>
      <c r="O32" s="773">
        <v>48105.333530309792</v>
      </c>
      <c r="P32" s="773">
        <v>65847.82906233934</v>
      </c>
      <c r="Q32" s="774">
        <v>67015.759240492422</v>
      </c>
      <c r="R32" s="773">
        <v>70882.166683545001</v>
      </c>
      <c r="S32" s="773">
        <v>55405.035808028442</v>
      </c>
      <c r="T32" s="773">
        <v>44713.13970926551</v>
      </c>
      <c r="U32" s="773">
        <v>27114.354536957428</v>
      </c>
      <c r="V32" s="773">
        <v>29086.481904716067</v>
      </c>
      <c r="W32" s="773">
        <v>30435.232620157811</v>
      </c>
      <c r="X32" s="773">
        <v>26731.062281300343</v>
      </c>
      <c r="Y32" s="773">
        <v>34379.919660406944</v>
      </c>
      <c r="Z32" s="773">
        <v>34702.350657499752</v>
      </c>
      <c r="AA32" s="773">
        <v>47677.804020204581</v>
      </c>
      <c r="AB32" s="773">
        <v>65031.04373195643</v>
      </c>
      <c r="AC32" s="773">
        <v>66680.623133566041</v>
      </c>
      <c r="AD32" s="775">
        <v>71477.742083909965</v>
      </c>
      <c r="AE32" s="773">
        <v>55667.896889576674</v>
      </c>
      <c r="AF32" s="773">
        <v>44910.960555698621</v>
      </c>
      <c r="AG32" s="773">
        <v>27216.107377329849</v>
      </c>
      <c r="AH32" s="773">
        <v>29021.848568543035</v>
      </c>
      <c r="AI32" s="773">
        <v>30249.791628072089</v>
      </c>
      <c r="AJ32" s="773">
        <v>26515.538898666837</v>
      </c>
      <c r="AK32" s="773">
        <v>34090.941684879057</v>
      </c>
      <c r="AL32" s="773">
        <v>34426.911095148811</v>
      </c>
      <c r="AM32" s="773">
        <v>47453.615245953246</v>
      </c>
      <c r="AN32" s="773">
        <v>65024.572841762973</v>
      </c>
      <c r="AO32" s="773">
        <v>66783.287878063071</v>
      </c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</row>
    <row r="33" spans="1:162" s="776" customFormat="1" x14ac:dyDescent="0.25">
      <c r="A33" s="848" t="s">
        <v>661</v>
      </c>
      <c r="B33" s="849" t="s">
        <v>1075</v>
      </c>
      <c r="C33" s="849"/>
      <c r="D33" s="741" t="s">
        <v>52</v>
      </c>
      <c r="E33" s="850" t="s">
        <v>53</v>
      </c>
      <c r="F33" s="851">
        <v>2102.3257050973666</v>
      </c>
      <c r="G33" s="852">
        <v>1869.2640874191363</v>
      </c>
      <c r="H33" s="852">
        <v>1461.9355720629376</v>
      </c>
      <c r="I33" s="852">
        <v>1088.385437248875</v>
      </c>
      <c r="J33" s="852">
        <v>988.36233121160797</v>
      </c>
      <c r="K33" s="852">
        <v>953.60929699247606</v>
      </c>
      <c r="L33" s="852">
        <v>986.26405678206447</v>
      </c>
      <c r="M33" s="852">
        <v>1048.2725565921946</v>
      </c>
      <c r="N33" s="852">
        <v>1078.3938040886505</v>
      </c>
      <c r="O33" s="852">
        <v>1599.8328011943602</v>
      </c>
      <c r="P33" s="852">
        <v>1978.6639103212469</v>
      </c>
      <c r="Q33" s="853">
        <v>2065.7005537802752</v>
      </c>
      <c r="R33" s="852">
        <v>2099.3098140706002</v>
      </c>
      <c r="S33" s="852">
        <v>1842.6381351265536</v>
      </c>
      <c r="T33" s="852">
        <v>1459.8988309291396</v>
      </c>
      <c r="U33" s="852">
        <v>1082.5905904154768</v>
      </c>
      <c r="V33" s="852">
        <v>988.34558796968167</v>
      </c>
      <c r="W33" s="852">
        <v>947.48207204194762</v>
      </c>
      <c r="X33" s="852">
        <v>971.35831071281632</v>
      </c>
      <c r="Y33" s="852">
        <v>1046.7597310450603</v>
      </c>
      <c r="Z33" s="852">
        <v>1062.5019585255473</v>
      </c>
      <c r="AA33" s="852">
        <v>1576.7991994616696</v>
      </c>
      <c r="AB33" s="852">
        <v>1948.5295730976029</v>
      </c>
      <c r="AC33" s="852">
        <v>2052.5832412056679</v>
      </c>
      <c r="AD33" s="854">
        <v>2117.1597241936579</v>
      </c>
      <c r="AE33" s="852">
        <v>1852.7018089802802</v>
      </c>
      <c r="AF33" s="852">
        <v>1468.4891480395204</v>
      </c>
      <c r="AG33" s="852">
        <v>1089.4154810507152</v>
      </c>
      <c r="AH33" s="852">
        <v>990.35089146546477</v>
      </c>
      <c r="AI33" s="852">
        <v>947.39288274428623</v>
      </c>
      <c r="AJ33" s="852">
        <v>970.83757023225098</v>
      </c>
      <c r="AK33" s="852">
        <v>1045.9399141033859</v>
      </c>
      <c r="AL33" s="852">
        <v>1062.2333417165414</v>
      </c>
      <c r="AM33" s="852">
        <v>1580.7815630134289</v>
      </c>
      <c r="AN33" s="852">
        <v>1958.9815127451961</v>
      </c>
      <c r="AO33" s="852">
        <v>2066.0333859394609</v>
      </c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</row>
    <row r="34" spans="1:162" s="776" customFormat="1" x14ac:dyDescent="0.25">
      <c r="A34" s="855" t="s">
        <v>1079</v>
      </c>
      <c r="B34" s="856"/>
      <c r="C34" s="856"/>
      <c r="D34" s="856"/>
      <c r="E34" s="857"/>
      <c r="F34" s="858">
        <v>72569.695567954579</v>
      </c>
      <c r="G34" s="781">
        <v>55635.620821080454</v>
      </c>
      <c r="H34" s="781">
        <v>46140.611805116911</v>
      </c>
      <c r="I34" s="781">
        <v>28305.803329053761</v>
      </c>
      <c r="J34" s="781">
        <v>29992.233963101258</v>
      </c>
      <c r="K34" s="781">
        <v>31454.111988309378</v>
      </c>
      <c r="L34" s="781">
        <v>27975.196073216335</v>
      </c>
      <c r="M34" s="781">
        <v>35280.071771087059</v>
      </c>
      <c r="N34" s="781">
        <v>36093.760443038271</v>
      </c>
      <c r="O34" s="781">
        <v>49705.166331504151</v>
      </c>
      <c r="P34" s="781">
        <v>67826.492972660591</v>
      </c>
      <c r="Q34" s="782">
        <v>69081.459794272698</v>
      </c>
      <c r="R34" s="781">
        <v>72981.4764976156</v>
      </c>
      <c r="S34" s="781">
        <v>57247.673943154994</v>
      </c>
      <c r="T34" s="781">
        <v>46173.038540194648</v>
      </c>
      <c r="U34" s="781">
        <v>28196.945127372903</v>
      </c>
      <c r="V34" s="781">
        <v>30074.827492685748</v>
      </c>
      <c r="W34" s="781">
        <v>31382.714692199759</v>
      </c>
      <c r="X34" s="781">
        <v>27702.420592013161</v>
      </c>
      <c r="Y34" s="781">
        <v>35426.679391452002</v>
      </c>
      <c r="Z34" s="781">
        <v>35764.852616025302</v>
      </c>
      <c r="AA34" s="781">
        <v>49254.603219666249</v>
      </c>
      <c r="AB34" s="781">
        <v>66979.573305054029</v>
      </c>
      <c r="AC34" s="781">
        <v>68733.206374771704</v>
      </c>
      <c r="AD34" s="783">
        <v>73594.901808103619</v>
      </c>
      <c r="AE34" s="781">
        <v>57520.598698556954</v>
      </c>
      <c r="AF34" s="781">
        <v>46379.449703738144</v>
      </c>
      <c r="AG34" s="781">
        <v>28305.522858380566</v>
      </c>
      <c r="AH34" s="781">
        <v>30012.199460008498</v>
      </c>
      <c r="AI34" s="781">
        <v>31197.184510816376</v>
      </c>
      <c r="AJ34" s="781">
        <v>27486.376468899089</v>
      </c>
      <c r="AK34" s="781">
        <v>35136.881598982443</v>
      </c>
      <c r="AL34" s="781">
        <v>35489.144436865354</v>
      </c>
      <c r="AM34" s="781">
        <v>49034.396808966674</v>
      </c>
      <c r="AN34" s="781">
        <v>66983.554354508175</v>
      </c>
      <c r="AO34" s="781">
        <v>68849.32126400253</v>
      </c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</row>
    <row r="35" spans="1:162" s="776" customFormat="1" x14ac:dyDescent="0.25">
      <c r="A35" s="859" t="s">
        <v>662</v>
      </c>
      <c r="B35" s="819" t="s">
        <v>1078</v>
      </c>
      <c r="C35" s="819"/>
      <c r="D35" s="741" t="s">
        <v>50</v>
      </c>
      <c r="E35" s="860" t="s">
        <v>51</v>
      </c>
      <c r="F35" s="861">
        <v>20425.40673109916</v>
      </c>
      <c r="G35" s="787">
        <v>15584.513894469286</v>
      </c>
      <c r="H35" s="787">
        <v>12950.393012301629</v>
      </c>
      <c r="I35" s="787">
        <v>7889.138358538833</v>
      </c>
      <c r="J35" s="787">
        <v>8406.9531190235684</v>
      </c>
      <c r="K35" s="787">
        <v>8840.7609676021511</v>
      </c>
      <c r="L35" s="787">
        <v>7822.9103022648624</v>
      </c>
      <c r="M35" s="787">
        <v>9922.3005407204819</v>
      </c>
      <c r="N35" s="787">
        <v>10149.422446602259</v>
      </c>
      <c r="O35" s="787">
        <v>13943.63100544306</v>
      </c>
      <c r="P35" s="787">
        <v>19086.40401331475</v>
      </c>
      <c r="Q35" s="788">
        <v>19424.935861015736</v>
      </c>
      <c r="R35" s="787">
        <v>20545.638177083358</v>
      </c>
      <c r="S35" s="787">
        <v>16059.495246275515</v>
      </c>
      <c r="T35" s="787">
        <v>12960.382465865147</v>
      </c>
      <c r="U35" s="787">
        <v>7859.2648022257781</v>
      </c>
      <c r="V35" s="787">
        <v>8430.898221926238</v>
      </c>
      <c r="W35" s="787">
        <v>8821.8420303211551</v>
      </c>
      <c r="X35" s="787">
        <v>7748.1651509416033</v>
      </c>
      <c r="Y35" s="787">
        <v>9965.2341759453229</v>
      </c>
      <c r="Z35" s="787">
        <v>10058.692811781339</v>
      </c>
      <c r="AA35" s="787">
        <v>13819.708910004538</v>
      </c>
      <c r="AB35" s="787">
        <v>18849.653690185976</v>
      </c>
      <c r="AC35" s="787">
        <v>19327.794569839825</v>
      </c>
      <c r="AD35" s="789">
        <v>20718.269422086072</v>
      </c>
      <c r="AE35" s="787">
        <v>16135.687170493044</v>
      </c>
      <c r="AF35" s="787">
        <v>13017.722072212742</v>
      </c>
      <c r="AG35" s="787">
        <v>7888.7584977432371</v>
      </c>
      <c r="AH35" s="787">
        <v>8412.1638462529099</v>
      </c>
      <c r="AI35" s="787">
        <v>8768.0908019818398</v>
      </c>
      <c r="AJ35" s="787">
        <v>7685.6943540476777</v>
      </c>
      <c r="AK35" s="787">
        <v>9881.472107090276</v>
      </c>
      <c r="AL35" s="787">
        <v>9978.8549364384235</v>
      </c>
      <c r="AM35" s="787">
        <v>13754.726395295364</v>
      </c>
      <c r="AN35" s="787">
        <v>18847.778062297908</v>
      </c>
      <c r="AO35" s="787">
        <v>19357.55258645627</v>
      </c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</row>
    <row r="36" spans="1:162" s="776" customFormat="1" x14ac:dyDescent="0.25">
      <c r="A36" s="859" t="s">
        <v>662</v>
      </c>
      <c r="B36" s="819" t="s">
        <v>1075</v>
      </c>
      <c r="C36" s="819"/>
      <c r="D36" s="741" t="s">
        <v>52</v>
      </c>
      <c r="E36" s="860" t="s">
        <v>53</v>
      </c>
      <c r="F36" s="861">
        <v>35608.829802952234</v>
      </c>
      <c r="G36" s="787">
        <v>31661.272363406748</v>
      </c>
      <c r="H36" s="787">
        <v>24762.012300115868</v>
      </c>
      <c r="I36" s="787">
        <v>18434.884614233455</v>
      </c>
      <c r="J36" s="787">
        <v>16740.710514279359</v>
      </c>
      <c r="K36" s="787">
        <v>16152.069621174775</v>
      </c>
      <c r="L36" s="787">
        <v>16705.170304282241</v>
      </c>
      <c r="M36" s="787">
        <v>17755.459567606958</v>
      </c>
      <c r="N36" s="787">
        <v>18265.648056932507</v>
      </c>
      <c r="O36" s="787">
        <v>27097.691757648889</v>
      </c>
      <c r="P36" s="787">
        <v>33514.267674622788</v>
      </c>
      <c r="Q36" s="788">
        <v>34988.479313684315</v>
      </c>
      <c r="R36" s="787">
        <v>35557.747161468098</v>
      </c>
      <c r="S36" s="787">
        <v>31210.28658074269</v>
      </c>
      <c r="T36" s="787">
        <v>24727.514330457678</v>
      </c>
      <c r="U36" s="787">
        <v>18336.73249911431</v>
      </c>
      <c r="V36" s="787">
        <v>16740.426920138521</v>
      </c>
      <c r="W36" s="787">
        <v>16048.287742896468</v>
      </c>
      <c r="X36" s="787">
        <v>16452.699351004667</v>
      </c>
      <c r="Y36" s="787">
        <v>17729.835589695806</v>
      </c>
      <c r="Z36" s="787">
        <v>17996.47472068909</v>
      </c>
      <c r="AA36" s="787">
        <v>26707.552588508879</v>
      </c>
      <c r="AB36" s="787">
        <v>33003.857473758209</v>
      </c>
      <c r="AC36" s="787">
        <v>34766.300538145973</v>
      </c>
      <c r="AD36" s="789">
        <v>35860.085857146325</v>
      </c>
      <c r="AE36" s="787">
        <v>31380.743350871548</v>
      </c>
      <c r="AF36" s="787">
        <v>24873.015638459223</v>
      </c>
      <c r="AG36" s="787">
        <v>18452.331318300472</v>
      </c>
      <c r="AH36" s="787">
        <v>16774.392404512077</v>
      </c>
      <c r="AI36" s="787">
        <v>16046.777069972206</v>
      </c>
      <c r="AJ36" s="787">
        <v>16443.879138656506</v>
      </c>
      <c r="AK36" s="787">
        <v>17715.949671888262</v>
      </c>
      <c r="AL36" s="787">
        <v>17991.924935557843</v>
      </c>
      <c r="AM36" s="787">
        <v>26775.005174749083</v>
      </c>
      <c r="AN36" s="787">
        <v>33180.890622865161</v>
      </c>
      <c r="AO36" s="787">
        <v>34994.116767329419</v>
      </c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</row>
    <row r="37" spans="1:162" s="776" customFormat="1" x14ac:dyDescent="0.25">
      <c r="A37" s="859" t="s">
        <v>662</v>
      </c>
      <c r="B37" s="819" t="s">
        <v>1076</v>
      </c>
      <c r="C37" s="819"/>
      <c r="D37" s="547" t="s">
        <v>96</v>
      </c>
      <c r="E37" s="860" t="s">
        <v>795</v>
      </c>
      <c r="F37" s="861">
        <v>2631.9720458749739</v>
      </c>
      <c r="G37" s="787">
        <v>2874.0205612744098</v>
      </c>
      <c r="H37" s="787">
        <v>2970.3668458505758</v>
      </c>
      <c r="I37" s="787">
        <v>1834.0726299099615</v>
      </c>
      <c r="J37" s="787">
        <v>1695.3254796632818</v>
      </c>
      <c r="K37" s="787">
        <v>1750.8742632690301</v>
      </c>
      <c r="L37" s="787">
        <v>1848.7775621533851</v>
      </c>
      <c r="M37" s="787">
        <v>1711.8426700986356</v>
      </c>
      <c r="N37" s="787">
        <v>3248.4417426163359</v>
      </c>
      <c r="O37" s="787">
        <v>5275.0665097026531</v>
      </c>
      <c r="P37" s="787">
        <v>3631.0076833512117</v>
      </c>
      <c r="Q37" s="788">
        <v>3266.4337628327198</v>
      </c>
      <c r="R37" s="787">
        <v>2783.8358904313704</v>
      </c>
      <c r="S37" s="787">
        <v>1641.6711370524331</v>
      </c>
      <c r="T37" s="787">
        <v>2030.5748102776804</v>
      </c>
      <c r="U37" s="787">
        <v>1964.0511397969217</v>
      </c>
      <c r="V37" s="787">
        <v>1048.3987668017464</v>
      </c>
      <c r="W37" s="787">
        <v>1240.4274318793809</v>
      </c>
      <c r="X37" s="787">
        <v>1698.7322553637475</v>
      </c>
      <c r="Y37" s="787">
        <v>435.86778794504443</v>
      </c>
      <c r="Z37" s="787">
        <v>3114.8696319185019</v>
      </c>
      <c r="AA37" s="787">
        <v>5633.6142313957707</v>
      </c>
      <c r="AB37" s="787">
        <v>6461.4369313114212</v>
      </c>
      <c r="AC37" s="787">
        <v>4684.7217424231485</v>
      </c>
      <c r="AD37" s="789">
        <v>2809.3167543227391</v>
      </c>
      <c r="AE37" s="787">
        <v>1650.6879305641696</v>
      </c>
      <c r="AF37" s="787">
        <v>2041.0771013935791</v>
      </c>
      <c r="AG37" s="787">
        <v>1972.8895383332913</v>
      </c>
      <c r="AH37" s="787">
        <v>1046.8479736927145</v>
      </c>
      <c r="AI37" s="787">
        <v>1233.7874912544762</v>
      </c>
      <c r="AJ37" s="787">
        <v>1686.2905738773857</v>
      </c>
      <c r="AK37" s="787">
        <v>432.52593496020404</v>
      </c>
      <c r="AL37" s="787">
        <v>3092.4470884344687</v>
      </c>
      <c r="AM37" s="787">
        <v>5611.2989143842797</v>
      </c>
      <c r="AN37" s="787">
        <v>6465.6044502362138</v>
      </c>
      <c r="AO37" s="787">
        <v>4695.4280051436408</v>
      </c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</row>
    <row r="38" spans="1:162" s="776" customFormat="1" x14ac:dyDescent="0.25">
      <c r="A38" s="859" t="s">
        <v>662</v>
      </c>
      <c r="B38" s="819" t="s">
        <v>1076</v>
      </c>
      <c r="C38" s="819" t="s">
        <v>802</v>
      </c>
      <c r="D38" s="547" t="s">
        <v>42</v>
      </c>
      <c r="E38" s="860" t="s">
        <v>675</v>
      </c>
      <c r="F38" s="861">
        <v>1530.9463380121813</v>
      </c>
      <c r="G38" s="787">
        <v>1431.9221024213846</v>
      </c>
      <c r="H38" s="787">
        <v>2113.879059788786</v>
      </c>
      <c r="I38" s="787">
        <v>2316.317684836637</v>
      </c>
      <c r="J38" s="787">
        <v>2806.0341858322008</v>
      </c>
      <c r="K38" s="787">
        <v>2826.2306130027387</v>
      </c>
      <c r="L38" s="787">
        <v>3238.997917498049</v>
      </c>
      <c r="M38" s="787">
        <v>3263.4084864602792</v>
      </c>
      <c r="N38" s="787">
        <v>3113.2141615889796</v>
      </c>
      <c r="O38" s="787">
        <v>4605.5563345197397</v>
      </c>
      <c r="P38" s="787">
        <v>3639.4236880987642</v>
      </c>
      <c r="Q38" s="788">
        <v>2858.6201752221241</v>
      </c>
      <c r="R38" s="787">
        <v>1296.3421633211499</v>
      </c>
      <c r="S38" s="787">
        <v>832.07364351494959</v>
      </c>
      <c r="T38" s="787">
        <v>1328.922435706897</v>
      </c>
      <c r="U38" s="787">
        <v>2342.8904093588621</v>
      </c>
      <c r="V38" s="787">
        <v>2357.5746105906996</v>
      </c>
      <c r="W38" s="787">
        <v>2495.2354427837563</v>
      </c>
      <c r="X38" s="787">
        <v>3113.9985690897552</v>
      </c>
      <c r="Y38" s="787">
        <v>2445.3474366725636</v>
      </c>
      <c r="Z38" s="787">
        <v>3083.5342406378759</v>
      </c>
      <c r="AA38" s="787">
        <v>4891.3671434041071</v>
      </c>
      <c r="AB38" s="787">
        <v>5248.7900312180327</v>
      </c>
      <c r="AC38" s="787">
        <v>3788.7442378129454</v>
      </c>
      <c r="AD38" s="789">
        <v>1310.3404629259912</v>
      </c>
      <c r="AE38" s="787">
        <v>838.00769133816743</v>
      </c>
      <c r="AF38" s="787">
        <v>1337.9733879423779</v>
      </c>
      <c r="AG38" s="787">
        <v>2357.2702685643389</v>
      </c>
      <c r="AH38" s="787">
        <v>2357.9249996103977</v>
      </c>
      <c r="AI38" s="787">
        <v>2485.9246301161052</v>
      </c>
      <c r="AJ38" s="787">
        <v>3096.230708887842</v>
      </c>
      <c r="AK38" s="787">
        <v>2430.5545789690977</v>
      </c>
      <c r="AL38" s="787">
        <v>3066.3279677873365</v>
      </c>
      <c r="AM38" s="787">
        <v>4879.9344374820366</v>
      </c>
      <c r="AN38" s="787">
        <v>5260.7376969411353</v>
      </c>
      <c r="AO38" s="787">
        <v>3803.5935335467693</v>
      </c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</row>
    <row r="39" spans="1:162" s="776" customFormat="1" x14ac:dyDescent="0.25">
      <c r="A39" s="855" t="s">
        <v>1080</v>
      </c>
      <c r="B39" s="856"/>
      <c r="C39" s="856"/>
      <c r="D39" s="856"/>
      <c r="E39" s="856"/>
      <c r="F39" s="858">
        <v>60197.154917938547</v>
      </c>
      <c r="G39" s="781">
        <v>51551.728921571827</v>
      </c>
      <c r="H39" s="781">
        <v>42796.651218056861</v>
      </c>
      <c r="I39" s="781">
        <v>30474.413287518888</v>
      </c>
      <c r="J39" s="781">
        <v>29649.023298798413</v>
      </c>
      <c r="K39" s="781">
        <v>29569.935465048693</v>
      </c>
      <c r="L39" s="781">
        <v>29615.856086198539</v>
      </c>
      <c r="M39" s="781">
        <v>32653.011264886358</v>
      </c>
      <c r="N39" s="781">
        <v>34776.726407740076</v>
      </c>
      <c r="O39" s="781">
        <v>50921.945607314337</v>
      </c>
      <c r="P39" s="781">
        <v>59871.103059387518</v>
      </c>
      <c r="Q39" s="782">
        <v>60538.469112754894</v>
      </c>
      <c r="R39" s="781">
        <v>60183.563392303971</v>
      </c>
      <c r="S39" s="781">
        <v>49743.526607585591</v>
      </c>
      <c r="T39" s="781">
        <v>41047.394042307395</v>
      </c>
      <c r="U39" s="781">
        <v>30502.93885049587</v>
      </c>
      <c r="V39" s="781">
        <v>28577.298519457203</v>
      </c>
      <c r="W39" s="781">
        <v>28605.79264788076</v>
      </c>
      <c r="X39" s="781">
        <v>29013.595326399773</v>
      </c>
      <c r="Y39" s="781">
        <v>30576.284990258737</v>
      </c>
      <c r="Z39" s="781">
        <v>34253.571405026807</v>
      </c>
      <c r="AA39" s="781">
        <v>51052.242873313291</v>
      </c>
      <c r="AB39" s="781">
        <v>63563.738126473647</v>
      </c>
      <c r="AC39" s="781">
        <v>62567.56108822189</v>
      </c>
      <c r="AD39" s="783">
        <v>60698.012496481126</v>
      </c>
      <c r="AE39" s="781">
        <v>50005.126143266934</v>
      </c>
      <c r="AF39" s="781">
        <v>41269.788200007926</v>
      </c>
      <c r="AG39" s="781">
        <v>30671.249622941341</v>
      </c>
      <c r="AH39" s="781">
        <v>28591.3292240681</v>
      </c>
      <c r="AI39" s="781">
        <v>28534.579993324627</v>
      </c>
      <c r="AJ39" s="781">
        <v>28912.09477546941</v>
      </c>
      <c r="AK39" s="781">
        <v>30460.502292907844</v>
      </c>
      <c r="AL39" s="781">
        <v>34129.554928218073</v>
      </c>
      <c r="AM39" s="781">
        <v>51020.96492191076</v>
      </c>
      <c r="AN39" s="781">
        <v>63755.010832340413</v>
      </c>
      <c r="AO39" s="781">
        <v>62850.690892476108</v>
      </c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</row>
    <row r="40" spans="1:162" x14ac:dyDescent="0.25">
      <c r="A40" s="838" t="s">
        <v>664</v>
      </c>
      <c r="B40" s="821" t="s">
        <v>1235</v>
      </c>
      <c r="C40" s="821"/>
      <c r="D40" s="743" t="s">
        <v>57</v>
      </c>
      <c r="E40" s="821" t="s">
        <v>1216</v>
      </c>
      <c r="F40" s="839">
        <v>0</v>
      </c>
      <c r="G40" s="760">
        <v>0</v>
      </c>
      <c r="H40" s="760">
        <v>0</v>
      </c>
      <c r="I40" s="760">
        <v>60726.099999999991</v>
      </c>
      <c r="J40" s="760">
        <v>82534.099999999991</v>
      </c>
      <c r="K40" s="760">
        <v>150532.99999999997</v>
      </c>
      <c r="L40" s="760">
        <v>152626.09999999998</v>
      </c>
      <c r="M40" s="760">
        <v>158027.29999999999</v>
      </c>
      <c r="N40" s="760">
        <v>58774.899999999987</v>
      </c>
      <c r="O40" s="760">
        <v>0</v>
      </c>
      <c r="P40" s="760">
        <v>0</v>
      </c>
      <c r="Q40" s="761">
        <v>0</v>
      </c>
      <c r="R40" s="760">
        <v>0</v>
      </c>
      <c r="S40" s="760">
        <v>0</v>
      </c>
      <c r="T40" s="760">
        <v>0</v>
      </c>
      <c r="U40" s="760">
        <v>0</v>
      </c>
      <c r="V40" s="760">
        <v>0</v>
      </c>
      <c r="W40" s="760">
        <v>0</v>
      </c>
      <c r="X40" s="760">
        <v>0</v>
      </c>
      <c r="Y40" s="760">
        <v>0</v>
      </c>
      <c r="Z40" s="760">
        <v>0</v>
      </c>
      <c r="AA40" s="760">
        <v>0</v>
      </c>
      <c r="AB40" s="760">
        <v>0</v>
      </c>
      <c r="AC40" s="760">
        <v>0</v>
      </c>
      <c r="AD40" s="768">
        <v>0</v>
      </c>
      <c r="AE40" s="760">
        <v>0</v>
      </c>
      <c r="AF40" s="760">
        <v>0</v>
      </c>
      <c r="AG40" s="760">
        <v>0</v>
      </c>
      <c r="AH40" s="760">
        <v>0</v>
      </c>
      <c r="AI40" s="760">
        <v>0</v>
      </c>
      <c r="AJ40" s="760">
        <v>0</v>
      </c>
      <c r="AK40" s="760">
        <v>0</v>
      </c>
      <c r="AL40" s="760">
        <v>0</v>
      </c>
      <c r="AM40" s="760">
        <v>0</v>
      </c>
      <c r="AN40" s="760">
        <v>0</v>
      </c>
      <c r="AO40" s="760">
        <v>0</v>
      </c>
    </row>
    <row r="41" spans="1:162" x14ac:dyDescent="0.25">
      <c r="A41" s="834" t="s">
        <v>165</v>
      </c>
      <c r="B41" s="862" t="s">
        <v>1234</v>
      </c>
      <c r="C41" s="862"/>
      <c r="D41" s="791" t="s">
        <v>45</v>
      </c>
      <c r="E41" s="862" t="s">
        <v>46</v>
      </c>
      <c r="F41" s="863">
        <v>12191.799999999996</v>
      </c>
      <c r="G41" s="793">
        <v>12236.499999999998</v>
      </c>
      <c r="H41" s="793">
        <v>12368.999999999998</v>
      </c>
      <c r="I41" s="793">
        <v>8152.7999999999984</v>
      </c>
      <c r="J41" s="793">
        <v>10349.499999999996</v>
      </c>
      <c r="K41" s="793">
        <v>12324.299999999996</v>
      </c>
      <c r="L41" s="793">
        <v>12191.799999999996</v>
      </c>
      <c r="M41" s="793">
        <v>13264.999999999995</v>
      </c>
      <c r="N41" s="793">
        <v>12324.299999999996</v>
      </c>
      <c r="O41" s="793">
        <v>8240.5999999999985</v>
      </c>
      <c r="P41" s="793">
        <v>14564.099999999999</v>
      </c>
      <c r="Q41" s="794">
        <v>12191.799999999996</v>
      </c>
      <c r="R41" s="754">
        <v>12279.599999999999</v>
      </c>
      <c r="S41" s="754">
        <v>12236.5</v>
      </c>
      <c r="T41" s="754">
        <v>14343.800000000001</v>
      </c>
      <c r="U41" s="754">
        <v>13360.1</v>
      </c>
      <c r="V41" s="754">
        <v>11245.5</v>
      </c>
      <c r="W41" s="754">
        <v>14211.300000000001</v>
      </c>
      <c r="X41" s="754">
        <v>13182.9</v>
      </c>
      <c r="Y41" s="754">
        <v>13395.9</v>
      </c>
      <c r="Z41" s="754">
        <v>12191.8</v>
      </c>
      <c r="AA41" s="754">
        <v>14343.800000000001</v>
      </c>
      <c r="AB41" s="754">
        <v>15460.099999999999</v>
      </c>
      <c r="AC41" s="754">
        <v>12236.5</v>
      </c>
      <c r="AD41" s="762">
        <v>12279.599999999997</v>
      </c>
      <c r="AE41" s="754">
        <v>11338.999999999998</v>
      </c>
      <c r="AF41" s="754">
        <v>12191.899999999994</v>
      </c>
      <c r="AG41" s="754">
        <v>13486.899999999996</v>
      </c>
      <c r="AH41" s="754">
        <v>12279.599999999997</v>
      </c>
      <c r="AI41" s="754">
        <v>12191.799999999997</v>
      </c>
      <c r="AJ41" s="754">
        <v>13352.799999999997</v>
      </c>
      <c r="AK41" s="754">
        <v>12191.799999999997</v>
      </c>
      <c r="AL41" s="754">
        <v>12191.799999999997</v>
      </c>
      <c r="AM41" s="754">
        <v>11245.499999999998</v>
      </c>
      <c r="AN41" s="754">
        <v>18558.5</v>
      </c>
      <c r="AO41" s="754">
        <v>12281.199999999999</v>
      </c>
    </row>
    <row r="42" spans="1:162" x14ac:dyDescent="0.25">
      <c r="A42" s="834" t="s">
        <v>424</v>
      </c>
      <c r="B42" s="862"/>
      <c r="C42" s="862"/>
      <c r="D42" s="862"/>
      <c r="E42" s="862"/>
      <c r="F42" s="863">
        <v>8246557.5165797025</v>
      </c>
      <c r="G42" s="793">
        <v>7067114.6186155044</v>
      </c>
      <c r="H42" s="793">
        <v>5114025.4901861344</v>
      </c>
      <c r="I42" s="793">
        <v>2813985.0121048689</v>
      </c>
      <c r="J42" s="793">
        <v>2008757.5112164607</v>
      </c>
      <c r="K42" s="793">
        <v>1678049.2111714822</v>
      </c>
      <c r="L42" s="793">
        <v>1632183.3828534991</v>
      </c>
      <c r="M42" s="793">
        <v>1699164.4805170395</v>
      </c>
      <c r="N42" s="793">
        <v>1689041.245915096</v>
      </c>
      <c r="O42" s="793">
        <v>2613809.3697595159</v>
      </c>
      <c r="P42" s="793">
        <v>4447683.391928155</v>
      </c>
      <c r="Q42" s="794">
        <v>6824146.958073454</v>
      </c>
      <c r="R42" s="795">
        <v>8131761.2748845937</v>
      </c>
      <c r="S42" s="795">
        <v>6969141.6296671107</v>
      </c>
      <c r="T42" s="795">
        <v>5044971.9506157851</v>
      </c>
      <c r="U42" s="795">
        <v>2720525.0139201083</v>
      </c>
      <c r="V42" s="795">
        <v>1901211.2146665449</v>
      </c>
      <c r="W42" s="795">
        <v>1509127.459791183</v>
      </c>
      <c r="X42" s="795">
        <v>1460734.0751009649</v>
      </c>
      <c r="Y42" s="795">
        <v>1521345.2675550922</v>
      </c>
      <c r="Z42" s="795">
        <v>1608014.5293030741</v>
      </c>
      <c r="AA42" s="795">
        <v>2583796.9950340078</v>
      </c>
      <c r="AB42" s="795">
        <v>4386579.5670581423</v>
      </c>
      <c r="AC42" s="795">
        <v>6728814.8365725735</v>
      </c>
      <c r="AD42" s="796">
        <v>8097443.0575118065</v>
      </c>
      <c r="AE42" s="795">
        <v>6938838.3827076834</v>
      </c>
      <c r="AF42" s="795">
        <v>5021911.6099013258</v>
      </c>
      <c r="AG42" s="795">
        <v>2710261.2947777826</v>
      </c>
      <c r="AH42" s="795">
        <v>1895546.3563737208</v>
      </c>
      <c r="AI42" s="795">
        <v>1502259.7746705506</v>
      </c>
      <c r="AJ42" s="795">
        <v>1456390.1621853847</v>
      </c>
      <c r="AK42" s="795">
        <v>1515440.9704968927</v>
      </c>
      <c r="AL42" s="795">
        <v>1603051.8532012869</v>
      </c>
      <c r="AM42" s="795">
        <v>2572427.2933244221</v>
      </c>
      <c r="AN42" s="795">
        <v>4373466.4019012181</v>
      </c>
      <c r="AO42" s="795">
        <v>6701382.6721191965</v>
      </c>
    </row>
    <row r="43" spans="1:162" s="776" customFormat="1" x14ac:dyDescent="0.25">
      <c r="A43" s="864"/>
      <c r="B43" s="864"/>
      <c r="C43" s="864"/>
      <c r="D43" s="864"/>
      <c r="E43" s="864"/>
      <c r="F43" s="865"/>
      <c r="G43" s="865" t="s">
        <v>1081</v>
      </c>
      <c r="H43" s="865" t="s">
        <v>1081</v>
      </c>
      <c r="I43" s="865" t="s">
        <v>1081</v>
      </c>
      <c r="J43" s="865" t="s">
        <v>1081</v>
      </c>
      <c r="K43" s="865" t="s">
        <v>1081</v>
      </c>
      <c r="L43" s="865" t="s">
        <v>1081</v>
      </c>
      <c r="M43" s="865" t="s">
        <v>1081</v>
      </c>
      <c r="N43" s="865" t="s">
        <v>1081</v>
      </c>
      <c r="O43" s="865" t="s">
        <v>1081</v>
      </c>
      <c r="P43" s="865" t="s">
        <v>1081</v>
      </c>
      <c r="Q43" s="866" t="s">
        <v>1081</v>
      </c>
      <c r="R43" s="865" t="s">
        <v>1081</v>
      </c>
      <c r="S43" s="865" t="s">
        <v>1081</v>
      </c>
      <c r="T43" s="865" t="s">
        <v>1081</v>
      </c>
      <c r="U43" s="865" t="s">
        <v>1081</v>
      </c>
      <c r="V43" s="865" t="s">
        <v>1081</v>
      </c>
      <c r="W43" s="865" t="s">
        <v>1081</v>
      </c>
      <c r="X43" s="865" t="s">
        <v>1081</v>
      </c>
      <c r="Y43" s="865" t="s">
        <v>1081</v>
      </c>
      <c r="Z43" s="865" t="s">
        <v>1081</v>
      </c>
      <c r="AA43" s="865" t="s">
        <v>1081</v>
      </c>
      <c r="AB43" s="865" t="s">
        <v>1081</v>
      </c>
      <c r="AC43" s="866" t="s">
        <v>1081</v>
      </c>
      <c r="AD43" s="865" t="s">
        <v>1081</v>
      </c>
      <c r="AE43" s="865" t="s">
        <v>1081</v>
      </c>
      <c r="AF43" s="865" t="s">
        <v>1081</v>
      </c>
      <c r="AG43" s="865" t="s">
        <v>1081</v>
      </c>
      <c r="AH43" s="865" t="s">
        <v>1081</v>
      </c>
      <c r="AI43" s="865" t="s">
        <v>1081</v>
      </c>
      <c r="AJ43" s="865" t="s">
        <v>1081</v>
      </c>
      <c r="AK43" s="865" t="s">
        <v>1081</v>
      </c>
      <c r="AL43" s="865" t="s">
        <v>1081</v>
      </c>
      <c r="AM43" s="865" t="s">
        <v>1081</v>
      </c>
      <c r="AN43" s="865" t="s">
        <v>1081</v>
      </c>
      <c r="AO43" s="866" t="s">
        <v>1081</v>
      </c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</row>
    <row r="44" spans="1:162" s="776" customFormat="1" x14ac:dyDescent="0.25">
      <c r="A44" s="799" t="s">
        <v>1082</v>
      </c>
      <c r="B44" s="864"/>
      <c r="C44" s="864"/>
      <c r="D44" s="864"/>
      <c r="E44" s="864"/>
      <c r="F44" s="867" t="s">
        <v>1081</v>
      </c>
      <c r="G44" s="867" t="s">
        <v>1081</v>
      </c>
      <c r="H44" s="867" t="s">
        <v>1081</v>
      </c>
      <c r="I44" s="867" t="s">
        <v>1081</v>
      </c>
      <c r="J44" s="867" t="s">
        <v>1081</v>
      </c>
      <c r="K44" s="867" t="s">
        <v>1081</v>
      </c>
      <c r="L44" s="867" t="s">
        <v>1081</v>
      </c>
      <c r="M44" s="867" t="s">
        <v>1081</v>
      </c>
      <c r="N44" s="867" t="s">
        <v>1081</v>
      </c>
      <c r="O44" s="867" t="s">
        <v>1081</v>
      </c>
      <c r="P44" s="867" t="s">
        <v>1081</v>
      </c>
      <c r="Q44" s="868" t="s">
        <v>1081</v>
      </c>
      <c r="R44" s="867" t="s">
        <v>1081</v>
      </c>
      <c r="S44" s="867" t="s">
        <v>1081</v>
      </c>
      <c r="T44" s="867" t="s">
        <v>1081</v>
      </c>
      <c r="U44" s="867" t="s">
        <v>1081</v>
      </c>
      <c r="V44" s="867" t="s">
        <v>1081</v>
      </c>
      <c r="W44" s="867" t="s">
        <v>1081</v>
      </c>
      <c r="X44" s="867" t="s">
        <v>1081</v>
      </c>
      <c r="Y44" s="867" t="s">
        <v>1081</v>
      </c>
      <c r="Z44" s="867" t="s">
        <v>1081</v>
      </c>
      <c r="AA44" s="867" t="s">
        <v>1081</v>
      </c>
      <c r="AB44" s="867" t="s">
        <v>1081</v>
      </c>
      <c r="AC44" s="868" t="s">
        <v>1081</v>
      </c>
      <c r="AD44" s="867" t="s">
        <v>1081</v>
      </c>
      <c r="AE44" s="867" t="s">
        <v>1081</v>
      </c>
      <c r="AF44" s="867" t="s">
        <v>1081</v>
      </c>
      <c r="AG44" s="867" t="s">
        <v>1081</v>
      </c>
      <c r="AH44" s="867" t="s">
        <v>1081</v>
      </c>
      <c r="AI44" s="867" t="s">
        <v>1081</v>
      </c>
      <c r="AJ44" s="867" t="s">
        <v>1081</v>
      </c>
      <c r="AK44" s="867" t="s">
        <v>1081</v>
      </c>
      <c r="AL44" s="867" t="s">
        <v>1081</v>
      </c>
      <c r="AM44" s="867" t="s">
        <v>1081</v>
      </c>
      <c r="AN44" s="867" t="s">
        <v>1081</v>
      </c>
      <c r="AO44" s="868" t="s">
        <v>1081</v>
      </c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</row>
    <row r="45" spans="1:162" s="776" customFormat="1" x14ac:dyDescent="0.25">
      <c r="A45" s="869" t="s">
        <v>1083</v>
      </c>
      <c r="B45" s="870"/>
      <c r="C45" s="870"/>
      <c r="D45" s="870"/>
      <c r="E45" s="870"/>
      <c r="F45" s="871">
        <v>37534.756254148364</v>
      </c>
      <c r="G45" s="871">
        <v>37910.117741864706</v>
      </c>
      <c r="H45" s="871">
        <v>47313.709714891942</v>
      </c>
      <c r="I45" s="871">
        <v>42184.984034839494</v>
      </c>
      <c r="J45" s="871">
        <v>47523.994652671921</v>
      </c>
      <c r="K45" s="871">
        <v>48160.764842040327</v>
      </c>
      <c r="L45" s="871">
        <v>54121.626275922259</v>
      </c>
      <c r="M45" s="871">
        <v>53503.751481782492</v>
      </c>
      <c r="N45" s="871">
        <v>62024.389752273288</v>
      </c>
      <c r="O45" s="871">
        <v>94948.122832035529</v>
      </c>
      <c r="P45" s="871">
        <v>71375.987906700946</v>
      </c>
      <c r="Q45" s="871">
        <v>58880.64310594384</v>
      </c>
      <c r="R45" s="871">
        <v>35557.651583688785</v>
      </c>
      <c r="S45" s="871">
        <v>21836.116370449832</v>
      </c>
      <c r="T45" s="871">
        <v>30854.149025948664</v>
      </c>
      <c r="U45" s="871">
        <v>43409.604486726588</v>
      </c>
      <c r="V45" s="871">
        <v>37372.414310469074</v>
      </c>
      <c r="W45" s="871">
        <v>40444.017873940502</v>
      </c>
      <c r="X45" s="871">
        <v>51497.898374693214</v>
      </c>
      <c r="Y45" s="871">
        <v>34333.784143028155</v>
      </c>
      <c r="Z45" s="871">
        <v>60735.475355316172</v>
      </c>
      <c r="AA45" s="871">
        <v>101052.44948831561</v>
      </c>
      <c r="AB45" s="871">
        <v>111266.08091987476</v>
      </c>
      <c r="AC45" s="871">
        <v>80455.812045834042</v>
      </c>
      <c r="AD45" s="871">
        <v>35910.475368709092</v>
      </c>
      <c r="AE45" s="871">
        <v>21973.547325295098</v>
      </c>
      <c r="AF45" s="871">
        <v>31041.665363646382</v>
      </c>
      <c r="AG45" s="871">
        <v>43654.170159014728</v>
      </c>
      <c r="AH45" s="871">
        <v>37366.365376723625</v>
      </c>
      <c r="AI45" s="871">
        <v>40279.428218857676</v>
      </c>
      <c r="AJ45" s="871">
        <v>51185.370608536563</v>
      </c>
      <c r="AK45" s="871">
        <v>34121.291587778149</v>
      </c>
      <c r="AL45" s="871">
        <v>60362.291556514043</v>
      </c>
      <c r="AM45" s="871">
        <v>100754.0613021279</v>
      </c>
      <c r="AN45" s="871">
        <v>111447.68749200791</v>
      </c>
      <c r="AO45" s="871">
        <v>80719.09961907423</v>
      </c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</row>
    <row r="46" spans="1:162" s="776" customFormat="1" x14ac:dyDescent="0.25">
      <c r="A46" s="872" t="s">
        <v>1084</v>
      </c>
      <c r="B46" s="873"/>
      <c r="C46" s="873"/>
      <c r="D46" s="873"/>
      <c r="E46" s="873"/>
      <c r="F46" s="874">
        <v>1484073.9098487264</v>
      </c>
      <c r="G46" s="874">
        <v>1308156.1028443361</v>
      </c>
      <c r="H46" s="874">
        <v>1027482.1084118412</v>
      </c>
      <c r="I46" s="874">
        <v>757887.73507082695</v>
      </c>
      <c r="J46" s="874">
        <v>694470.67871221853</v>
      </c>
      <c r="K46" s="874">
        <v>673416.28373752686</v>
      </c>
      <c r="L46" s="874">
        <v>690915.69159683492</v>
      </c>
      <c r="M46" s="874">
        <v>741329.34872581786</v>
      </c>
      <c r="N46" s="874">
        <v>762128.82826016564</v>
      </c>
      <c r="O46" s="874">
        <v>1125675.7807157252</v>
      </c>
      <c r="P46" s="874">
        <v>1398364.9959304291</v>
      </c>
      <c r="Q46" s="874">
        <v>1456705.2100018915</v>
      </c>
      <c r="R46" s="874">
        <v>1482377.9423725773</v>
      </c>
      <c r="S46" s="874">
        <v>1292044.6670229437</v>
      </c>
      <c r="T46" s="874">
        <v>1025393.3687269463</v>
      </c>
      <c r="U46" s="874">
        <v>753945.42878477962</v>
      </c>
      <c r="V46" s="874">
        <v>694117.69119878381</v>
      </c>
      <c r="W46" s="874">
        <v>668945.13728479715</v>
      </c>
      <c r="X46" s="874">
        <v>680591.10753274302</v>
      </c>
      <c r="Y46" s="874">
        <v>739700.91559834802</v>
      </c>
      <c r="Z46" s="874">
        <v>751175.67697601393</v>
      </c>
      <c r="AA46" s="874">
        <v>1110162.8753877208</v>
      </c>
      <c r="AB46" s="874">
        <v>1378973.1772485732</v>
      </c>
      <c r="AC46" s="874">
        <v>1448519.9537332633</v>
      </c>
      <c r="AD46" s="874">
        <v>1494976.0285099696</v>
      </c>
      <c r="AE46" s="874">
        <v>1299051.378073747</v>
      </c>
      <c r="AF46" s="874">
        <v>1031344.0046395207</v>
      </c>
      <c r="AG46" s="874">
        <v>758608.84245954687</v>
      </c>
      <c r="AH46" s="874">
        <v>695362.09948749072</v>
      </c>
      <c r="AI46" s="874">
        <v>668637.59473063482</v>
      </c>
      <c r="AJ46" s="874">
        <v>679950.63744641689</v>
      </c>
      <c r="AK46" s="874">
        <v>738770.69875468558</v>
      </c>
      <c r="AL46" s="874">
        <v>750625.38036447368</v>
      </c>
      <c r="AM46" s="874">
        <v>1112498.4266601878</v>
      </c>
      <c r="AN46" s="874">
        <v>1385895.5178327106</v>
      </c>
      <c r="AO46" s="874">
        <v>1457570.6494544155</v>
      </c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</row>
    <row r="47" spans="1:162" s="776" customFormat="1" x14ac:dyDescent="0.25">
      <c r="A47" s="875" t="s">
        <v>1217</v>
      </c>
      <c r="B47" s="876"/>
      <c r="C47" s="876"/>
      <c r="D47" s="876"/>
      <c r="E47" s="876"/>
      <c r="F47" s="877">
        <v>12191.799999999996</v>
      </c>
      <c r="G47" s="877">
        <v>12236.499999999998</v>
      </c>
      <c r="H47" s="877">
        <v>12368.999999999998</v>
      </c>
      <c r="I47" s="877">
        <v>68878.899999999994</v>
      </c>
      <c r="J47" s="877">
        <v>92883.599999999991</v>
      </c>
      <c r="K47" s="877">
        <v>162857.29999999996</v>
      </c>
      <c r="L47" s="877">
        <v>164817.89999999997</v>
      </c>
      <c r="M47" s="877">
        <v>171292.3</v>
      </c>
      <c r="N47" s="877">
        <v>71099.199999999983</v>
      </c>
      <c r="O47" s="877">
        <v>8240.5999999999985</v>
      </c>
      <c r="P47" s="877">
        <v>14564.099999999999</v>
      </c>
      <c r="Q47" s="877">
        <v>12191.799999999996</v>
      </c>
      <c r="R47" s="877">
        <v>12279.599999999999</v>
      </c>
      <c r="S47" s="877">
        <v>12236.5</v>
      </c>
      <c r="T47" s="877">
        <v>14343.800000000001</v>
      </c>
      <c r="U47" s="877">
        <v>13360.1</v>
      </c>
      <c r="V47" s="877">
        <v>11245.5</v>
      </c>
      <c r="W47" s="877">
        <v>14211.300000000001</v>
      </c>
      <c r="X47" s="877">
        <v>13182.9</v>
      </c>
      <c r="Y47" s="877">
        <v>13395.9</v>
      </c>
      <c r="Z47" s="877">
        <v>12191.8</v>
      </c>
      <c r="AA47" s="877">
        <v>14343.800000000001</v>
      </c>
      <c r="AB47" s="877">
        <v>15460.099999999999</v>
      </c>
      <c r="AC47" s="877">
        <v>12236.5</v>
      </c>
      <c r="AD47" s="877">
        <v>12279.599999999997</v>
      </c>
      <c r="AE47" s="877">
        <v>11338.999999999998</v>
      </c>
      <c r="AF47" s="877">
        <v>12191.899999999994</v>
      </c>
      <c r="AG47" s="877">
        <v>13486.899999999996</v>
      </c>
      <c r="AH47" s="877">
        <v>12279.599999999997</v>
      </c>
      <c r="AI47" s="877">
        <v>12191.799999999997</v>
      </c>
      <c r="AJ47" s="877">
        <v>13352.799999999997</v>
      </c>
      <c r="AK47" s="877">
        <v>12191.799999999997</v>
      </c>
      <c r="AL47" s="877">
        <v>12191.799999999997</v>
      </c>
      <c r="AM47" s="877">
        <v>11245.499999999998</v>
      </c>
      <c r="AN47" s="877">
        <v>18558.5</v>
      </c>
      <c r="AO47" s="877">
        <v>12281.199999999999</v>
      </c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</row>
    <row r="48" spans="1:162" x14ac:dyDescent="0.25">
      <c r="K48" s="811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spans="5:17" customFormat="1" x14ac:dyDescent="0.25"/>
    <row r="66" spans="5:17" customFormat="1" x14ac:dyDescent="0.25"/>
    <row r="67" spans="5:17" customFormat="1" x14ac:dyDescent="0.25"/>
    <row r="68" spans="5:17" customFormat="1" x14ac:dyDescent="0.25"/>
    <row r="69" spans="5:17" customFormat="1" x14ac:dyDescent="0.25"/>
    <row r="70" spans="5:17" customFormat="1" x14ac:dyDescent="0.25"/>
    <row r="71" spans="5:17" customFormat="1" x14ac:dyDescent="0.25"/>
    <row r="72" spans="5:17" customFormat="1" x14ac:dyDescent="0.25"/>
    <row r="73" spans="5:17" customFormat="1" x14ac:dyDescent="0.25"/>
    <row r="74" spans="5:17" customFormat="1" x14ac:dyDescent="0.25"/>
    <row r="75" spans="5:17" customFormat="1" x14ac:dyDescent="0.25"/>
    <row r="76" spans="5:17" customFormat="1" x14ac:dyDescent="0.25"/>
    <row r="77" spans="5:17" customFormat="1" x14ac:dyDescent="0.25"/>
    <row r="78" spans="5:17" x14ac:dyDescent="0.25">
      <c r="E78" s="738" t="s">
        <v>1087</v>
      </c>
      <c r="F78" s="738">
        <v>0.84</v>
      </c>
      <c r="G78" s="738">
        <v>0.85</v>
      </c>
      <c r="H78" s="738">
        <v>0.89</v>
      </c>
      <c r="I78" s="738">
        <v>0.95</v>
      </c>
      <c r="J78" s="738">
        <v>0.96</v>
      </c>
      <c r="K78" s="738">
        <v>0.96</v>
      </c>
      <c r="L78" s="738">
        <v>0.97</v>
      </c>
      <c r="M78" s="738">
        <v>0.97</v>
      </c>
      <c r="N78" s="738">
        <v>0.97</v>
      </c>
      <c r="O78" s="738">
        <v>0.96</v>
      </c>
      <c r="P78" s="738">
        <v>0.92</v>
      </c>
      <c r="Q78" s="738">
        <v>0.9</v>
      </c>
    </row>
    <row r="79" spans="5:17" x14ac:dyDescent="0.25">
      <c r="E79" s="738" t="s">
        <v>1089</v>
      </c>
      <c r="F79" s="738">
        <v>0.32</v>
      </c>
      <c r="G79" s="738">
        <v>0.33</v>
      </c>
      <c r="H79" s="738">
        <v>0.41</v>
      </c>
      <c r="I79" s="738">
        <v>0.63</v>
      </c>
      <c r="J79" s="738">
        <v>0.69</v>
      </c>
      <c r="K79" s="738">
        <v>0.75</v>
      </c>
      <c r="L79" s="738">
        <v>0.76</v>
      </c>
      <c r="M79" s="738">
        <v>0.75</v>
      </c>
      <c r="N79" s="738">
        <v>0.76</v>
      </c>
      <c r="O79" s="738">
        <v>0.73</v>
      </c>
      <c r="P79" s="738">
        <v>0.55000000000000004</v>
      </c>
      <c r="Q79" s="738">
        <v>0.4</v>
      </c>
    </row>
    <row r="80" spans="5:17" x14ac:dyDescent="0.25">
      <c r="E80" s="738" t="s">
        <v>1091</v>
      </c>
      <c r="F80" s="738">
        <v>0.64</v>
      </c>
      <c r="G80" s="738">
        <v>0.63</v>
      </c>
      <c r="H80" s="738">
        <v>0.72</v>
      </c>
      <c r="I80" s="738">
        <v>0.86</v>
      </c>
      <c r="J80" s="738">
        <v>0.88</v>
      </c>
      <c r="K80" s="738">
        <v>0.91</v>
      </c>
      <c r="L80" s="738">
        <v>0.93</v>
      </c>
      <c r="M80" s="738">
        <v>0.93</v>
      </c>
      <c r="N80" s="738">
        <v>0.93</v>
      </c>
      <c r="O80" s="738">
        <v>0.9</v>
      </c>
      <c r="P80" s="738">
        <v>0.79</v>
      </c>
      <c r="Q80" s="738">
        <v>0.73</v>
      </c>
    </row>
    <row r="81" spans="5:17" x14ac:dyDescent="0.25">
      <c r="E81" s="738" t="s">
        <v>1092</v>
      </c>
      <c r="F81" s="738">
        <v>0</v>
      </c>
      <c r="G81" s="738">
        <v>0</v>
      </c>
      <c r="H81" s="738">
        <v>0</v>
      </c>
      <c r="I81" s="738">
        <v>0</v>
      </c>
      <c r="J81" s="738">
        <v>0</v>
      </c>
      <c r="K81" s="738">
        <v>0</v>
      </c>
      <c r="L81" s="738">
        <v>0</v>
      </c>
      <c r="M81" s="738">
        <v>0</v>
      </c>
      <c r="N81" s="738">
        <v>0</v>
      </c>
      <c r="O81" s="738">
        <v>0</v>
      </c>
      <c r="P81" s="738">
        <v>0</v>
      </c>
      <c r="Q81" s="738">
        <v>0</v>
      </c>
    </row>
    <row r="82" spans="5:17" x14ac:dyDescent="0.25">
      <c r="E82" s="738" t="s">
        <v>1093</v>
      </c>
      <c r="F82" s="738">
        <v>0</v>
      </c>
      <c r="G82" s="738">
        <v>0</v>
      </c>
      <c r="H82" s="738">
        <v>0</v>
      </c>
      <c r="I82" s="738">
        <v>0</v>
      </c>
      <c r="J82" s="738">
        <v>0</v>
      </c>
      <c r="K82" s="738">
        <v>0</v>
      </c>
      <c r="L82" s="738">
        <v>0</v>
      </c>
      <c r="M82" s="738">
        <v>0</v>
      </c>
      <c r="N82" s="738">
        <v>0</v>
      </c>
      <c r="O82" s="738">
        <v>0</v>
      </c>
      <c r="P82" s="738">
        <v>0</v>
      </c>
      <c r="Q82" s="738">
        <v>0</v>
      </c>
    </row>
    <row r="83" spans="5:17" x14ac:dyDescent="0.25">
      <c r="E83" s="738" t="s">
        <v>1094</v>
      </c>
      <c r="F83" s="738">
        <v>0</v>
      </c>
      <c r="G83" s="738">
        <v>0</v>
      </c>
      <c r="H83" s="738">
        <v>0</v>
      </c>
      <c r="I83" s="738">
        <v>0</v>
      </c>
      <c r="J83" s="738">
        <v>0</v>
      </c>
      <c r="K83" s="738">
        <v>0</v>
      </c>
      <c r="L83" s="738">
        <v>0</v>
      </c>
      <c r="M83" s="738">
        <v>0</v>
      </c>
      <c r="N83" s="738">
        <v>0</v>
      </c>
      <c r="O83" s="738">
        <v>0</v>
      </c>
      <c r="P83" s="738">
        <v>0</v>
      </c>
      <c r="Q83" s="738">
        <v>0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V551"/>
  <sheetViews>
    <sheetView topLeftCell="A225" workbookViewId="0">
      <selection activeCell="D244" sqref="D244"/>
    </sheetView>
  </sheetViews>
  <sheetFormatPr defaultRowHeight="15" x14ac:dyDescent="0.25"/>
  <cols>
    <col min="1" max="2" width="11.5703125" customWidth="1"/>
    <col min="3" max="3" width="13" customWidth="1"/>
    <col min="4" max="4" width="56.28515625" bestFit="1" customWidth="1"/>
    <col min="5" max="10" width="15.140625" bestFit="1" customWidth="1"/>
    <col min="11" max="11" width="8.28515625" bestFit="1" customWidth="1"/>
    <col min="12" max="12" width="8.85546875" bestFit="1" customWidth="1"/>
    <col min="13" max="13" width="8.7109375" bestFit="1" customWidth="1"/>
    <col min="14" max="20" width="9.85546875" bestFit="1" customWidth="1"/>
    <col min="22" max="22" width="8.42578125" bestFit="1" customWidth="1"/>
  </cols>
  <sheetData>
    <row r="1" spans="1:22" x14ac:dyDescent="0.25">
      <c r="D1" s="879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878"/>
      <c r="Q1" s="878"/>
      <c r="R1" s="878"/>
      <c r="S1" s="878"/>
      <c r="T1" s="878"/>
      <c r="U1" s="878"/>
      <c r="V1" s="878"/>
    </row>
    <row r="2" spans="1:22" x14ac:dyDescent="0.25">
      <c r="D2" s="879" t="s">
        <v>1182</v>
      </c>
      <c r="E2" s="878" t="s">
        <v>1095</v>
      </c>
      <c r="F2" s="878" t="s">
        <v>1096</v>
      </c>
      <c r="G2" s="878" t="s">
        <v>1097</v>
      </c>
      <c r="H2" s="878" t="s">
        <v>1098</v>
      </c>
      <c r="I2" s="878" t="s">
        <v>1099</v>
      </c>
      <c r="J2" s="878" t="s">
        <v>1100</v>
      </c>
      <c r="K2" s="878" t="s">
        <v>1101</v>
      </c>
      <c r="L2" s="878" t="s">
        <v>1102</v>
      </c>
      <c r="M2" s="878" t="s">
        <v>1103</v>
      </c>
      <c r="N2" s="878" t="s">
        <v>1104</v>
      </c>
      <c r="O2" s="878" t="s">
        <v>1105</v>
      </c>
      <c r="P2" s="878" t="s">
        <v>1106</v>
      </c>
      <c r="Q2" s="878" t="s">
        <v>1107</v>
      </c>
      <c r="R2" s="878" t="s">
        <v>1108</v>
      </c>
      <c r="S2" s="878" t="s">
        <v>1109</v>
      </c>
      <c r="T2" s="878" t="s">
        <v>1110</v>
      </c>
      <c r="U2" s="878" t="s">
        <v>1111</v>
      </c>
      <c r="V2" s="878" t="s">
        <v>1112</v>
      </c>
    </row>
    <row r="3" spans="1:22" s="82" customFormat="1" x14ac:dyDescent="0.25">
      <c r="A3" s="968" t="s">
        <v>110</v>
      </c>
      <c r="B3" s="968" t="s">
        <v>18</v>
      </c>
      <c r="C3" s="968"/>
      <c r="D3" s="969" t="s">
        <v>1113</v>
      </c>
    </row>
    <row r="4" spans="1:22" x14ac:dyDescent="0.25">
      <c r="A4" s="881" t="s">
        <v>110</v>
      </c>
      <c r="B4" s="881" t="s">
        <v>18</v>
      </c>
      <c r="C4" s="881"/>
      <c r="D4" s="882" t="s">
        <v>1114</v>
      </c>
    </row>
    <row r="5" spans="1:22" x14ac:dyDescent="0.25">
      <c r="A5" s="881" t="s">
        <v>110</v>
      </c>
      <c r="B5" s="881" t="s">
        <v>18</v>
      </c>
      <c r="C5" s="881"/>
      <c r="D5" s="884" t="s">
        <v>1115</v>
      </c>
      <c r="E5" s="881">
        <v>1</v>
      </c>
      <c r="F5" s="881">
        <v>1</v>
      </c>
      <c r="G5" s="881">
        <v>1</v>
      </c>
      <c r="H5" s="881">
        <v>1</v>
      </c>
      <c r="I5" s="881">
        <v>1</v>
      </c>
      <c r="J5" s="881">
        <v>1</v>
      </c>
      <c r="K5" s="881">
        <v>1</v>
      </c>
      <c r="L5" s="881">
        <v>1</v>
      </c>
      <c r="M5" s="881">
        <v>1</v>
      </c>
      <c r="N5" s="881">
        <v>1</v>
      </c>
      <c r="O5" s="881">
        <v>1</v>
      </c>
      <c r="P5" s="881">
        <v>1</v>
      </c>
      <c r="Q5" s="881">
        <v>1</v>
      </c>
      <c r="R5" s="881">
        <v>1</v>
      </c>
      <c r="S5" s="881">
        <v>1</v>
      </c>
      <c r="T5" s="881">
        <v>1</v>
      </c>
      <c r="U5" s="881">
        <v>1</v>
      </c>
      <c r="V5" s="881">
        <v>1</v>
      </c>
    </row>
    <row r="6" spans="1:22" x14ac:dyDescent="0.25">
      <c r="A6" s="881" t="s">
        <v>110</v>
      </c>
      <c r="B6" s="881" t="s">
        <v>18</v>
      </c>
      <c r="C6" s="881"/>
      <c r="D6" s="884" t="s">
        <v>1116</v>
      </c>
      <c r="E6" s="881">
        <v>0</v>
      </c>
      <c r="F6" s="881">
        <v>0</v>
      </c>
      <c r="G6" s="881">
        <v>0</v>
      </c>
      <c r="H6" s="881">
        <v>0</v>
      </c>
      <c r="I6" s="881">
        <v>0</v>
      </c>
      <c r="J6" s="881">
        <v>0</v>
      </c>
      <c r="K6" s="881">
        <v>0</v>
      </c>
      <c r="L6" s="881">
        <v>0</v>
      </c>
      <c r="M6" s="881">
        <v>0</v>
      </c>
      <c r="N6" s="881">
        <v>0</v>
      </c>
      <c r="O6" s="881">
        <v>0</v>
      </c>
      <c r="P6" s="881">
        <v>0</v>
      </c>
      <c r="Q6" s="881">
        <v>0</v>
      </c>
      <c r="R6" s="881">
        <v>0</v>
      </c>
      <c r="S6" s="881">
        <v>0</v>
      </c>
      <c r="T6" s="881">
        <v>0</v>
      </c>
      <c r="U6" s="881">
        <v>0</v>
      </c>
      <c r="V6" s="881">
        <v>0</v>
      </c>
    </row>
    <row r="7" spans="1:22" x14ac:dyDescent="0.25">
      <c r="A7" s="881" t="s">
        <v>110</v>
      </c>
      <c r="B7" s="881" t="s">
        <v>18</v>
      </c>
      <c r="C7" s="881"/>
      <c r="D7" s="884" t="s">
        <v>1117</v>
      </c>
      <c r="E7" s="881">
        <v>1</v>
      </c>
      <c r="F7" s="881">
        <v>1</v>
      </c>
      <c r="G7" s="881">
        <v>1</v>
      </c>
      <c r="H7" s="881">
        <v>1</v>
      </c>
      <c r="I7" s="881">
        <v>1</v>
      </c>
      <c r="J7" s="881">
        <v>1</v>
      </c>
      <c r="K7" s="881">
        <v>1</v>
      </c>
      <c r="L7" s="881">
        <v>1</v>
      </c>
      <c r="M7" s="881">
        <v>1</v>
      </c>
      <c r="N7" s="881">
        <v>1</v>
      </c>
      <c r="O7" s="881">
        <v>1</v>
      </c>
      <c r="P7" s="881">
        <v>1</v>
      </c>
      <c r="Q7" s="881">
        <v>1</v>
      </c>
      <c r="R7" s="881">
        <v>1</v>
      </c>
      <c r="S7" s="881">
        <v>1</v>
      </c>
      <c r="T7" s="881">
        <v>1</v>
      </c>
      <c r="U7" s="881">
        <v>1</v>
      </c>
      <c r="V7" s="881">
        <v>1</v>
      </c>
    </row>
    <row r="8" spans="1:22" x14ac:dyDescent="0.25">
      <c r="A8" s="881" t="s">
        <v>110</v>
      </c>
      <c r="B8" s="881" t="s">
        <v>18</v>
      </c>
      <c r="C8" s="881"/>
      <c r="D8" s="884" t="s">
        <v>1118</v>
      </c>
      <c r="E8" s="881">
        <v>400</v>
      </c>
      <c r="F8" s="881">
        <v>400</v>
      </c>
      <c r="G8" s="881">
        <v>400</v>
      </c>
      <c r="H8" s="881">
        <v>400</v>
      </c>
      <c r="I8" s="881">
        <v>400</v>
      </c>
      <c r="J8" s="881">
        <v>400</v>
      </c>
      <c r="K8" s="881">
        <v>400</v>
      </c>
      <c r="L8" s="881">
        <v>400</v>
      </c>
      <c r="M8" s="881">
        <v>400</v>
      </c>
      <c r="N8" s="881">
        <v>400</v>
      </c>
      <c r="O8" s="881">
        <v>400</v>
      </c>
      <c r="P8" s="881">
        <v>400</v>
      </c>
      <c r="Q8" s="881">
        <v>400</v>
      </c>
      <c r="R8" s="881">
        <v>400</v>
      </c>
      <c r="S8" s="881">
        <v>400</v>
      </c>
      <c r="T8" s="881">
        <v>400</v>
      </c>
      <c r="U8" s="881">
        <v>400</v>
      </c>
      <c r="V8" s="881">
        <v>400</v>
      </c>
    </row>
    <row r="9" spans="1:22" x14ac:dyDescent="0.25">
      <c r="A9" s="881" t="s">
        <v>110</v>
      </c>
      <c r="B9" s="881" t="s">
        <v>18</v>
      </c>
      <c r="C9" s="881"/>
      <c r="D9" s="884" t="s">
        <v>1119</v>
      </c>
      <c r="E9" s="881">
        <v>0</v>
      </c>
      <c r="F9" s="881">
        <v>0</v>
      </c>
      <c r="G9" s="881">
        <v>0</v>
      </c>
      <c r="H9" s="881">
        <v>0</v>
      </c>
      <c r="I9" s="881">
        <v>0</v>
      </c>
      <c r="J9" s="881">
        <v>0</v>
      </c>
      <c r="K9" s="881">
        <v>0</v>
      </c>
      <c r="L9" s="881">
        <v>0</v>
      </c>
      <c r="M9" s="881">
        <v>0</v>
      </c>
      <c r="N9" s="881">
        <v>0</v>
      </c>
      <c r="O9" s="881">
        <v>0</v>
      </c>
      <c r="P9" s="881">
        <v>0</v>
      </c>
      <c r="Q9" s="881">
        <v>0</v>
      </c>
      <c r="R9" s="881">
        <v>0</v>
      </c>
      <c r="S9" s="881">
        <v>0</v>
      </c>
      <c r="T9" s="881">
        <v>0</v>
      </c>
      <c r="U9" s="881">
        <v>0</v>
      </c>
      <c r="V9" s="881">
        <v>0</v>
      </c>
    </row>
    <row r="10" spans="1:22" x14ac:dyDescent="0.25">
      <c r="A10" s="881" t="s">
        <v>110</v>
      </c>
      <c r="B10" s="881" t="s">
        <v>18</v>
      </c>
      <c r="C10" s="881" t="s">
        <v>169</v>
      </c>
      <c r="D10" s="882" t="s">
        <v>1120</v>
      </c>
      <c r="E10" s="881">
        <v>0.4</v>
      </c>
      <c r="F10" s="881">
        <v>0.4</v>
      </c>
      <c r="G10" s="881">
        <v>0.4</v>
      </c>
      <c r="H10" s="881">
        <v>0.4</v>
      </c>
      <c r="I10" s="881">
        <v>0.4</v>
      </c>
      <c r="J10" s="881">
        <v>0.4</v>
      </c>
      <c r="K10" s="881">
        <v>0.4</v>
      </c>
      <c r="L10" s="881">
        <v>0.4</v>
      </c>
      <c r="M10" s="881">
        <v>0.4</v>
      </c>
      <c r="N10" s="881">
        <v>0.4</v>
      </c>
      <c r="O10" s="881">
        <v>0.4</v>
      </c>
      <c r="P10" s="881">
        <v>0.4</v>
      </c>
      <c r="Q10" s="881">
        <v>0.4</v>
      </c>
      <c r="R10" s="881">
        <v>0.4</v>
      </c>
      <c r="S10" s="881">
        <v>0.4</v>
      </c>
      <c r="T10" s="881">
        <v>0.4</v>
      </c>
      <c r="U10" s="881">
        <v>0.4</v>
      </c>
      <c r="V10" s="881">
        <v>0.4</v>
      </c>
    </row>
    <row r="11" spans="1:22" x14ac:dyDescent="0.25">
      <c r="A11" s="881" t="s">
        <v>110</v>
      </c>
      <c r="B11" s="881" t="s">
        <v>18</v>
      </c>
      <c r="C11" s="881"/>
      <c r="D11" s="882" t="s">
        <v>1121</v>
      </c>
    </row>
    <row r="12" spans="1:22" x14ac:dyDescent="0.25">
      <c r="A12" s="881" t="s">
        <v>110</v>
      </c>
      <c r="B12" s="881" t="s">
        <v>18</v>
      </c>
      <c r="C12" s="881"/>
      <c r="D12" s="884" t="s">
        <v>1122</v>
      </c>
      <c r="E12" s="881">
        <v>1724.4753430000001</v>
      </c>
      <c r="F12" s="881">
        <v>2391.5437160000001</v>
      </c>
      <c r="G12" s="881">
        <v>3018.7754639999998</v>
      </c>
      <c r="H12" s="881">
        <v>4576.059816</v>
      </c>
      <c r="I12" s="881">
        <v>5216.1352500000003</v>
      </c>
      <c r="J12" s="881">
        <v>4352.4129730000004</v>
      </c>
      <c r="K12" s="881">
        <v>1461.6391169999999</v>
      </c>
      <c r="L12" s="881">
        <v>1639.313028</v>
      </c>
      <c r="M12" s="881">
        <v>1763.325908</v>
      </c>
      <c r="N12" s="881">
        <v>2421.0027650000002</v>
      </c>
      <c r="O12" s="881">
        <v>2827.3024380000002</v>
      </c>
      <c r="P12" s="881">
        <v>4240.838033</v>
      </c>
      <c r="Q12" s="881">
        <v>5276.9122719999996</v>
      </c>
      <c r="R12" s="881">
        <v>4391.7297310000004</v>
      </c>
      <c r="S12" s="881">
        <v>2925.1883149999999</v>
      </c>
      <c r="T12" s="881">
        <v>2195.1968230000002</v>
      </c>
      <c r="U12" s="881">
        <v>1576.437604</v>
      </c>
      <c r="V12" s="881">
        <v>1542.563877</v>
      </c>
    </row>
    <row r="13" spans="1:22" x14ac:dyDescent="0.25">
      <c r="A13" s="881" t="s">
        <v>110</v>
      </c>
      <c r="B13" s="881" t="s">
        <v>18</v>
      </c>
      <c r="C13" s="881"/>
      <c r="D13" s="884" t="s">
        <v>1123</v>
      </c>
      <c r="E13" s="881">
        <v>0</v>
      </c>
      <c r="F13" s="881">
        <v>0</v>
      </c>
      <c r="G13" s="881">
        <v>0</v>
      </c>
      <c r="H13" s="881">
        <v>0</v>
      </c>
      <c r="I13" s="881">
        <v>0</v>
      </c>
      <c r="J13" s="881">
        <v>0</v>
      </c>
      <c r="K13" s="881">
        <v>0</v>
      </c>
      <c r="L13" s="881">
        <v>0</v>
      </c>
      <c r="M13" s="881">
        <v>0</v>
      </c>
      <c r="N13" s="881">
        <v>0</v>
      </c>
      <c r="O13" s="881">
        <v>0</v>
      </c>
      <c r="P13" s="881">
        <v>0</v>
      </c>
      <c r="Q13" s="881">
        <v>0</v>
      </c>
      <c r="R13" s="881">
        <v>0</v>
      </c>
      <c r="S13" s="881">
        <v>0</v>
      </c>
      <c r="T13" s="881">
        <v>0</v>
      </c>
      <c r="U13" s="881">
        <v>0</v>
      </c>
      <c r="V13" s="881">
        <v>0</v>
      </c>
    </row>
    <row r="14" spans="1:22" x14ac:dyDescent="0.25">
      <c r="A14" s="881" t="s">
        <v>110</v>
      </c>
      <c r="B14" s="881" t="s">
        <v>18</v>
      </c>
      <c r="C14" s="883"/>
      <c r="D14" s="885" t="s">
        <v>1124</v>
      </c>
      <c r="E14" s="883">
        <v>1.7244753429999999</v>
      </c>
      <c r="F14" s="883">
        <v>2.3915437160000002</v>
      </c>
      <c r="G14" s="883">
        <v>3.018775464</v>
      </c>
      <c r="H14" s="883">
        <v>4.5760598159999999</v>
      </c>
      <c r="I14" s="883">
        <v>5.2161352499999998</v>
      </c>
      <c r="J14" s="883">
        <v>4.3524129729999999</v>
      </c>
      <c r="K14" s="883">
        <v>1.461639117</v>
      </c>
      <c r="L14" s="883">
        <v>1.6393130279999999</v>
      </c>
      <c r="M14" s="883">
        <v>1.7633259080000001</v>
      </c>
      <c r="N14" s="883">
        <v>2.4210027649999999</v>
      </c>
      <c r="O14" s="883">
        <v>2.8273024379999998</v>
      </c>
      <c r="P14" s="883">
        <v>4.2408380330000002</v>
      </c>
      <c r="Q14" s="883">
        <v>5.2769122719999997</v>
      </c>
      <c r="R14" s="883">
        <v>4.3917297309999999</v>
      </c>
      <c r="S14" s="883">
        <v>2.92518831499999</v>
      </c>
      <c r="T14" s="883">
        <v>2.1951968229999999</v>
      </c>
      <c r="U14" s="883">
        <v>1.5764376040000001</v>
      </c>
      <c r="V14" s="883">
        <v>1.5425638770000001</v>
      </c>
    </row>
    <row r="15" spans="1:22" x14ac:dyDescent="0.25">
      <c r="A15" s="881" t="s">
        <v>110</v>
      </c>
      <c r="B15" s="881" t="s">
        <v>18</v>
      </c>
      <c r="C15" s="883"/>
      <c r="D15" s="885" t="s">
        <v>1125</v>
      </c>
      <c r="E15" s="883">
        <v>0.70089999999999997</v>
      </c>
      <c r="F15" s="883">
        <v>0.70089999999999997</v>
      </c>
      <c r="G15" s="883">
        <v>0.70089999999999997</v>
      </c>
      <c r="H15" s="883">
        <v>0.70089999999999997</v>
      </c>
      <c r="I15" s="883">
        <v>0.70089999999999997</v>
      </c>
      <c r="J15" s="883">
        <v>0.70089999999999997</v>
      </c>
      <c r="K15" s="883">
        <v>0.70089999999999997</v>
      </c>
      <c r="L15" s="883">
        <v>0.70089999999999997</v>
      </c>
      <c r="M15" s="883">
        <v>0.70089999999999997</v>
      </c>
      <c r="N15" s="883">
        <v>0.70089999999999997</v>
      </c>
      <c r="O15" s="883">
        <v>0.70089999999999997</v>
      </c>
      <c r="P15" s="883">
        <v>0.70089999999999997</v>
      </c>
      <c r="Q15" s="883">
        <v>0.70089999999999997</v>
      </c>
      <c r="R15" s="883">
        <v>0.70089999999999997</v>
      </c>
      <c r="S15" s="883">
        <v>0.70089999999999997</v>
      </c>
      <c r="T15" s="883">
        <v>0.70089999999999997</v>
      </c>
      <c r="U15" s="883">
        <v>0.70089999999999997</v>
      </c>
      <c r="V15" s="883">
        <v>0.70089999999999997</v>
      </c>
    </row>
    <row r="16" spans="1:22" x14ac:dyDescent="0.25">
      <c r="A16" s="881" t="s">
        <v>110</v>
      </c>
      <c r="B16" s="881" t="s">
        <v>18</v>
      </c>
      <c r="C16" s="883"/>
      <c r="D16" s="885" t="s">
        <v>1126</v>
      </c>
      <c r="E16" s="883">
        <v>0.70089999999999997</v>
      </c>
      <c r="F16" s="883">
        <v>0.70089999999999997</v>
      </c>
      <c r="G16" s="883">
        <v>0.70089999999999997</v>
      </c>
      <c r="H16" s="883">
        <v>0.70089999999999997</v>
      </c>
      <c r="I16" s="883">
        <v>0.70089999999999997</v>
      </c>
      <c r="J16" s="883">
        <v>0.70089999999999997</v>
      </c>
      <c r="K16" s="883">
        <v>0.70089999999999997</v>
      </c>
      <c r="L16" s="883">
        <v>0.70089999999999997</v>
      </c>
      <c r="M16" s="883">
        <v>0.70089999999999997</v>
      </c>
      <c r="N16" s="883">
        <v>0.70089999999999997</v>
      </c>
      <c r="O16" s="883">
        <v>0.70089999999999997</v>
      </c>
      <c r="P16" s="883">
        <v>0.70089999999999997</v>
      </c>
      <c r="Q16" s="883">
        <v>0.70089999999999997</v>
      </c>
      <c r="R16" s="883">
        <v>0.70089999999999997</v>
      </c>
      <c r="S16" s="883">
        <v>0.70089999999999997</v>
      </c>
      <c r="T16" s="883">
        <v>0.70089999999999997</v>
      </c>
      <c r="U16" s="883">
        <v>0.70089999999999997</v>
      </c>
      <c r="V16" s="883">
        <v>0.70089999999999997</v>
      </c>
    </row>
    <row r="17" spans="1:22" x14ac:dyDescent="0.25">
      <c r="A17" s="881" t="s">
        <v>110</v>
      </c>
      <c r="B17" s="881" t="s">
        <v>18</v>
      </c>
      <c r="C17" s="883"/>
      <c r="D17" s="885" t="s">
        <v>1127</v>
      </c>
      <c r="E17" s="883">
        <v>0</v>
      </c>
      <c r="F17" s="883">
        <v>0</v>
      </c>
      <c r="G17" s="883">
        <v>0</v>
      </c>
      <c r="H17" s="883">
        <v>0</v>
      </c>
      <c r="I17" s="883">
        <v>0</v>
      </c>
      <c r="J17" s="883">
        <v>0</v>
      </c>
      <c r="K17" s="883">
        <v>0</v>
      </c>
      <c r="L17" s="883">
        <v>0</v>
      </c>
      <c r="M17" s="883">
        <v>0</v>
      </c>
      <c r="N17" s="883">
        <v>0</v>
      </c>
      <c r="O17" s="883">
        <v>0</v>
      </c>
      <c r="P17" s="883">
        <v>0</v>
      </c>
      <c r="Q17" s="883">
        <v>0</v>
      </c>
      <c r="R17" s="883">
        <v>0</v>
      </c>
      <c r="S17" s="883">
        <v>0</v>
      </c>
      <c r="T17" s="883">
        <v>0</v>
      </c>
      <c r="U17" s="883">
        <v>0</v>
      </c>
      <c r="V17" s="883">
        <v>0</v>
      </c>
    </row>
    <row r="18" spans="1:22" x14ac:dyDescent="0.25">
      <c r="A18" s="881" t="s">
        <v>110</v>
      </c>
      <c r="B18" s="881" t="s">
        <v>18</v>
      </c>
      <c r="C18" s="881" t="s">
        <v>778</v>
      </c>
      <c r="D18" s="882" t="s">
        <v>1128</v>
      </c>
      <c r="E18" s="881">
        <v>1.2086847679087001</v>
      </c>
      <c r="F18" s="881">
        <v>1.6762329905444</v>
      </c>
      <c r="G18" s="881">
        <v>2.1158597227175902</v>
      </c>
      <c r="H18" s="881">
        <v>3.2073603250343998</v>
      </c>
      <c r="I18" s="881">
        <v>3.6559891967249998</v>
      </c>
      <c r="J18" s="881">
        <v>3.0506062527757001</v>
      </c>
      <c r="K18" s="881">
        <v>1.0244628571052901</v>
      </c>
      <c r="L18" s="881">
        <v>1.1489945013252001</v>
      </c>
      <c r="M18" s="881">
        <v>1.2359151289171999</v>
      </c>
      <c r="N18" s="881">
        <v>1.6968808379885001</v>
      </c>
      <c r="O18" s="881">
        <v>1.9816562787942</v>
      </c>
      <c r="P18" s="881">
        <v>2.9724033773296998</v>
      </c>
      <c r="Q18" s="881">
        <v>3.6985878114447899</v>
      </c>
      <c r="R18" s="881">
        <v>3.0781633684579002</v>
      </c>
      <c r="S18" s="881">
        <v>2.0502644899834999</v>
      </c>
      <c r="T18" s="881">
        <v>1.5386134532407001</v>
      </c>
      <c r="U18" s="881">
        <v>1.1049251166436</v>
      </c>
      <c r="V18" s="881">
        <v>1.0811830213892999</v>
      </c>
    </row>
    <row r="19" spans="1:22" x14ac:dyDescent="0.25">
      <c r="A19" s="881" t="s">
        <v>110</v>
      </c>
      <c r="B19" s="881" t="s">
        <v>18</v>
      </c>
      <c r="C19" s="881"/>
      <c r="D19" s="882" t="s">
        <v>1129</v>
      </c>
    </row>
    <row r="20" spans="1:22" x14ac:dyDescent="0.25">
      <c r="A20" s="881" t="s">
        <v>110</v>
      </c>
      <c r="B20" s="881" t="s">
        <v>18</v>
      </c>
      <c r="C20" s="881"/>
      <c r="D20" s="882" t="s">
        <v>1130</v>
      </c>
    </row>
    <row r="21" spans="1:22" x14ac:dyDescent="0.25">
      <c r="A21" s="881" t="s">
        <v>110</v>
      </c>
      <c r="B21" s="881" t="s">
        <v>18</v>
      </c>
      <c r="C21" s="881"/>
      <c r="D21" s="882" t="s">
        <v>1131</v>
      </c>
      <c r="E21" s="881">
        <v>1.6086847679087</v>
      </c>
      <c r="F21" s="881">
        <v>2.0762329905443999</v>
      </c>
      <c r="G21" s="881">
        <v>2.5158597227175901</v>
      </c>
      <c r="H21" s="881">
        <v>3.60736032503439</v>
      </c>
      <c r="I21" s="881">
        <v>4.0559891967250001</v>
      </c>
      <c r="J21" s="881">
        <v>3.4506062527757</v>
      </c>
      <c r="K21" s="881">
        <v>1.42446285710529</v>
      </c>
      <c r="L21" s="881">
        <v>1.5489945013252</v>
      </c>
      <c r="M21" s="881">
        <v>1.6359151289172</v>
      </c>
      <c r="N21" s="881">
        <v>2.0968808379885</v>
      </c>
      <c r="O21" s="881">
        <v>2.3816562787942002</v>
      </c>
      <c r="P21" s="881">
        <v>3.37240337732969</v>
      </c>
      <c r="Q21" s="881">
        <v>4.0985878114447898</v>
      </c>
      <c r="R21" s="881">
        <v>3.4781633684579001</v>
      </c>
      <c r="S21" s="881">
        <v>2.45026448998349</v>
      </c>
      <c r="T21" s="881">
        <v>1.9386134532407</v>
      </c>
      <c r="U21" s="881">
        <v>1.5049251166436</v>
      </c>
      <c r="V21" s="881">
        <v>1.48118302138929</v>
      </c>
    </row>
    <row r="22" spans="1:22" x14ac:dyDescent="0.25">
      <c r="A22" s="881" t="s">
        <v>110</v>
      </c>
      <c r="B22" s="881" t="s">
        <v>18</v>
      </c>
      <c r="C22" s="881"/>
      <c r="D22" s="882" t="s">
        <v>1132</v>
      </c>
    </row>
    <row r="23" spans="1:22" x14ac:dyDescent="0.25">
      <c r="A23" s="881" t="s">
        <v>110</v>
      </c>
      <c r="B23" s="881" t="s">
        <v>18</v>
      </c>
      <c r="C23" s="883"/>
      <c r="D23" s="885" t="s">
        <v>1133</v>
      </c>
      <c r="E23" s="883">
        <v>3.54132328535503</v>
      </c>
      <c r="F23" s="883">
        <v>4.0825536529198896</v>
      </c>
      <c r="G23" s="883">
        <v>4.6151370530302804</v>
      </c>
      <c r="H23" s="883">
        <v>4.7204926546137003</v>
      </c>
      <c r="I23" s="883">
        <v>4.2816079006073897</v>
      </c>
      <c r="J23" s="883">
        <v>4.61774840312499</v>
      </c>
      <c r="K23" s="883">
        <v>3.6370825733754901</v>
      </c>
      <c r="L23" s="883">
        <v>3.1998593487156</v>
      </c>
      <c r="M23" s="883">
        <v>3.4441400635944199</v>
      </c>
      <c r="N23" s="883">
        <v>2.6697967759149801</v>
      </c>
      <c r="O23" s="883">
        <v>3.6621728781104101</v>
      </c>
      <c r="P23" s="883">
        <v>3.9547219031793199</v>
      </c>
      <c r="Q23" s="883">
        <v>4.3060793499123999</v>
      </c>
      <c r="R23" s="883">
        <v>4.66270835833049</v>
      </c>
      <c r="S23" s="883">
        <v>5.2056863414265502</v>
      </c>
      <c r="T23" s="883">
        <v>5.4531502607765896</v>
      </c>
      <c r="U23" s="883">
        <v>5.0764131270513699</v>
      </c>
      <c r="V23" s="883">
        <v>4.0447960531742</v>
      </c>
    </row>
    <row r="24" spans="1:22" x14ac:dyDescent="0.25">
      <c r="A24" s="881" t="s">
        <v>110</v>
      </c>
      <c r="B24" s="881" t="s">
        <v>18</v>
      </c>
      <c r="C24" s="881" t="s">
        <v>196</v>
      </c>
      <c r="D24" s="884" t="s">
        <v>1134</v>
      </c>
      <c r="E24" s="881">
        <v>6.1069246871865097</v>
      </c>
      <c r="F24" s="881">
        <v>9.7636055338734096</v>
      </c>
      <c r="G24" s="881">
        <v>13.932062498684999</v>
      </c>
      <c r="H24" s="881">
        <v>21.601256748500901</v>
      </c>
      <c r="I24" s="881">
        <v>22.3334458970367</v>
      </c>
      <c r="J24" s="881">
        <v>20.098348055811201</v>
      </c>
      <c r="K24" s="881">
        <v>5.3161021610046397</v>
      </c>
      <c r="L24" s="881">
        <v>5.2455711181170903</v>
      </c>
      <c r="M24" s="881">
        <v>6.07314140491681</v>
      </c>
      <c r="N24" s="881">
        <v>6.46358537647827</v>
      </c>
      <c r="O24" s="881">
        <v>10.354070306659001</v>
      </c>
      <c r="P24" s="881">
        <v>16.771335056940998</v>
      </c>
      <c r="Q24" s="881">
        <v>22.7228029657585</v>
      </c>
      <c r="R24" s="881">
        <v>20.477354924262201</v>
      </c>
      <c r="S24" s="881">
        <v>15.227612857496</v>
      </c>
      <c r="T24" s="881">
        <v>11.970738127798301</v>
      </c>
      <c r="U24" s="881">
        <v>8.0026485469230106</v>
      </c>
      <c r="V24" s="881">
        <v>6.23935628145869</v>
      </c>
    </row>
    <row r="25" spans="1:22" x14ac:dyDescent="0.25">
      <c r="A25" s="881" t="s">
        <v>110</v>
      </c>
      <c r="B25" s="881" t="s">
        <v>18</v>
      </c>
      <c r="C25" s="881"/>
      <c r="D25" s="882" t="s">
        <v>1135</v>
      </c>
    </row>
    <row r="26" spans="1:22" x14ac:dyDescent="0.25">
      <c r="A26" s="881" t="s">
        <v>110</v>
      </c>
      <c r="B26" s="881" t="s">
        <v>18</v>
      </c>
      <c r="C26" s="883"/>
      <c r="D26" s="885" t="s">
        <v>1136</v>
      </c>
      <c r="E26" s="883">
        <v>0.34906843462946002</v>
      </c>
      <c r="F26" s="883">
        <v>0.16939007523933</v>
      </c>
      <c r="G26" s="883">
        <v>9.4024398016510996E-2</v>
      </c>
      <c r="H26" s="883">
        <v>7.9005885786712304E-2</v>
      </c>
      <c r="I26" s="883">
        <v>4.2818241030573301E-2</v>
      </c>
      <c r="J26" s="883">
        <v>5.3348528484577801E-2</v>
      </c>
      <c r="K26" s="883">
        <v>0.24690512534735301</v>
      </c>
      <c r="L26" s="883">
        <v>0.286805863570613</v>
      </c>
      <c r="M26" s="883">
        <v>0.2714755224323</v>
      </c>
      <c r="N26" s="883">
        <v>0.23977615362243901</v>
      </c>
      <c r="O26" s="883">
        <v>0.112823983088882</v>
      </c>
      <c r="P26" s="883">
        <v>3.1676324500992899E-2</v>
      </c>
      <c r="Q26" s="883">
        <v>5.1767532114618299E-2</v>
      </c>
      <c r="R26" s="883">
        <v>6.4560825100963504E-2</v>
      </c>
      <c r="S26" s="883">
        <v>0.10990553607190399</v>
      </c>
      <c r="T26" s="883">
        <v>0.18637651503338701</v>
      </c>
      <c r="U26" s="883">
        <v>0.28860955010716799</v>
      </c>
      <c r="V26" s="883">
        <v>0.33287319112658798</v>
      </c>
    </row>
    <row r="27" spans="1:22" x14ac:dyDescent="0.25">
      <c r="A27" s="881" t="s">
        <v>110</v>
      </c>
      <c r="B27" s="881" t="s">
        <v>18</v>
      </c>
      <c r="C27" s="881" t="s">
        <v>198</v>
      </c>
      <c r="D27" s="884" t="s">
        <v>1137</v>
      </c>
      <c r="E27" s="881">
        <v>0.60195990853811199</v>
      </c>
      <c r="F27" s="881">
        <v>0.40510376999138697</v>
      </c>
      <c r="G27" s="881">
        <v>0.28383854574961298</v>
      </c>
      <c r="H27" s="881">
        <v>0.36153565917606001</v>
      </c>
      <c r="I27" s="881">
        <v>0.22334573638256999</v>
      </c>
      <c r="J27" s="881">
        <v>0.232194827466736</v>
      </c>
      <c r="K27" s="881">
        <v>0.36088618939548001</v>
      </c>
      <c r="L27" s="881">
        <v>0.47016458865809702</v>
      </c>
      <c r="M27" s="881">
        <v>0.47869982209271</v>
      </c>
      <c r="N27" s="881">
        <v>0.58049873090099202</v>
      </c>
      <c r="O27" s="881">
        <v>0.31898752245206602</v>
      </c>
      <c r="P27" s="881">
        <v>0.13433416168946</v>
      </c>
      <c r="Q27" s="881">
        <v>0.27317272550678301</v>
      </c>
      <c r="R27" s="881">
        <v>0.283533695053792</v>
      </c>
      <c r="S27" s="881">
        <v>0.32149438987134399</v>
      </c>
      <c r="T27" s="881">
        <v>0.409133133683103</v>
      </c>
      <c r="U27" s="881">
        <v>0.45497494766246199</v>
      </c>
      <c r="V27" s="881">
        <v>0.51347816025359205</v>
      </c>
    </row>
    <row r="28" spans="1:22" x14ac:dyDescent="0.25">
      <c r="A28" s="881" t="s">
        <v>110</v>
      </c>
      <c r="B28" s="881" t="s">
        <v>18</v>
      </c>
      <c r="C28" s="881"/>
      <c r="D28" s="882" t="s">
        <v>1138</v>
      </c>
    </row>
    <row r="29" spans="1:22" x14ac:dyDescent="0.25">
      <c r="A29" s="881" t="s">
        <v>110</v>
      </c>
      <c r="B29" s="881" t="s">
        <v>18</v>
      </c>
      <c r="C29" s="883"/>
      <c r="D29" s="885" t="s">
        <v>1139</v>
      </c>
      <c r="E29" s="883">
        <v>7.2705548342424002E-3</v>
      </c>
      <c r="F29" s="883">
        <v>7.2705548342424002E-3</v>
      </c>
      <c r="G29" s="883">
        <v>7.2705548342424002E-3</v>
      </c>
      <c r="H29" s="883">
        <v>7.2705548342424002E-3</v>
      </c>
      <c r="I29" s="883">
        <v>7.2705548342424002E-3</v>
      </c>
      <c r="J29" s="883">
        <v>7.2705548342424002E-3</v>
      </c>
      <c r="K29" s="883">
        <v>7.2705548342424002E-3</v>
      </c>
      <c r="L29" s="883">
        <v>7.2705548342424002E-3</v>
      </c>
      <c r="M29" s="883">
        <v>7.2705548342424002E-3</v>
      </c>
      <c r="N29" s="883">
        <v>7.2705548342424002E-3</v>
      </c>
      <c r="O29" s="883">
        <v>7.2705548342424002E-3</v>
      </c>
      <c r="P29" s="883">
        <v>7.2705548342424002E-3</v>
      </c>
      <c r="Q29" s="883">
        <v>7.2705548342424002E-3</v>
      </c>
      <c r="R29" s="883">
        <v>7.2705548342424002E-3</v>
      </c>
      <c r="S29" s="883">
        <v>7.2705548342424002E-3</v>
      </c>
      <c r="T29" s="883">
        <v>7.2705548342424002E-3</v>
      </c>
      <c r="U29" s="883">
        <v>7.2705548342424002E-3</v>
      </c>
      <c r="V29" s="883">
        <v>7.2705548342424002E-3</v>
      </c>
    </row>
    <row r="30" spans="1:22" x14ac:dyDescent="0.25">
      <c r="A30" s="881" t="s">
        <v>110</v>
      </c>
      <c r="B30" s="881" t="s">
        <v>18</v>
      </c>
      <c r="C30" s="881" t="s">
        <v>670</v>
      </c>
      <c r="D30" s="884" t="s">
        <v>1140</v>
      </c>
      <c r="E30" s="881">
        <v>1.65007193933955</v>
      </c>
      <c r="F30" s="881">
        <v>1.7914017265759099</v>
      </c>
      <c r="G30" s="881">
        <v>2.3715066811376899</v>
      </c>
      <c r="H30" s="881">
        <v>4.5752756803066603</v>
      </c>
      <c r="I30" s="881">
        <v>7.0115506484697798</v>
      </c>
      <c r="J30" s="881">
        <v>7.32069196308169</v>
      </c>
      <c r="K30" s="881">
        <v>2.1935672199931999</v>
      </c>
      <c r="L30" s="881">
        <v>2.85021480059316</v>
      </c>
      <c r="M30" s="881">
        <v>2.3536522077092799</v>
      </c>
      <c r="N30" s="881">
        <v>1.9191288211372699</v>
      </c>
      <c r="O30" s="881">
        <v>2.6569412864733502</v>
      </c>
      <c r="P30" s="881">
        <v>4.7740313484783501</v>
      </c>
      <c r="Q30" s="881">
        <v>8.0527660234878091</v>
      </c>
      <c r="R30" s="881">
        <v>8.3958543453747403</v>
      </c>
      <c r="S30" s="881">
        <v>6.89621737888951</v>
      </c>
      <c r="T30" s="881">
        <v>5.0731985944067404</v>
      </c>
      <c r="U30" s="881">
        <v>3.85267552023612</v>
      </c>
      <c r="V30" s="881">
        <v>3.2745812351958401</v>
      </c>
    </row>
    <row r="31" spans="1:22" x14ac:dyDescent="0.25">
      <c r="A31" s="881" t="s">
        <v>110</v>
      </c>
      <c r="B31" s="881" t="s">
        <v>18</v>
      </c>
      <c r="C31" s="881"/>
      <c r="D31" s="882" t="s">
        <v>1141</v>
      </c>
      <c r="E31" s="881">
        <v>9.9676413029728792</v>
      </c>
      <c r="F31" s="881">
        <v>14.0363440209851</v>
      </c>
      <c r="G31" s="881">
        <v>19.103267448289898</v>
      </c>
      <c r="H31" s="881">
        <v>30.145428413017999</v>
      </c>
      <c r="I31" s="881">
        <v>33.624331478614003</v>
      </c>
      <c r="J31" s="881">
        <v>31.101841099135399</v>
      </c>
      <c r="K31" s="881">
        <v>9.2950184274986203</v>
      </c>
      <c r="L31" s="881">
        <v>10.1149450086935</v>
      </c>
      <c r="M31" s="881">
        <v>10.541408563636001</v>
      </c>
      <c r="N31" s="881">
        <v>11.060093766505</v>
      </c>
      <c r="O31" s="881">
        <v>15.711655394378599</v>
      </c>
      <c r="P31" s="881">
        <v>25.0521039444385</v>
      </c>
      <c r="Q31" s="881">
        <v>35.1473295261979</v>
      </c>
      <c r="R31" s="881">
        <v>32.634906333148599</v>
      </c>
      <c r="S31" s="881">
        <v>24.895589116240401</v>
      </c>
      <c r="T31" s="881">
        <v>19.391683309128901</v>
      </c>
      <c r="U31" s="881">
        <v>13.8152241314652</v>
      </c>
      <c r="V31" s="881">
        <v>11.5085986982974</v>
      </c>
    </row>
    <row r="32" spans="1:22" s="82" customFormat="1" x14ac:dyDescent="0.25">
      <c r="A32" s="968" t="s">
        <v>111</v>
      </c>
      <c r="B32" s="968" t="s">
        <v>68</v>
      </c>
      <c r="C32" s="968"/>
      <c r="D32" s="969" t="s">
        <v>1142</v>
      </c>
    </row>
    <row r="33" spans="1:22" x14ac:dyDescent="0.25">
      <c r="A33" s="881" t="s">
        <v>111</v>
      </c>
      <c r="B33" s="881" t="s">
        <v>68</v>
      </c>
      <c r="C33" s="881"/>
      <c r="D33" s="882" t="s">
        <v>1114</v>
      </c>
    </row>
    <row r="34" spans="1:22" x14ac:dyDescent="0.25">
      <c r="A34" s="881" t="s">
        <v>111</v>
      </c>
      <c r="B34" s="881" t="s">
        <v>68</v>
      </c>
      <c r="C34" s="881"/>
      <c r="D34" s="884" t="s">
        <v>1115</v>
      </c>
      <c r="E34" s="881">
        <v>1</v>
      </c>
      <c r="F34" s="881">
        <v>1</v>
      </c>
      <c r="G34" s="881">
        <v>1</v>
      </c>
      <c r="H34" s="881">
        <v>1</v>
      </c>
      <c r="I34" s="881">
        <v>1</v>
      </c>
      <c r="J34" s="881">
        <v>1</v>
      </c>
      <c r="K34" s="881">
        <v>1</v>
      </c>
      <c r="L34" s="881">
        <v>1</v>
      </c>
      <c r="M34" s="881">
        <v>1</v>
      </c>
      <c r="N34" s="881">
        <v>1</v>
      </c>
      <c r="O34" s="881">
        <v>1</v>
      </c>
      <c r="P34" s="881">
        <v>1</v>
      </c>
      <c r="Q34" s="881">
        <v>1</v>
      </c>
      <c r="R34" s="881">
        <v>1</v>
      </c>
      <c r="S34" s="881">
        <v>1</v>
      </c>
      <c r="T34" s="881">
        <v>1</v>
      </c>
      <c r="U34" s="881">
        <v>1</v>
      </c>
      <c r="V34" s="881">
        <v>1</v>
      </c>
    </row>
    <row r="35" spans="1:22" x14ac:dyDescent="0.25">
      <c r="A35" s="881" t="s">
        <v>111</v>
      </c>
      <c r="B35" s="881" t="s">
        <v>68</v>
      </c>
      <c r="C35" s="881"/>
      <c r="D35" s="884" t="s">
        <v>1116</v>
      </c>
      <c r="E35" s="881">
        <v>0</v>
      </c>
      <c r="F35" s="881">
        <v>0</v>
      </c>
      <c r="G35" s="881">
        <v>0</v>
      </c>
      <c r="H35" s="881">
        <v>0</v>
      </c>
      <c r="I35" s="881">
        <v>0</v>
      </c>
      <c r="J35" s="881">
        <v>0</v>
      </c>
      <c r="K35" s="881">
        <v>0</v>
      </c>
      <c r="L35" s="881">
        <v>0</v>
      </c>
      <c r="M35" s="881">
        <v>0</v>
      </c>
      <c r="N35" s="881">
        <v>0</v>
      </c>
      <c r="O35" s="881">
        <v>0</v>
      </c>
      <c r="P35" s="881">
        <v>0</v>
      </c>
      <c r="Q35" s="881">
        <v>0</v>
      </c>
      <c r="R35" s="881">
        <v>0</v>
      </c>
      <c r="S35" s="881">
        <v>0</v>
      </c>
      <c r="T35" s="881">
        <v>0</v>
      </c>
      <c r="U35" s="881">
        <v>0</v>
      </c>
      <c r="V35" s="881">
        <v>0</v>
      </c>
    </row>
    <row r="36" spans="1:22" x14ac:dyDescent="0.25">
      <c r="A36" s="881" t="s">
        <v>111</v>
      </c>
      <c r="B36" s="881" t="s">
        <v>68</v>
      </c>
      <c r="C36" s="881"/>
      <c r="D36" s="884" t="s">
        <v>1117</v>
      </c>
      <c r="E36" s="881">
        <v>1</v>
      </c>
      <c r="F36" s="881">
        <v>1</v>
      </c>
      <c r="G36" s="881">
        <v>1</v>
      </c>
      <c r="H36" s="881">
        <v>1</v>
      </c>
      <c r="I36" s="881">
        <v>1</v>
      </c>
      <c r="J36" s="881">
        <v>1</v>
      </c>
      <c r="K36" s="881">
        <v>1</v>
      </c>
      <c r="L36" s="881">
        <v>1</v>
      </c>
      <c r="M36" s="881">
        <v>1</v>
      </c>
      <c r="N36" s="881">
        <v>1</v>
      </c>
      <c r="O36" s="881">
        <v>1</v>
      </c>
      <c r="P36" s="881">
        <v>1</v>
      </c>
      <c r="Q36" s="881">
        <v>1</v>
      </c>
      <c r="R36" s="881">
        <v>1</v>
      </c>
      <c r="S36" s="881">
        <v>1</v>
      </c>
      <c r="T36" s="881">
        <v>1</v>
      </c>
      <c r="U36" s="881">
        <v>1</v>
      </c>
      <c r="V36" s="881">
        <v>1</v>
      </c>
    </row>
    <row r="37" spans="1:22" x14ac:dyDescent="0.25">
      <c r="A37" s="881" t="s">
        <v>111</v>
      </c>
      <c r="B37" s="881" t="s">
        <v>68</v>
      </c>
      <c r="C37" s="881"/>
      <c r="D37" s="884" t="s">
        <v>1118</v>
      </c>
      <c r="E37" s="881">
        <v>40</v>
      </c>
      <c r="F37" s="881">
        <v>40</v>
      </c>
      <c r="G37" s="881">
        <v>40</v>
      </c>
      <c r="H37" s="881">
        <v>40</v>
      </c>
      <c r="I37" s="881">
        <v>40</v>
      </c>
      <c r="J37" s="881">
        <v>40</v>
      </c>
      <c r="K37" s="881">
        <v>40</v>
      </c>
      <c r="L37" s="881">
        <v>40</v>
      </c>
      <c r="M37" s="881">
        <v>40</v>
      </c>
      <c r="N37" s="881">
        <v>40</v>
      </c>
      <c r="O37" s="881">
        <v>40</v>
      </c>
      <c r="P37" s="881">
        <v>40</v>
      </c>
      <c r="Q37" s="881">
        <v>40</v>
      </c>
      <c r="R37" s="881">
        <v>40</v>
      </c>
      <c r="S37" s="881">
        <v>40</v>
      </c>
      <c r="T37" s="881">
        <v>40</v>
      </c>
      <c r="U37" s="881">
        <v>40</v>
      </c>
      <c r="V37" s="881">
        <v>40</v>
      </c>
    </row>
    <row r="38" spans="1:22" x14ac:dyDescent="0.25">
      <c r="A38" s="881" t="s">
        <v>111</v>
      </c>
      <c r="B38" s="881" t="s">
        <v>68</v>
      </c>
      <c r="C38" s="881"/>
      <c r="D38" s="884" t="s">
        <v>1119</v>
      </c>
      <c r="E38" s="881">
        <v>180</v>
      </c>
      <c r="F38" s="881">
        <v>180</v>
      </c>
      <c r="G38" s="881">
        <v>180</v>
      </c>
      <c r="H38" s="881">
        <v>180</v>
      </c>
      <c r="I38" s="881">
        <v>180</v>
      </c>
      <c r="J38" s="881">
        <v>180</v>
      </c>
      <c r="K38" s="881">
        <v>180</v>
      </c>
      <c r="L38" s="881">
        <v>180</v>
      </c>
      <c r="M38" s="881">
        <v>180</v>
      </c>
      <c r="N38" s="881">
        <v>180</v>
      </c>
      <c r="O38" s="881">
        <v>180</v>
      </c>
      <c r="P38" s="881">
        <v>180</v>
      </c>
      <c r="Q38" s="881">
        <v>180</v>
      </c>
      <c r="R38" s="881">
        <v>180</v>
      </c>
      <c r="S38" s="881">
        <v>180</v>
      </c>
      <c r="T38" s="881">
        <v>180</v>
      </c>
      <c r="U38" s="881">
        <v>180</v>
      </c>
      <c r="V38" s="881">
        <v>180</v>
      </c>
    </row>
    <row r="39" spans="1:22" x14ac:dyDescent="0.25">
      <c r="A39" s="881" t="s">
        <v>111</v>
      </c>
      <c r="B39" s="881" t="s">
        <v>68</v>
      </c>
      <c r="C39" s="881" t="s">
        <v>169</v>
      </c>
      <c r="D39" s="882" t="s">
        <v>1120</v>
      </c>
      <c r="E39" s="881">
        <v>0.04</v>
      </c>
      <c r="F39" s="881">
        <v>0.04</v>
      </c>
      <c r="G39" s="881">
        <v>0.04</v>
      </c>
      <c r="H39" s="881">
        <v>0.04</v>
      </c>
      <c r="I39" s="881">
        <v>0.04</v>
      </c>
      <c r="J39" s="881">
        <v>0.04</v>
      </c>
      <c r="K39" s="881">
        <v>0.04</v>
      </c>
      <c r="L39" s="881">
        <v>0.04</v>
      </c>
      <c r="M39" s="881">
        <v>0.04</v>
      </c>
      <c r="N39" s="881">
        <v>0.04</v>
      </c>
      <c r="O39" s="881">
        <v>0.04</v>
      </c>
      <c r="P39" s="881">
        <v>0.04</v>
      </c>
      <c r="Q39" s="881">
        <v>0.04</v>
      </c>
      <c r="R39" s="881">
        <v>0.04</v>
      </c>
      <c r="S39" s="881">
        <v>0.04</v>
      </c>
      <c r="T39" s="881">
        <v>0.04</v>
      </c>
      <c r="U39" s="881">
        <v>0.04</v>
      </c>
      <c r="V39" s="881">
        <v>0.04</v>
      </c>
    </row>
    <row r="40" spans="1:22" x14ac:dyDescent="0.25">
      <c r="A40" s="881" t="s">
        <v>111</v>
      </c>
      <c r="B40" s="881" t="s">
        <v>68</v>
      </c>
      <c r="C40" s="881"/>
      <c r="D40" s="882" t="s">
        <v>1121</v>
      </c>
    </row>
    <row r="41" spans="1:22" x14ac:dyDescent="0.25">
      <c r="A41" s="881" t="s">
        <v>111</v>
      </c>
      <c r="B41" s="881" t="s">
        <v>68</v>
      </c>
      <c r="C41" s="881"/>
      <c r="D41" s="884" t="s">
        <v>1122</v>
      </c>
      <c r="E41" s="881">
        <v>0.6</v>
      </c>
      <c r="F41" s="881">
        <v>0.6</v>
      </c>
      <c r="G41" s="881">
        <v>0.6</v>
      </c>
      <c r="H41" s="881">
        <v>0.6</v>
      </c>
      <c r="I41" s="881">
        <v>0.6</v>
      </c>
      <c r="J41" s="881">
        <v>0.6</v>
      </c>
      <c r="K41" s="881">
        <v>0.6</v>
      </c>
      <c r="L41" s="881">
        <v>0.6</v>
      </c>
      <c r="M41" s="881">
        <v>0.6</v>
      </c>
      <c r="N41" s="881">
        <v>0.6</v>
      </c>
      <c r="O41" s="881">
        <v>0.6</v>
      </c>
      <c r="P41" s="881">
        <v>0.6</v>
      </c>
      <c r="Q41" s="881">
        <v>0.6</v>
      </c>
      <c r="R41" s="881">
        <v>0.6</v>
      </c>
      <c r="S41" s="881">
        <v>0.6</v>
      </c>
      <c r="T41" s="881">
        <v>0.6</v>
      </c>
      <c r="U41" s="881">
        <v>0.6</v>
      </c>
      <c r="V41" s="881">
        <v>0.6</v>
      </c>
    </row>
    <row r="42" spans="1:22" x14ac:dyDescent="0.25">
      <c r="A42" s="881" t="s">
        <v>111</v>
      </c>
      <c r="B42" s="881" t="s">
        <v>68</v>
      </c>
      <c r="C42" s="881"/>
      <c r="D42" s="884" t="s">
        <v>1123</v>
      </c>
      <c r="E42" s="881">
        <v>0</v>
      </c>
      <c r="F42" s="881">
        <v>0</v>
      </c>
      <c r="G42" s="881">
        <v>0</v>
      </c>
      <c r="H42" s="881">
        <v>0</v>
      </c>
      <c r="I42" s="881">
        <v>0</v>
      </c>
      <c r="J42" s="881">
        <v>0</v>
      </c>
      <c r="K42" s="881">
        <v>0</v>
      </c>
      <c r="L42" s="881">
        <v>0</v>
      </c>
      <c r="M42" s="881">
        <v>0</v>
      </c>
      <c r="N42" s="881">
        <v>0</v>
      </c>
      <c r="O42" s="881">
        <v>0</v>
      </c>
      <c r="P42" s="881">
        <v>0</v>
      </c>
      <c r="Q42" s="881">
        <v>0</v>
      </c>
      <c r="R42" s="881">
        <v>0</v>
      </c>
      <c r="S42" s="881">
        <v>0</v>
      </c>
      <c r="T42" s="881">
        <v>0</v>
      </c>
      <c r="U42" s="881">
        <v>0</v>
      </c>
      <c r="V42" s="881">
        <v>0</v>
      </c>
    </row>
    <row r="43" spans="1:22" x14ac:dyDescent="0.25">
      <c r="A43" s="881" t="s">
        <v>111</v>
      </c>
      <c r="B43" s="881" t="s">
        <v>68</v>
      </c>
      <c r="C43" s="883"/>
      <c r="D43" s="885" t="s">
        <v>1124</v>
      </c>
      <c r="E43" s="883">
        <v>5.9999999999999995E-4</v>
      </c>
      <c r="F43" s="883">
        <v>5.9999999999999995E-4</v>
      </c>
      <c r="G43" s="883">
        <v>5.9999999999999995E-4</v>
      </c>
      <c r="H43" s="883">
        <v>5.9999999999999995E-4</v>
      </c>
      <c r="I43" s="883">
        <v>5.9999999999999995E-4</v>
      </c>
      <c r="J43" s="883">
        <v>5.9999999999999995E-4</v>
      </c>
      <c r="K43" s="883">
        <v>5.9999999999999995E-4</v>
      </c>
      <c r="L43" s="883">
        <v>5.9999999999999995E-4</v>
      </c>
      <c r="M43" s="883">
        <v>5.9999999999999995E-4</v>
      </c>
      <c r="N43" s="883">
        <v>5.9999999999999995E-4</v>
      </c>
      <c r="O43" s="883">
        <v>5.9999999999999995E-4</v>
      </c>
      <c r="P43" s="883">
        <v>5.9999999999999995E-4</v>
      </c>
      <c r="Q43" s="883">
        <v>5.9999999999999995E-4</v>
      </c>
      <c r="R43" s="883">
        <v>5.9999999999999995E-4</v>
      </c>
      <c r="S43" s="883">
        <v>5.9999999999999995E-4</v>
      </c>
      <c r="T43" s="883">
        <v>5.9999999999999995E-4</v>
      </c>
      <c r="U43" s="883">
        <v>5.9999999999999995E-4</v>
      </c>
      <c r="V43" s="883">
        <v>5.9999999999999995E-4</v>
      </c>
    </row>
    <row r="44" spans="1:22" x14ac:dyDescent="0.25">
      <c r="A44" s="881" t="s">
        <v>111</v>
      </c>
      <c r="B44" s="881" t="s">
        <v>68</v>
      </c>
      <c r="C44" s="883"/>
      <c r="D44" s="885" t="s">
        <v>1125</v>
      </c>
      <c r="E44" s="883">
        <v>0.33289999999999997</v>
      </c>
      <c r="F44" s="883">
        <v>0.33289999999999997</v>
      </c>
      <c r="G44" s="883">
        <v>0.33289999999999997</v>
      </c>
      <c r="H44" s="883">
        <v>0.33289999999999997</v>
      </c>
      <c r="I44" s="883">
        <v>0.33289999999999997</v>
      </c>
      <c r="J44" s="883">
        <v>0.33289999999999997</v>
      </c>
      <c r="K44" s="883">
        <v>0.33289999999999997</v>
      </c>
      <c r="L44" s="883">
        <v>0.33289999999999997</v>
      </c>
      <c r="M44" s="883">
        <v>0.33289999999999997</v>
      </c>
      <c r="N44" s="883">
        <v>0.33289999999999997</v>
      </c>
      <c r="O44" s="883">
        <v>0.33289999999999997</v>
      </c>
      <c r="P44" s="883">
        <v>0.33289999999999997</v>
      </c>
      <c r="Q44" s="883">
        <v>0.33289999999999997</v>
      </c>
      <c r="R44" s="883">
        <v>0.33289999999999997</v>
      </c>
      <c r="S44" s="883">
        <v>0.33289999999999997</v>
      </c>
      <c r="T44" s="883">
        <v>0.33289999999999997</v>
      </c>
      <c r="U44" s="883">
        <v>0.33289999999999997</v>
      </c>
      <c r="V44" s="883">
        <v>0.33289999999999997</v>
      </c>
    </row>
    <row r="45" spans="1:22" x14ac:dyDescent="0.25">
      <c r="A45" s="881" t="s">
        <v>111</v>
      </c>
      <c r="B45" s="881" t="s">
        <v>68</v>
      </c>
      <c r="C45" s="883"/>
      <c r="D45" s="885" t="s">
        <v>1126</v>
      </c>
      <c r="E45" s="883">
        <v>0.33289999999999997</v>
      </c>
      <c r="F45" s="883">
        <v>0.33289999999999997</v>
      </c>
      <c r="G45" s="883">
        <v>0.33289999999999997</v>
      </c>
      <c r="H45" s="883">
        <v>0.33289999999999997</v>
      </c>
      <c r="I45" s="883">
        <v>0.33289999999999997</v>
      </c>
      <c r="J45" s="883">
        <v>0.33289999999999997</v>
      </c>
      <c r="K45" s="883">
        <v>0.33289999999999997</v>
      </c>
      <c r="L45" s="883">
        <v>0.33289999999999997</v>
      </c>
      <c r="M45" s="883">
        <v>0.33289999999999997</v>
      </c>
      <c r="N45" s="883">
        <v>0.33289999999999997</v>
      </c>
      <c r="O45" s="883">
        <v>0.33289999999999997</v>
      </c>
      <c r="P45" s="883">
        <v>0.33289999999999997</v>
      </c>
      <c r="Q45" s="883">
        <v>0.33289999999999997</v>
      </c>
      <c r="R45" s="883">
        <v>0.33289999999999997</v>
      </c>
      <c r="S45" s="883">
        <v>0.33289999999999997</v>
      </c>
      <c r="T45" s="883">
        <v>0.33289999999999997</v>
      </c>
      <c r="U45" s="883">
        <v>0.33289999999999997</v>
      </c>
      <c r="V45" s="883">
        <v>0.33289999999999997</v>
      </c>
    </row>
    <row r="46" spans="1:22" x14ac:dyDescent="0.25">
      <c r="A46" s="881" t="s">
        <v>111</v>
      </c>
      <c r="B46" s="881" t="s">
        <v>68</v>
      </c>
      <c r="C46" s="883"/>
      <c r="D46" s="885" t="s">
        <v>1127</v>
      </c>
      <c r="E46" s="883">
        <v>0.33289999999999997</v>
      </c>
      <c r="F46" s="883">
        <v>0.33289999999999997</v>
      </c>
      <c r="G46" s="883">
        <v>0.33289999999999997</v>
      </c>
      <c r="H46" s="883">
        <v>0.33289999999999997</v>
      </c>
      <c r="I46" s="883">
        <v>0.33289999999999997</v>
      </c>
      <c r="J46" s="883">
        <v>0.33289999999999997</v>
      </c>
      <c r="K46" s="883">
        <v>0.33289999999999997</v>
      </c>
      <c r="L46" s="883">
        <v>0.33289999999999997</v>
      </c>
      <c r="M46" s="883">
        <v>0.33289999999999997</v>
      </c>
      <c r="N46" s="883">
        <v>0.33289999999999997</v>
      </c>
      <c r="O46" s="883">
        <v>0.33289999999999997</v>
      </c>
      <c r="P46" s="883">
        <v>0.33289999999999997</v>
      </c>
      <c r="Q46" s="883">
        <v>0.33289999999999997</v>
      </c>
      <c r="R46" s="883">
        <v>0.33289999999999997</v>
      </c>
      <c r="S46" s="883">
        <v>0.33289999999999997</v>
      </c>
      <c r="T46" s="883">
        <v>0.33289999999999997</v>
      </c>
      <c r="U46" s="883">
        <v>0.33289999999999997</v>
      </c>
      <c r="V46" s="883">
        <v>0.33289999999999997</v>
      </c>
    </row>
    <row r="47" spans="1:22" x14ac:dyDescent="0.25">
      <c r="A47" s="881" t="s">
        <v>111</v>
      </c>
      <c r="B47" s="881" t="s">
        <v>68</v>
      </c>
      <c r="C47" s="881" t="s">
        <v>778</v>
      </c>
      <c r="D47" s="882" t="s">
        <v>1128</v>
      </c>
      <c r="E47" s="881">
        <v>1.9973999999999901E-4</v>
      </c>
      <c r="F47" s="881">
        <v>1.9973999999999901E-4</v>
      </c>
      <c r="G47" s="881">
        <v>1.9973999999999901E-4</v>
      </c>
      <c r="H47" s="881">
        <v>1.9973999999999901E-4</v>
      </c>
      <c r="I47" s="881">
        <v>1.9973999999999901E-4</v>
      </c>
      <c r="J47" s="881">
        <v>1.9973999999999901E-4</v>
      </c>
      <c r="K47" s="881">
        <v>1.9973999999999901E-4</v>
      </c>
      <c r="L47" s="881">
        <v>1.9973999999999901E-4</v>
      </c>
      <c r="M47" s="881">
        <v>1.9973999999999901E-4</v>
      </c>
      <c r="N47" s="881">
        <v>1.9973999999999901E-4</v>
      </c>
      <c r="O47" s="881">
        <v>1.9973999999999901E-4</v>
      </c>
      <c r="P47" s="881">
        <v>1.9973999999999901E-4</v>
      </c>
      <c r="Q47" s="881">
        <v>1.9973999999999901E-4</v>
      </c>
      <c r="R47" s="881">
        <v>1.9973999999999901E-4</v>
      </c>
      <c r="S47" s="881">
        <v>1.9973999999999901E-4</v>
      </c>
      <c r="T47" s="881">
        <v>1.9973999999999901E-4</v>
      </c>
      <c r="U47" s="881">
        <v>1.9973999999999901E-4</v>
      </c>
      <c r="V47" s="881">
        <v>1.9973999999999901E-4</v>
      </c>
    </row>
    <row r="48" spans="1:22" x14ac:dyDescent="0.25">
      <c r="A48" s="881" t="s">
        <v>111</v>
      </c>
      <c r="B48" s="881" t="s">
        <v>68</v>
      </c>
      <c r="C48" s="881"/>
      <c r="D48" s="882" t="s">
        <v>1129</v>
      </c>
    </row>
    <row r="49" spans="1:22" x14ac:dyDescent="0.25">
      <c r="A49" s="881" t="s">
        <v>111</v>
      </c>
      <c r="B49" s="881" t="s">
        <v>68</v>
      </c>
      <c r="C49" s="881"/>
      <c r="D49" s="882" t="s">
        <v>1130</v>
      </c>
    </row>
    <row r="50" spans="1:22" x14ac:dyDescent="0.25">
      <c r="A50" s="881" t="s">
        <v>111</v>
      </c>
      <c r="B50" s="881" t="s">
        <v>68</v>
      </c>
      <c r="C50" s="881"/>
      <c r="D50" s="884" t="s">
        <v>1143</v>
      </c>
      <c r="E50" s="881">
        <v>48.3</v>
      </c>
      <c r="F50" s="881">
        <v>48.3</v>
      </c>
      <c r="G50" s="881">
        <v>48.3</v>
      </c>
      <c r="H50" s="881">
        <v>48.3</v>
      </c>
      <c r="I50" s="881">
        <v>48.3</v>
      </c>
      <c r="J50" s="881">
        <v>48.3</v>
      </c>
      <c r="K50" s="881">
        <v>48.3</v>
      </c>
      <c r="L50" s="881">
        <v>48.3</v>
      </c>
      <c r="M50" s="881">
        <v>48.3</v>
      </c>
      <c r="N50" s="881">
        <v>48.3</v>
      </c>
      <c r="O50" s="881">
        <v>48.3</v>
      </c>
      <c r="P50" s="881">
        <v>48.3</v>
      </c>
      <c r="Q50" s="881">
        <v>48.3</v>
      </c>
      <c r="R50" s="881">
        <v>48.3</v>
      </c>
      <c r="S50" s="881">
        <v>48.3</v>
      </c>
      <c r="T50" s="881">
        <v>48.3</v>
      </c>
      <c r="U50" s="881">
        <v>48.3</v>
      </c>
      <c r="V50" s="881">
        <v>48.3</v>
      </c>
    </row>
    <row r="51" spans="1:22" x14ac:dyDescent="0.25">
      <c r="A51" s="881" t="s">
        <v>111</v>
      </c>
      <c r="B51" s="881" t="s">
        <v>68</v>
      </c>
      <c r="C51" s="883"/>
      <c r="D51" s="885" t="s">
        <v>1144</v>
      </c>
      <c r="E51" s="883">
        <v>11.263</v>
      </c>
      <c r="F51" s="883">
        <v>11.263</v>
      </c>
      <c r="G51" s="883">
        <v>11.263</v>
      </c>
      <c r="H51" s="883">
        <v>11.263</v>
      </c>
      <c r="I51" s="883">
        <v>11.263</v>
      </c>
      <c r="J51" s="883">
        <v>11.263</v>
      </c>
      <c r="K51" s="883">
        <v>11.263</v>
      </c>
      <c r="L51" s="883">
        <v>11.263</v>
      </c>
      <c r="M51" s="883">
        <v>11.263</v>
      </c>
      <c r="N51" s="883">
        <v>11.263</v>
      </c>
      <c r="O51" s="883">
        <v>11.263</v>
      </c>
      <c r="P51" s="883">
        <v>11.263</v>
      </c>
      <c r="Q51" s="883">
        <v>11.263</v>
      </c>
      <c r="R51" s="883">
        <v>11.263</v>
      </c>
      <c r="S51" s="883">
        <v>11.263</v>
      </c>
      <c r="T51" s="883">
        <v>11.263</v>
      </c>
      <c r="U51" s="883">
        <v>11.263</v>
      </c>
      <c r="V51" s="883">
        <v>11.263</v>
      </c>
    </row>
    <row r="52" spans="1:22" x14ac:dyDescent="0.25">
      <c r="A52" s="881" t="s">
        <v>111</v>
      </c>
      <c r="B52" s="881" t="s">
        <v>68</v>
      </c>
      <c r="C52" s="883" t="s">
        <v>264</v>
      </c>
      <c r="D52" s="886" t="s">
        <v>1145</v>
      </c>
      <c r="E52" s="883">
        <v>0.54400289999999996</v>
      </c>
      <c r="F52" s="883">
        <v>0.54400289999999996</v>
      </c>
      <c r="G52" s="883">
        <v>0.54400289999999996</v>
      </c>
      <c r="H52" s="883">
        <v>0.54400289999999996</v>
      </c>
      <c r="I52" s="883">
        <v>0.54400289999999996</v>
      </c>
      <c r="J52" s="883">
        <v>0.54400289999999996</v>
      </c>
      <c r="K52" s="883">
        <v>0.54400289999999996</v>
      </c>
      <c r="L52" s="883">
        <v>0.54400289999999996</v>
      </c>
      <c r="M52" s="883">
        <v>0.54400289999999996</v>
      </c>
      <c r="N52" s="883">
        <v>0.54400289999999996</v>
      </c>
      <c r="O52" s="883">
        <v>0.54400289999999996</v>
      </c>
      <c r="P52" s="883">
        <v>0.54400289999999996</v>
      </c>
      <c r="Q52" s="883">
        <v>0.54400289999999996</v>
      </c>
      <c r="R52" s="883">
        <v>0.54400289999999996</v>
      </c>
      <c r="S52" s="883">
        <v>0.54400289999999996</v>
      </c>
      <c r="T52" s="883">
        <v>0.54400289999999996</v>
      </c>
      <c r="U52" s="883">
        <v>0.54400289999999996</v>
      </c>
      <c r="V52" s="883">
        <v>0.54400289999999996</v>
      </c>
    </row>
    <row r="53" spans="1:22" x14ac:dyDescent="0.25">
      <c r="A53" s="881" t="s">
        <v>111</v>
      </c>
      <c r="B53" s="881" t="s">
        <v>68</v>
      </c>
      <c r="C53" s="881"/>
      <c r="D53" s="882" t="s">
        <v>1131</v>
      </c>
      <c r="E53" s="881">
        <v>0.58420264</v>
      </c>
      <c r="F53" s="881">
        <v>0.58420264</v>
      </c>
      <c r="G53" s="881">
        <v>0.58420264</v>
      </c>
      <c r="H53" s="881">
        <v>0.58420264</v>
      </c>
      <c r="I53" s="881">
        <v>0.58420264</v>
      </c>
      <c r="J53" s="881">
        <v>0.58420264</v>
      </c>
      <c r="K53" s="881">
        <v>0.58420264</v>
      </c>
      <c r="L53" s="881">
        <v>0.58420264</v>
      </c>
      <c r="M53" s="881">
        <v>0.58420264</v>
      </c>
      <c r="N53" s="881">
        <v>0.58420264</v>
      </c>
      <c r="O53" s="881">
        <v>0.58420264</v>
      </c>
      <c r="P53" s="881">
        <v>0.58420264</v>
      </c>
      <c r="Q53" s="881">
        <v>0.58420264</v>
      </c>
      <c r="R53" s="881">
        <v>0.58420264</v>
      </c>
      <c r="S53" s="881">
        <v>0.58420264</v>
      </c>
      <c r="T53" s="881">
        <v>0.58420264</v>
      </c>
      <c r="U53" s="881">
        <v>0.58420264</v>
      </c>
      <c r="V53" s="881">
        <v>0.58420264</v>
      </c>
    </row>
    <row r="54" spans="1:22" x14ac:dyDescent="0.25">
      <c r="A54" s="881" t="s">
        <v>111</v>
      </c>
      <c r="B54" s="881" t="s">
        <v>68</v>
      </c>
      <c r="C54" s="881"/>
      <c r="D54" s="882" t="s">
        <v>1132</v>
      </c>
    </row>
    <row r="55" spans="1:22" x14ac:dyDescent="0.25">
      <c r="A55" s="881" t="s">
        <v>111</v>
      </c>
      <c r="B55" s="881" t="s">
        <v>68</v>
      </c>
      <c r="C55" s="883"/>
      <c r="D55" s="885" t="s">
        <v>1133</v>
      </c>
      <c r="E55" s="883">
        <v>3.54132328535503</v>
      </c>
      <c r="F55" s="883">
        <v>4.0825536529198896</v>
      </c>
      <c r="G55" s="883">
        <v>4.6151370530302804</v>
      </c>
      <c r="H55" s="883">
        <v>4.7204926546137003</v>
      </c>
      <c r="I55" s="883">
        <v>4.2816079006073897</v>
      </c>
      <c r="J55" s="883">
        <v>4.61774840312499</v>
      </c>
      <c r="K55" s="883">
        <v>3.6370825733754901</v>
      </c>
      <c r="L55" s="883">
        <v>3.1998593487156</v>
      </c>
      <c r="M55" s="883">
        <v>3.4441400635944199</v>
      </c>
      <c r="N55" s="883">
        <v>2.6697967759149801</v>
      </c>
      <c r="O55" s="883">
        <v>3.6621728781104101</v>
      </c>
      <c r="P55" s="883">
        <v>3.9547219031793199</v>
      </c>
      <c r="Q55" s="883">
        <v>4.3060793499123999</v>
      </c>
      <c r="R55" s="883">
        <v>4.66270835833049</v>
      </c>
      <c r="S55" s="883">
        <v>5.2056863414265502</v>
      </c>
      <c r="T55" s="883">
        <v>5.4531502607765896</v>
      </c>
      <c r="U55" s="883">
        <v>5.0764131270513699</v>
      </c>
      <c r="V55" s="883">
        <v>4.0447960531742</v>
      </c>
    </row>
    <row r="56" spans="1:22" x14ac:dyDescent="0.25">
      <c r="A56" s="881" t="s">
        <v>111</v>
      </c>
      <c r="B56" s="881" t="s">
        <v>68</v>
      </c>
      <c r="C56" s="881" t="s">
        <v>196</v>
      </c>
      <c r="D56" s="884" t="s">
        <v>1134</v>
      </c>
      <c r="E56" s="881">
        <v>2.12479397121302E-3</v>
      </c>
      <c r="F56" s="881">
        <v>2.4495321917519298E-3</v>
      </c>
      <c r="G56" s="881">
        <v>2.7690822318181601E-3</v>
      </c>
      <c r="H56" s="881">
        <v>2.8322955927682198E-3</v>
      </c>
      <c r="I56" s="881">
        <v>2.5689647403644299E-3</v>
      </c>
      <c r="J56" s="881">
        <v>2.77064904187499E-3</v>
      </c>
      <c r="K56" s="881">
        <v>2.1822495440252899E-3</v>
      </c>
      <c r="L56" s="881">
        <v>1.91991560922936E-3</v>
      </c>
      <c r="M56" s="881">
        <v>2.0664840381566501E-3</v>
      </c>
      <c r="N56" s="881">
        <v>1.60187806554899E-3</v>
      </c>
      <c r="O56" s="881">
        <v>2.1973037268662398E-3</v>
      </c>
      <c r="P56" s="881">
        <v>2.3728331419075898E-3</v>
      </c>
      <c r="Q56" s="881">
        <v>2.5836476099474399E-3</v>
      </c>
      <c r="R56" s="881">
        <v>2.7976250149982901E-3</v>
      </c>
      <c r="S56" s="881">
        <v>3.1234118048559301E-3</v>
      </c>
      <c r="T56" s="881">
        <v>3.27189015646595E-3</v>
      </c>
      <c r="U56" s="881">
        <v>3.0458478762308201E-3</v>
      </c>
      <c r="V56" s="881">
        <v>2.4268776319045201E-3</v>
      </c>
    </row>
    <row r="57" spans="1:22" x14ac:dyDescent="0.25">
      <c r="A57" s="881" t="s">
        <v>111</v>
      </c>
      <c r="B57" s="881" t="s">
        <v>68</v>
      </c>
      <c r="C57" s="881"/>
      <c r="D57" s="882" t="s">
        <v>1135</v>
      </c>
    </row>
    <row r="58" spans="1:22" x14ac:dyDescent="0.25">
      <c r="A58" s="881" t="s">
        <v>111</v>
      </c>
      <c r="B58" s="881" t="s">
        <v>68</v>
      </c>
      <c r="C58" s="883"/>
      <c r="D58" s="885" t="s">
        <v>1136</v>
      </c>
      <c r="E58" s="883">
        <v>0.34906843462946002</v>
      </c>
      <c r="F58" s="883">
        <v>0.16939007523933</v>
      </c>
      <c r="G58" s="883">
        <v>9.4024398016510996E-2</v>
      </c>
      <c r="H58" s="883">
        <v>7.9005885786712304E-2</v>
      </c>
      <c r="I58" s="883">
        <v>4.2818241030573301E-2</v>
      </c>
      <c r="J58" s="883">
        <v>5.3348528484577801E-2</v>
      </c>
      <c r="K58" s="883">
        <v>0.24690512534735301</v>
      </c>
      <c r="L58" s="883">
        <v>0.286805863570613</v>
      </c>
      <c r="M58" s="883">
        <v>0.2714755224323</v>
      </c>
      <c r="N58" s="883">
        <v>0.23977615362243901</v>
      </c>
      <c r="O58" s="883">
        <v>0.112823983088882</v>
      </c>
      <c r="P58" s="883">
        <v>3.1676324500992899E-2</v>
      </c>
      <c r="Q58" s="883">
        <v>5.1767532114618299E-2</v>
      </c>
      <c r="R58" s="883">
        <v>6.4560825100963504E-2</v>
      </c>
      <c r="S58" s="883">
        <v>0.10990553607190399</v>
      </c>
      <c r="T58" s="883">
        <v>0.18637651503338701</v>
      </c>
      <c r="U58" s="883">
        <v>0.28860955010716799</v>
      </c>
      <c r="V58" s="883">
        <v>0.33287319112658798</v>
      </c>
    </row>
    <row r="59" spans="1:22" x14ac:dyDescent="0.25">
      <c r="A59" s="881" t="s">
        <v>111</v>
      </c>
      <c r="B59" s="881" t="s">
        <v>68</v>
      </c>
      <c r="C59" s="881" t="s">
        <v>198</v>
      </c>
      <c r="D59" s="884" t="s">
        <v>1137</v>
      </c>
      <c r="E59" s="881">
        <v>2.0944106077767601E-4</v>
      </c>
      <c r="F59" s="881">
        <v>1.01634045143598E-4</v>
      </c>
      <c r="G59" s="881">
        <v>5.6414638809906603E-5</v>
      </c>
      <c r="H59" s="881">
        <v>4.7403531472027398E-5</v>
      </c>
      <c r="I59" s="881">
        <v>2.5690944618344001E-5</v>
      </c>
      <c r="J59" s="881">
        <v>3.2009117090746697E-5</v>
      </c>
      <c r="K59" s="881">
        <v>1.48143075208412E-4</v>
      </c>
      <c r="L59" s="881">
        <v>1.72083518142368E-4</v>
      </c>
      <c r="M59" s="881">
        <v>1.6288531345937999E-4</v>
      </c>
      <c r="N59" s="881">
        <v>1.4386569217346299E-4</v>
      </c>
      <c r="O59" s="881">
        <v>6.7694389853329204E-5</v>
      </c>
      <c r="P59" s="881">
        <v>1.90057947005957E-5</v>
      </c>
      <c r="Q59" s="881">
        <v>3.1060519268770998E-5</v>
      </c>
      <c r="R59" s="881">
        <v>3.8736495060578099E-5</v>
      </c>
      <c r="S59" s="881">
        <v>6.5943321643142407E-5</v>
      </c>
      <c r="T59" s="881">
        <v>1.11825909020032E-4</v>
      </c>
      <c r="U59" s="881">
        <v>1.731657300643E-4</v>
      </c>
      <c r="V59" s="881">
        <v>1.9972391467595299E-4</v>
      </c>
    </row>
    <row r="60" spans="1:22" x14ac:dyDescent="0.25">
      <c r="A60" s="881" t="s">
        <v>111</v>
      </c>
      <c r="B60" s="881" t="s">
        <v>68</v>
      </c>
      <c r="C60" s="881"/>
      <c r="D60" s="882" t="s">
        <v>1138</v>
      </c>
    </row>
    <row r="61" spans="1:22" x14ac:dyDescent="0.25">
      <c r="A61" s="881" t="s">
        <v>111</v>
      </c>
      <c r="B61" s="881" t="s">
        <v>68</v>
      </c>
      <c r="C61" s="883"/>
      <c r="D61" s="885" t="s">
        <v>1139</v>
      </c>
      <c r="E61" s="883">
        <v>0</v>
      </c>
      <c r="F61" s="883">
        <v>0</v>
      </c>
      <c r="G61" s="883">
        <v>0</v>
      </c>
      <c r="H61" s="883">
        <v>0</v>
      </c>
      <c r="I61" s="883">
        <v>0</v>
      </c>
      <c r="J61" s="883">
        <v>0</v>
      </c>
      <c r="K61" s="883">
        <v>0</v>
      </c>
      <c r="L61" s="883">
        <v>0</v>
      </c>
      <c r="M61" s="883">
        <v>0</v>
      </c>
      <c r="N61" s="883">
        <v>0</v>
      </c>
      <c r="O61" s="883">
        <v>0</v>
      </c>
      <c r="P61" s="883">
        <v>0</v>
      </c>
      <c r="Q61" s="883">
        <v>0</v>
      </c>
      <c r="R61" s="883">
        <v>0</v>
      </c>
      <c r="S61" s="883">
        <v>0</v>
      </c>
      <c r="T61" s="883">
        <v>0</v>
      </c>
      <c r="U61" s="883">
        <v>0</v>
      </c>
      <c r="V61" s="883">
        <v>0</v>
      </c>
    </row>
    <row r="62" spans="1:22" x14ac:dyDescent="0.25">
      <c r="A62" s="881" t="s">
        <v>111</v>
      </c>
      <c r="B62" s="881" t="s">
        <v>68</v>
      </c>
      <c r="C62" s="881" t="s">
        <v>670</v>
      </c>
      <c r="D62" s="884" t="s">
        <v>1140</v>
      </c>
      <c r="E62" s="881">
        <v>0</v>
      </c>
      <c r="F62" s="881">
        <v>0</v>
      </c>
      <c r="G62" s="881">
        <v>0</v>
      </c>
      <c r="H62" s="881">
        <v>0</v>
      </c>
      <c r="I62" s="881">
        <v>0</v>
      </c>
      <c r="J62" s="881">
        <v>0</v>
      </c>
      <c r="K62" s="881">
        <v>0</v>
      </c>
      <c r="L62" s="881">
        <v>0</v>
      </c>
      <c r="M62" s="881">
        <v>0</v>
      </c>
      <c r="N62" s="881">
        <v>0</v>
      </c>
      <c r="O62" s="881">
        <v>0</v>
      </c>
      <c r="P62" s="881">
        <v>0</v>
      </c>
      <c r="Q62" s="881">
        <v>0</v>
      </c>
      <c r="R62" s="881">
        <v>0</v>
      </c>
      <c r="S62" s="881">
        <v>0</v>
      </c>
      <c r="T62" s="881">
        <v>0</v>
      </c>
      <c r="U62" s="881">
        <v>0</v>
      </c>
      <c r="V62" s="881">
        <v>0</v>
      </c>
    </row>
    <row r="63" spans="1:22" x14ac:dyDescent="0.25">
      <c r="A63" s="881" t="s">
        <v>111</v>
      </c>
      <c r="B63" s="881" t="s">
        <v>68</v>
      </c>
      <c r="C63" s="881"/>
      <c r="D63" s="882" t="s">
        <v>1141</v>
      </c>
      <c r="E63" s="881">
        <v>0.58653687503199003</v>
      </c>
      <c r="F63" s="881">
        <v>0.58675380623689499</v>
      </c>
      <c r="G63" s="881">
        <v>0.58702813687062805</v>
      </c>
      <c r="H63" s="881">
        <v>0.58708233912424002</v>
      </c>
      <c r="I63" s="881">
        <v>0.58679729568498196</v>
      </c>
      <c r="J63" s="881">
        <v>0.58700529815896496</v>
      </c>
      <c r="K63" s="881">
        <v>0.58653303261923295</v>
      </c>
      <c r="L63" s="881">
        <v>0.58629463912737101</v>
      </c>
      <c r="M63" s="881">
        <v>0.58643200935161599</v>
      </c>
      <c r="N63" s="881">
        <v>0.58594838375772196</v>
      </c>
      <c r="O63" s="881">
        <v>0.58646763811671898</v>
      </c>
      <c r="P63" s="881">
        <v>0.58659447893660799</v>
      </c>
      <c r="Q63" s="881">
        <v>0.58681734812921604</v>
      </c>
      <c r="R63" s="881">
        <v>0.58703900151005795</v>
      </c>
      <c r="S63" s="881">
        <v>0.58739199512649898</v>
      </c>
      <c r="T63" s="881">
        <v>0.58758635606548604</v>
      </c>
      <c r="U63" s="881">
        <v>0.58742165360629495</v>
      </c>
      <c r="V63" s="881">
        <v>0.58682924154658</v>
      </c>
    </row>
    <row r="64" spans="1:22" s="82" customFormat="1" x14ac:dyDescent="0.25">
      <c r="A64" s="968" t="s">
        <v>116</v>
      </c>
      <c r="B64" s="968" t="s">
        <v>50</v>
      </c>
      <c r="C64" s="968"/>
      <c r="D64" s="969" t="s">
        <v>1146</v>
      </c>
    </row>
    <row r="65" spans="1:22" x14ac:dyDescent="0.25">
      <c r="A65" s="881" t="s">
        <v>116</v>
      </c>
      <c r="B65" s="881" t="s">
        <v>50</v>
      </c>
      <c r="C65" s="881"/>
      <c r="D65" s="882" t="s">
        <v>1114</v>
      </c>
    </row>
    <row r="66" spans="1:22" x14ac:dyDescent="0.25">
      <c r="A66" s="881" t="s">
        <v>116</v>
      </c>
      <c r="B66" s="881" t="s">
        <v>50</v>
      </c>
      <c r="C66" s="881"/>
      <c r="D66" s="884" t="s">
        <v>1115</v>
      </c>
      <c r="E66" s="881">
        <v>8</v>
      </c>
      <c r="F66" s="881">
        <v>8</v>
      </c>
      <c r="G66" s="881">
        <v>8</v>
      </c>
      <c r="H66" s="881">
        <v>8</v>
      </c>
      <c r="I66" s="881">
        <v>8</v>
      </c>
      <c r="J66" s="881">
        <v>8</v>
      </c>
      <c r="K66" s="881">
        <v>8</v>
      </c>
      <c r="L66" s="881">
        <v>8</v>
      </c>
      <c r="M66" s="881">
        <v>8</v>
      </c>
      <c r="N66" s="881">
        <v>8</v>
      </c>
      <c r="O66" s="881">
        <v>8</v>
      </c>
      <c r="P66" s="881">
        <v>8</v>
      </c>
      <c r="Q66" s="881">
        <v>8</v>
      </c>
      <c r="R66" s="881">
        <v>8</v>
      </c>
      <c r="S66" s="881">
        <v>8</v>
      </c>
      <c r="T66" s="881">
        <v>8</v>
      </c>
      <c r="U66" s="881">
        <v>8</v>
      </c>
      <c r="V66" s="881">
        <v>8</v>
      </c>
    </row>
    <row r="67" spans="1:22" x14ac:dyDescent="0.25">
      <c r="A67" s="881" t="s">
        <v>116</v>
      </c>
      <c r="B67" s="881" t="s">
        <v>50</v>
      </c>
      <c r="C67" s="881"/>
      <c r="D67" s="884" t="s">
        <v>1116</v>
      </c>
      <c r="E67" s="881">
        <v>0</v>
      </c>
      <c r="F67" s="881">
        <v>0</v>
      </c>
      <c r="G67" s="881">
        <v>0</v>
      </c>
      <c r="H67" s="881">
        <v>0</v>
      </c>
      <c r="I67" s="881">
        <v>0</v>
      </c>
      <c r="J67" s="881">
        <v>0</v>
      </c>
      <c r="K67" s="881">
        <v>0</v>
      </c>
      <c r="L67" s="881">
        <v>0</v>
      </c>
      <c r="M67" s="881">
        <v>0</v>
      </c>
      <c r="N67" s="881">
        <v>0</v>
      </c>
      <c r="O67" s="881">
        <v>0</v>
      </c>
      <c r="P67" s="881">
        <v>0</v>
      </c>
      <c r="Q67" s="881">
        <v>0</v>
      </c>
      <c r="R67" s="881">
        <v>0</v>
      </c>
      <c r="S67" s="881">
        <v>0</v>
      </c>
      <c r="T67" s="881">
        <v>0</v>
      </c>
      <c r="U67" s="881">
        <v>0</v>
      </c>
      <c r="V67" s="881">
        <v>0</v>
      </c>
    </row>
    <row r="68" spans="1:22" x14ac:dyDescent="0.25">
      <c r="A68" s="881" t="s">
        <v>116</v>
      </c>
      <c r="B68" s="881" t="s">
        <v>50</v>
      </c>
      <c r="C68" s="881"/>
      <c r="D68" s="884" t="s">
        <v>1117</v>
      </c>
      <c r="E68" s="881">
        <v>8</v>
      </c>
      <c r="F68" s="881">
        <v>8</v>
      </c>
      <c r="G68" s="881">
        <v>8</v>
      </c>
      <c r="H68" s="881">
        <v>8</v>
      </c>
      <c r="I68" s="881">
        <v>8</v>
      </c>
      <c r="J68" s="881">
        <v>8</v>
      </c>
      <c r="K68" s="881">
        <v>8</v>
      </c>
      <c r="L68" s="881">
        <v>8</v>
      </c>
      <c r="M68" s="881">
        <v>8</v>
      </c>
      <c r="N68" s="881">
        <v>8</v>
      </c>
      <c r="O68" s="881">
        <v>8</v>
      </c>
      <c r="P68" s="881">
        <v>8</v>
      </c>
      <c r="Q68" s="881">
        <v>8</v>
      </c>
      <c r="R68" s="881">
        <v>8</v>
      </c>
      <c r="S68" s="881">
        <v>8</v>
      </c>
      <c r="T68" s="881">
        <v>8</v>
      </c>
      <c r="U68" s="881">
        <v>8</v>
      </c>
      <c r="V68" s="881">
        <v>8</v>
      </c>
    </row>
    <row r="69" spans="1:22" x14ac:dyDescent="0.25">
      <c r="A69" s="881" t="s">
        <v>116</v>
      </c>
      <c r="B69" s="881" t="s">
        <v>50</v>
      </c>
      <c r="C69" s="881"/>
      <c r="D69" s="884" t="s">
        <v>1118</v>
      </c>
      <c r="E69" s="881">
        <v>0</v>
      </c>
      <c r="F69" s="881">
        <v>0</v>
      </c>
      <c r="G69" s="881">
        <v>0</v>
      </c>
      <c r="H69" s="881">
        <v>0</v>
      </c>
      <c r="I69" s="881">
        <v>0</v>
      </c>
      <c r="J69" s="881">
        <v>0</v>
      </c>
      <c r="K69" s="881">
        <v>0</v>
      </c>
      <c r="L69" s="881">
        <v>0</v>
      </c>
      <c r="M69" s="881">
        <v>0</v>
      </c>
      <c r="N69" s="881">
        <v>0</v>
      </c>
      <c r="O69" s="881">
        <v>0</v>
      </c>
      <c r="P69" s="881">
        <v>0</v>
      </c>
      <c r="Q69" s="881">
        <v>0</v>
      </c>
      <c r="R69" s="881">
        <v>0</v>
      </c>
      <c r="S69" s="881">
        <v>0</v>
      </c>
      <c r="T69" s="881">
        <v>0</v>
      </c>
      <c r="U69" s="881">
        <v>0</v>
      </c>
      <c r="V69" s="881">
        <v>0</v>
      </c>
    </row>
    <row r="70" spans="1:22" x14ac:dyDescent="0.25">
      <c r="A70" s="881" t="s">
        <v>116</v>
      </c>
      <c r="B70" s="881" t="s">
        <v>50</v>
      </c>
      <c r="C70" s="881"/>
      <c r="D70" s="884" t="s">
        <v>1119</v>
      </c>
      <c r="E70" s="881">
        <v>0</v>
      </c>
      <c r="F70" s="881">
        <v>0</v>
      </c>
      <c r="G70" s="881">
        <v>0</v>
      </c>
      <c r="H70" s="881">
        <v>0</v>
      </c>
      <c r="I70" s="881">
        <v>0</v>
      </c>
      <c r="J70" s="881">
        <v>0</v>
      </c>
      <c r="K70" s="881">
        <v>0</v>
      </c>
      <c r="L70" s="881">
        <v>0</v>
      </c>
      <c r="M70" s="881">
        <v>0</v>
      </c>
      <c r="N70" s="881">
        <v>0</v>
      </c>
      <c r="O70" s="881">
        <v>0</v>
      </c>
      <c r="P70" s="881">
        <v>0</v>
      </c>
      <c r="Q70" s="881">
        <v>0</v>
      </c>
      <c r="R70" s="881">
        <v>0</v>
      </c>
      <c r="S70" s="881">
        <v>0</v>
      </c>
      <c r="T70" s="881">
        <v>0</v>
      </c>
      <c r="U70" s="881">
        <v>0</v>
      </c>
      <c r="V70" s="881">
        <v>0</v>
      </c>
    </row>
    <row r="71" spans="1:22" x14ac:dyDescent="0.25">
      <c r="A71" s="881" t="s">
        <v>116</v>
      </c>
      <c r="B71" s="881" t="s">
        <v>50</v>
      </c>
      <c r="C71" s="881" t="s">
        <v>169</v>
      </c>
      <c r="D71" s="882" t="s">
        <v>1120</v>
      </c>
      <c r="E71" s="881">
        <v>0</v>
      </c>
      <c r="F71" s="881">
        <v>0</v>
      </c>
      <c r="G71" s="881">
        <v>0</v>
      </c>
      <c r="H71" s="881">
        <v>0</v>
      </c>
      <c r="I71" s="881">
        <v>0</v>
      </c>
      <c r="J71" s="881">
        <v>0</v>
      </c>
      <c r="K71" s="881">
        <v>0</v>
      </c>
      <c r="L71" s="881">
        <v>0</v>
      </c>
      <c r="M71" s="881">
        <v>0</v>
      </c>
      <c r="N71" s="881">
        <v>0</v>
      </c>
      <c r="O71" s="881">
        <v>0</v>
      </c>
      <c r="P71" s="881">
        <v>0</v>
      </c>
      <c r="Q71" s="881">
        <v>0</v>
      </c>
      <c r="R71" s="881">
        <v>0</v>
      </c>
      <c r="S71" s="881">
        <v>0</v>
      </c>
      <c r="T71" s="881">
        <v>0</v>
      </c>
      <c r="U71" s="881">
        <v>0</v>
      </c>
      <c r="V71" s="881">
        <v>0</v>
      </c>
    </row>
    <row r="72" spans="1:22" x14ac:dyDescent="0.25">
      <c r="A72" s="881" t="s">
        <v>116</v>
      </c>
      <c r="B72" s="881" t="s">
        <v>50</v>
      </c>
      <c r="C72" s="881"/>
      <c r="D72" s="882" t="s">
        <v>1121</v>
      </c>
    </row>
    <row r="73" spans="1:22" x14ac:dyDescent="0.25">
      <c r="A73" s="881" t="s">
        <v>116</v>
      </c>
      <c r="B73" s="881" t="s">
        <v>50</v>
      </c>
      <c r="C73" s="881"/>
      <c r="D73" s="884" t="s">
        <v>1122</v>
      </c>
      <c r="E73" s="881">
        <v>35015.36664</v>
      </c>
      <c r="F73" s="881">
        <v>48105.333530000004</v>
      </c>
      <c r="G73" s="881">
        <v>65847.829060000004</v>
      </c>
      <c r="H73" s="881">
        <v>67015.759239999999</v>
      </c>
      <c r="I73" s="881">
        <v>70882.166679999995</v>
      </c>
      <c r="J73" s="881">
        <v>55405.035810000001</v>
      </c>
      <c r="K73" s="881">
        <v>26731.062279999998</v>
      </c>
      <c r="L73" s="881">
        <v>34379.91966</v>
      </c>
      <c r="M73" s="881">
        <v>34702.350659999996</v>
      </c>
      <c r="N73" s="881">
        <v>47677.804020000003</v>
      </c>
      <c r="O73" s="881">
        <v>65031.043729999998</v>
      </c>
      <c r="P73" s="881">
        <v>66680.623130000007</v>
      </c>
      <c r="Q73" s="881">
        <v>71477.742079999996</v>
      </c>
      <c r="R73" s="881">
        <v>55667.896890000004</v>
      </c>
      <c r="S73" s="881">
        <v>44910.96056</v>
      </c>
      <c r="T73" s="881">
        <v>27216.107380000001</v>
      </c>
      <c r="U73" s="881">
        <v>29021.848569999998</v>
      </c>
      <c r="V73" s="881">
        <v>30249.79163</v>
      </c>
    </row>
    <row r="74" spans="1:22" x14ac:dyDescent="0.25">
      <c r="A74" s="881" t="s">
        <v>116</v>
      </c>
      <c r="B74" s="881" t="s">
        <v>50</v>
      </c>
      <c r="C74" s="881"/>
      <c r="D74" s="884" t="s">
        <v>1123</v>
      </c>
      <c r="E74" s="881">
        <v>0</v>
      </c>
      <c r="F74" s="881">
        <v>0</v>
      </c>
      <c r="G74" s="881">
        <v>0</v>
      </c>
      <c r="H74" s="881">
        <v>0</v>
      </c>
      <c r="I74" s="881">
        <v>0</v>
      </c>
      <c r="J74" s="881">
        <v>0</v>
      </c>
      <c r="K74" s="881">
        <v>0</v>
      </c>
      <c r="L74" s="881">
        <v>0</v>
      </c>
      <c r="M74" s="881">
        <v>0</v>
      </c>
      <c r="N74" s="881">
        <v>0</v>
      </c>
      <c r="O74" s="881">
        <v>0</v>
      </c>
      <c r="P74" s="881">
        <v>0</v>
      </c>
      <c r="Q74" s="881">
        <v>0</v>
      </c>
      <c r="R74" s="881">
        <v>0</v>
      </c>
      <c r="S74" s="881">
        <v>0</v>
      </c>
      <c r="T74" s="881">
        <v>0</v>
      </c>
      <c r="U74" s="881">
        <v>0</v>
      </c>
      <c r="V74" s="881">
        <v>0</v>
      </c>
    </row>
    <row r="75" spans="1:22" x14ac:dyDescent="0.25">
      <c r="A75" s="881" t="s">
        <v>116</v>
      </c>
      <c r="B75" s="881" t="s">
        <v>50</v>
      </c>
      <c r="C75" s="883"/>
      <c r="D75" s="885" t="s">
        <v>1124</v>
      </c>
      <c r="E75" s="883">
        <v>35.015366640000003</v>
      </c>
      <c r="F75" s="883">
        <v>48.105333530000003</v>
      </c>
      <c r="G75" s="883">
        <v>65.847829059999995</v>
      </c>
      <c r="H75" s="883">
        <v>67.015759239999994</v>
      </c>
      <c r="I75" s="883">
        <v>70.882166679999997</v>
      </c>
      <c r="J75" s="883">
        <v>55.405035810000001</v>
      </c>
      <c r="K75" s="883">
        <v>26.73106228</v>
      </c>
      <c r="L75" s="883">
        <v>34.379919659999999</v>
      </c>
      <c r="M75" s="883">
        <v>34.70235066</v>
      </c>
      <c r="N75" s="883">
        <v>47.677804020000004</v>
      </c>
      <c r="O75" s="883">
        <v>65.031043729999993</v>
      </c>
      <c r="P75" s="883">
        <v>66.680623130000001</v>
      </c>
      <c r="Q75" s="883">
        <v>71.477742079999999</v>
      </c>
      <c r="R75" s="883">
        <v>55.667896890000002</v>
      </c>
      <c r="S75" s="883">
        <v>44.910960559999999</v>
      </c>
      <c r="T75" s="883">
        <v>27.21610738</v>
      </c>
      <c r="U75" s="883">
        <v>29.02184857</v>
      </c>
      <c r="V75" s="883">
        <v>30.249791630000001</v>
      </c>
    </row>
    <row r="76" spans="1:22" x14ac:dyDescent="0.25">
      <c r="A76" s="881" t="s">
        <v>116</v>
      </c>
      <c r="B76" s="881" t="s">
        <v>50</v>
      </c>
      <c r="C76" s="883"/>
      <c r="D76" s="885" t="s">
        <v>1125</v>
      </c>
      <c r="E76" s="883">
        <v>0.43020000000000003</v>
      </c>
      <c r="F76" s="883">
        <v>0.43020000000000003</v>
      </c>
      <c r="G76" s="883">
        <v>0.43020000000000003</v>
      </c>
      <c r="H76" s="883">
        <v>0.43020000000000003</v>
      </c>
      <c r="I76" s="883">
        <v>0.43020000000000003</v>
      </c>
      <c r="J76" s="883">
        <v>0.43020000000000003</v>
      </c>
      <c r="K76" s="883">
        <v>0.43020000000000003</v>
      </c>
      <c r="L76" s="883">
        <v>0.43020000000000003</v>
      </c>
      <c r="M76" s="883">
        <v>0.43020000000000003</v>
      </c>
      <c r="N76" s="883">
        <v>0.43020000000000003</v>
      </c>
      <c r="O76" s="883">
        <v>0.43020000000000003</v>
      </c>
      <c r="P76" s="883">
        <v>0.43020000000000003</v>
      </c>
      <c r="Q76" s="883">
        <v>0.43020000000000003</v>
      </c>
      <c r="R76" s="883">
        <v>0.43020000000000003</v>
      </c>
      <c r="S76" s="883">
        <v>0.43020000000000003</v>
      </c>
      <c r="T76" s="883">
        <v>0.43020000000000003</v>
      </c>
      <c r="U76" s="883">
        <v>0.43020000000000003</v>
      </c>
      <c r="V76" s="883">
        <v>0.43020000000000003</v>
      </c>
    </row>
    <row r="77" spans="1:22" x14ac:dyDescent="0.25">
      <c r="A77" s="881" t="s">
        <v>116</v>
      </c>
      <c r="B77" s="881" t="s">
        <v>50</v>
      </c>
      <c r="C77" s="883"/>
      <c r="D77" s="885" t="s">
        <v>1126</v>
      </c>
      <c r="E77" s="883">
        <v>0.43020000000000003</v>
      </c>
      <c r="F77" s="883">
        <v>0.43020000000000003</v>
      </c>
      <c r="G77" s="883">
        <v>0.43020000000000003</v>
      </c>
      <c r="H77" s="883">
        <v>0.43020000000000003</v>
      </c>
      <c r="I77" s="883">
        <v>0.43020000000000003</v>
      </c>
      <c r="J77" s="883">
        <v>0.43020000000000003</v>
      </c>
      <c r="K77" s="883">
        <v>0.43020000000000003</v>
      </c>
      <c r="L77" s="883">
        <v>0.43020000000000003</v>
      </c>
      <c r="M77" s="883">
        <v>0.43020000000000003</v>
      </c>
      <c r="N77" s="883">
        <v>0.43020000000000003</v>
      </c>
      <c r="O77" s="883">
        <v>0.43020000000000003</v>
      </c>
      <c r="P77" s="883">
        <v>0.43020000000000003</v>
      </c>
      <c r="Q77" s="883">
        <v>0.43020000000000003</v>
      </c>
      <c r="R77" s="883">
        <v>0.43020000000000003</v>
      </c>
      <c r="S77" s="883">
        <v>0.43020000000000003</v>
      </c>
      <c r="T77" s="883">
        <v>0.43020000000000003</v>
      </c>
      <c r="U77" s="883">
        <v>0.43020000000000003</v>
      </c>
      <c r="V77" s="883">
        <v>0.43020000000000003</v>
      </c>
    </row>
    <row r="78" spans="1:22" x14ac:dyDescent="0.25">
      <c r="A78" s="881" t="s">
        <v>116</v>
      </c>
      <c r="B78" s="881" t="s">
        <v>50</v>
      </c>
      <c r="C78" s="883"/>
      <c r="D78" s="885" t="s">
        <v>1127</v>
      </c>
      <c r="E78" s="883">
        <v>0</v>
      </c>
      <c r="F78" s="883">
        <v>0</v>
      </c>
      <c r="G78" s="883">
        <v>0</v>
      </c>
      <c r="H78" s="883">
        <v>0</v>
      </c>
      <c r="I78" s="883">
        <v>0</v>
      </c>
      <c r="J78" s="883">
        <v>0</v>
      </c>
      <c r="K78" s="883">
        <v>0</v>
      </c>
      <c r="L78" s="883">
        <v>0</v>
      </c>
      <c r="M78" s="883">
        <v>0</v>
      </c>
      <c r="N78" s="883">
        <v>0</v>
      </c>
      <c r="O78" s="883">
        <v>0</v>
      </c>
      <c r="P78" s="883">
        <v>0</v>
      </c>
      <c r="Q78" s="883">
        <v>0</v>
      </c>
      <c r="R78" s="883">
        <v>0</v>
      </c>
      <c r="S78" s="883">
        <v>0</v>
      </c>
      <c r="T78" s="883">
        <v>0</v>
      </c>
      <c r="U78" s="883">
        <v>0</v>
      </c>
      <c r="V78" s="883">
        <v>0</v>
      </c>
    </row>
    <row r="79" spans="1:22" x14ac:dyDescent="0.25">
      <c r="A79" s="881" t="s">
        <v>116</v>
      </c>
      <c r="B79" s="881" t="s">
        <v>50</v>
      </c>
      <c r="C79" s="881" t="s">
        <v>778</v>
      </c>
      <c r="D79" s="882" t="s">
        <v>1128</v>
      </c>
      <c r="E79" s="881">
        <v>15.063610728527999</v>
      </c>
      <c r="F79" s="881">
        <v>20.694914484605999</v>
      </c>
      <c r="G79" s="881">
        <v>28.327736061612001</v>
      </c>
      <c r="H79" s="881">
        <v>28.830179625048</v>
      </c>
      <c r="I79" s="881">
        <v>30.493508105736002</v>
      </c>
      <c r="J79" s="881">
        <v>23.835246405462001</v>
      </c>
      <c r="K79" s="881">
        <v>11.499702992855999</v>
      </c>
      <c r="L79" s="881">
        <v>14.790241437732</v>
      </c>
      <c r="M79" s="881">
        <v>14.928951253931899</v>
      </c>
      <c r="N79" s="881">
        <v>20.510991289404</v>
      </c>
      <c r="O79" s="881">
        <v>27.976355012646</v>
      </c>
      <c r="P79" s="881">
        <v>28.686004070526</v>
      </c>
      <c r="Q79" s="881">
        <v>30.749724642815998</v>
      </c>
      <c r="R79" s="881">
        <v>23.948329242078</v>
      </c>
      <c r="S79" s="881">
        <v>19.320695232912001</v>
      </c>
      <c r="T79" s="881">
        <v>11.708369394876</v>
      </c>
      <c r="U79" s="881">
        <v>12.485199254814001</v>
      </c>
      <c r="V79" s="881">
        <v>13.013460359226</v>
      </c>
    </row>
    <row r="80" spans="1:22" x14ac:dyDescent="0.25">
      <c r="A80" s="881" t="s">
        <v>116</v>
      </c>
      <c r="B80" s="881" t="s">
        <v>50</v>
      </c>
      <c r="C80" s="881"/>
      <c r="D80" s="882" t="s">
        <v>1129</v>
      </c>
    </row>
    <row r="81" spans="1:22" x14ac:dyDescent="0.25">
      <c r="A81" s="881" t="s">
        <v>116</v>
      </c>
      <c r="B81" s="881" t="s">
        <v>50</v>
      </c>
      <c r="C81" s="881"/>
      <c r="D81" s="884" t="s">
        <v>1147</v>
      </c>
      <c r="E81" s="881">
        <v>550</v>
      </c>
      <c r="F81" s="881">
        <v>550</v>
      </c>
      <c r="G81" s="881">
        <v>550</v>
      </c>
      <c r="H81" s="881">
        <v>550</v>
      </c>
      <c r="I81" s="881">
        <v>550</v>
      </c>
      <c r="J81" s="881">
        <v>550</v>
      </c>
      <c r="K81" s="881">
        <v>550</v>
      </c>
      <c r="L81" s="881">
        <v>550</v>
      </c>
      <c r="M81" s="881">
        <v>550</v>
      </c>
      <c r="N81" s="881">
        <v>550</v>
      </c>
      <c r="O81" s="881">
        <v>550</v>
      </c>
      <c r="P81" s="881">
        <v>550</v>
      </c>
      <c r="Q81" s="881">
        <v>550</v>
      </c>
      <c r="R81" s="881">
        <v>550</v>
      </c>
      <c r="S81" s="881">
        <v>550</v>
      </c>
      <c r="T81" s="881">
        <v>550</v>
      </c>
      <c r="U81" s="881">
        <v>550</v>
      </c>
      <c r="V81" s="881">
        <v>550</v>
      </c>
    </row>
    <row r="82" spans="1:22" x14ac:dyDescent="0.25">
      <c r="A82" s="881" t="s">
        <v>116</v>
      </c>
      <c r="B82" s="881" t="s">
        <v>50</v>
      </c>
      <c r="C82" s="881" t="s">
        <v>1148</v>
      </c>
      <c r="D82" s="886" t="s">
        <v>1149</v>
      </c>
      <c r="E82" s="883">
        <v>4.4000000000000004</v>
      </c>
      <c r="F82" s="883">
        <v>4.4000000000000004</v>
      </c>
      <c r="G82" s="883">
        <v>4.4000000000000004</v>
      </c>
      <c r="H82" s="883">
        <v>4.4000000000000004</v>
      </c>
      <c r="I82" s="883">
        <v>4.4000000000000004</v>
      </c>
      <c r="J82" s="883">
        <v>4.4000000000000004</v>
      </c>
      <c r="K82" s="883">
        <v>4.4000000000000004</v>
      </c>
      <c r="L82" s="883">
        <v>4.4000000000000004</v>
      </c>
      <c r="M82" s="883">
        <v>4.4000000000000004</v>
      </c>
      <c r="N82" s="883">
        <v>4.4000000000000004</v>
      </c>
      <c r="O82" s="883">
        <v>4.4000000000000004</v>
      </c>
      <c r="P82" s="883">
        <v>4.4000000000000004</v>
      </c>
      <c r="Q82" s="883">
        <v>4.4000000000000004</v>
      </c>
      <c r="R82" s="883">
        <v>4.4000000000000004</v>
      </c>
      <c r="S82" s="883">
        <v>4.4000000000000004</v>
      </c>
      <c r="T82" s="883">
        <v>4.4000000000000004</v>
      </c>
      <c r="U82" s="883">
        <v>4.4000000000000004</v>
      </c>
      <c r="V82" s="883">
        <v>4.4000000000000004</v>
      </c>
    </row>
    <row r="83" spans="1:22" x14ac:dyDescent="0.25">
      <c r="A83" s="881" t="s">
        <v>116</v>
      </c>
      <c r="B83" s="881" t="s">
        <v>50</v>
      </c>
      <c r="C83" s="881"/>
      <c r="D83" s="882" t="s">
        <v>1130</v>
      </c>
    </row>
    <row r="84" spans="1:22" x14ac:dyDescent="0.25">
      <c r="A84" s="881" t="s">
        <v>116</v>
      </c>
      <c r="B84" s="881" t="s">
        <v>50</v>
      </c>
      <c r="C84" s="883"/>
      <c r="D84" s="882" t="s">
        <v>1131</v>
      </c>
      <c r="E84" s="881">
        <v>19.463610728528</v>
      </c>
      <c r="F84" s="881">
        <v>25.094914484606001</v>
      </c>
      <c r="G84" s="881">
        <v>32.727736061611999</v>
      </c>
      <c r="H84" s="881">
        <v>33.230179625048002</v>
      </c>
      <c r="I84" s="881">
        <v>34.893508105735997</v>
      </c>
      <c r="J84" s="881">
        <v>28.235246405462</v>
      </c>
      <c r="K84" s="881">
        <v>15.899702992856</v>
      </c>
      <c r="L84" s="881">
        <v>19.190241437731999</v>
      </c>
      <c r="M84" s="881">
        <v>19.328951253931901</v>
      </c>
      <c r="N84" s="881">
        <v>24.910991289403999</v>
      </c>
      <c r="O84" s="881">
        <v>32.376355012646002</v>
      </c>
      <c r="P84" s="881">
        <v>33.086004070526002</v>
      </c>
      <c r="Q84" s="881">
        <v>35.149724642815997</v>
      </c>
      <c r="R84" s="881">
        <v>28.348329242078002</v>
      </c>
      <c r="S84" s="881">
        <v>23.720695232912</v>
      </c>
      <c r="T84" s="881">
        <v>16.108369394876</v>
      </c>
      <c r="U84" s="881">
        <v>16.885199254814001</v>
      </c>
      <c r="V84" s="881">
        <v>17.413460359226001</v>
      </c>
    </row>
    <row r="85" spans="1:22" x14ac:dyDescent="0.25">
      <c r="A85" s="881" t="s">
        <v>116</v>
      </c>
      <c r="B85" s="881" t="s">
        <v>50</v>
      </c>
      <c r="C85" s="881"/>
      <c r="D85" s="882" t="s">
        <v>1132</v>
      </c>
    </row>
    <row r="86" spans="1:22" x14ac:dyDescent="0.25">
      <c r="A86" s="881" t="s">
        <v>116</v>
      </c>
      <c r="B86" s="881" t="s">
        <v>50</v>
      </c>
      <c r="C86" s="881"/>
      <c r="D86" s="885" t="s">
        <v>1133</v>
      </c>
      <c r="E86" s="883">
        <v>0</v>
      </c>
      <c r="F86" s="883">
        <v>0</v>
      </c>
      <c r="G86" s="883">
        <v>0</v>
      </c>
      <c r="H86" s="883">
        <v>0</v>
      </c>
      <c r="I86" s="883">
        <v>0</v>
      </c>
      <c r="J86" s="883">
        <v>0</v>
      </c>
      <c r="K86" s="883">
        <v>0</v>
      </c>
      <c r="L86" s="883">
        <v>0</v>
      </c>
      <c r="M86" s="883">
        <v>0</v>
      </c>
      <c r="N86" s="883">
        <v>0</v>
      </c>
      <c r="O86" s="883">
        <v>0</v>
      </c>
      <c r="P86" s="883">
        <v>0</v>
      </c>
      <c r="Q86" s="883">
        <v>0</v>
      </c>
      <c r="R86" s="883">
        <v>0</v>
      </c>
      <c r="S86" s="883">
        <v>0</v>
      </c>
      <c r="T86" s="883">
        <v>0</v>
      </c>
      <c r="U86" s="883">
        <v>0</v>
      </c>
      <c r="V86" s="883">
        <v>0</v>
      </c>
    </row>
    <row r="87" spans="1:22" x14ac:dyDescent="0.25">
      <c r="A87" s="881" t="s">
        <v>116</v>
      </c>
      <c r="B87" s="881" t="s">
        <v>50</v>
      </c>
      <c r="C87" s="883" t="s">
        <v>196</v>
      </c>
      <c r="D87" s="884" t="s">
        <v>1134</v>
      </c>
      <c r="E87" s="881">
        <v>0</v>
      </c>
      <c r="F87" s="881">
        <v>0</v>
      </c>
      <c r="G87" s="881">
        <v>0</v>
      </c>
      <c r="H87" s="881">
        <v>0</v>
      </c>
      <c r="I87" s="881">
        <v>0</v>
      </c>
      <c r="J87" s="881">
        <v>0</v>
      </c>
      <c r="K87" s="881">
        <v>0</v>
      </c>
      <c r="L87" s="881">
        <v>0</v>
      </c>
      <c r="M87" s="881">
        <v>0</v>
      </c>
      <c r="N87" s="881">
        <v>0</v>
      </c>
      <c r="O87" s="881">
        <v>0</v>
      </c>
      <c r="P87" s="881">
        <v>0</v>
      </c>
      <c r="Q87" s="881">
        <v>0</v>
      </c>
      <c r="R87" s="881">
        <v>0</v>
      </c>
      <c r="S87" s="881">
        <v>0</v>
      </c>
      <c r="T87" s="881">
        <v>0</v>
      </c>
      <c r="U87" s="881">
        <v>0</v>
      </c>
      <c r="V87" s="881">
        <v>0</v>
      </c>
    </row>
    <row r="88" spans="1:22" x14ac:dyDescent="0.25">
      <c r="A88" s="881" t="s">
        <v>116</v>
      </c>
      <c r="B88" s="881" t="s">
        <v>50</v>
      </c>
      <c r="C88" s="881"/>
      <c r="D88" s="882" t="s">
        <v>1135</v>
      </c>
    </row>
    <row r="89" spans="1:22" x14ac:dyDescent="0.25">
      <c r="A89" s="881" t="s">
        <v>116</v>
      </c>
      <c r="B89" s="881" t="s">
        <v>50</v>
      </c>
      <c r="C89" s="881"/>
      <c r="D89" s="885" t="s">
        <v>1136</v>
      </c>
      <c r="E89" s="883">
        <v>0.34906843462946002</v>
      </c>
      <c r="F89" s="883">
        <v>0.16939007523933</v>
      </c>
      <c r="G89" s="883">
        <v>9.4024398016510996E-2</v>
      </c>
      <c r="H89" s="883">
        <v>7.9005885786712304E-2</v>
      </c>
      <c r="I89" s="883">
        <v>4.2818241030573301E-2</v>
      </c>
      <c r="J89" s="883">
        <v>5.3348528484577801E-2</v>
      </c>
      <c r="K89" s="883">
        <v>0.24690512534735301</v>
      </c>
      <c r="L89" s="883">
        <v>0.286805863570613</v>
      </c>
      <c r="M89" s="883">
        <v>0.2714755224323</v>
      </c>
      <c r="N89" s="883">
        <v>0.23977615362243901</v>
      </c>
      <c r="O89" s="883">
        <v>0.112823983088882</v>
      </c>
      <c r="P89" s="883">
        <v>3.1676324500992899E-2</v>
      </c>
      <c r="Q89" s="883">
        <v>5.1767532114618299E-2</v>
      </c>
      <c r="R89" s="883">
        <v>6.4560825100963504E-2</v>
      </c>
      <c r="S89" s="883">
        <v>0.10990553607190399</v>
      </c>
      <c r="T89" s="883">
        <v>0.18637651503338701</v>
      </c>
      <c r="U89" s="883">
        <v>0.28860955010716799</v>
      </c>
      <c r="V89" s="883">
        <v>0.33287319112658798</v>
      </c>
    </row>
    <row r="90" spans="1:22" x14ac:dyDescent="0.25">
      <c r="A90" s="881" t="s">
        <v>116</v>
      </c>
      <c r="B90" s="881" t="s">
        <v>50</v>
      </c>
      <c r="C90" s="883" t="s">
        <v>198</v>
      </c>
      <c r="D90" s="884" t="s">
        <v>1137</v>
      </c>
      <c r="E90" s="881">
        <v>12.2227592210014</v>
      </c>
      <c r="F90" s="881">
        <v>8.1485660660597699</v>
      </c>
      <c r="G90" s="881">
        <v>6.1913024880606198</v>
      </c>
      <c r="H90" s="881">
        <v>5.2946394204252503</v>
      </c>
      <c r="I90" s="881">
        <v>3.03504969767351</v>
      </c>
      <c r="J90" s="881">
        <v>2.9557771310988401</v>
      </c>
      <c r="K90" s="881">
        <v>6.6000362829113097</v>
      </c>
      <c r="L90" s="881">
        <v>9.8603625475746206</v>
      </c>
      <c r="M90" s="881">
        <v>9.4208387750523901</v>
      </c>
      <c r="N90" s="881">
        <v>11.432000461080101</v>
      </c>
      <c r="O90" s="881">
        <v>7.3370613780458598</v>
      </c>
      <c r="P90" s="881">
        <v>2.1121970561942902</v>
      </c>
      <c r="Q90" s="881">
        <v>3.7002263086067999</v>
      </c>
      <c r="R90" s="881">
        <v>3.59396535485376</v>
      </c>
      <c r="S90" s="881">
        <v>4.93596319585094</v>
      </c>
      <c r="T90" s="881">
        <v>5.0724432462588496</v>
      </c>
      <c r="U90" s="881">
        <v>8.3759826590660609</v>
      </c>
      <c r="V90" s="881">
        <v>10.0693446707924</v>
      </c>
    </row>
    <row r="91" spans="1:22" x14ac:dyDescent="0.25">
      <c r="A91" s="881" t="s">
        <v>116</v>
      </c>
      <c r="B91" s="881" t="s">
        <v>50</v>
      </c>
      <c r="C91" s="881"/>
      <c r="D91" s="882" t="s">
        <v>1138</v>
      </c>
    </row>
    <row r="92" spans="1:22" x14ac:dyDescent="0.25">
      <c r="A92" s="881" t="s">
        <v>116</v>
      </c>
      <c r="B92" s="881" t="s">
        <v>50</v>
      </c>
      <c r="C92" s="881"/>
      <c r="D92" s="885" t="s">
        <v>1139</v>
      </c>
      <c r="E92" s="883">
        <v>0</v>
      </c>
      <c r="F92" s="883">
        <v>0</v>
      </c>
      <c r="G92" s="883">
        <v>0</v>
      </c>
      <c r="H92" s="883">
        <v>0</v>
      </c>
      <c r="I92" s="883">
        <v>0</v>
      </c>
      <c r="J92" s="883">
        <v>0</v>
      </c>
      <c r="K92" s="883">
        <v>0</v>
      </c>
      <c r="L92" s="883">
        <v>0</v>
      </c>
      <c r="M92" s="883">
        <v>0</v>
      </c>
      <c r="N92" s="883">
        <v>0</v>
      </c>
      <c r="O92" s="883">
        <v>0</v>
      </c>
      <c r="P92" s="883">
        <v>0</v>
      </c>
      <c r="Q92" s="883">
        <v>0</v>
      </c>
      <c r="R92" s="883">
        <v>0</v>
      </c>
      <c r="S92" s="883">
        <v>0</v>
      </c>
      <c r="T92" s="883">
        <v>0</v>
      </c>
      <c r="U92" s="883">
        <v>0</v>
      </c>
      <c r="V92" s="883">
        <v>0</v>
      </c>
    </row>
    <row r="93" spans="1:22" x14ac:dyDescent="0.25">
      <c r="A93" s="881" t="s">
        <v>116</v>
      </c>
      <c r="B93" s="881" t="s">
        <v>50</v>
      </c>
      <c r="C93" s="881" t="s">
        <v>670</v>
      </c>
      <c r="D93" s="884" t="s">
        <v>1140</v>
      </c>
      <c r="E93" s="881">
        <v>0</v>
      </c>
      <c r="F93" s="881">
        <v>0</v>
      </c>
      <c r="G93" s="881">
        <v>0</v>
      </c>
      <c r="H93" s="881">
        <v>0</v>
      </c>
      <c r="I93" s="881">
        <v>0</v>
      </c>
      <c r="J93" s="881">
        <v>0</v>
      </c>
      <c r="K93" s="881">
        <v>0</v>
      </c>
      <c r="L93" s="881">
        <v>0</v>
      </c>
      <c r="M93" s="881">
        <v>0</v>
      </c>
      <c r="N93" s="881">
        <v>0</v>
      </c>
      <c r="O93" s="881">
        <v>0</v>
      </c>
      <c r="P93" s="881">
        <v>0</v>
      </c>
      <c r="Q93" s="881">
        <v>0</v>
      </c>
      <c r="R93" s="881">
        <v>0</v>
      </c>
      <c r="S93" s="881">
        <v>0</v>
      </c>
      <c r="T93" s="881">
        <v>0</v>
      </c>
      <c r="U93" s="881">
        <v>0</v>
      </c>
      <c r="V93" s="881">
        <v>0</v>
      </c>
    </row>
    <row r="94" spans="1:22" x14ac:dyDescent="0.25">
      <c r="A94" s="881" t="s">
        <v>116</v>
      </c>
      <c r="B94" s="881" t="s">
        <v>50</v>
      </c>
      <c r="C94" s="881"/>
      <c r="D94" s="882" t="s">
        <v>1141</v>
      </c>
      <c r="E94" s="881">
        <v>31.6863699495294</v>
      </c>
      <c r="F94" s="881">
        <v>33.243480550665701</v>
      </c>
      <c r="G94" s="881">
        <v>38.919038549672599</v>
      </c>
      <c r="H94" s="881">
        <v>38.524819045473201</v>
      </c>
      <c r="I94" s="881">
        <v>37.928557803409497</v>
      </c>
      <c r="J94" s="881">
        <v>31.191023536560799</v>
      </c>
      <c r="K94" s="881">
        <v>22.4997392757673</v>
      </c>
      <c r="L94" s="881">
        <v>29.050603985306601</v>
      </c>
      <c r="M94" s="881">
        <v>28.7497900289843</v>
      </c>
      <c r="N94" s="881">
        <v>36.342991750484103</v>
      </c>
      <c r="O94" s="881">
        <v>39.713416390691798</v>
      </c>
      <c r="P94" s="881">
        <v>35.198201126720299</v>
      </c>
      <c r="Q94" s="881">
        <v>38.849950951422798</v>
      </c>
      <c r="R94" s="881">
        <v>31.942294596931699</v>
      </c>
      <c r="S94" s="881">
        <v>28.656658428762899</v>
      </c>
      <c r="T94" s="881">
        <v>21.1808126411348</v>
      </c>
      <c r="U94" s="881">
        <v>25.261181913880002</v>
      </c>
      <c r="V94" s="881">
        <v>27.482805030018401</v>
      </c>
    </row>
    <row r="95" spans="1:22" s="82" customFormat="1" x14ac:dyDescent="0.25">
      <c r="A95" s="968" t="s">
        <v>891</v>
      </c>
      <c r="B95" s="968" t="s">
        <v>39</v>
      </c>
      <c r="C95" s="968"/>
      <c r="D95" s="969" t="s">
        <v>1150</v>
      </c>
    </row>
    <row r="96" spans="1:22" x14ac:dyDescent="0.25">
      <c r="A96" s="881" t="s">
        <v>891</v>
      </c>
      <c r="B96" s="881" t="s">
        <v>39</v>
      </c>
      <c r="C96" s="881"/>
      <c r="D96" s="882" t="s">
        <v>1114</v>
      </c>
    </row>
    <row r="97" spans="1:22" x14ac:dyDescent="0.25">
      <c r="A97" s="881" t="s">
        <v>891</v>
      </c>
      <c r="B97" s="881" t="s">
        <v>39</v>
      </c>
      <c r="C97" s="881"/>
      <c r="D97" s="884" t="s">
        <v>1115</v>
      </c>
      <c r="E97" s="881">
        <v>0</v>
      </c>
      <c r="F97" s="881">
        <v>0</v>
      </c>
      <c r="G97" s="881">
        <v>0</v>
      </c>
      <c r="H97" s="881">
        <v>0</v>
      </c>
      <c r="I97" s="881">
        <v>0</v>
      </c>
      <c r="J97" s="881">
        <v>0</v>
      </c>
      <c r="K97" s="881">
        <v>0</v>
      </c>
      <c r="L97" s="881">
        <v>0</v>
      </c>
      <c r="M97" s="881">
        <v>0</v>
      </c>
      <c r="N97" s="881">
        <v>0</v>
      </c>
      <c r="O97" s="881">
        <v>0</v>
      </c>
      <c r="P97" s="881">
        <v>0</v>
      </c>
      <c r="Q97" s="881">
        <v>0</v>
      </c>
      <c r="R97" s="881">
        <v>0</v>
      </c>
      <c r="S97" s="881">
        <v>0</v>
      </c>
      <c r="T97" s="881">
        <v>0</v>
      </c>
      <c r="U97" s="881">
        <v>0</v>
      </c>
      <c r="V97" s="881">
        <v>0</v>
      </c>
    </row>
    <row r="98" spans="1:22" x14ac:dyDescent="0.25">
      <c r="A98" s="881" t="s">
        <v>891</v>
      </c>
      <c r="B98" s="881" t="s">
        <v>39</v>
      </c>
      <c r="C98" s="881"/>
      <c r="D98" s="884" t="s">
        <v>1116</v>
      </c>
      <c r="E98" s="881">
        <v>0</v>
      </c>
      <c r="F98" s="881">
        <v>0</v>
      </c>
      <c r="G98" s="881">
        <v>0</v>
      </c>
      <c r="H98" s="881">
        <v>0</v>
      </c>
      <c r="I98" s="881">
        <v>0</v>
      </c>
      <c r="J98" s="881">
        <v>0</v>
      </c>
      <c r="K98" s="881">
        <v>0</v>
      </c>
      <c r="L98" s="881">
        <v>0</v>
      </c>
      <c r="M98" s="881">
        <v>0</v>
      </c>
      <c r="N98" s="881">
        <v>0</v>
      </c>
      <c r="O98" s="881">
        <v>0</v>
      </c>
      <c r="P98" s="881">
        <v>0</v>
      </c>
      <c r="Q98" s="881">
        <v>0</v>
      </c>
      <c r="R98" s="881">
        <v>0</v>
      </c>
      <c r="S98" s="881">
        <v>0</v>
      </c>
      <c r="T98" s="881">
        <v>0</v>
      </c>
      <c r="U98" s="881">
        <v>0</v>
      </c>
      <c r="V98" s="881">
        <v>0</v>
      </c>
    </row>
    <row r="99" spans="1:22" x14ac:dyDescent="0.25">
      <c r="A99" s="881" t="s">
        <v>891</v>
      </c>
      <c r="B99" s="881" t="s">
        <v>39</v>
      </c>
      <c r="C99" s="881"/>
      <c r="D99" s="884" t="s">
        <v>1117</v>
      </c>
      <c r="E99" s="881">
        <v>0</v>
      </c>
      <c r="F99" s="881">
        <v>0</v>
      </c>
      <c r="G99" s="881">
        <v>0</v>
      </c>
      <c r="H99" s="881">
        <v>0</v>
      </c>
      <c r="I99" s="881">
        <v>0</v>
      </c>
      <c r="J99" s="881">
        <v>0</v>
      </c>
      <c r="K99" s="881">
        <v>0</v>
      </c>
      <c r="L99" s="881">
        <v>0</v>
      </c>
      <c r="M99" s="881">
        <v>0</v>
      </c>
      <c r="N99" s="881">
        <v>0</v>
      </c>
      <c r="O99" s="881">
        <v>0</v>
      </c>
      <c r="P99" s="881">
        <v>0</v>
      </c>
      <c r="Q99" s="881">
        <v>0</v>
      </c>
      <c r="R99" s="881">
        <v>0</v>
      </c>
      <c r="S99" s="881">
        <v>0</v>
      </c>
      <c r="T99" s="881">
        <v>0</v>
      </c>
      <c r="U99" s="881">
        <v>0</v>
      </c>
      <c r="V99" s="881">
        <v>0</v>
      </c>
    </row>
    <row r="100" spans="1:22" x14ac:dyDescent="0.25">
      <c r="A100" s="881" t="s">
        <v>891</v>
      </c>
      <c r="B100" s="881" t="s">
        <v>39</v>
      </c>
      <c r="C100" s="881"/>
      <c r="D100" s="884" t="s">
        <v>1118</v>
      </c>
      <c r="E100" s="881">
        <v>550</v>
      </c>
      <c r="F100" s="881">
        <v>550</v>
      </c>
      <c r="G100" s="881">
        <v>550</v>
      </c>
      <c r="H100" s="881">
        <v>550</v>
      </c>
      <c r="I100" s="881">
        <v>550</v>
      </c>
      <c r="J100" s="881">
        <v>550</v>
      </c>
      <c r="K100" s="881">
        <v>550</v>
      </c>
      <c r="L100" s="881">
        <v>550</v>
      </c>
      <c r="M100" s="881">
        <v>550</v>
      </c>
      <c r="N100" s="881">
        <v>550</v>
      </c>
      <c r="O100" s="881">
        <v>550</v>
      </c>
      <c r="P100" s="881">
        <v>550</v>
      </c>
      <c r="Q100" s="881">
        <v>550</v>
      </c>
      <c r="R100" s="881">
        <v>550</v>
      </c>
      <c r="S100" s="881">
        <v>550</v>
      </c>
      <c r="T100" s="881">
        <v>550</v>
      </c>
      <c r="U100" s="881">
        <v>550</v>
      </c>
      <c r="V100" s="881">
        <v>550</v>
      </c>
    </row>
    <row r="101" spans="1:22" x14ac:dyDescent="0.25">
      <c r="A101" s="881" t="s">
        <v>891</v>
      </c>
      <c r="B101" s="881" t="s">
        <v>39</v>
      </c>
      <c r="C101" s="881"/>
      <c r="D101" s="884" t="s">
        <v>1119</v>
      </c>
      <c r="E101" s="881">
        <v>0</v>
      </c>
      <c r="F101" s="881">
        <v>0</v>
      </c>
      <c r="G101" s="881">
        <v>0</v>
      </c>
      <c r="H101" s="881">
        <v>0</v>
      </c>
      <c r="I101" s="881">
        <v>0</v>
      </c>
      <c r="J101" s="881">
        <v>0</v>
      </c>
      <c r="K101" s="881">
        <v>0</v>
      </c>
      <c r="L101" s="881">
        <v>0</v>
      </c>
      <c r="M101" s="881">
        <v>0</v>
      </c>
      <c r="N101" s="881">
        <v>0</v>
      </c>
      <c r="O101" s="881">
        <v>0</v>
      </c>
      <c r="P101" s="881">
        <v>0</v>
      </c>
      <c r="Q101" s="881">
        <v>0</v>
      </c>
      <c r="R101" s="881">
        <v>0</v>
      </c>
      <c r="S101" s="881">
        <v>0</v>
      </c>
      <c r="T101" s="881">
        <v>0</v>
      </c>
      <c r="U101" s="881">
        <v>0</v>
      </c>
      <c r="V101" s="881">
        <v>0</v>
      </c>
    </row>
    <row r="102" spans="1:22" x14ac:dyDescent="0.25">
      <c r="A102" s="881" t="s">
        <v>891</v>
      </c>
      <c r="B102" s="881" t="s">
        <v>39</v>
      </c>
      <c r="C102" s="881" t="s">
        <v>169</v>
      </c>
      <c r="D102" s="882" t="s">
        <v>1120</v>
      </c>
      <c r="E102" s="881">
        <v>0</v>
      </c>
      <c r="F102" s="881">
        <v>0</v>
      </c>
      <c r="G102" s="881">
        <v>0</v>
      </c>
      <c r="H102" s="881">
        <v>0</v>
      </c>
      <c r="I102" s="881">
        <v>0</v>
      </c>
      <c r="J102" s="881">
        <v>0</v>
      </c>
      <c r="K102" s="881">
        <v>0</v>
      </c>
      <c r="L102" s="881">
        <v>0</v>
      </c>
      <c r="M102" s="881">
        <v>0</v>
      </c>
      <c r="N102" s="881">
        <v>0</v>
      </c>
      <c r="O102" s="881">
        <v>0</v>
      </c>
      <c r="P102" s="881">
        <v>0</v>
      </c>
      <c r="Q102" s="881">
        <v>0</v>
      </c>
      <c r="R102" s="881">
        <v>0</v>
      </c>
      <c r="S102" s="881">
        <v>0</v>
      </c>
      <c r="T102" s="881">
        <v>0</v>
      </c>
      <c r="U102" s="881">
        <v>0</v>
      </c>
      <c r="V102" s="881">
        <v>0</v>
      </c>
    </row>
    <row r="103" spans="1:22" x14ac:dyDescent="0.25">
      <c r="A103" s="881" t="s">
        <v>891</v>
      </c>
      <c r="B103" s="881" t="s">
        <v>39</v>
      </c>
      <c r="C103" s="881"/>
      <c r="D103" s="882" t="s">
        <v>1121</v>
      </c>
    </row>
    <row r="104" spans="1:22" x14ac:dyDescent="0.25">
      <c r="A104" s="881" t="s">
        <v>891</v>
      </c>
      <c r="B104" s="881" t="s">
        <v>39</v>
      </c>
      <c r="C104" s="881"/>
      <c r="D104" s="884" t="s">
        <v>1122</v>
      </c>
      <c r="E104" s="881">
        <v>0</v>
      </c>
      <c r="F104" s="881">
        <v>0</v>
      </c>
      <c r="G104" s="881">
        <v>0</v>
      </c>
      <c r="H104" s="881">
        <v>0</v>
      </c>
      <c r="I104" s="881">
        <v>0</v>
      </c>
      <c r="J104" s="881">
        <v>0</v>
      </c>
      <c r="K104" s="881">
        <v>0</v>
      </c>
      <c r="L104" s="881">
        <v>0</v>
      </c>
      <c r="M104" s="881">
        <v>0</v>
      </c>
      <c r="N104" s="881">
        <v>0</v>
      </c>
      <c r="O104" s="881">
        <v>0</v>
      </c>
      <c r="P104" s="881">
        <v>0</v>
      </c>
      <c r="Q104" s="881">
        <v>0</v>
      </c>
      <c r="R104" s="881">
        <v>0</v>
      </c>
      <c r="S104" s="881">
        <v>0</v>
      </c>
      <c r="T104" s="881">
        <v>0</v>
      </c>
      <c r="U104" s="881">
        <v>0</v>
      </c>
      <c r="V104" s="881">
        <v>0</v>
      </c>
    </row>
    <row r="105" spans="1:22" x14ac:dyDescent="0.25">
      <c r="A105" s="881" t="s">
        <v>891</v>
      </c>
      <c r="B105" s="881" t="s">
        <v>39</v>
      </c>
      <c r="C105" s="881"/>
      <c r="D105" s="884" t="s">
        <v>1123</v>
      </c>
      <c r="E105" s="881">
        <v>0</v>
      </c>
      <c r="F105" s="881">
        <v>0</v>
      </c>
      <c r="G105" s="881">
        <v>0</v>
      </c>
      <c r="H105" s="881">
        <v>0</v>
      </c>
      <c r="I105" s="881">
        <v>0</v>
      </c>
      <c r="J105" s="881">
        <v>0</v>
      </c>
      <c r="K105" s="881">
        <v>0</v>
      </c>
      <c r="L105" s="881">
        <v>0</v>
      </c>
      <c r="M105" s="881">
        <v>0</v>
      </c>
      <c r="N105" s="881">
        <v>0</v>
      </c>
      <c r="O105" s="881">
        <v>0</v>
      </c>
      <c r="P105" s="881">
        <v>0</v>
      </c>
      <c r="Q105" s="881">
        <v>0</v>
      </c>
      <c r="R105" s="881">
        <v>0</v>
      </c>
      <c r="S105" s="881">
        <v>0</v>
      </c>
      <c r="T105" s="881">
        <v>0</v>
      </c>
      <c r="U105" s="881">
        <v>0</v>
      </c>
      <c r="V105" s="881">
        <v>0</v>
      </c>
    </row>
    <row r="106" spans="1:22" x14ac:dyDescent="0.25">
      <c r="A106" s="881" t="s">
        <v>891</v>
      </c>
      <c r="B106" s="881" t="s">
        <v>39</v>
      </c>
      <c r="C106" s="881"/>
      <c r="D106" s="885" t="s">
        <v>1124</v>
      </c>
      <c r="E106" s="883">
        <v>0</v>
      </c>
      <c r="F106" s="883">
        <v>0</v>
      </c>
      <c r="G106" s="883">
        <v>0</v>
      </c>
      <c r="H106" s="883">
        <v>0</v>
      </c>
      <c r="I106" s="883">
        <v>0</v>
      </c>
      <c r="J106" s="883">
        <v>0</v>
      </c>
      <c r="K106" s="883">
        <v>0</v>
      </c>
      <c r="L106" s="883">
        <v>0</v>
      </c>
      <c r="M106" s="883">
        <v>0</v>
      </c>
      <c r="N106" s="883">
        <v>0</v>
      </c>
      <c r="O106" s="883">
        <v>0</v>
      </c>
      <c r="P106" s="883">
        <v>0</v>
      </c>
      <c r="Q106" s="883">
        <v>0</v>
      </c>
      <c r="R106" s="883">
        <v>0</v>
      </c>
      <c r="S106" s="883">
        <v>0</v>
      </c>
      <c r="T106" s="883">
        <v>0</v>
      </c>
      <c r="U106" s="883">
        <v>0</v>
      </c>
      <c r="V106" s="883">
        <v>0</v>
      </c>
    </row>
    <row r="107" spans="1:22" x14ac:dyDescent="0.25">
      <c r="A107" s="881" t="s">
        <v>891</v>
      </c>
      <c r="B107" s="881" t="s">
        <v>39</v>
      </c>
      <c r="C107" s="881"/>
      <c r="D107" s="885" t="s">
        <v>1125</v>
      </c>
      <c r="E107" s="883">
        <v>2.1503999999999999</v>
      </c>
      <c r="F107" s="883">
        <v>2.1503999999999999</v>
      </c>
      <c r="G107" s="883">
        <v>2.1503999999999999</v>
      </c>
      <c r="H107" s="883">
        <v>2.1503999999999999</v>
      </c>
      <c r="I107" s="883">
        <v>2.1503999999999999</v>
      </c>
      <c r="J107" s="883">
        <v>2.1503999999999999</v>
      </c>
      <c r="K107" s="883">
        <v>2.1503999999999999</v>
      </c>
      <c r="L107" s="883">
        <v>2.1503999999999999</v>
      </c>
      <c r="M107" s="883">
        <v>2.1503999999999999</v>
      </c>
      <c r="N107" s="883">
        <v>2.1503999999999999</v>
      </c>
      <c r="O107" s="883">
        <v>2.1503999999999999</v>
      </c>
      <c r="P107" s="883">
        <v>2.1503999999999999</v>
      </c>
      <c r="Q107" s="883">
        <v>2.1503999999999999</v>
      </c>
      <c r="R107" s="883">
        <v>2.1503999999999999</v>
      </c>
      <c r="S107" s="883">
        <v>2.1503999999999999</v>
      </c>
      <c r="T107" s="883">
        <v>2.1503999999999999</v>
      </c>
      <c r="U107" s="883">
        <v>2.1503999999999999</v>
      </c>
      <c r="V107" s="883">
        <v>2.1503999999999999</v>
      </c>
    </row>
    <row r="108" spans="1:22" x14ac:dyDescent="0.25">
      <c r="A108" s="881" t="s">
        <v>891</v>
      </c>
      <c r="B108" s="881" t="s">
        <v>39</v>
      </c>
      <c r="C108" s="881"/>
      <c r="D108" s="885" t="s">
        <v>1126</v>
      </c>
      <c r="E108" s="883">
        <v>2.1503999999999999</v>
      </c>
      <c r="F108" s="883">
        <v>2.1503999999999999</v>
      </c>
      <c r="G108" s="883">
        <v>2.1503999999999999</v>
      </c>
      <c r="H108" s="883">
        <v>2.1503999999999999</v>
      </c>
      <c r="I108" s="883">
        <v>2.1503999999999999</v>
      </c>
      <c r="J108" s="883">
        <v>2.1503999999999999</v>
      </c>
      <c r="K108" s="883">
        <v>2.1503999999999999</v>
      </c>
      <c r="L108" s="883">
        <v>2.1503999999999999</v>
      </c>
      <c r="M108" s="883">
        <v>2.1503999999999999</v>
      </c>
      <c r="N108" s="883">
        <v>2.1503999999999999</v>
      </c>
      <c r="O108" s="883">
        <v>2.1503999999999999</v>
      </c>
      <c r="P108" s="883">
        <v>2.1503999999999999</v>
      </c>
      <c r="Q108" s="883">
        <v>2.1503999999999999</v>
      </c>
      <c r="R108" s="883">
        <v>2.1503999999999999</v>
      </c>
      <c r="S108" s="883">
        <v>2.1503999999999999</v>
      </c>
      <c r="T108" s="883">
        <v>2.1503999999999999</v>
      </c>
      <c r="U108" s="883">
        <v>2.1503999999999999</v>
      </c>
      <c r="V108" s="883">
        <v>2.1503999999999999</v>
      </c>
    </row>
    <row r="109" spans="1:22" x14ac:dyDescent="0.25">
      <c r="A109" s="881" t="s">
        <v>891</v>
      </c>
      <c r="B109" s="881" t="s">
        <v>39</v>
      </c>
      <c r="C109" s="881"/>
      <c r="D109" s="885" t="s">
        <v>1127</v>
      </c>
      <c r="E109" s="883">
        <v>1.6504000000000001</v>
      </c>
      <c r="F109" s="883">
        <v>1.6504000000000001</v>
      </c>
      <c r="G109" s="883">
        <v>2.1503999999999999</v>
      </c>
      <c r="H109" s="883">
        <v>2.1503999999999999</v>
      </c>
      <c r="I109" s="883">
        <v>2.1503999999999999</v>
      </c>
      <c r="J109" s="883">
        <v>2.1503999999999999</v>
      </c>
      <c r="K109" s="883">
        <v>1.6504000000000001</v>
      </c>
      <c r="L109" s="883">
        <v>1.6504000000000001</v>
      </c>
      <c r="M109" s="883">
        <v>1.6504000000000001</v>
      </c>
      <c r="N109" s="883">
        <v>1.6504000000000001</v>
      </c>
      <c r="O109" s="883">
        <v>2.1503999999999999</v>
      </c>
      <c r="P109" s="883">
        <v>2.1503999999999999</v>
      </c>
      <c r="Q109" s="883">
        <v>2.1503999999999999</v>
      </c>
      <c r="R109" s="883">
        <v>2.1503999999999999</v>
      </c>
      <c r="S109" s="883">
        <v>2.1503999999999999</v>
      </c>
      <c r="T109" s="883">
        <v>1.6504000000000001</v>
      </c>
      <c r="U109" s="883">
        <v>1.6504000000000001</v>
      </c>
      <c r="V109" s="883">
        <v>1.6504000000000001</v>
      </c>
    </row>
    <row r="110" spans="1:22" x14ac:dyDescent="0.25">
      <c r="A110" s="881" t="s">
        <v>891</v>
      </c>
      <c r="B110" s="881" t="s">
        <v>39</v>
      </c>
      <c r="C110" s="881" t="s">
        <v>778</v>
      </c>
      <c r="D110" s="882" t="s">
        <v>1128</v>
      </c>
      <c r="E110" s="881">
        <v>0</v>
      </c>
      <c r="F110" s="881">
        <v>0</v>
      </c>
      <c r="G110" s="881">
        <v>0</v>
      </c>
      <c r="H110" s="881">
        <v>0</v>
      </c>
      <c r="I110" s="881">
        <v>0</v>
      </c>
      <c r="J110" s="881">
        <v>0</v>
      </c>
      <c r="K110" s="881">
        <v>0</v>
      </c>
      <c r="L110" s="881">
        <v>0</v>
      </c>
      <c r="M110" s="881">
        <v>0</v>
      </c>
      <c r="N110" s="881">
        <v>0</v>
      </c>
      <c r="O110" s="881">
        <v>0</v>
      </c>
      <c r="P110" s="881">
        <v>0</v>
      </c>
      <c r="Q110" s="881">
        <v>0</v>
      </c>
      <c r="R110" s="881">
        <v>0</v>
      </c>
      <c r="S110" s="881">
        <v>0</v>
      </c>
      <c r="T110" s="881">
        <v>0</v>
      </c>
      <c r="U110" s="881">
        <v>0</v>
      </c>
      <c r="V110" s="881">
        <v>0</v>
      </c>
    </row>
    <row r="111" spans="1:22" x14ac:dyDescent="0.25">
      <c r="A111" s="881" t="s">
        <v>891</v>
      </c>
      <c r="B111" s="881" t="s">
        <v>39</v>
      </c>
      <c r="C111" s="881"/>
      <c r="D111" s="882" t="s">
        <v>1129</v>
      </c>
    </row>
    <row r="112" spans="1:22" x14ac:dyDescent="0.25">
      <c r="A112" s="881" t="s">
        <v>891</v>
      </c>
      <c r="B112" s="881" t="s">
        <v>39</v>
      </c>
      <c r="C112" s="881"/>
      <c r="D112" s="882" t="s">
        <v>1130</v>
      </c>
    </row>
    <row r="113" spans="1:22" x14ac:dyDescent="0.25">
      <c r="A113" s="881" t="s">
        <v>891</v>
      </c>
      <c r="B113" s="881" t="s">
        <v>39</v>
      </c>
      <c r="C113" s="881"/>
      <c r="D113" s="882" t="s">
        <v>1131</v>
      </c>
      <c r="E113" s="881">
        <v>0</v>
      </c>
      <c r="F113" s="881">
        <v>0</v>
      </c>
      <c r="G113" s="881">
        <v>0</v>
      </c>
      <c r="H113" s="881">
        <v>0</v>
      </c>
      <c r="I113" s="881">
        <v>0</v>
      </c>
      <c r="J113" s="881">
        <v>0</v>
      </c>
      <c r="K113" s="881">
        <v>0</v>
      </c>
      <c r="L113" s="881">
        <v>0</v>
      </c>
      <c r="M113" s="881">
        <v>0</v>
      </c>
      <c r="N113" s="881">
        <v>0</v>
      </c>
      <c r="O113" s="881">
        <v>0</v>
      </c>
      <c r="P113" s="881">
        <v>0</v>
      </c>
      <c r="Q113" s="881">
        <v>0</v>
      </c>
      <c r="R113" s="881">
        <v>0</v>
      </c>
      <c r="S113" s="881">
        <v>0</v>
      </c>
      <c r="T113" s="881">
        <v>0</v>
      </c>
      <c r="U113" s="881">
        <v>0</v>
      </c>
      <c r="V113" s="881">
        <v>0</v>
      </c>
    </row>
    <row r="114" spans="1:22" x14ac:dyDescent="0.25">
      <c r="A114" s="881" t="s">
        <v>891</v>
      </c>
      <c r="B114" s="881" t="s">
        <v>39</v>
      </c>
      <c r="C114" s="881"/>
      <c r="D114" s="882" t="s">
        <v>1132</v>
      </c>
    </row>
    <row r="115" spans="1:22" x14ac:dyDescent="0.25">
      <c r="A115" s="881" t="s">
        <v>891</v>
      </c>
      <c r="B115" s="881" t="s">
        <v>39</v>
      </c>
      <c r="C115" s="881"/>
      <c r="D115" s="885" t="s">
        <v>1133</v>
      </c>
      <c r="E115" s="883">
        <v>0</v>
      </c>
      <c r="F115" s="883">
        <v>0</v>
      </c>
      <c r="G115" s="883">
        <v>0</v>
      </c>
      <c r="H115" s="883">
        <v>0</v>
      </c>
      <c r="I115" s="883">
        <v>0</v>
      </c>
      <c r="J115" s="883">
        <v>0</v>
      </c>
      <c r="K115" s="883">
        <v>0</v>
      </c>
      <c r="L115" s="883">
        <v>0</v>
      </c>
      <c r="M115" s="883">
        <v>0</v>
      </c>
      <c r="N115" s="883">
        <v>0</v>
      </c>
      <c r="O115" s="883">
        <v>0</v>
      </c>
      <c r="P115" s="883">
        <v>0</v>
      </c>
      <c r="Q115" s="883">
        <v>0</v>
      </c>
      <c r="R115" s="883">
        <v>0</v>
      </c>
      <c r="S115" s="883">
        <v>0</v>
      </c>
      <c r="T115" s="883">
        <v>0</v>
      </c>
      <c r="U115" s="883">
        <v>0</v>
      </c>
      <c r="V115" s="883">
        <v>0</v>
      </c>
    </row>
    <row r="116" spans="1:22" x14ac:dyDescent="0.25">
      <c r="A116" s="881" t="s">
        <v>891</v>
      </c>
      <c r="B116" s="881" t="s">
        <v>39</v>
      </c>
      <c r="C116" s="881" t="s">
        <v>196</v>
      </c>
      <c r="D116" s="884" t="s">
        <v>1134</v>
      </c>
      <c r="E116" s="881">
        <v>0</v>
      </c>
      <c r="F116" s="881">
        <v>0</v>
      </c>
      <c r="G116" s="881">
        <v>0</v>
      </c>
      <c r="H116" s="881">
        <v>0</v>
      </c>
      <c r="I116" s="881">
        <v>0</v>
      </c>
      <c r="J116" s="881">
        <v>0</v>
      </c>
      <c r="K116" s="881">
        <v>0</v>
      </c>
      <c r="L116" s="881">
        <v>0</v>
      </c>
      <c r="M116" s="881">
        <v>0</v>
      </c>
      <c r="N116" s="881">
        <v>0</v>
      </c>
      <c r="O116" s="881">
        <v>0</v>
      </c>
      <c r="P116" s="881">
        <v>0</v>
      </c>
      <c r="Q116" s="881">
        <v>0</v>
      </c>
      <c r="R116" s="881">
        <v>0</v>
      </c>
      <c r="S116" s="881">
        <v>0</v>
      </c>
      <c r="T116" s="881">
        <v>0</v>
      </c>
      <c r="U116" s="881">
        <v>0</v>
      </c>
      <c r="V116" s="881">
        <v>0</v>
      </c>
    </row>
    <row r="117" spans="1:22" x14ac:dyDescent="0.25">
      <c r="A117" s="881" t="s">
        <v>891</v>
      </c>
      <c r="B117" s="881" t="s">
        <v>39</v>
      </c>
      <c r="C117" s="881"/>
      <c r="D117" s="882" t="s">
        <v>1135</v>
      </c>
    </row>
    <row r="118" spans="1:22" x14ac:dyDescent="0.25">
      <c r="A118" s="881" t="s">
        <v>891</v>
      </c>
      <c r="B118" s="881" t="s">
        <v>39</v>
      </c>
      <c r="C118" s="881"/>
      <c r="D118" s="885" t="s">
        <v>1136</v>
      </c>
      <c r="E118" s="883">
        <v>0.34906843462946002</v>
      </c>
      <c r="F118" s="883">
        <v>0.16939007523933</v>
      </c>
      <c r="G118" s="883">
        <v>9.4024398016510996E-2</v>
      </c>
      <c r="H118" s="883">
        <v>7.9005885786712304E-2</v>
      </c>
      <c r="I118" s="883">
        <v>4.2818241030573301E-2</v>
      </c>
      <c r="J118" s="883">
        <v>5.3348528484577801E-2</v>
      </c>
      <c r="K118" s="883">
        <v>0.24690512534735301</v>
      </c>
      <c r="L118" s="883">
        <v>0.286805863570613</v>
      </c>
      <c r="M118" s="883">
        <v>0.2714755224323</v>
      </c>
      <c r="N118" s="883">
        <v>0.23977615362243901</v>
      </c>
      <c r="O118" s="883">
        <v>0.112823983088882</v>
      </c>
      <c r="P118" s="883">
        <v>3.1676324500992899E-2</v>
      </c>
      <c r="Q118" s="883">
        <v>5.1767532114618299E-2</v>
      </c>
      <c r="R118" s="883">
        <v>6.4560825100963504E-2</v>
      </c>
      <c r="S118" s="883">
        <v>0.10990553607190399</v>
      </c>
      <c r="T118" s="883">
        <v>0.18637651503338701</v>
      </c>
      <c r="U118" s="883">
        <v>0.28860955010716799</v>
      </c>
      <c r="V118" s="883">
        <v>0.33287319112658798</v>
      </c>
    </row>
    <row r="119" spans="1:22" x14ac:dyDescent="0.25">
      <c r="A119" s="881" t="s">
        <v>891</v>
      </c>
      <c r="B119" s="881" t="s">
        <v>39</v>
      </c>
      <c r="C119" s="881" t="s">
        <v>198</v>
      </c>
      <c r="D119" s="884" t="s">
        <v>1137</v>
      </c>
      <c r="E119" s="881">
        <v>0</v>
      </c>
      <c r="F119" s="881">
        <v>0</v>
      </c>
      <c r="G119" s="881">
        <v>0</v>
      </c>
      <c r="H119" s="881">
        <v>0</v>
      </c>
      <c r="I119" s="881">
        <v>0</v>
      </c>
      <c r="J119" s="881">
        <v>0</v>
      </c>
      <c r="K119" s="881">
        <v>0</v>
      </c>
      <c r="L119" s="881">
        <v>0</v>
      </c>
      <c r="M119" s="881">
        <v>0</v>
      </c>
      <c r="N119" s="881">
        <v>0</v>
      </c>
      <c r="O119" s="881">
        <v>0</v>
      </c>
      <c r="P119" s="881">
        <v>0</v>
      </c>
      <c r="Q119" s="881">
        <v>0</v>
      </c>
      <c r="R119" s="881">
        <v>0</v>
      </c>
      <c r="S119" s="881">
        <v>0</v>
      </c>
      <c r="T119" s="881">
        <v>0</v>
      </c>
      <c r="U119" s="881">
        <v>0</v>
      </c>
      <c r="V119" s="881">
        <v>0</v>
      </c>
    </row>
    <row r="120" spans="1:22" x14ac:dyDescent="0.25">
      <c r="A120" s="881" t="s">
        <v>891</v>
      </c>
      <c r="B120" s="881" t="s">
        <v>39</v>
      </c>
      <c r="C120" s="881"/>
      <c r="D120" s="882" t="s">
        <v>1138</v>
      </c>
    </row>
    <row r="121" spans="1:22" x14ac:dyDescent="0.25">
      <c r="A121" s="881" t="s">
        <v>891</v>
      </c>
      <c r="B121" s="881" t="s">
        <v>39</v>
      </c>
      <c r="C121" s="881"/>
      <c r="D121" s="885" t="s">
        <v>1139</v>
      </c>
      <c r="E121" s="883">
        <v>0.289271550125482</v>
      </c>
      <c r="F121" s="883">
        <v>0.289271550125482</v>
      </c>
      <c r="G121" s="883">
        <v>0.289271550125482</v>
      </c>
      <c r="H121" s="883">
        <v>0.289271550125482</v>
      </c>
      <c r="I121" s="883">
        <v>0.289271550125482</v>
      </c>
      <c r="J121" s="883">
        <v>0.289271550125482</v>
      </c>
      <c r="K121" s="883">
        <v>0.289271550125482</v>
      </c>
      <c r="L121" s="883">
        <v>0.289271550125482</v>
      </c>
      <c r="M121" s="883">
        <v>0.289271550125482</v>
      </c>
      <c r="N121" s="883">
        <v>0.289271550125482</v>
      </c>
      <c r="O121" s="883">
        <v>0.289271550125482</v>
      </c>
      <c r="P121" s="883">
        <v>0.289271550125482</v>
      </c>
      <c r="Q121" s="883">
        <v>0.289271550125482</v>
      </c>
      <c r="R121" s="883">
        <v>0.289271550125482</v>
      </c>
      <c r="S121" s="883">
        <v>0.289271550125482</v>
      </c>
      <c r="T121" s="883">
        <v>0.289271550125482</v>
      </c>
      <c r="U121" s="883">
        <v>0.289271550125482</v>
      </c>
      <c r="V121" s="883">
        <v>0.289271550125482</v>
      </c>
    </row>
    <row r="122" spans="1:22" x14ac:dyDescent="0.25">
      <c r="A122" s="881" t="s">
        <v>891</v>
      </c>
      <c r="B122" s="881" t="s">
        <v>39</v>
      </c>
      <c r="C122" s="881" t="s">
        <v>670</v>
      </c>
      <c r="D122" s="884" t="s">
        <v>1140</v>
      </c>
      <c r="E122" s="881">
        <v>0</v>
      </c>
      <c r="F122" s="881">
        <v>0</v>
      </c>
      <c r="G122" s="881">
        <v>0</v>
      </c>
      <c r="H122" s="881">
        <v>0</v>
      </c>
      <c r="I122" s="881">
        <v>0</v>
      </c>
      <c r="J122" s="881">
        <v>0</v>
      </c>
      <c r="K122" s="881">
        <v>0</v>
      </c>
      <c r="L122" s="881">
        <v>0</v>
      </c>
      <c r="M122" s="881">
        <v>0</v>
      </c>
      <c r="N122" s="881">
        <v>0</v>
      </c>
      <c r="O122" s="881">
        <v>0</v>
      </c>
      <c r="P122" s="881">
        <v>0</v>
      </c>
      <c r="Q122" s="881">
        <v>0</v>
      </c>
      <c r="R122" s="881">
        <v>0</v>
      </c>
      <c r="S122" s="881">
        <v>0</v>
      </c>
      <c r="T122" s="881">
        <v>0</v>
      </c>
      <c r="U122" s="881">
        <v>0</v>
      </c>
      <c r="V122" s="881">
        <v>0</v>
      </c>
    </row>
    <row r="123" spans="1:22" x14ac:dyDescent="0.25">
      <c r="A123" s="881" t="s">
        <v>891</v>
      </c>
      <c r="B123" s="881" t="s">
        <v>39</v>
      </c>
      <c r="C123" s="881"/>
      <c r="D123" s="882" t="s">
        <v>1141</v>
      </c>
      <c r="E123" s="881">
        <v>0</v>
      </c>
      <c r="F123" s="881">
        <v>0</v>
      </c>
      <c r="G123" s="881">
        <v>0</v>
      </c>
      <c r="H123" s="881">
        <v>0</v>
      </c>
      <c r="I123" s="881">
        <v>0</v>
      </c>
      <c r="J123" s="881">
        <v>0</v>
      </c>
      <c r="K123" s="881">
        <v>0</v>
      </c>
      <c r="L123" s="881">
        <v>0</v>
      </c>
      <c r="M123" s="881">
        <v>0</v>
      </c>
      <c r="N123" s="881">
        <v>0</v>
      </c>
      <c r="O123" s="881">
        <v>0</v>
      </c>
      <c r="P123" s="881">
        <v>0</v>
      </c>
      <c r="Q123" s="881">
        <v>0</v>
      </c>
      <c r="R123" s="881">
        <v>0</v>
      </c>
      <c r="S123" s="881">
        <v>0</v>
      </c>
      <c r="T123" s="881">
        <v>0</v>
      </c>
      <c r="U123" s="881">
        <v>0</v>
      </c>
      <c r="V123" s="881">
        <v>0</v>
      </c>
    </row>
    <row r="124" spans="1:22" s="82" customFormat="1" x14ac:dyDescent="0.25">
      <c r="A124" s="968" t="s">
        <v>109</v>
      </c>
      <c r="B124" s="968" t="s">
        <v>26</v>
      </c>
      <c r="C124" s="968"/>
      <c r="D124" s="969" t="s">
        <v>1151</v>
      </c>
    </row>
    <row r="125" spans="1:22" x14ac:dyDescent="0.25">
      <c r="A125" s="881" t="s">
        <v>109</v>
      </c>
      <c r="B125" s="881" t="s">
        <v>26</v>
      </c>
      <c r="C125" s="881"/>
      <c r="D125" s="882" t="s">
        <v>1114</v>
      </c>
    </row>
    <row r="126" spans="1:22" x14ac:dyDescent="0.25">
      <c r="A126" s="881" t="s">
        <v>109</v>
      </c>
      <c r="B126" s="881" t="s">
        <v>26</v>
      </c>
      <c r="C126" s="881"/>
      <c r="D126" s="884" t="s">
        <v>1115</v>
      </c>
      <c r="E126" s="881">
        <v>22712</v>
      </c>
      <c r="F126" s="881">
        <v>22778</v>
      </c>
      <c r="G126" s="881">
        <v>22949</v>
      </c>
      <c r="H126" s="881">
        <v>23127</v>
      </c>
      <c r="I126" s="881">
        <v>23206</v>
      </c>
      <c r="J126" s="881">
        <v>23215</v>
      </c>
      <c r="K126" s="881">
        <v>22617</v>
      </c>
      <c r="L126" s="881">
        <v>22631</v>
      </c>
      <c r="M126" s="881">
        <v>22641</v>
      </c>
      <c r="N126" s="881">
        <v>22709</v>
      </c>
      <c r="O126" s="881">
        <v>22882</v>
      </c>
      <c r="P126" s="881">
        <v>23061</v>
      </c>
      <c r="Q126" s="881">
        <v>23141</v>
      </c>
      <c r="R126" s="881">
        <v>23152</v>
      </c>
      <c r="S126" s="881">
        <v>23136</v>
      </c>
      <c r="T126" s="881">
        <v>23016</v>
      </c>
      <c r="U126" s="881">
        <v>22835</v>
      </c>
      <c r="V126" s="881">
        <v>22681</v>
      </c>
    </row>
    <row r="127" spans="1:22" x14ac:dyDescent="0.25">
      <c r="A127" s="881" t="s">
        <v>109</v>
      </c>
      <c r="B127" s="881" t="s">
        <v>26</v>
      </c>
      <c r="C127" s="881"/>
      <c r="D127" s="884" t="s">
        <v>1116</v>
      </c>
      <c r="E127" s="881">
        <v>946</v>
      </c>
      <c r="F127" s="881">
        <v>949</v>
      </c>
      <c r="G127" s="881">
        <v>956</v>
      </c>
      <c r="H127" s="881">
        <v>963</v>
      </c>
      <c r="I127" s="881">
        <v>966</v>
      </c>
      <c r="J127" s="881">
        <v>967</v>
      </c>
      <c r="K127" s="881">
        <v>942</v>
      </c>
      <c r="L127" s="881">
        <v>943</v>
      </c>
      <c r="M127" s="881">
        <v>943</v>
      </c>
      <c r="N127" s="881">
        <v>946</v>
      </c>
      <c r="O127" s="881">
        <v>953</v>
      </c>
      <c r="P127" s="881">
        <v>960</v>
      </c>
      <c r="Q127" s="881">
        <v>964</v>
      </c>
      <c r="R127" s="881">
        <v>964</v>
      </c>
      <c r="S127" s="881">
        <v>964</v>
      </c>
      <c r="T127" s="881">
        <v>959</v>
      </c>
      <c r="U127" s="881">
        <v>951</v>
      </c>
      <c r="V127" s="881">
        <v>945</v>
      </c>
    </row>
    <row r="128" spans="1:22" x14ac:dyDescent="0.25">
      <c r="A128" s="881" t="s">
        <v>109</v>
      </c>
      <c r="B128" s="881" t="s">
        <v>26</v>
      </c>
      <c r="C128" s="881"/>
      <c r="D128" s="884" t="s">
        <v>1117</v>
      </c>
      <c r="E128" s="881">
        <v>23658</v>
      </c>
      <c r="F128" s="881">
        <v>23727</v>
      </c>
      <c r="G128" s="881">
        <v>23905</v>
      </c>
      <c r="H128" s="881">
        <v>24090</v>
      </c>
      <c r="I128" s="881">
        <v>24172</v>
      </c>
      <c r="J128" s="881">
        <v>24182</v>
      </c>
      <c r="K128" s="881">
        <v>23559</v>
      </c>
      <c r="L128" s="881">
        <v>23574</v>
      </c>
      <c r="M128" s="881">
        <v>23584</v>
      </c>
      <c r="N128" s="881">
        <v>23655</v>
      </c>
      <c r="O128" s="881">
        <v>23835</v>
      </c>
      <c r="P128" s="881">
        <v>24021</v>
      </c>
      <c r="Q128" s="881">
        <v>24105</v>
      </c>
      <c r="R128" s="881">
        <v>24116</v>
      </c>
      <c r="S128" s="881">
        <v>24100</v>
      </c>
      <c r="T128" s="881">
        <v>23975</v>
      </c>
      <c r="U128" s="881">
        <v>23786</v>
      </c>
      <c r="V128" s="881">
        <v>23626</v>
      </c>
    </row>
    <row r="129" spans="1:22" x14ac:dyDescent="0.25">
      <c r="A129" s="881" t="s">
        <v>109</v>
      </c>
      <c r="B129" s="881" t="s">
        <v>26</v>
      </c>
      <c r="C129" s="881"/>
      <c r="D129" s="884" t="s">
        <v>1118</v>
      </c>
      <c r="E129" s="881">
        <v>40</v>
      </c>
      <c r="F129" s="881">
        <v>40</v>
      </c>
      <c r="G129" s="881">
        <v>40</v>
      </c>
      <c r="H129" s="881">
        <v>40</v>
      </c>
      <c r="I129" s="881">
        <v>40</v>
      </c>
      <c r="J129" s="881">
        <v>40</v>
      </c>
      <c r="K129" s="881">
        <v>40</v>
      </c>
      <c r="L129" s="881">
        <v>40</v>
      </c>
      <c r="M129" s="881">
        <v>40</v>
      </c>
      <c r="N129" s="881">
        <v>40</v>
      </c>
      <c r="O129" s="881">
        <v>40</v>
      </c>
      <c r="P129" s="881">
        <v>40</v>
      </c>
      <c r="Q129" s="881">
        <v>40</v>
      </c>
      <c r="R129" s="881">
        <v>40</v>
      </c>
      <c r="S129" s="881">
        <v>40</v>
      </c>
      <c r="T129" s="881">
        <v>40</v>
      </c>
      <c r="U129" s="881">
        <v>40</v>
      </c>
      <c r="V129" s="881">
        <v>40</v>
      </c>
    </row>
    <row r="130" spans="1:22" x14ac:dyDescent="0.25">
      <c r="A130" s="881" t="s">
        <v>109</v>
      </c>
      <c r="B130" s="881" t="s">
        <v>26</v>
      </c>
      <c r="C130" s="881"/>
      <c r="D130" s="884" t="s">
        <v>1119</v>
      </c>
      <c r="E130" s="881">
        <v>180</v>
      </c>
      <c r="F130" s="881">
        <v>180</v>
      </c>
      <c r="G130" s="881">
        <v>180</v>
      </c>
      <c r="H130" s="881">
        <v>180</v>
      </c>
      <c r="I130" s="881">
        <v>180</v>
      </c>
      <c r="J130" s="881">
        <v>180</v>
      </c>
      <c r="K130" s="881">
        <v>180</v>
      </c>
      <c r="L130" s="881">
        <v>180</v>
      </c>
      <c r="M130" s="881">
        <v>180</v>
      </c>
      <c r="N130" s="881">
        <v>180</v>
      </c>
      <c r="O130" s="881">
        <v>180</v>
      </c>
      <c r="P130" s="881">
        <v>180</v>
      </c>
      <c r="Q130" s="881">
        <v>180</v>
      </c>
      <c r="R130" s="881">
        <v>180</v>
      </c>
      <c r="S130" s="881">
        <v>180</v>
      </c>
      <c r="T130" s="881">
        <v>180</v>
      </c>
      <c r="U130" s="881">
        <v>180</v>
      </c>
      <c r="V130" s="881">
        <v>180</v>
      </c>
    </row>
    <row r="131" spans="1:22" x14ac:dyDescent="0.25">
      <c r="A131" s="881" t="s">
        <v>109</v>
      </c>
      <c r="B131" s="881" t="s">
        <v>26</v>
      </c>
      <c r="C131" s="881" t="s">
        <v>169</v>
      </c>
      <c r="D131" s="882" t="s">
        <v>1120</v>
      </c>
      <c r="E131" s="881">
        <v>1078.76</v>
      </c>
      <c r="F131" s="881">
        <v>1081.94</v>
      </c>
      <c r="G131" s="881">
        <v>1090.04</v>
      </c>
      <c r="H131" s="881">
        <v>1098.42</v>
      </c>
      <c r="I131" s="881">
        <v>1102.1199999999999</v>
      </c>
      <c r="J131" s="881">
        <v>1102.6600000000001</v>
      </c>
      <c r="K131" s="881">
        <v>1074.24</v>
      </c>
      <c r="L131" s="881">
        <v>1074.98</v>
      </c>
      <c r="M131" s="881">
        <v>1075.3800000000001</v>
      </c>
      <c r="N131" s="881">
        <v>1078.6400000000001</v>
      </c>
      <c r="O131" s="881">
        <v>1086.82</v>
      </c>
      <c r="P131" s="881">
        <v>1095.24</v>
      </c>
      <c r="Q131" s="881">
        <v>1099.1600000000001</v>
      </c>
      <c r="R131" s="881">
        <v>1099.5999999999999</v>
      </c>
      <c r="S131" s="881">
        <v>1098.96</v>
      </c>
      <c r="T131" s="881">
        <v>1093.26</v>
      </c>
      <c r="U131" s="881">
        <v>1084.58</v>
      </c>
      <c r="V131" s="881">
        <v>1077.3399999999999</v>
      </c>
    </row>
    <row r="132" spans="1:22" x14ac:dyDescent="0.25">
      <c r="A132" s="881" t="s">
        <v>109</v>
      </c>
      <c r="B132" s="881" t="s">
        <v>26</v>
      </c>
      <c r="C132" s="881"/>
      <c r="D132" s="882" t="s">
        <v>1121</v>
      </c>
    </row>
    <row r="133" spans="1:22" x14ac:dyDescent="0.25">
      <c r="A133" s="881" t="s">
        <v>109</v>
      </c>
      <c r="B133" s="881" t="s">
        <v>26</v>
      </c>
      <c r="C133" s="881"/>
      <c r="D133" s="884" t="s">
        <v>1122</v>
      </c>
      <c r="E133" s="881">
        <v>264067.92012438999</v>
      </c>
      <c r="F133" s="881">
        <v>408316.19452680001</v>
      </c>
      <c r="G133" s="881">
        <v>707434.70000819897</v>
      </c>
      <c r="H133" s="881">
        <v>1259517.6083519</v>
      </c>
      <c r="I133" s="881">
        <v>1507537.8870273</v>
      </c>
      <c r="J133" s="881">
        <v>1322725.5866298</v>
      </c>
      <c r="K133" s="881">
        <v>233446.45726503001</v>
      </c>
      <c r="L133" s="881">
        <v>248482.48695461001</v>
      </c>
      <c r="M133" s="881">
        <v>259718.31744464001</v>
      </c>
      <c r="N133" s="881">
        <v>400462.9296575</v>
      </c>
      <c r="O133" s="881">
        <v>690734.42805389897</v>
      </c>
      <c r="P133" s="881">
        <v>1238920.9530803999</v>
      </c>
      <c r="Q133" s="881">
        <v>1503321.2878051</v>
      </c>
      <c r="R133" s="881">
        <v>1316716.7996763999</v>
      </c>
      <c r="S133" s="881">
        <v>967414.02793630003</v>
      </c>
      <c r="T133" s="881">
        <v>536921.0351485</v>
      </c>
      <c r="U133" s="881">
        <v>324596.68185078999</v>
      </c>
      <c r="V133" s="881">
        <v>243280.69540376999</v>
      </c>
    </row>
    <row r="134" spans="1:22" x14ac:dyDescent="0.25">
      <c r="A134" s="881" t="s">
        <v>109</v>
      </c>
      <c r="B134" s="881" t="s">
        <v>26</v>
      </c>
      <c r="C134" s="881"/>
      <c r="D134" s="884" t="s">
        <v>1123</v>
      </c>
      <c r="E134" s="881">
        <v>8164.7288959999996</v>
      </c>
      <c r="F134" s="881">
        <v>17008.291160000001</v>
      </c>
      <c r="G134" s="881">
        <v>61497.635249999999</v>
      </c>
      <c r="H134" s="881">
        <v>139903.55220000001</v>
      </c>
      <c r="I134" s="881">
        <v>287055.8763</v>
      </c>
      <c r="J134" s="881">
        <v>233346.49059999999</v>
      </c>
      <c r="K134" s="881">
        <v>7217.942395</v>
      </c>
      <c r="L134" s="881">
        <v>7682.8421280000002</v>
      </c>
      <c r="M134" s="881">
        <v>8030.2433199999996</v>
      </c>
      <c r="N134" s="881">
        <v>16681.165720000001</v>
      </c>
      <c r="O134" s="881">
        <v>60045.872660000001</v>
      </c>
      <c r="P134" s="881">
        <v>137615.73569999999</v>
      </c>
      <c r="Q134" s="881">
        <v>286252.97820000001</v>
      </c>
      <c r="R134" s="881">
        <v>232286.4602</v>
      </c>
      <c r="S134" s="881">
        <v>119531.0055</v>
      </c>
      <c r="T134" s="881">
        <v>28250.804779999999</v>
      </c>
      <c r="U134" s="881">
        <v>13520.979450000001</v>
      </c>
      <c r="V134" s="881">
        <v>10133.78592</v>
      </c>
    </row>
    <row r="135" spans="1:22" x14ac:dyDescent="0.25">
      <c r="A135" s="881" t="s">
        <v>109</v>
      </c>
      <c r="B135" s="881" t="s">
        <v>26</v>
      </c>
      <c r="C135" s="881"/>
      <c r="D135" s="885" t="s">
        <v>1124</v>
      </c>
      <c r="E135" s="883">
        <v>272.23264902039</v>
      </c>
      <c r="F135" s="883">
        <v>425.32448568680002</v>
      </c>
      <c r="G135" s="883">
        <v>768.93233525819903</v>
      </c>
      <c r="H135" s="883">
        <v>1399.4211605518999</v>
      </c>
      <c r="I135" s="883">
        <v>1794.5937633272999</v>
      </c>
      <c r="J135" s="883">
        <v>1556.0720772298</v>
      </c>
      <c r="K135" s="883">
        <v>240.66439966003</v>
      </c>
      <c r="L135" s="883">
        <v>256.16532908261001</v>
      </c>
      <c r="M135" s="883">
        <v>267.74856076463999</v>
      </c>
      <c r="N135" s="883">
        <v>417.14409537749998</v>
      </c>
      <c r="O135" s="883">
        <v>750.78030071389901</v>
      </c>
      <c r="P135" s="883">
        <v>1376.5366887804</v>
      </c>
      <c r="Q135" s="883">
        <v>1789.5742660051001</v>
      </c>
      <c r="R135" s="883">
        <v>1549.0032598764001</v>
      </c>
      <c r="S135" s="883">
        <v>1086.9450334363</v>
      </c>
      <c r="T135" s="883">
        <v>565.17183992850005</v>
      </c>
      <c r="U135" s="883">
        <v>338.117661300789</v>
      </c>
      <c r="V135" s="883">
        <v>253.41448132376999</v>
      </c>
    </row>
    <row r="136" spans="1:22" x14ac:dyDescent="0.25">
      <c r="A136" s="881" t="s">
        <v>109</v>
      </c>
      <c r="B136" s="881" t="s">
        <v>26</v>
      </c>
      <c r="C136" s="881"/>
      <c r="D136" s="885" t="s">
        <v>1125</v>
      </c>
      <c r="E136" s="883">
        <v>2.1503999999999999</v>
      </c>
      <c r="F136" s="883">
        <v>2.1503999999999999</v>
      </c>
      <c r="G136" s="883">
        <v>2.1503999999999999</v>
      </c>
      <c r="H136" s="883">
        <v>2.1503999999999999</v>
      </c>
      <c r="I136" s="883">
        <v>2.1503999999999999</v>
      </c>
      <c r="J136" s="883">
        <v>2.1503999999999999</v>
      </c>
      <c r="K136" s="883">
        <v>2.1503999999999999</v>
      </c>
      <c r="L136" s="883">
        <v>2.1503999999999999</v>
      </c>
      <c r="M136" s="883">
        <v>2.1503999999999999</v>
      </c>
      <c r="N136" s="883">
        <v>2.1503999999999999</v>
      </c>
      <c r="O136" s="883">
        <v>2.1503999999999999</v>
      </c>
      <c r="P136" s="883">
        <v>2.1503999999999999</v>
      </c>
      <c r="Q136" s="883">
        <v>2.1503999999999999</v>
      </c>
      <c r="R136" s="883">
        <v>2.1503999999999999</v>
      </c>
      <c r="S136" s="883">
        <v>2.1503999999999999</v>
      </c>
      <c r="T136" s="883">
        <v>2.1503999999999999</v>
      </c>
      <c r="U136" s="883">
        <v>2.1503999999999999</v>
      </c>
      <c r="V136" s="883">
        <v>2.1503999999999999</v>
      </c>
    </row>
    <row r="137" spans="1:22" x14ac:dyDescent="0.25">
      <c r="A137" s="881" t="s">
        <v>109</v>
      </c>
      <c r="B137" s="881" t="s">
        <v>26</v>
      </c>
      <c r="C137" s="881"/>
      <c r="D137" s="885" t="s">
        <v>1126</v>
      </c>
      <c r="E137" s="883">
        <v>2.1503999999999999</v>
      </c>
      <c r="F137" s="883">
        <v>2.1503999999999999</v>
      </c>
      <c r="G137" s="883">
        <v>2.1503999999999999</v>
      </c>
      <c r="H137" s="883">
        <v>2.1503999999999999</v>
      </c>
      <c r="I137" s="883">
        <v>2.1503999999999999</v>
      </c>
      <c r="J137" s="883">
        <v>2.1503999999999999</v>
      </c>
      <c r="K137" s="883">
        <v>2.1503999999999999</v>
      </c>
      <c r="L137" s="883">
        <v>2.1503999999999999</v>
      </c>
      <c r="M137" s="883">
        <v>2.1503999999999999</v>
      </c>
      <c r="N137" s="883">
        <v>2.1503999999999999</v>
      </c>
      <c r="O137" s="883">
        <v>2.1503999999999999</v>
      </c>
      <c r="P137" s="883">
        <v>2.1503999999999999</v>
      </c>
      <c r="Q137" s="883">
        <v>2.1503999999999999</v>
      </c>
      <c r="R137" s="883">
        <v>2.1503999999999999</v>
      </c>
      <c r="S137" s="883">
        <v>2.1503999999999999</v>
      </c>
      <c r="T137" s="883">
        <v>2.1503999999999999</v>
      </c>
      <c r="U137" s="883">
        <v>2.1503999999999999</v>
      </c>
      <c r="V137" s="883">
        <v>2.1503999999999999</v>
      </c>
    </row>
    <row r="138" spans="1:22" x14ac:dyDescent="0.25">
      <c r="A138" s="881" t="s">
        <v>109</v>
      </c>
      <c r="B138" s="881" t="s">
        <v>26</v>
      </c>
      <c r="C138" s="881"/>
      <c r="D138" s="885" t="s">
        <v>1127</v>
      </c>
      <c r="E138" s="883">
        <v>1.6504000000000001</v>
      </c>
      <c r="F138" s="883">
        <v>1.6504000000000001</v>
      </c>
      <c r="G138" s="883">
        <v>2.1503999999999999</v>
      </c>
      <c r="H138" s="883">
        <v>2.1503999999999999</v>
      </c>
      <c r="I138" s="883">
        <v>2.1503999999999999</v>
      </c>
      <c r="J138" s="883">
        <v>2.1503999999999999</v>
      </c>
      <c r="K138" s="883">
        <v>1.6504000000000001</v>
      </c>
      <c r="L138" s="883">
        <v>1.6504000000000001</v>
      </c>
      <c r="M138" s="883">
        <v>1.6504000000000001</v>
      </c>
      <c r="N138" s="883">
        <v>1.6504000000000001</v>
      </c>
      <c r="O138" s="883">
        <v>2.1503999999999999</v>
      </c>
      <c r="P138" s="883">
        <v>2.1503999999999999</v>
      </c>
      <c r="Q138" s="883">
        <v>2.1503999999999999</v>
      </c>
      <c r="R138" s="883">
        <v>2.1503999999999999</v>
      </c>
      <c r="S138" s="883">
        <v>2.1503999999999999</v>
      </c>
      <c r="T138" s="883">
        <v>1.6504000000000001</v>
      </c>
      <c r="U138" s="883">
        <v>1.6504000000000001</v>
      </c>
      <c r="V138" s="883">
        <v>1.6504000000000001</v>
      </c>
    </row>
    <row r="139" spans="1:22" x14ac:dyDescent="0.25">
      <c r="A139" s="881" t="s">
        <v>109</v>
      </c>
      <c r="B139" s="881" t="s">
        <v>26</v>
      </c>
      <c r="C139" s="881" t="s">
        <v>778</v>
      </c>
      <c r="D139" s="882" t="s">
        <v>1128</v>
      </c>
      <c r="E139" s="881">
        <v>581.32672400544595</v>
      </c>
      <c r="F139" s="881">
        <v>906.11362844089399</v>
      </c>
      <c r="G139" s="881">
        <v>1653.5120937392301</v>
      </c>
      <c r="H139" s="881">
        <v>3009.3152636507998</v>
      </c>
      <c r="I139" s="881">
        <v>3859.0944286590202</v>
      </c>
      <c r="J139" s="881">
        <v>3346.1773948749601</v>
      </c>
      <c r="K139" s="881">
        <v>513.91575383142799</v>
      </c>
      <c r="L139" s="881">
        <v>547.01650259524399</v>
      </c>
      <c r="M139" s="881">
        <v>571.75138340828096</v>
      </c>
      <c r="N139" s="881">
        <v>888.68607983977597</v>
      </c>
      <c r="O139" s="881">
        <v>1614.4779586551699</v>
      </c>
      <c r="P139" s="881">
        <v>2960.1044955533698</v>
      </c>
      <c r="Q139" s="881">
        <v>3848.3005016173602</v>
      </c>
      <c r="R139" s="881">
        <v>3330.9766100382099</v>
      </c>
      <c r="S139" s="881">
        <v>2337.3665999014102</v>
      </c>
      <c r="T139" s="881">
        <v>1201.2201221922401</v>
      </c>
      <c r="U139" s="881">
        <v>720.32772913621795</v>
      </c>
      <c r="V139" s="881">
        <v>539.87560767863499</v>
      </c>
    </row>
    <row r="140" spans="1:22" x14ac:dyDescent="0.25">
      <c r="A140" s="881" t="s">
        <v>109</v>
      </c>
      <c r="B140" s="881" t="s">
        <v>26</v>
      </c>
      <c r="C140" s="881"/>
      <c r="D140" s="882" t="s">
        <v>1129</v>
      </c>
    </row>
    <row r="141" spans="1:22" x14ac:dyDescent="0.25">
      <c r="A141" s="881" t="s">
        <v>109</v>
      </c>
      <c r="B141" s="881" t="s">
        <v>26</v>
      </c>
      <c r="C141" s="881"/>
      <c r="D141" s="882" t="s">
        <v>1130</v>
      </c>
    </row>
    <row r="142" spans="1:22" x14ac:dyDescent="0.25">
      <c r="A142" s="881" t="s">
        <v>109</v>
      </c>
      <c r="B142" s="881" t="s">
        <v>26</v>
      </c>
      <c r="C142" s="881"/>
      <c r="D142" s="882" t="s">
        <v>1131</v>
      </c>
      <c r="E142" s="881">
        <v>1660.0867240054399</v>
      </c>
      <c r="F142" s="881">
        <v>1988.05362844089</v>
      </c>
      <c r="G142" s="881">
        <v>2743.5520937392298</v>
      </c>
      <c r="H142" s="881">
        <v>4107.7352636508003</v>
      </c>
      <c r="I142" s="881">
        <v>4961.2144286590201</v>
      </c>
      <c r="J142" s="881">
        <v>4448.8373948749604</v>
      </c>
      <c r="K142" s="881">
        <v>1588.15575383142</v>
      </c>
      <c r="L142" s="881">
        <v>1621.9965025952399</v>
      </c>
      <c r="M142" s="881">
        <v>1647.13138340828</v>
      </c>
      <c r="N142" s="881">
        <v>1967.32607983977</v>
      </c>
      <c r="O142" s="881">
        <v>2701.2979586551701</v>
      </c>
      <c r="P142" s="881">
        <v>4055.3444955533701</v>
      </c>
      <c r="Q142" s="881">
        <v>4947.46050161736</v>
      </c>
      <c r="R142" s="881">
        <v>4430.5766100382098</v>
      </c>
      <c r="S142" s="881">
        <v>3436.3265999014102</v>
      </c>
      <c r="T142" s="881">
        <v>2294.4801221922398</v>
      </c>
      <c r="U142" s="881">
        <v>1804.90772913621</v>
      </c>
      <c r="V142" s="881">
        <v>1617.21560767863</v>
      </c>
    </row>
    <row r="143" spans="1:22" x14ac:dyDescent="0.25">
      <c r="A143" s="881" t="s">
        <v>109</v>
      </c>
      <c r="B143" s="881" t="s">
        <v>26</v>
      </c>
      <c r="C143" s="881"/>
      <c r="D143" s="882" t="s">
        <v>1132</v>
      </c>
    </row>
    <row r="144" spans="1:22" x14ac:dyDescent="0.25">
      <c r="A144" s="881" t="s">
        <v>109</v>
      </c>
      <c r="B144" s="881" t="s">
        <v>26</v>
      </c>
      <c r="C144" s="881"/>
      <c r="D144" s="885" t="s">
        <v>1133</v>
      </c>
      <c r="E144" s="883">
        <v>3.54132328535503</v>
      </c>
      <c r="F144" s="883">
        <v>4.0825536529198896</v>
      </c>
      <c r="G144" s="883">
        <v>4.6151370530302804</v>
      </c>
      <c r="H144" s="883">
        <v>4.7204926546137003</v>
      </c>
      <c r="I144" s="883">
        <v>4.2816079006073897</v>
      </c>
      <c r="J144" s="883">
        <v>4.61774840312499</v>
      </c>
      <c r="K144" s="883">
        <v>3.6370825733754901</v>
      </c>
      <c r="L144" s="883">
        <v>3.1998593487156</v>
      </c>
      <c r="M144" s="883">
        <v>3.4441400635944199</v>
      </c>
      <c r="N144" s="883">
        <v>2.6697967759149801</v>
      </c>
      <c r="O144" s="883">
        <v>3.6621728781104101</v>
      </c>
      <c r="P144" s="883">
        <v>3.9547219031793199</v>
      </c>
      <c r="Q144" s="883">
        <v>4.3060793499123999</v>
      </c>
      <c r="R144" s="883">
        <v>4.66270835833049</v>
      </c>
      <c r="S144" s="883">
        <v>5.2056863414265502</v>
      </c>
      <c r="T144" s="883">
        <v>5.4531502607765896</v>
      </c>
      <c r="U144" s="883">
        <v>5.0764131270513699</v>
      </c>
      <c r="V144" s="883">
        <v>4.0447960531742</v>
      </c>
    </row>
    <row r="145" spans="1:22" x14ac:dyDescent="0.25">
      <c r="A145" s="881" t="s">
        <v>109</v>
      </c>
      <c r="B145" s="881" t="s">
        <v>26</v>
      </c>
      <c r="C145" s="881" t="s">
        <v>196</v>
      </c>
      <c r="D145" s="884" t="s">
        <v>1134</v>
      </c>
      <c r="E145" s="881">
        <v>964.06381900979102</v>
      </c>
      <c r="F145" s="881">
        <v>1736.4100327169199</v>
      </c>
      <c r="G145" s="881">
        <v>3548.7281117232201</v>
      </c>
      <c r="H145" s="881">
        <v>6605.9573090962203</v>
      </c>
      <c r="I145" s="881">
        <v>7683.7468354429102</v>
      </c>
      <c r="J145" s="881">
        <v>7185.5493497752996</v>
      </c>
      <c r="K145" s="881">
        <v>875.31629403536999</v>
      </c>
      <c r="L145" s="881">
        <v>819.69302308179897</v>
      </c>
      <c r="M145" s="881">
        <v>922.16354509924304</v>
      </c>
      <c r="N145" s="881">
        <v>1113.68996093082</v>
      </c>
      <c r="O145" s="881">
        <v>2749.4872546940201</v>
      </c>
      <c r="P145" s="881">
        <v>5443.81979364978</v>
      </c>
      <c r="Q145" s="881">
        <v>7706.0487919792104</v>
      </c>
      <c r="R145" s="881">
        <v>7222.5504469068701</v>
      </c>
      <c r="S145" s="881">
        <v>5658.2949144407703</v>
      </c>
      <c r="T145" s="881">
        <v>3081.9669662896799</v>
      </c>
      <c r="U145" s="881">
        <v>1716.4249343152301</v>
      </c>
      <c r="V145" s="881">
        <v>1025.00989387557</v>
      </c>
    </row>
    <row r="146" spans="1:22" x14ac:dyDescent="0.25">
      <c r="A146" s="881" t="s">
        <v>109</v>
      </c>
      <c r="B146" s="881" t="s">
        <v>26</v>
      </c>
      <c r="C146" s="881"/>
      <c r="D146" s="882" t="s">
        <v>1135</v>
      </c>
    </row>
    <row r="147" spans="1:22" x14ac:dyDescent="0.25">
      <c r="A147" s="881" t="s">
        <v>109</v>
      </c>
      <c r="B147" s="881" t="s">
        <v>26</v>
      </c>
      <c r="C147" s="881"/>
      <c r="D147" s="885" t="s">
        <v>1136</v>
      </c>
      <c r="E147" s="883">
        <v>0.34906843462946002</v>
      </c>
      <c r="F147" s="883">
        <v>0.16939007523933</v>
      </c>
      <c r="G147" s="883">
        <v>9.4024398016510996E-2</v>
      </c>
      <c r="H147" s="883">
        <v>7.9005885786712304E-2</v>
      </c>
      <c r="I147" s="883">
        <v>4.2818241030573301E-2</v>
      </c>
      <c r="J147" s="883">
        <v>5.3348528484577801E-2</v>
      </c>
      <c r="K147" s="883">
        <v>0.24690512534735301</v>
      </c>
      <c r="L147" s="883">
        <v>0.286805863570613</v>
      </c>
      <c r="M147" s="883">
        <v>0.2714755224323</v>
      </c>
      <c r="N147" s="883">
        <v>0.23977615362243901</v>
      </c>
      <c r="O147" s="883">
        <v>0.112823983088882</v>
      </c>
      <c r="P147" s="883">
        <v>3.1676324500992899E-2</v>
      </c>
      <c r="Q147" s="883">
        <v>5.1767532114618299E-2</v>
      </c>
      <c r="R147" s="883">
        <v>6.4560825100963504E-2</v>
      </c>
      <c r="S147" s="883">
        <v>0.10990553607190399</v>
      </c>
      <c r="T147" s="883">
        <v>0.18637651503338701</v>
      </c>
      <c r="U147" s="883">
        <v>0.28860955010716799</v>
      </c>
      <c r="V147" s="883">
        <v>0.33287319112658798</v>
      </c>
    </row>
    <row r="148" spans="1:22" x14ac:dyDescent="0.25">
      <c r="A148" s="881" t="s">
        <v>109</v>
      </c>
      <c r="B148" s="881" t="s">
        <v>26</v>
      </c>
      <c r="C148" s="881" t="s">
        <v>198</v>
      </c>
      <c r="D148" s="884" t="s">
        <v>1137</v>
      </c>
      <c r="E148" s="881">
        <v>95.0278246485788</v>
      </c>
      <c r="F148" s="881">
        <v>72.045746631616396</v>
      </c>
      <c r="G148" s="881">
        <v>72.298399938082298</v>
      </c>
      <c r="H148" s="881">
        <v>110.562508378071</v>
      </c>
      <c r="I148" s="881">
        <v>76.841348310112096</v>
      </c>
      <c r="J148" s="881">
        <v>83.014155536150199</v>
      </c>
      <c r="K148" s="881">
        <v>59.421273764705198</v>
      </c>
      <c r="L148" s="881">
        <v>73.469718424388404</v>
      </c>
      <c r="M148" s="881">
        <v>72.687180414077204</v>
      </c>
      <c r="N148" s="881">
        <v>100.021206695929</v>
      </c>
      <c r="O148" s="881">
        <v>84.706023951210796</v>
      </c>
      <c r="P148" s="881">
        <v>43.6036228413302</v>
      </c>
      <c r="Q148" s="881">
        <v>92.641843286913499</v>
      </c>
      <c r="R148" s="881">
        <v>100.004928541702</v>
      </c>
      <c r="S148" s="881">
        <v>119.46127658051</v>
      </c>
      <c r="T148" s="881">
        <v>105.334757920881</v>
      </c>
      <c r="U148" s="881">
        <v>97.583986111308803</v>
      </c>
      <c r="V148" s="881">
        <v>84.354887075932595</v>
      </c>
    </row>
    <row r="149" spans="1:22" x14ac:dyDescent="0.25">
      <c r="A149" s="881" t="s">
        <v>109</v>
      </c>
      <c r="B149" s="881" t="s">
        <v>26</v>
      </c>
      <c r="C149" s="881"/>
      <c r="D149" s="882" t="s">
        <v>1138</v>
      </c>
    </row>
    <row r="150" spans="1:22" x14ac:dyDescent="0.25">
      <c r="A150" s="881" t="s">
        <v>109</v>
      </c>
      <c r="B150" s="881" t="s">
        <v>26</v>
      </c>
      <c r="C150" s="881"/>
      <c r="D150" s="885" t="s">
        <v>1139</v>
      </c>
      <c r="E150" s="883">
        <v>0.289271550125482</v>
      </c>
      <c r="F150" s="883">
        <v>0.289271550125482</v>
      </c>
      <c r="G150" s="883">
        <v>0.289271550125482</v>
      </c>
      <c r="H150" s="883">
        <v>0.289271550125482</v>
      </c>
      <c r="I150" s="883">
        <v>0.289271550125482</v>
      </c>
      <c r="J150" s="883">
        <v>0.289271550125482</v>
      </c>
      <c r="K150" s="883">
        <v>0.289271550125482</v>
      </c>
      <c r="L150" s="883">
        <v>0.289271550125482</v>
      </c>
      <c r="M150" s="883">
        <v>0.289271550125482</v>
      </c>
      <c r="N150" s="883">
        <v>0.289271550125482</v>
      </c>
      <c r="O150" s="883">
        <v>0.289271550125482</v>
      </c>
      <c r="P150" s="883">
        <v>0.289271550125482</v>
      </c>
      <c r="Q150" s="883">
        <v>0.289271550125482</v>
      </c>
      <c r="R150" s="883">
        <v>0.289271550125482</v>
      </c>
      <c r="S150" s="883">
        <v>0.289271550125482</v>
      </c>
      <c r="T150" s="883">
        <v>0.289271550125482</v>
      </c>
      <c r="U150" s="883">
        <v>0.289271550125482</v>
      </c>
      <c r="V150" s="883">
        <v>0.289271550125482</v>
      </c>
    </row>
    <row r="151" spans="1:22" x14ac:dyDescent="0.25">
      <c r="A151" s="881" t="s">
        <v>109</v>
      </c>
      <c r="B151" s="881" t="s">
        <v>26</v>
      </c>
      <c r="C151" s="881" t="s">
        <v>670</v>
      </c>
      <c r="D151" s="884" t="s">
        <v>1140</v>
      </c>
      <c r="E151" s="881">
        <v>567.53941097354698</v>
      </c>
      <c r="F151" s="881">
        <v>575.54998672898103</v>
      </c>
      <c r="G151" s="881">
        <v>558.90927006408594</v>
      </c>
      <c r="H151" s="881">
        <v>568.91695424153295</v>
      </c>
      <c r="I151" s="881">
        <v>685.50877027309798</v>
      </c>
      <c r="J151" s="881">
        <v>671.05303534998302</v>
      </c>
      <c r="K151" s="881">
        <v>696.492107269901</v>
      </c>
      <c r="L151" s="881">
        <v>708.48112487248898</v>
      </c>
      <c r="M151" s="881">
        <v>708.20096870769703</v>
      </c>
      <c r="N151" s="881">
        <v>711.83077718511299</v>
      </c>
      <c r="O151" s="881">
        <v>697.78813308366205</v>
      </c>
      <c r="P151" s="881">
        <v>695.15239182909795</v>
      </c>
      <c r="Q151" s="881">
        <v>785.27097947863501</v>
      </c>
      <c r="R151" s="881">
        <v>767.23389947912699</v>
      </c>
      <c r="S151" s="881">
        <v>778.47531508874295</v>
      </c>
      <c r="T151" s="881">
        <v>769.35417669767003</v>
      </c>
      <c r="U151" s="881">
        <v>802.44691288937599</v>
      </c>
      <c r="V151" s="881">
        <v>802.72710456017501</v>
      </c>
    </row>
    <row r="152" spans="1:22" x14ac:dyDescent="0.25">
      <c r="A152" s="881" t="s">
        <v>109</v>
      </c>
      <c r="B152" s="881" t="s">
        <v>26</v>
      </c>
      <c r="C152" s="881"/>
      <c r="D152" s="882" t="s">
        <v>1141</v>
      </c>
      <c r="E152" s="881">
        <v>3286.71777863736</v>
      </c>
      <c r="F152" s="881">
        <v>4372.05939451841</v>
      </c>
      <c r="G152" s="881">
        <v>6923.4878754646197</v>
      </c>
      <c r="H152" s="881">
        <v>11393.172035366601</v>
      </c>
      <c r="I152" s="881">
        <v>13407.3113826851</v>
      </c>
      <c r="J152" s="881">
        <v>12388.4539355364</v>
      </c>
      <c r="K152" s="881">
        <v>3219.3854289013998</v>
      </c>
      <c r="L152" s="881">
        <v>3223.64036897392</v>
      </c>
      <c r="M152" s="881">
        <v>3350.1830776293</v>
      </c>
      <c r="N152" s="881">
        <v>3892.8680246516401</v>
      </c>
      <c r="O152" s="881">
        <v>6233.2793703840698</v>
      </c>
      <c r="P152" s="881">
        <v>10237.9203038735</v>
      </c>
      <c r="Q152" s="881">
        <v>13531.4221163621</v>
      </c>
      <c r="R152" s="881">
        <v>12520.3658849659</v>
      </c>
      <c r="S152" s="881">
        <v>9992.5581060114491</v>
      </c>
      <c r="T152" s="881">
        <v>6251.1360231004801</v>
      </c>
      <c r="U152" s="881">
        <v>4421.3635624521403</v>
      </c>
      <c r="V152" s="881">
        <v>3529.3074931903102</v>
      </c>
    </row>
    <row r="153" spans="1:22" s="82" customFormat="1" x14ac:dyDescent="0.25">
      <c r="A153" s="880" t="s">
        <v>118</v>
      </c>
      <c r="B153" s="880" t="s">
        <v>31</v>
      </c>
      <c r="C153" s="880"/>
      <c r="D153" s="969" t="s">
        <v>1152</v>
      </c>
    </row>
    <row r="154" spans="1:22" x14ac:dyDescent="0.25">
      <c r="A154" s="887" t="s">
        <v>118</v>
      </c>
      <c r="B154" s="887" t="s">
        <v>31</v>
      </c>
      <c r="C154" s="887"/>
      <c r="D154" s="882" t="s">
        <v>1114</v>
      </c>
    </row>
    <row r="155" spans="1:22" x14ac:dyDescent="0.25">
      <c r="A155" s="887" t="s">
        <v>118</v>
      </c>
      <c r="B155" s="887" t="s">
        <v>31</v>
      </c>
      <c r="C155" s="887"/>
      <c r="D155" s="884" t="s">
        <v>1115</v>
      </c>
      <c r="E155" s="881">
        <v>140</v>
      </c>
      <c r="F155" s="881">
        <v>140</v>
      </c>
      <c r="G155" s="881">
        <v>140</v>
      </c>
      <c r="H155" s="881">
        <v>141</v>
      </c>
      <c r="I155" s="881">
        <v>141</v>
      </c>
      <c r="J155" s="881">
        <v>141</v>
      </c>
      <c r="K155" s="881">
        <v>142</v>
      </c>
      <c r="L155" s="881">
        <v>143</v>
      </c>
      <c r="M155" s="881">
        <v>143</v>
      </c>
      <c r="N155" s="881">
        <v>143</v>
      </c>
      <c r="O155" s="881">
        <v>143</v>
      </c>
      <c r="P155" s="881">
        <v>144</v>
      </c>
      <c r="Q155" s="881">
        <v>144</v>
      </c>
      <c r="R155" s="881">
        <v>144</v>
      </c>
      <c r="S155" s="881">
        <v>144</v>
      </c>
      <c r="T155" s="881">
        <v>145</v>
      </c>
      <c r="U155" s="881">
        <v>145</v>
      </c>
      <c r="V155" s="881">
        <v>145</v>
      </c>
    </row>
    <row r="156" spans="1:22" x14ac:dyDescent="0.25">
      <c r="A156" s="887" t="s">
        <v>118</v>
      </c>
      <c r="B156" s="887" t="s">
        <v>31</v>
      </c>
      <c r="C156" s="887"/>
      <c r="D156" s="884" t="s">
        <v>1116</v>
      </c>
      <c r="E156" s="881">
        <v>109</v>
      </c>
      <c r="F156" s="881">
        <v>110</v>
      </c>
      <c r="G156" s="881">
        <v>110</v>
      </c>
      <c r="H156" s="881">
        <v>110</v>
      </c>
      <c r="I156" s="881">
        <v>110</v>
      </c>
      <c r="J156" s="881">
        <v>111</v>
      </c>
      <c r="K156" s="881">
        <v>111</v>
      </c>
      <c r="L156" s="881">
        <v>112</v>
      </c>
      <c r="M156" s="881">
        <v>112</v>
      </c>
      <c r="N156" s="881">
        <v>112</v>
      </c>
      <c r="O156" s="881">
        <v>112</v>
      </c>
      <c r="P156" s="881">
        <v>113</v>
      </c>
      <c r="Q156" s="881">
        <v>113</v>
      </c>
      <c r="R156" s="881">
        <v>113</v>
      </c>
      <c r="S156" s="881">
        <v>113</v>
      </c>
      <c r="T156" s="881">
        <v>114</v>
      </c>
      <c r="U156" s="881">
        <v>114</v>
      </c>
      <c r="V156" s="881">
        <v>114</v>
      </c>
    </row>
    <row r="157" spans="1:22" x14ac:dyDescent="0.25">
      <c r="A157" s="887" t="s">
        <v>118</v>
      </c>
      <c r="B157" s="887" t="s">
        <v>31</v>
      </c>
      <c r="C157" s="887"/>
      <c r="D157" s="884" t="s">
        <v>1117</v>
      </c>
      <c r="E157" s="881">
        <v>249</v>
      </c>
      <c r="F157" s="881">
        <v>250</v>
      </c>
      <c r="G157" s="881">
        <v>250</v>
      </c>
      <c r="H157" s="881">
        <v>251</v>
      </c>
      <c r="I157" s="881">
        <v>251</v>
      </c>
      <c r="J157" s="881">
        <v>252</v>
      </c>
      <c r="K157" s="881">
        <v>253</v>
      </c>
      <c r="L157" s="881">
        <v>255</v>
      </c>
      <c r="M157" s="881">
        <v>255</v>
      </c>
      <c r="N157" s="881">
        <v>255</v>
      </c>
      <c r="O157" s="881">
        <v>255</v>
      </c>
      <c r="P157" s="881">
        <v>257</v>
      </c>
      <c r="Q157" s="881">
        <v>257</v>
      </c>
      <c r="R157" s="881">
        <v>257</v>
      </c>
      <c r="S157" s="881">
        <v>257</v>
      </c>
      <c r="T157" s="881">
        <v>259</v>
      </c>
      <c r="U157" s="881">
        <v>259</v>
      </c>
      <c r="V157" s="881">
        <v>259</v>
      </c>
    </row>
    <row r="158" spans="1:22" x14ac:dyDescent="0.25">
      <c r="A158" s="887" t="s">
        <v>118</v>
      </c>
      <c r="B158" s="887" t="s">
        <v>31</v>
      </c>
      <c r="C158" s="887"/>
      <c r="D158" s="884" t="s">
        <v>1118</v>
      </c>
      <c r="E158" s="881">
        <v>40</v>
      </c>
      <c r="F158" s="881">
        <v>40</v>
      </c>
      <c r="G158" s="881">
        <v>40</v>
      </c>
      <c r="H158" s="881">
        <v>40</v>
      </c>
      <c r="I158" s="881">
        <v>40</v>
      </c>
      <c r="J158" s="881">
        <v>40</v>
      </c>
      <c r="K158" s="881">
        <v>40</v>
      </c>
      <c r="L158" s="881">
        <v>40</v>
      </c>
      <c r="M158" s="881">
        <v>40</v>
      </c>
      <c r="N158" s="881">
        <v>40</v>
      </c>
      <c r="O158" s="881">
        <v>40</v>
      </c>
      <c r="P158" s="881">
        <v>40</v>
      </c>
      <c r="Q158" s="881">
        <v>40</v>
      </c>
      <c r="R158" s="881">
        <v>40</v>
      </c>
      <c r="S158" s="881">
        <v>40</v>
      </c>
      <c r="T158" s="881">
        <v>40</v>
      </c>
      <c r="U158" s="881">
        <v>40</v>
      </c>
      <c r="V158" s="881">
        <v>40</v>
      </c>
    </row>
    <row r="159" spans="1:22" x14ac:dyDescent="0.25">
      <c r="A159" s="887" t="s">
        <v>118</v>
      </c>
      <c r="B159" s="887" t="s">
        <v>31</v>
      </c>
      <c r="C159" s="887"/>
      <c r="D159" s="884" t="s">
        <v>1119</v>
      </c>
      <c r="E159" s="881">
        <v>180</v>
      </c>
      <c r="F159" s="881">
        <v>180</v>
      </c>
      <c r="G159" s="881">
        <v>180</v>
      </c>
      <c r="H159" s="881">
        <v>180</v>
      </c>
      <c r="I159" s="881">
        <v>180</v>
      </c>
      <c r="J159" s="881">
        <v>180</v>
      </c>
      <c r="K159" s="881">
        <v>180</v>
      </c>
      <c r="L159" s="881">
        <v>180</v>
      </c>
      <c r="M159" s="881">
        <v>180</v>
      </c>
      <c r="N159" s="881">
        <v>180</v>
      </c>
      <c r="O159" s="881">
        <v>180</v>
      </c>
      <c r="P159" s="881">
        <v>180</v>
      </c>
      <c r="Q159" s="881">
        <v>180</v>
      </c>
      <c r="R159" s="881">
        <v>180</v>
      </c>
      <c r="S159" s="881">
        <v>180</v>
      </c>
      <c r="T159" s="881">
        <v>180</v>
      </c>
      <c r="U159" s="881">
        <v>180</v>
      </c>
      <c r="V159" s="881">
        <v>180</v>
      </c>
    </row>
    <row r="160" spans="1:22" x14ac:dyDescent="0.25">
      <c r="A160" s="887" t="s">
        <v>118</v>
      </c>
      <c r="B160" s="887" t="s">
        <v>31</v>
      </c>
      <c r="C160" s="887" t="s">
        <v>169</v>
      </c>
      <c r="D160" s="882" t="s">
        <v>1120</v>
      </c>
      <c r="E160" s="881">
        <v>25.22</v>
      </c>
      <c r="F160" s="881">
        <v>25.4</v>
      </c>
      <c r="G160" s="881">
        <v>25.4</v>
      </c>
      <c r="H160" s="881">
        <v>25.44</v>
      </c>
      <c r="I160" s="881">
        <v>25.44</v>
      </c>
      <c r="J160" s="881">
        <v>25.62</v>
      </c>
      <c r="K160" s="881">
        <v>25.66</v>
      </c>
      <c r="L160" s="881">
        <v>25.88</v>
      </c>
      <c r="M160" s="881">
        <v>25.88</v>
      </c>
      <c r="N160" s="881">
        <v>25.88</v>
      </c>
      <c r="O160" s="881">
        <v>25.88</v>
      </c>
      <c r="P160" s="881">
        <v>26.1</v>
      </c>
      <c r="Q160" s="881">
        <v>26.1</v>
      </c>
      <c r="R160" s="881">
        <v>26.1</v>
      </c>
      <c r="S160" s="881">
        <v>26.1</v>
      </c>
      <c r="T160" s="881">
        <v>26.32</v>
      </c>
      <c r="U160" s="881">
        <v>26.32</v>
      </c>
      <c r="V160" s="881">
        <v>26.32</v>
      </c>
    </row>
    <row r="161" spans="1:22" x14ac:dyDescent="0.25">
      <c r="A161" s="887" t="s">
        <v>118</v>
      </c>
      <c r="B161" s="887" t="s">
        <v>31</v>
      </c>
      <c r="C161" s="887"/>
      <c r="D161" s="882" t="s">
        <v>1121</v>
      </c>
    </row>
    <row r="162" spans="1:22" x14ac:dyDescent="0.25">
      <c r="A162" s="887" t="s">
        <v>118</v>
      </c>
      <c r="B162" s="887" t="s">
        <v>31</v>
      </c>
      <c r="C162" s="887"/>
      <c r="D162" s="884" t="s">
        <v>1122</v>
      </c>
      <c r="E162" s="881">
        <v>63462.824883000001</v>
      </c>
      <c r="F162" s="881">
        <v>93131.486726999996</v>
      </c>
      <c r="G162" s="881">
        <v>81483.202413000006</v>
      </c>
      <c r="H162" s="881">
        <v>72225.890786999997</v>
      </c>
      <c r="I162" s="881">
        <v>60413.292708000001</v>
      </c>
      <c r="J162" s="881">
        <v>57666.478955999999</v>
      </c>
      <c r="K162" s="881">
        <v>60173.400972000003</v>
      </c>
      <c r="L162" s="881">
        <v>64417.804626999998</v>
      </c>
      <c r="M162" s="881">
        <v>66212.795656999995</v>
      </c>
      <c r="N162" s="881">
        <v>96364.742104999998</v>
      </c>
      <c r="O162" s="881">
        <v>83269.459723000007</v>
      </c>
      <c r="P162" s="881">
        <v>73801.397686999902</v>
      </c>
      <c r="Q162" s="881">
        <v>62251.696714999998</v>
      </c>
      <c r="R162" s="881">
        <v>59186.984959000001</v>
      </c>
      <c r="S162" s="881">
        <v>54114.522584999999</v>
      </c>
      <c r="T162" s="881">
        <v>59822.964640999999</v>
      </c>
      <c r="U162" s="881">
        <v>58223.833570000003</v>
      </c>
      <c r="V162" s="881">
        <v>60168.454505000002</v>
      </c>
    </row>
    <row r="163" spans="1:22" x14ac:dyDescent="0.25">
      <c r="A163" s="887" t="s">
        <v>118</v>
      </c>
      <c r="B163" s="887" t="s">
        <v>31</v>
      </c>
      <c r="C163" s="887"/>
      <c r="D163" s="884" t="s">
        <v>1123</v>
      </c>
      <c r="E163" s="881">
        <v>19624.114600000001</v>
      </c>
      <c r="F163" s="881">
        <v>33700.741249999999</v>
      </c>
      <c r="G163" s="881">
        <v>64767.341610000003</v>
      </c>
      <c r="H163" s="881">
        <v>104136.6865</v>
      </c>
      <c r="I163" s="881">
        <v>122213.7473</v>
      </c>
      <c r="J163" s="881">
        <v>111620.84819999999</v>
      </c>
      <c r="K163" s="881">
        <v>18606.951679999998</v>
      </c>
      <c r="L163" s="881">
        <v>21020.221150000001</v>
      </c>
      <c r="M163" s="881">
        <v>20474.466619999999</v>
      </c>
      <c r="N163" s="881">
        <v>34870.733339999999</v>
      </c>
      <c r="O163" s="881">
        <v>66187.157389999993</v>
      </c>
      <c r="P163" s="881">
        <v>106408.2828</v>
      </c>
      <c r="Q163" s="881">
        <v>125932.76730000001</v>
      </c>
      <c r="R163" s="881">
        <v>114563.9822</v>
      </c>
      <c r="S163" s="881">
        <v>74922.562709999998</v>
      </c>
      <c r="T163" s="881">
        <v>34256.455370000003</v>
      </c>
      <c r="U163" s="881">
        <v>25560.60469</v>
      </c>
      <c r="V163" s="881">
        <v>19633.612590000001</v>
      </c>
    </row>
    <row r="164" spans="1:22" x14ac:dyDescent="0.25">
      <c r="A164" s="887" t="s">
        <v>118</v>
      </c>
      <c r="B164" s="887" t="s">
        <v>31</v>
      </c>
      <c r="C164" s="887"/>
      <c r="D164" s="885" t="s">
        <v>1124</v>
      </c>
      <c r="E164" s="883">
        <v>83.086939482999995</v>
      </c>
      <c r="F164" s="883">
        <v>126.832227977</v>
      </c>
      <c r="G164" s="883">
        <v>146.250544023</v>
      </c>
      <c r="H164" s="883">
        <v>176.36257728699999</v>
      </c>
      <c r="I164" s="883">
        <v>182.62704000799999</v>
      </c>
      <c r="J164" s="883">
        <v>169.28732715599901</v>
      </c>
      <c r="K164" s="883">
        <v>78.780352652000005</v>
      </c>
      <c r="L164" s="883">
        <v>85.438025776999993</v>
      </c>
      <c r="M164" s="883">
        <v>86.687262277000002</v>
      </c>
      <c r="N164" s="883">
        <v>131.23547544499999</v>
      </c>
      <c r="O164" s="883">
        <v>149.45661711299999</v>
      </c>
      <c r="P164" s="883">
        <v>180.20968048699899</v>
      </c>
      <c r="Q164" s="883">
        <v>188.184464015</v>
      </c>
      <c r="R164" s="883">
        <v>173.750967159</v>
      </c>
      <c r="S164" s="883">
        <v>129.037085295</v>
      </c>
      <c r="T164" s="883">
        <v>94.079420010999996</v>
      </c>
      <c r="U164" s="883">
        <v>83.784438260000002</v>
      </c>
      <c r="V164" s="883">
        <v>79.802067094999998</v>
      </c>
    </row>
    <row r="165" spans="1:22" x14ac:dyDescent="0.25">
      <c r="A165" s="887" t="s">
        <v>118</v>
      </c>
      <c r="B165" s="887" t="s">
        <v>31</v>
      </c>
      <c r="C165" s="887"/>
      <c r="D165" s="885" t="s">
        <v>1125</v>
      </c>
      <c r="E165" s="883">
        <v>2.2778999999999998</v>
      </c>
      <c r="F165" s="883">
        <v>2.2778999999999998</v>
      </c>
      <c r="G165" s="883">
        <v>2.2778999999999998</v>
      </c>
      <c r="H165" s="883">
        <v>2.2778999999999998</v>
      </c>
      <c r="I165" s="883">
        <v>2.2778999999999998</v>
      </c>
      <c r="J165" s="883">
        <v>2.2778999999999998</v>
      </c>
      <c r="K165" s="883">
        <v>2.2778999999999998</v>
      </c>
      <c r="L165" s="883">
        <v>2.2778999999999998</v>
      </c>
      <c r="M165" s="883">
        <v>2.2778999999999998</v>
      </c>
      <c r="N165" s="883">
        <v>2.2778999999999998</v>
      </c>
      <c r="O165" s="883">
        <v>2.2778999999999998</v>
      </c>
      <c r="P165" s="883">
        <v>2.2778999999999998</v>
      </c>
      <c r="Q165" s="883">
        <v>2.2778999999999998</v>
      </c>
      <c r="R165" s="883">
        <v>2.2778999999999998</v>
      </c>
      <c r="S165" s="883">
        <v>2.2778999999999998</v>
      </c>
      <c r="T165" s="883">
        <v>2.2778999999999998</v>
      </c>
      <c r="U165" s="883">
        <v>2.2778999999999998</v>
      </c>
      <c r="V165" s="883">
        <v>2.2778999999999998</v>
      </c>
    </row>
    <row r="166" spans="1:22" x14ac:dyDescent="0.25">
      <c r="A166" s="887" t="s">
        <v>118</v>
      </c>
      <c r="B166" s="887" t="s">
        <v>31</v>
      </c>
      <c r="C166" s="887"/>
      <c r="D166" s="885" t="s">
        <v>1126</v>
      </c>
      <c r="E166" s="883">
        <v>2.2778999999999998</v>
      </c>
      <c r="F166" s="883">
        <v>2.2778999999999998</v>
      </c>
      <c r="G166" s="883">
        <v>2.2778999999999998</v>
      </c>
      <c r="H166" s="883">
        <v>2.2778999999999998</v>
      </c>
      <c r="I166" s="883">
        <v>2.2778999999999998</v>
      </c>
      <c r="J166" s="883">
        <v>2.2778999999999998</v>
      </c>
      <c r="K166" s="883">
        <v>2.2778999999999998</v>
      </c>
      <c r="L166" s="883">
        <v>2.2778999999999998</v>
      </c>
      <c r="M166" s="883">
        <v>2.2778999999999998</v>
      </c>
      <c r="N166" s="883">
        <v>2.2778999999999998</v>
      </c>
      <c r="O166" s="883">
        <v>2.2778999999999998</v>
      </c>
      <c r="P166" s="883">
        <v>2.2778999999999998</v>
      </c>
      <c r="Q166" s="883">
        <v>2.2778999999999998</v>
      </c>
      <c r="R166" s="883">
        <v>2.2778999999999998</v>
      </c>
      <c r="S166" s="883">
        <v>2.2778999999999998</v>
      </c>
      <c r="T166" s="883">
        <v>2.2778999999999998</v>
      </c>
      <c r="U166" s="883">
        <v>2.2778999999999998</v>
      </c>
      <c r="V166" s="883">
        <v>2.2778999999999998</v>
      </c>
    </row>
    <row r="167" spans="1:22" x14ac:dyDescent="0.25">
      <c r="A167" s="887" t="s">
        <v>118</v>
      </c>
      <c r="B167" s="887" t="s">
        <v>31</v>
      </c>
      <c r="C167" s="887"/>
      <c r="D167" s="885" t="s">
        <v>1127</v>
      </c>
      <c r="E167" s="883">
        <v>1.7779</v>
      </c>
      <c r="F167" s="883">
        <v>1.7779</v>
      </c>
      <c r="G167" s="883">
        <v>2.2778999999999998</v>
      </c>
      <c r="H167" s="883">
        <v>2.2778999999999998</v>
      </c>
      <c r="I167" s="883">
        <v>2.2778999999999998</v>
      </c>
      <c r="J167" s="883">
        <v>2.2778999999999998</v>
      </c>
      <c r="K167" s="883">
        <v>1.7779</v>
      </c>
      <c r="L167" s="883">
        <v>1.7779</v>
      </c>
      <c r="M167" s="883">
        <v>1.7779</v>
      </c>
      <c r="N167" s="883">
        <v>1.7779</v>
      </c>
      <c r="O167" s="883">
        <v>2.2778999999999998</v>
      </c>
      <c r="P167" s="883">
        <v>2.2778999999999998</v>
      </c>
      <c r="Q167" s="883">
        <v>2.2778999999999998</v>
      </c>
      <c r="R167" s="883">
        <v>2.2778999999999998</v>
      </c>
      <c r="S167" s="883">
        <v>2.2778999999999998</v>
      </c>
      <c r="T167" s="883">
        <v>1.7779</v>
      </c>
      <c r="U167" s="883">
        <v>1.7779</v>
      </c>
      <c r="V167" s="883">
        <v>1.7779</v>
      </c>
    </row>
    <row r="168" spans="1:22" x14ac:dyDescent="0.25">
      <c r="A168" s="887" t="s">
        <v>118</v>
      </c>
      <c r="B168" s="887" t="s">
        <v>31</v>
      </c>
      <c r="C168" s="887" t="s">
        <v>778</v>
      </c>
      <c r="D168" s="882" t="s">
        <v>1128</v>
      </c>
      <c r="E168" s="881">
        <v>179.45168214832501</v>
      </c>
      <c r="F168" s="881">
        <v>272.06076148380799</v>
      </c>
      <c r="G168" s="881">
        <v>333.14411422999098</v>
      </c>
      <c r="H168" s="881">
        <v>401.736314802057</v>
      </c>
      <c r="I168" s="881">
        <v>416.00613443422299</v>
      </c>
      <c r="J168" s="881">
        <v>385.61960252865202</v>
      </c>
      <c r="K168" s="881">
        <v>170.15028946599</v>
      </c>
      <c r="L168" s="881">
        <v>184.10916834242801</v>
      </c>
      <c r="M168" s="881">
        <v>187.22768143077801</v>
      </c>
      <c r="N168" s="881">
        <v>281.50592284616499</v>
      </c>
      <c r="O168" s="881">
        <v>340.44722812170198</v>
      </c>
      <c r="P168" s="881">
        <v>410.49963118133701</v>
      </c>
      <c r="Q168" s="881">
        <v>428.66539057976797</v>
      </c>
      <c r="R168" s="881">
        <v>395.78732809148602</v>
      </c>
      <c r="S168" s="881">
        <v>293.93357659347998</v>
      </c>
      <c r="T168" s="881">
        <v>197.175283158056</v>
      </c>
      <c r="U168" s="881">
        <v>178.07226956745399</v>
      </c>
      <c r="V168" s="881">
        <v>171.96432234069999</v>
      </c>
    </row>
    <row r="169" spans="1:22" x14ac:dyDescent="0.25">
      <c r="A169" s="887" t="s">
        <v>118</v>
      </c>
      <c r="B169" s="887" t="s">
        <v>31</v>
      </c>
      <c r="C169" s="887"/>
      <c r="D169" s="882" t="s">
        <v>1129</v>
      </c>
    </row>
    <row r="170" spans="1:22" x14ac:dyDescent="0.25">
      <c r="A170" s="887" t="s">
        <v>118</v>
      </c>
      <c r="B170" s="887" t="s">
        <v>31</v>
      </c>
      <c r="C170" s="887"/>
      <c r="D170" s="882" t="s">
        <v>1130</v>
      </c>
    </row>
    <row r="171" spans="1:22" x14ac:dyDescent="0.25">
      <c r="A171" s="887" t="s">
        <v>118</v>
      </c>
      <c r="B171" s="887" t="s">
        <v>31</v>
      </c>
      <c r="C171" s="887"/>
      <c r="D171" s="882" t="s">
        <v>1131</v>
      </c>
      <c r="E171" s="881">
        <v>204.671682148325</v>
      </c>
      <c r="F171" s="881">
        <v>297.46076148380803</v>
      </c>
      <c r="G171" s="881">
        <v>358.54411422999101</v>
      </c>
      <c r="H171" s="881">
        <v>427.17631480205699</v>
      </c>
      <c r="I171" s="881">
        <v>441.44613443422298</v>
      </c>
      <c r="J171" s="881">
        <v>411.23960252865197</v>
      </c>
      <c r="K171" s="881">
        <v>195.81028946599</v>
      </c>
      <c r="L171" s="881">
        <v>209.989168342428</v>
      </c>
      <c r="M171" s="881">
        <v>213.107681430778</v>
      </c>
      <c r="N171" s="881">
        <v>307.38592284616499</v>
      </c>
      <c r="O171" s="881">
        <v>366.32722812170198</v>
      </c>
      <c r="P171" s="881">
        <v>436.59963118133697</v>
      </c>
      <c r="Q171" s="881">
        <v>454.765390579768</v>
      </c>
      <c r="R171" s="881">
        <v>421.88732809148598</v>
      </c>
      <c r="S171" s="881">
        <v>320.03357659348001</v>
      </c>
      <c r="T171" s="881">
        <v>223.495283158056</v>
      </c>
      <c r="U171" s="881">
        <v>204.39226956745401</v>
      </c>
      <c r="V171" s="881">
        <v>198.28432234069999</v>
      </c>
    </row>
    <row r="172" spans="1:22" x14ac:dyDescent="0.25">
      <c r="A172" s="887" t="s">
        <v>118</v>
      </c>
      <c r="B172" s="887" t="s">
        <v>31</v>
      </c>
      <c r="C172" s="887"/>
      <c r="D172" s="882" t="s">
        <v>1132</v>
      </c>
    </row>
    <row r="173" spans="1:22" x14ac:dyDescent="0.25">
      <c r="A173" s="887" t="s">
        <v>118</v>
      </c>
      <c r="B173" s="887" t="s">
        <v>31</v>
      </c>
      <c r="C173" s="887"/>
      <c r="D173" s="885" t="s">
        <v>1133</v>
      </c>
      <c r="E173" s="883">
        <v>3.54132328535503</v>
      </c>
      <c r="F173" s="883">
        <v>4.0825536529198896</v>
      </c>
      <c r="G173" s="883">
        <v>4.6151370530302804</v>
      </c>
      <c r="H173" s="883">
        <v>4.7204926546137003</v>
      </c>
      <c r="I173" s="883">
        <v>4.2816079006073897</v>
      </c>
      <c r="J173" s="883">
        <v>4.61774840312499</v>
      </c>
      <c r="K173" s="883">
        <v>3.6370825733754901</v>
      </c>
      <c r="L173" s="883">
        <v>3.1998593487156</v>
      </c>
      <c r="M173" s="883">
        <v>3.4441400635944199</v>
      </c>
      <c r="N173" s="883">
        <v>2.6697967759149801</v>
      </c>
      <c r="O173" s="883">
        <v>3.6621728781104101</v>
      </c>
      <c r="P173" s="883">
        <v>3.9547219031793199</v>
      </c>
      <c r="Q173" s="883">
        <v>4.3060793499123999</v>
      </c>
      <c r="R173" s="883">
        <v>4.66270835833049</v>
      </c>
      <c r="S173" s="883">
        <v>5.2056863414265502</v>
      </c>
      <c r="T173" s="883">
        <v>5.4531502607765896</v>
      </c>
      <c r="U173" s="883">
        <v>5.0764131270513699</v>
      </c>
      <c r="V173" s="883">
        <v>4.0447960531742</v>
      </c>
    </row>
    <row r="174" spans="1:22" x14ac:dyDescent="0.25">
      <c r="A174" s="887" t="s">
        <v>118</v>
      </c>
      <c r="B174" s="887" t="s">
        <v>31</v>
      </c>
      <c r="C174" s="887" t="s">
        <v>196</v>
      </c>
      <c r="D174" s="884" t="s">
        <v>1134</v>
      </c>
      <c r="E174" s="881">
        <v>294.23771350003199</v>
      </c>
      <c r="F174" s="881">
        <v>517.79937563547003</v>
      </c>
      <c r="G174" s="881">
        <v>674.966304746383</v>
      </c>
      <c r="H174" s="881">
        <v>832.518250632025</v>
      </c>
      <c r="I174" s="881">
        <v>781.937377362794</v>
      </c>
      <c r="J174" s="881">
        <v>781.72628464391801</v>
      </c>
      <c r="K174" s="881">
        <v>286.530647754965</v>
      </c>
      <c r="L174" s="881">
        <v>273.38966551833801</v>
      </c>
      <c r="M174" s="881">
        <v>298.56307301153299</v>
      </c>
      <c r="N174" s="881">
        <v>350.37204922873099</v>
      </c>
      <c r="O174" s="881">
        <v>547.33596964536105</v>
      </c>
      <c r="P174" s="881">
        <v>712.67917058688602</v>
      </c>
      <c r="Q174" s="881">
        <v>810.33723446932595</v>
      </c>
      <c r="R174" s="881">
        <v>810.150086840276</v>
      </c>
      <c r="S174" s="881">
        <v>671.726592457675</v>
      </c>
      <c r="T174" s="881">
        <v>513.02921376669497</v>
      </c>
      <c r="U174" s="881">
        <v>425.32442222568898</v>
      </c>
      <c r="V174" s="881">
        <v>322.78308602099798</v>
      </c>
    </row>
    <row r="175" spans="1:22" x14ac:dyDescent="0.25">
      <c r="A175" s="887" t="s">
        <v>118</v>
      </c>
      <c r="B175" s="887" t="s">
        <v>31</v>
      </c>
      <c r="C175" s="887"/>
      <c r="D175" s="882" t="s">
        <v>1135</v>
      </c>
    </row>
    <row r="176" spans="1:22" x14ac:dyDescent="0.25">
      <c r="A176" s="887" t="s">
        <v>118</v>
      </c>
      <c r="B176" s="887" t="s">
        <v>31</v>
      </c>
      <c r="C176" s="887"/>
      <c r="D176" s="885" t="s">
        <v>1136</v>
      </c>
      <c r="E176" s="883">
        <v>0</v>
      </c>
      <c r="F176" s="883">
        <v>0</v>
      </c>
      <c r="G176" s="883">
        <v>0</v>
      </c>
      <c r="H176" s="883">
        <v>0</v>
      </c>
      <c r="I176" s="883">
        <v>0</v>
      </c>
      <c r="J176" s="883">
        <v>0</v>
      </c>
      <c r="K176" s="883">
        <v>0</v>
      </c>
      <c r="L176" s="883">
        <v>0</v>
      </c>
      <c r="M176" s="883">
        <v>0</v>
      </c>
      <c r="N176" s="883">
        <v>0</v>
      </c>
      <c r="O176" s="883">
        <v>0</v>
      </c>
      <c r="P176" s="883">
        <v>0</v>
      </c>
      <c r="Q176" s="883">
        <v>0</v>
      </c>
      <c r="R176" s="883">
        <v>0</v>
      </c>
      <c r="S176" s="883">
        <v>0</v>
      </c>
      <c r="T176" s="883">
        <v>0</v>
      </c>
      <c r="U176" s="883">
        <v>0</v>
      </c>
      <c r="V176" s="883">
        <v>0</v>
      </c>
    </row>
    <row r="177" spans="1:22" x14ac:dyDescent="0.25">
      <c r="A177" s="887" t="s">
        <v>118</v>
      </c>
      <c r="B177" s="887" t="s">
        <v>31</v>
      </c>
      <c r="C177" s="887" t="s">
        <v>198</v>
      </c>
      <c r="D177" s="884" t="s">
        <v>1137</v>
      </c>
      <c r="E177" s="881">
        <v>0</v>
      </c>
      <c r="F177" s="881">
        <v>0</v>
      </c>
      <c r="G177" s="881">
        <v>0</v>
      </c>
      <c r="H177" s="881">
        <v>0</v>
      </c>
      <c r="I177" s="881">
        <v>0</v>
      </c>
      <c r="J177" s="881">
        <v>0</v>
      </c>
      <c r="K177" s="881">
        <v>0</v>
      </c>
      <c r="L177" s="881">
        <v>0</v>
      </c>
      <c r="M177" s="881">
        <v>0</v>
      </c>
      <c r="N177" s="881">
        <v>0</v>
      </c>
      <c r="O177" s="881">
        <v>0</v>
      </c>
      <c r="P177" s="881">
        <v>0</v>
      </c>
      <c r="Q177" s="881">
        <v>0</v>
      </c>
      <c r="R177" s="881">
        <v>0</v>
      </c>
      <c r="S177" s="881">
        <v>0</v>
      </c>
      <c r="T177" s="881">
        <v>0</v>
      </c>
      <c r="U177" s="881">
        <v>0</v>
      </c>
      <c r="V177" s="881">
        <v>0</v>
      </c>
    </row>
    <row r="178" spans="1:22" x14ac:dyDescent="0.25">
      <c r="A178" s="887" t="s">
        <v>118</v>
      </c>
      <c r="B178" s="887" t="s">
        <v>31</v>
      </c>
      <c r="C178" s="887"/>
      <c r="D178" s="882" t="s">
        <v>1138</v>
      </c>
    </row>
    <row r="179" spans="1:22" x14ac:dyDescent="0.25">
      <c r="A179" s="887" t="s">
        <v>118</v>
      </c>
      <c r="B179" s="887" t="s">
        <v>31</v>
      </c>
      <c r="C179" s="887"/>
      <c r="D179" s="885" t="s">
        <v>1139</v>
      </c>
      <c r="E179" s="883">
        <v>2.90831517292084E-2</v>
      </c>
      <c r="F179" s="883">
        <v>2.90831517292084E-2</v>
      </c>
      <c r="G179" s="883">
        <v>2.90831517292084E-2</v>
      </c>
      <c r="H179" s="883">
        <v>2.90831517292084E-2</v>
      </c>
      <c r="I179" s="883">
        <v>2.90831517292084E-2</v>
      </c>
      <c r="J179" s="883">
        <v>2.90831517292084E-2</v>
      </c>
      <c r="K179" s="883">
        <v>2.90831517292084E-2</v>
      </c>
      <c r="L179" s="883">
        <v>2.90831517292084E-2</v>
      </c>
      <c r="M179" s="883">
        <v>2.90831517292084E-2</v>
      </c>
      <c r="N179" s="883">
        <v>2.90831517292084E-2</v>
      </c>
      <c r="O179" s="883">
        <v>2.90831517292084E-2</v>
      </c>
      <c r="P179" s="883">
        <v>2.90831517292084E-2</v>
      </c>
      <c r="Q179" s="883">
        <v>2.90831517292084E-2</v>
      </c>
      <c r="R179" s="883">
        <v>2.90831517292084E-2</v>
      </c>
      <c r="S179" s="883">
        <v>2.90831517292084E-2</v>
      </c>
      <c r="T179" s="883">
        <v>2.90831517292084E-2</v>
      </c>
      <c r="U179" s="883">
        <v>2.90831517292084E-2</v>
      </c>
      <c r="V179" s="883">
        <v>2.90831517292084E-2</v>
      </c>
    </row>
    <row r="180" spans="1:22" x14ac:dyDescent="0.25">
      <c r="A180" s="887" t="s">
        <v>118</v>
      </c>
      <c r="B180" s="887" t="s">
        <v>31</v>
      </c>
      <c r="C180" s="887" t="s">
        <v>670</v>
      </c>
      <c r="D180" s="884" t="s">
        <v>1140</v>
      </c>
      <c r="E180" s="881">
        <v>53.303360906044702</v>
      </c>
      <c r="F180" s="881">
        <v>55.398326178366702</v>
      </c>
      <c r="G180" s="881">
        <v>55.7085096794317</v>
      </c>
      <c r="H180" s="881">
        <v>59.124560688280802</v>
      </c>
      <c r="I180" s="881">
        <v>73.896556388577295</v>
      </c>
      <c r="J180" s="881">
        <v>73.077847819197999</v>
      </c>
      <c r="K180" s="881">
        <v>64.948549774796504</v>
      </c>
      <c r="L180" s="881">
        <v>68.028745598943701</v>
      </c>
      <c r="M180" s="881">
        <v>66.766949474589396</v>
      </c>
      <c r="N180" s="881">
        <v>65.655967806310798</v>
      </c>
      <c r="O180" s="881">
        <v>65.343683256591902</v>
      </c>
      <c r="P180" s="881">
        <v>70.073738032479596</v>
      </c>
      <c r="Q180" s="881">
        <v>84.722974829169502</v>
      </c>
      <c r="R180" s="881">
        <v>83.608161534139498</v>
      </c>
      <c r="S180" s="881">
        <v>82.920591946711099</v>
      </c>
      <c r="T180" s="881">
        <v>78.615919806867097</v>
      </c>
      <c r="U180" s="881">
        <v>80.274846151865702</v>
      </c>
      <c r="V180" s="881">
        <v>77.808412172974897</v>
      </c>
    </row>
    <row r="181" spans="1:22" x14ac:dyDescent="0.25">
      <c r="A181" s="887" t="s">
        <v>118</v>
      </c>
      <c r="B181" s="887" t="s">
        <v>31</v>
      </c>
      <c r="C181" s="887"/>
      <c r="D181" s="882" t="s">
        <v>1141</v>
      </c>
      <c r="E181" s="881">
        <v>552.21275655440297</v>
      </c>
      <c r="F181" s="881">
        <v>870.65846329764497</v>
      </c>
      <c r="G181" s="881">
        <v>1089.2189286558</v>
      </c>
      <c r="H181" s="881">
        <v>1318.8191261223601</v>
      </c>
      <c r="I181" s="881">
        <v>1297.2800681855899</v>
      </c>
      <c r="J181" s="881">
        <v>1266.0437349917599</v>
      </c>
      <c r="K181" s="881">
        <v>547.28948699575199</v>
      </c>
      <c r="L181" s="881">
        <v>551.40757945970995</v>
      </c>
      <c r="M181" s="881">
        <v>578.437703916901</v>
      </c>
      <c r="N181" s="881">
        <v>723.41393988120797</v>
      </c>
      <c r="O181" s="881">
        <v>979.00688102365598</v>
      </c>
      <c r="P181" s="881">
        <v>1219.3525398007</v>
      </c>
      <c r="Q181" s="881">
        <v>1349.8255998782599</v>
      </c>
      <c r="R181" s="881">
        <v>1315.6455764658999</v>
      </c>
      <c r="S181" s="881">
        <v>1074.68076099786</v>
      </c>
      <c r="T181" s="881">
        <v>815.14041673161898</v>
      </c>
      <c r="U181" s="881">
        <v>709.99153794500899</v>
      </c>
      <c r="V181" s="881">
        <v>598.87582053467395</v>
      </c>
    </row>
    <row r="182" spans="1:22" s="82" customFormat="1" x14ac:dyDescent="0.25">
      <c r="A182" s="880" t="s">
        <v>109</v>
      </c>
      <c r="B182" s="880" t="s">
        <v>26</v>
      </c>
      <c r="C182" s="880"/>
      <c r="D182" s="969" t="s">
        <v>1153</v>
      </c>
    </row>
    <row r="183" spans="1:22" x14ac:dyDescent="0.25">
      <c r="A183" s="887" t="s">
        <v>109</v>
      </c>
      <c r="B183" s="887" t="s">
        <v>26</v>
      </c>
      <c r="C183" s="887"/>
      <c r="D183" s="882" t="s">
        <v>1114</v>
      </c>
    </row>
    <row r="184" spans="1:22" x14ac:dyDescent="0.25">
      <c r="A184" s="887" t="s">
        <v>109</v>
      </c>
      <c r="B184" s="887" t="s">
        <v>26</v>
      </c>
      <c r="C184" s="887"/>
      <c r="D184" s="884" t="s">
        <v>1115</v>
      </c>
      <c r="E184" s="881">
        <v>1066</v>
      </c>
      <c r="F184" s="881">
        <v>1070</v>
      </c>
      <c r="G184" s="881">
        <v>1078</v>
      </c>
      <c r="H184" s="881">
        <v>1086</v>
      </c>
      <c r="I184" s="881">
        <v>1090</v>
      </c>
      <c r="J184" s="881">
        <v>1090</v>
      </c>
      <c r="K184" s="881">
        <v>1062</v>
      </c>
      <c r="L184" s="881">
        <v>1063</v>
      </c>
      <c r="M184" s="881">
        <v>1063</v>
      </c>
      <c r="N184" s="881">
        <v>1066</v>
      </c>
      <c r="O184" s="881">
        <v>1074</v>
      </c>
      <c r="P184" s="881">
        <v>1083</v>
      </c>
      <c r="Q184" s="881">
        <v>1087</v>
      </c>
      <c r="R184" s="881">
        <v>1087</v>
      </c>
      <c r="S184" s="881">
        <v>1086</v>
      </c>
      <c r="T184" s="881">
        <v>1081</v>
      </c>
      <c r="U184" s="881">
        <v>1072</v>
      </c>
      <c r="V184" s="881">
        <v>1065</v>
      </c>
    </row>
    <row r="185" spans="1:22" x14ac:dyDescent="0.25">
      <c r="A185" s="887" t="s">
        <v>109</v>
      </c>
      <c r="B185" s="887" t="s">
        <v>26</v>
      </c>
      <c r="C185" s="887"/>
      <c r="D185" s="884" t="s">
        <v>1116</v>
      </c>
      <c r="E185" s="881">
        <v>44</v>
      </c>
      <c r="F185" s="881">
        <v>45</v>
      </c>
      <c r="G185" s="881">
        <v>45</v>
      </c>
      <c r="H185" s="881">
        <v>45</v>
      </c>
      <c r="I185" s="881">
        <v>45</v>
      </c>
      <c r="J185" s="881">
        <v>45</v>
      </c>
      <c r="K185" s="881">
        <v>44</v>
      </c>
      <c r="L185" s="881">
        <v>44</v>
      </c>
      <c r="M185" s="881">
        <v>44</v>
      </c>
      <c r="N185" s="881">
        <v>44</v>
      </c>
      <c r="O185" s="881">
        <v>45</v>
      </c>
      <c r="P185" s="881">
        <v>45</v>
      </c>
      <c r="Q185" s="881">
        <v>45</v>
      </c>
      <c r="R185" s="881">
        <v>45</v>
      </c>
      <c r="S185" s="881">
        <v>45</v>
      </c>
      <c r="T185" s="881">
        <v>45</v>
      </c>
      <c r="U185" s="881">
        <v>45</v>
      </c>
      <c r="V185" s="881">
        <v>44</v>
      </c>
    </row>
    <row r="186" spans="1:22" x14ac:dyDescent="0.25">
      <c r="A186" s="887" t="s">
        <v>109</v>
      </c>
      <c r="B186" s="887" t="s">
        <v>26</v>
      </c>
      <c r="C186" s="887"/>
      <c r="D186" s="884" t="s">
        <v>1117</v>
      </c>
      <c r="E186" s="881">
        <v>1110</v>
      </c>
      <c r="F186" s="881">
        <v>1115</v>
      </c>
      <c r="G186" s="881">
        <v>1123</v>
      </c>
      <c r="H186" s="881">
        <v>1131</v>
      </c>
      <c r="I186" s="881">
        <v>1135</v>
      </c>
      <c r="J186" s="881">
        <v>1135</v>
      </c>
      <c r="K186" s="881">
        <v>1106</v>
      </c>
      <c r="L186" s="881">
        <v>1107</v>
      </c>
      <c r="M186" s="881">
        <v>1107</v>
      </c>
      <c r="N186" s="881">
        <v>1110</v>
      </c>
      <c r="O186" s="881">
        <v>1119</v>
      </c>
      <c r="P186" s="881">
        <v>1128</v>
      </c>
      <c r="Q186" s="881">
        <v>1132</v>
      </c>
      <c r="R186" s="881">
        <v>1132</v>
      </c>
      <c r="S186" s="881">
        <v>1131</v>
      </c>
      <c r="T186" s="881">
        <v>1126</v>
      </c>
      <c r="U186" s="881">
        <v>1117</v>
      </c>
      <c r="V186" s="881">
        <v>1109</v>
      </c>
    </row>
    <row r="187" spans="1:22" x14ac:dyDescent="0.25">
      <c r="A187" s="887" t="s">
        <v>109</v>
      </c>
      <c r="B187" s="887" t="s">
        <v>26</v>
      </c>
      <c r="C187" s="887"/>
      <c r="D187" s="884" t="s">
        <v>1118</v>
      </c>
      <c r="E187" s="881">
        <v>40</v>
      </c>
      <c r="F187" s="881">
        <v>40</v>
      </c>
      <c r="G187" s="881">
        <v>40</v>
      </c>
      <c r="H187" s="881">
        <v>40</v>
      </c>
      <c r="I187" s="881">
        <v>40</v>
      </c>
      <c r="J187" s="881">
        <v>40</v>
      </c>
      <c r="K187" s="881">
        <v>40</v>
      </c>
      <c r="L187" s="881">
        <v>40</v>
      </c>
      <c r="M187" s="881">
        <v>40</v>
      </c>
      <c r="N187" s="881">
        <v>40</v>
      </c>
      <c r="O187" s="881">
        <v>40</v>
      </c>
      <c r="P187" s="881">
        <v>40</v>
      </c>
      <c r="Q187" s="881">
        <v>40</v>
      </c>
      <c r="R187" s="881">
        <v>40</v>
      </c>
      <c r="S187" s="881">
        <v>40</v>
      </c>
      <c r="T187" s="881">
        <v>40</v>
      </c>
      <c r="U187" s="881">
        <v>40</v>
      </c>
      <c r="V187" s="881">
        <v>40</v>
      </c>
    </row>
    <row r="188" spans="1:22" x14ac:dyDescent="0.25">
      <c r="A188" s="887" t="s">
        <v>109</v>
      </c>
      <c r="B188" s="887" t="s">
        <v>26</v>
      </c>
      <c r="C188" s="887"/>
      <c r="D188" s="884" t="s">
        <v>1119</v>
      </c>
      <c r="E188" s="881">
        <v>180</v>
      </c>
      <c r="F188" s="881">
        <v>180</v>
      </c>
      <c r="G188" s="881">
        <v>180</v>
      </c>
      <c r="H188" s="881">
        <v>180</v>
      </c>
      <c r="I188" s="881">
        <v>180</v>
      </c>
      <c r="J188" s="881">
        <v>180</v>
      </c>
      <c r="K188" s="881">
        <v>180</v>
      </c>
      <c r="L188" s="881">
        <v>180</v>
      </c>
      <c r="M188" s="881">
        <v>180</v>
      </c>
      <c r="N188" s="881">
        <v>180</v>
      </c>
      <c r="O188" s="881">
        <v>180</v>
      </c>
      <c r="P188" s="881">
        <v>180</v>
      </c>
      <c r="Q188" s="881">
        <v>180</v>
      </c>
      <c r="R188" s="881">
        <v>180</v>
      </c>
      <c r="S188" s="881">
        <v>180</v>
      </c>
      <c r="T188" s="881">
        <v>180</v>
      </c>
      <c r="U188" s="881">
        <v>180</v>
      </c>
      <c r="V188" s="881">
        <v>180</v>
      </c>
    </row>
    <row r="189" spans="1:22" x14ac:dyDescent="0.25">
      <c r="A189" s="887" t="s">
        <v>109</v>
      </c>
      <c r="B189" s="887" t="s">
        <v>26</v>
      </c>
      <c r="C189" s="887" t="s">
        <v>169</v>
      </c>
      <c r="D189" s="882" t="s">
        <v>1120</v>
      </c>
      <c r="E189" s="881">
        <v>50.56</v>
      </c>
      <c r="F189" s="881">
        <v>50.9</v>
      </c>
      <c r="G189" s="881">
        <v>51.22</v>
      </c>
      <c r="H189" s="881">
        <v>51.54</v>
      </c>
      <c r="I189" s="881">
        <v>51.7</v>
      </c>
      <c r="J189" s="881">
        <v>51.7</v>
      </c>
      <c r="K189" s="881">
        <v>50.4</v>
      </c>
      <c r="L189" s="881">
        <v>50.44</v>
      </c>
      <c r="M189" s="881">
        <v>50.44</v>
      </c>
      <c r="N189" s="881">
        <v>50.56</v>
      </c>
      <c r="O189" s="881">
        <v>51.06</v>
      </c>
      <c r="P189" s="881">
        <v>51.42</v>
      </c>
      <c r="Q189" s="881">
        <v>51.58</v>
      </c>
      <c r="R189" s="881">
        <v>51.58</v>
      </c>
      <c r="S189" s="881">
        <v>51.54</v>
      </c>
      <c r="T189" s="881">
        <v>51.34</v>
      </c>
      <c r="U189" s="881">
        <v>50.98</v>
      </c>
      <c r="V189" s="881">
        <v>50.52</v>
      </c>
    </row>
    <row r="190" spans="1:22" x14ac:dyDescent="0.25">
      <c r="A190" s="887" t="s">
        <v>109</v>
      </c>
      <c r="B190" s="887" t="s">
        <v>26</v>
      </c>
      <c r="C190" s="887"/>
      <c r="D190" s="882" t="s">
        <v>1121</v>
      </c>
    </row>
    <row r="191" spans="1:22" x14ac:dyDescent="0.25">
      <c r="A191" s="887" t="s">
        <v>109</v>
      </c>
      <c r="B191" s="887" t="s">
        <v>26</v>
      </c>
      <c r="C191" s="887"/>
      <c r="D191" s="884" t="s">
        <v>1122</v>
      </c>
      <c r="E191" s="881">
        <v>37024.514320000002</v>
      </c>
      <c r="F191" s="881">
        <v>57249.150329999997</v>
      </c>
      <c r="G191" s="881">
        <v>99186.685660000003</v>
      </c>
      <c r="H191" s="881">
        <v>176590.9215</v>
      </c>
      <c r="I191" s="881">
        <v>211360.0325</v>
      </c>
      <c r="J191" s="881">
        <v>185449.66889999999</v>
      </c>
      <c r="K191" s="881">
        <v>32731.13106</v>
      </c>
      <c r="L191" s="881">
        <v>34839.307220000002</v>
      </c>
      <c r="M191" s="881">
        <v>36414.663919999999</v>
      </c>
      <c r="N191" s="881">
        <v>56148.060660000003</v>
      </c>
      <c r="O191" s="881">
        <v>96845.205069999996</v>
      </c>
      <c r="P191" s="881">
        <v>173703.16329999999</v>
      </c>
      <c r="Q191" s="881">
        <v>210768.85630000001</v>
      </c>
      <c r="R191" s="881">
        <v>184607.22080000001</v>
      </c>
      <c r="S191" s="881">
        <v>135636.01319999999</v>
      </c>
      <c r="T191" s="881">
        <v>75280.335659999997</v>
      </c>
      <c r="U191" s="881">
        <v>45511.014470000002</v>
      </c>
      <c r="V191" s="881">
        <v>34109.871930000001</v>
      </c>
    </row>
    <row r="192" spans="1:22" x14ac:dyDescent="0.25">
      <c r="A192" s="887" t="s">
        <v>109</v>
      </c>
      <c r="B192" s="887" t="s">
        <v>26</v>
      </c>
      <c r="C192" s="887"/>
      <c r="D192" s="884" t="s">
        <v>1123</v>
      </c>
      <c r="E192" s="881">
        <v>1145.088072</v>
      </c>
      <c r="F192" s="881">
        <v>2385.3812640000001</v>
      </c>
      <c r="G192" s="881">
        <v>8624.9291880000001</v>
      </c>
      <c r="H192" s="881">
        <v>19621.213500000002</v>
      </c>
      <c r="I192" s="881">
        <v>40259.053800000002</v>
      </c>
      <c r="J192" s="881">
        <v>32726.41216</v>
      </c>
      <c r="K192" s="881">
        <v>1012.3030220000001</v>
      </c>
      <c r="L192" s="881">
        <v>1077.5043470000001</v>
      </c>
      <c r="M192" s="881">
        <v>1126.226719</v>
      </c>
      <c r="N192" s="881">
        <v>2339.5025270000001</v>
      </c>
      <c r="O192" s="881">
        <v>8421.3221799999992</v>
      </c>
      <c r="P192" s="881">
        <v>19300.351480000001</v>
      </c>
      <c r="Q192" s="881">
        <v>40146.448830000001</v>
      </c>
      <c r="R192" s="881">
        <v>32577.744849999999</v>
      </c>
      <c r="S192" s="881">
        <v>16764.001629999999</v>
      </c>
      <c r="T192" s="881">
        <v>3962.1229290000001</v>
      </c>
      <c r="U192" s="881">
        <v>1896.2922699999999</v>
      </c>
      <c r="V192" s="881">
        <v>1421.2446640000001</v>
      </c>
    </row>
    <row r="193" spans="1:22" x14ac:dyDescent="0.25">
      <c r="A193" s="887" t="s">
        <v>109</v>
      </c>
      <c r="B193" s="887" t="s">
        <v>26</v>
      </c>
      <c r="C193" s="887"/>
      <c r="D193" s="885" t="s">
        <v>1124</v>
      </c>
      <c r="E193" s="883">
        <v>38.169602392000002</v>
      </c>
      <c r="F193" s="883">
        <v>59.634531594000002</v>
      </c>
      <c r="G193" s="883">
        <v>107.811614848</v>
      </c>
      <c r="H193" s="883">
        <v>196.21213499999999</v>
      </c>
      <c r="I193" s="883">
        <v>251.61908629999999</v>
      </c>
      <c r="J193" s="883">
        <v>218.17608106</v>
      </c>
      <c r="K193" s="883">
        <v>33.743434082</v>
      </c>
      <c r="L193" s="883">
        <v>35.916811567000003</v>
      </c>
      <c r="M193" s="883">
        <v>37.540890638999997</v>
      </c>
      <c r="N193" s="883">
        <v>58.487563186999999</v>
      </c>
      <c r="O193" s="883">
        <v>105.26652725</v>
      </c>
      <c r="P193" s="883">
        <v>193.00351477999999</v>
      </c>
      <c r="Q193" s="883">
        <v>250.91530513000001</v>
      </c>
      <c r="R193" s="883">
        <v>217.18496565000001</v>
      </c>
      <c r="S193" s="883">
        <v>152.40001483</v>
      </c>
      <c r="T193" s="883">
        <v>79.242458588999995</v>
      </c>
      <c r="U193" s="883">
        <v>47.407306740000003</v>
      </c>
      <c r="V193" s="883">
        <v>35.531116593999997</v>
      </c>
    </row>
    <row r="194" spans="1:22" x14ac:dyDescent="0.25">
      <c r="A194" s="887" t="s">
        <v>109</v>
      </c>
      <c r="B194" s="887" t="s">
        <v>26</v>
      </c>
      <c r="C194" s="887"/>
      <c r="D194" s="885" t="s">
        <v>1125</v>
      </c>
      <c r="E194" s="883">
        <v>2.1503999999999999</v>
      </c>
      <c r="F194" s="883">
        <v>2.1503999999999999</v>
      </c>
      <c r="G194" s="883">
        <v>2.1503999999999999</v>
      </c>
      <c r="H194" s="883">
        <v>2.1503999999999999</v>
      </c>
      <c r="I194" s="883">
        <v>2.1503999999999999</v>
      </c>
      <c r="J194" s="883">
        <v>2.1503999999999999</v>
      </c>
      <c r="K194" s="883">
        <v>2.1503999999999999</v>
      </c>
      <c r="L194" s="883">
        <v>2.1503999999999999</v>
      </c>
      <c r="M194" s="883">
        <v>2.1503999999999999</v>
      </c>
      <c r="N194" s="883">
        <v>2.1503999999999999</v>
      </c>
      <c r="O194" s="883">
        <v>2.1503999999999999</v>
      </c>
      <c r="P194" s="883">
        <v>2.1503999999999999</v>
      </c>
      <c r="Q194" s="883">
        <v>2.1503999999999999</v>
      </c>
      <c r="R194" s="883">
        <v>2.1503999999999999</v>
      </c>
      <c r="S194" s="883">
        <v>2.1503999999999999</v>
      </c>
      <c r="T194" s="883">
        <v>2.1503999999999999</v>
      </c>
      <c r="U194" s="883">
        <v>2.1503999999999999</v>
      </c>
      <c r="V194" s="883">
        <v>2.1503999999999999</v>
      </c>
    </row>
    <row r="195" spans="1:22" x14ac:dyDescent="0.25">
      <c r="A195" s="887" t="s">
        <v>109</v>
      </c>
      <c r="B195" s="887" t="s">
        <v>26</v>
      </c>
      <c r="C195" s="887"/>
      <c r="D195" s="885" t="s">
        <v>1126</v>
      </c>
      <c r="E195" s="883">
        <v>2.1503999999999999</v>
      </c>
      <c r="F195" s="883">
        <v>2.1503999999999999</v>
      </c>
      <c r="G195" s="883">
        <v>2.1503999999999999</v>
      </c>
      <c r="H195" s="883">
        <v>2.1503999999999999</v>
      </c>
      <c r="I195" s="883">
        <v>2.1503999999999999</v>
      </c>
      <c r="J195" s="883">
        <v>2.1503999999999999</v>
      </c>
      <c r="K195" s="883">
        <v>2.1503999999999999</v>
      </c>
      <c r="L195" s="883">
        <v>2.1503999999999999</v>
      </c>
      <c r="M195" s="883">
        <v>2.1503999999999999</v>
      </c>
      <c r="N195" s="883">
        <v>2.1503999999999999</v>
      </c>
      <c r="O195" s="883">
        <v>2.1503999999999999</v>
      </c>
      <c r="P195" s="883">
        <v>2.1503999999999999</v>
      </c>
      <c r="Q195" s="883">
        <v>2.1503999999999999</v>
      </c>
      <c r="R195" s="883">
        <v>2.1503999999999999</v>
      </c>
      <c r="S195" s="883">
        <v>2.1503999999999999</v>
      </c>
      <c r="T195" s="883">
        <v>2.1503999999999999</v>
      </c>
      <c r="U195" s="883">
        <v>2.1503999999999999</v>
      </c>
      <c r="V195" s="883">
        <v>2.1503999999999999</v>
      </c>
    </row>
    <row r="196" spans="1:22" x14ac:dyDescent="0.25">
      <c r="A196" s="887" t="s">
        <v>109</v>
      </c>
      <c r="B196" s="887" t="s">
        <v>26</v>
      </c>
      <c r="C196" s="887"/>
      <c r="D196" s="885" t="s">
        <v>1127</v>
      </c>
      <c r="E196" s="883">
        <v>1.6504000000000001</v>
      </c>
      <c r="F196" s="883">
        <v>1.6504000000000001</v>
      </c>
      <c r="G196" s="883">
        <v>2.1503999999999999</v>
      </c>
      <c r="H196" s="883">
        <v>2.1503999999999999</v>
      </c>
      <c r="I196" s="883">
        <v>2.1503999999999999</v>
      </c>
      <c r="J196" s="883">
        <v>2.1503999999999999</v>
      </c>
      <c r="K196" s="883">
        <v>1.6504000000000001</v>
      </c>
      <c r="L196" s="883">
        <v>1.6504000000000001</v>
      </c>
      <c r="M196" s="883">
        <v>1.6504000000000001</v>
      </c>
      <c r="N196" s="883">
        <v>1.6504000000000001</v>
      </c>
      <c r="O196" s="883">
        <v>2.1503999999999999</v>
      </c>
      <c r="P196" s="883">
        <v>2.1503999999999999</v>
      </c>
      <c r="Q196" s="883">
        <v>2.1503999999999999</v>
      </c>
      <c r="R196" s="883">
        <v>2.1503999999999999</v>
      </c>
      <c r="S196" s="883">
        <v>2.1503999999999999</v>
      </c>
      <c r="T196" s="883">
        <v>1.6504000000000001</v>
      </c>
      <c r="U196" s="883">
        <v>1.6504000000000001</v>
      </c>
      <c r="V196" s="883">
        <v>1.6504000000000001</v>
      </c>
    </row>
    <row r="197" spans="1:22" x14ac:dyDescent="0.25">
      <c r="A197" s="887" t="s">
        <v>109</v>
      </c>
      <c r="B197" s="887" t="s">
        <v>26</v>
      </c>
      <c r="C197" s="887" t="s">
        <v>778</v>
      </c>
      <c r="D197" s="882" t="s">
        <v>1128</v>
      </c>
      <c r="E197" s="881">
        <v>81.507368947756802</v>
      </c>
      <c r="F197" s="881">
        <v>127.04540610773699</v>
      </c>
      <c r="G197" s="881">
        <v>231.838096569139</v>
      </c>
      <c r="H197" s="881">
        <v>421.93457510399901</v>
      </c>
      <c r="I197" s="881">
        <v>541.08168317951902</v>
      </c>
      <c r="J197" s="881">
        <v>469.16584471142397</v>
      </c>
      <c r="K197" s="881">
        <v>72.055729138932804</v>
      </c>
      <c r="L197" s="881">
        <v>76.696759420176804</v>
      </c>
      <c r="M197" s="881">
        <v>80.164817870605503</v>
      </c>
      <c r="N197" s="881">
        <v>124.601904613824</v>
      </c>
      <c r="O197" s="881">
        <v>226.36514019839899</v>
      </c>
      <c r="P197" s="881">
        <v>415.03475818291099</v>
      </c>
      <c r="Q197" s="881">
        <v>539.56827215155204</v>
      </c>
      <c r="R197" s="881">
        <v>467.03455013375998</v>
      </c>
      <c r="S197" s="881">
        <v>327.72099189043098</v>
      </c>
      <c r="T197" s="881">
        <v>168.421921485285</v>
      </c>
      <c r="U197" s="881">
        <v>100.996526278696</v>
      </c>
      <c r="V197" s="881">
        <v>75.695490791737598</v>
      </c>
    </row>
    <row r="198" spans="1:22" x14ac:dyDescent="0.25">
      <c r="A198" s="887" t="s">
        <v>109</v>
      </c>
      <c r="B198" s="887" t="s">
        <v>26</v>
      </c>
      <c r="C198" s="887"/>
      <c r="D198" s="882" t="s">
        <v>1129</v>
      </c>
    </row>
    <row r="199" spans="1:22" x14ac:dyDescent="0.25">
      <c r="A199" s="887" t="s">
        <v>109</v>
      </c>
      <c r="B199" s="887" t="s">
        <v>26</v>
      </c>
      <c r="C199" s="887"/>
      <c r="D199" s="882" t="s">
        <v>1130</v>
      </c>
    </row>
    <row r="200" spans="1:22" x14ac:dyDescent="0.25">
      <c r="A200" s="887" t="s">
        <v>109</v>
      </c>
      <c r="B200" s="887" t="s">
        <v>26</v>
      </c>
      <c r="C200" s="887"/>
      <c r="D200" s="882" t="s">
        <v>1131</v>
      </c>
      <c r="E200" s="881">
        <v>132.06736894775599</v>
      </c>
      <c r="F200" s="881">
        <v>177.945406107737</v>
      </c>
      <c r="G200" s="881">
        <v>283.05809656913902</v>
      </c>
      <c r="H200" s="881">
        <v>473.47457510399897</v>
      </c>
      <c r="I200" s="881">
        <v>592.78168317951997</v>
      </c>
      <c r="J200" s="881">
        <v>520.86584471142396</v>
      </c>
      <c r="K200" s="881">
        <v>122.455729138932</v>
      </c>
      <c r="L200" s="881">
        <v>127.13675942017601</v>
      </c>
      <c r="M200" s="881">
        <v>130.60481787060499</v>
      </c>
      <c r="N200" s="881">
        <v>175.16190461382399</v>
      </c>
      <c r="O200" s="881">
        <v>277.42514019839899</v>
      </c>
      <c r="P200" s="881">
        <v>466.45475818291101</v>
      </c>
      <c r="Q200" s="881">
        <v>591.14827215155196</v>
      </c>
      <c r="R200" s="881">
        <v>518.61455013375996</v>
      </c>
      <c r="S200" s="881">
        <v>379.260991890431</v>
      </c>
      <c r="T200" s="881">
        <v>219.761921485285</v>
      </c>
      <c r="U200" s="881">
        <v>151.97652627869499</v>
      </c>
      <c r="V200" s="881">
        <v>126.215490791737</v>
      </c>
    </row>
    <row r="201" spans="1:22" x14ac:dyDescent="0.25">
      <c r="A201" s="887" t="s">
        <v>109</v>
      </c>
      <c r="B201" s="887" t="s">
        <v>26</v>
      </c>
      <c r="C201" s="887"/>
      <c r="D201" s="882" t="s">
        <v>1132</v>
      </c>
    </row>
    <row r="202" spans="1:22" x14ac:dyDescent="0.25">
      <c r="A202" s="887" t="s">
        <v>109</v>
      </c>
      <c r="B202" s="887" t="s">
        <v>26</v>
      </c>
      <c r="C202" s="887"/>
      <c r="D202" s="885" t="s">
        <v>1133</v>
      </c>
      <c r="E202" s="883">
        <v>3.54132328535503</v>
      </c>
      <c r="F202" s="883">
        <v>4.0825536529198896</v>
      </c>
      <c r="G202" s="883">
        <v>4.6151370530302804</v>
      </c>
      <c r="H202" s="883">
        <v>4.7204926546137003</v>
      </c>
      <c r="I202" s="883">
        <v>4.2816079006073897</v>
      </c>
      <c r="J202" s="883">
        <v>4.61774840312499</v>
      </c>
      <c r="K202" s="883">
        <v>3.6370825733754901</v>
      </c>
      <c r="L202" s="883">
        <v>3.1998593487156</v>
      </c>
      <c r="M202" s="883">
        <v>3.4441400635944199</v>
      </c>
      <c r="N202" s="883">
        <v>2.6697967759149801</v>
      </c>
      <c r="O202" s="883">
        <v>3.6621728781104101</v>
      </c>
      <c r="P202" s="883">
        <v>3.9547219031793199</v>
      </c>
      <c r="Q202" s="883">
        <v>4.3060793499123999</v>
      </c>
      <c r="R202" s="883">
        <v>4.66270835833049</v>
      </c>
      <c r="S202" s="883">
        <v>5.2056863414265502</v>
      </c>
      <c r="T202" s="883">
        <v>5.4531502607765896</v>
      </c>
      <c r="U202" s="883">
        <v>5.0764131270513699</v>
      </c>
      <c r="V202" s="883">
        <v>4.0447960531742</v>
      </c>
    </row>
    <row r="203" spans="1:22" x14ac:dyDescent="0.25">
      <c r="A203" s="887" t="s">
        <v>109</v>
      </c>
      <c r="B203" s="887" t="s">
        <v>26</v>
      </c>
      <c r="C203" s="887" t="s">
        <v>196</v>
      </c>
      <c r="D203" s="884" t="s">
        <v>1134</v>
      </c>
      <c r="E203" s="881">
        <v>135.170901743532</v>
      </c>
      <c r="F203" s="881">
        <v>243.46117479925101</v>
      </c>
      <c r="G203" s="881">
        <v>497.56537843203398</v>
      </c>
      <c r="H203" s="881">
        <v>926.21794201357204</v>
      </c>
      <c r="I203" s="881">
        <v>1077.33426784569</v>
      </c>
      <c r="J203" s="881">
        <v>1007.48224991488</v>
      </c>
      <c r="K203" s="881">
        <v>122.727656065486</v>
      </c>
      <c r="L203" s="881">
        <v>114.928745268721</v>
      </c>
      <c r="M203" s="881">
        <v>129.29608547279599</v>
      </c>
      <c r="N203" s="881">
        <v>156.149907627776</v>
      </c>
      <c r="O203" s="881">
        <v>385.50422106782003</v>
      </c>
      <c r="P203" s="881">
        <v>763.27522729105897</v>
      </c>
      <c r="Q203" s="881">
        <v>1080.4612139972601</v>
      </c>
      <c r="R203" s="881">
        <v>1012.67015463997</v>
      </c>
      <c r="S203" s="881">
        <v>793.346675633735</v>
      </c>
      <c r="T203" s="881">
        <v>432.121033719183</v>
      </c>
      <c r="U203" s="881">
        <v>240.659074253086</v>
      </c>
      <c r="V203" s="881">
        <v>143.71612016428301</v>
      </c>
    </row>
    <row r="204" spans="1:22" x14ac:dyDescent="0.25">
      <c r="A204" s="887" t="s">
        <v>109</v>
      </c>
      <c r="B204" s="887" t="s">
        <v>26</v>
      </c>
      <c r="C204" s="887"/>
      <c r="D204" s="882" t="s">
        <v>1135</v>
      </c>
    </row>
    <row r="205" spans="1:22" x14ac:dyDescent="0.25">
      <c r="A205" s="887" t="s">
        <v>109</v>
      </c>
      <c r="B205" s="887" t="s">
        <v>26</v>
      </c>
      <c r="C205" s="887"/>
      <c r="D205" s="885" t="s">
        <v>1136</v>
      </c>
      <c r="E205" s="883">
        <v>0.34906843462946002</v>
      </c>
      <c r="F205" s="883">
        <v>0.16939007523933</v>
      </c>
      <c r="G205" s="883">
        <v>9.4024398016510996E-2</v>
      </c>
      <c r="H205" s="883">
        <v>7.9005885786712304E-2</v>
      </c>
      <c r="I205" s="883">
        <v>4.2818241030573301E-2</v>
      </c>
      <c r="J205" s="883">
        <v>5.3348528484577801E-2</v>
      </c>
      <c r="K205" s="883">
        <v>0.24690512534735301</v>
      </c>
      <c r="L205" s="883">
        <v>0.286805863570613</v>
      </c>
      <c r="M205" s="883">
        <v>0.2714755224323</v>
      </c>
      <c r="N205" s="883">
        <v>0.23977615362243901</v>
      </c>
      <c r="O205" s="883">
        <v>0.112823983088882</v>
      </c>
      <c r="P205" s="883">
        <v>3.1676324500992899E-2</v>
      </c>
      <c r="Q205" s="883">
        <v>5.1767532114618299E-2</v>
      </c>
      <c r="R205" s="883">
        <v>6.4560825100963504E-2</v>
      </c>
      <c r="S205" s="883">
        <v>0.10990553607190399</v>
      </c>
      <c r="T205" s="883">
        <v>0.18637651503338701</v>
      </c>
      <c r="U205" s="883">
        <v>0.28860955010716799</v>
      </c>
      <c r="V205" s="883">
        <v>0.33287319112658798</v>
      </c>
    </row>
    <row r="206" spans="1:22" x14ac:dyDescent="0.25">
      <c r="A206" s="887" t="s">
        <v>109</v>
      </c>
      <c r="B206" s="887" t="s">
        <v>26</v>
      </c>
      <c r="C206" s="887" t="s">
        <v>198</v>
      </c>
      <c r="D206" s="884" t="s">
        <v>1137</v>
      </c>
      <c r="E206" s="881">
        <v>13.3238033574043</v>
      </c>
      <c r="F206" s="881">
        <v>10.1014977935698</v>
      </c>
      <c r="G206" s="881">
        <v>10.1369221852711</v>
      </c>
      <c r="H206" s="881">
        <v>15.5019135277769</v>
      </c>
      <c r="I206" s="881">
        <v>10.773886685086</v>
      </c>
      <c r="J206" s="881">
        <v>11.6393728750829</v>
      </c>
      <c r="K206" s="881">
        <v>8.3314268216663692</v>
      </c>
      <c r="L206" s="881">
        <v>10.3011521581764</v>
      </c>
      <c r="M206" s="881">
        <v>10.1914328987963</v>
      </c>
      <c r="N206" s="881">
        <v>14.0239229357282</v>
      </c>
      <c r="O206" s="881">
        <v>11.876588890279301</v>
      </c>
      <c r="P206" s="881">
        <v>6.1136419640034596</v>
      </c>
      <c r="Q206" s="881">
        <v>12.989266116366499</v>
      </c>
      <c r="R206" s="881">
        <v>14.0216405818884</v>
      </c>
      <c r="S206" s="881">
        <v>16.7496053272572</v>
      </c>
      <c r="T206" s="881">
        <v>14.7689332744953</v>
      </c>
      <c r="U206" s="881">
        <v>13.6822014700239</v>
      </c>
      <c r="V206" s="881">
        <v>11.827356164935599</v>
      </c>
    </row>
    <row r="207" spans="1:22" x14ac:dyDescent="0.25">
      <c r="A207" s="887" t="s">
        <v>109</v>
      </c>
      <c r="B207" s="887" t="s">
        <v>26</v>
      </c>
      <c r="C207" s="887"/>
      <c r="D207" s="882" t="s">
        <v>1138</v>
      </c>
    </row>
    <row r="208" spans="1:22" x14ac:dyDescent="0.25">
      <c r="A208" s="887" t="s">
        <v>109</v>
      </c>
      <c r="B208" s="887" t="s">
        <v>26</v>
      </c>
      <c r="C208" s="887"/>
      <c r="D208" s="885" t="s">
        <v>1139</v>
      </c>
      <c r="E208" s="883">
        <v>0.289271550125482</v>
      </c>
      <c r="F208" s="883">
        <v>0.289271550125482</v>
      </c>
      <c r="G208" s="883">
        <v>0.289271550125482</v>
      </c>
      <c r="H208" s="883">
        <v>0.289271550125482</v>
      </c>
      <c r="I208" s="883">
        <v>0.289271550125482</v>
      </c>
      <c r="J208" s="883">
        <v>0.289271550125482</v>
      </c>
      <c r="K208" s="883">
        <v>0.289271550125482</v>
      </c>
      <c r="L208" s="883">
        <v>0.289271550125482</v>
      </c>
      <c r="M208" s="883">
        <v>0.289271550125482</v>
      </c>
      <c r="N208" s="883">
        <v>0.289271550125482</v>
      </c>
      <c r="O208" s="883">
        <v>0.289271550125482</v>
      </c>
      <c r="P208" s="883">
        <v>0.289271550125482</v>
      </c>
      <c r="Q208" s="883">
        <v>0.289271550125482</v>
      </c>
      <c r="R208" s="883">
        <v>0.289271550125482</v>
      </c>
      <c r="S208" s="883">
        <v>0.289271550125482</v>
      </c>
      <c r="T208" s="883">
        <v>0.289271550125482</v>
      </c>
      <c r="U208" s="883">
        <v>0.289271550125482</v>
      </c>
      <c r="V208" s="883">
        <v>0.289271550125482</v>
      </c>
    </row>
    <row r="209" spans="1:22" x14ac:dyDescent="0.25">
      <c r="A209" s="887" t="s">
        <v>109</v>
      </c>
      <c r="B209" s="887" t="s">
        <v>26</v>
      </c>
      <c r="C209" s="887" t="s">
        <v>670</v>
      </c>
      <c r="D209" s="884" t="s">
        <v>1140</v>
      </c>
      <c r="E209" s="881">
        <v>58.558142467099302</v>
      </c>
      <c r="F209" s="881">
        <v>65.416529315059094</v>
      </c>
      <c r="G209" s="881">
        <v>69.441096384926993</v>
      </c>
      <c r="H209" s="881">
        <v>74.381848830067099</v>
      </c>
      <c r="I209" s="881">
        <v>90.574013818539001</v>
      </c>
      <c r="J209" s="881">
        <v>88.194751828564705</v>
      </c>
      <c r="K209" s="881">
        <v>69.987527470244601</v>
      </c>
      <c r="L209" s="881">
        <v>71.087750544082297</v>
      </c>
      <c r="M209" s="881">
        <v>72.400056579234899</v>
      </c>
      <c r="N209" s="881">
        <v>77.276870919021704</v>
      </c>
      <c r="O209" s="881">
        <v>85.064100721635199</v>
      </c>
      <c r="P209" s="881">
        <v>90.026254589712593</v>
      </c>
      <c r="Q209" s="881">
        <v>103.78556616920901</v>
      </c>
      <c r="R209" s="881">
        <v>100.876210247708</v>
      </c>
      <c r="S209" s="881">
        <v>100.485886522339</v>
      </c>
      <c r="T209" s="881">
        <v>93.562901475410598</v>
      </c>
      <c r="U209" s="881">
        <v>90.095599717042205</v>
      </c>
      <c r="V209" s="881">
        <v>82.952096627711796</v>
      </c>
    </row>
    <row r="210" spans="1:22" x14ac:dyDescent="0.25">
      <c r="A210" s="887" t="s">
        <v>109</v>
      </c>
      <c r="B210" s="887" t="s">
        <v>26</v>
      </c>
      <c r="C210" s="887"/>
      <c r="D210" s="882" t="s">
        <v>1141</v>
      </c>
      <c r="E210" s="881">
        <v>339.120216515793</v>
      </c>
      <c r="F210" s="881">
        <v>496.92460801561799</v>
      </c>
      <c r="G210" s="881">
        <v>860.201493571372</v>
      </c>
      <c r="H210" s="881">
        <v>1489.57627947541</v>
      </c>
      <c r="I210" s="881">
        <v>1771.46385152883</v>
      </c>
      <c r="J210" s="881">
        <v>1628.1822193299499</v>
      </c>
      <c r="K210" s="881">
        <v>323.50233949633002</v>
      </c>
      <c r="L210" s="881">
        <v>323.45440739115702</v>
      </c>
      <c r="M210" s="881">
        <v>342.49239282143299</v>
      </c>
      <c r="N210" s="881">
        <v>422.61260609635099</v>
      </c>
      <c r="O210" s="881">
        <v>759.87005087813498</v>
      </c>
      <c r="P210" s="881">
        <v>1325.86988202768</v>
      </c>
      <c r="Q210" s="881">
        <v>1788.38431843439</v>
      </c>
      <c r="R210" s="881">
        <v>1646.18255560333</v>
      </c>
      <c r="S210" s="881">
        <v>1289.84315937376</v>
      </c>
      <c r="T210" s="881">
        <v>760.21478995437496</v>
      </c>
      <c r="U210" s="881">
        <v>496.413401718849</v>
      </c>
      <c r="V210" s="881">
        <v>364.71106374866798</v>
      </c>
    </row>
    <row r="211" spans="1:22" s="82" customFormat="1" x14ac:dyDescent="0.25">
      <c r="A211" s="880" t="s">
        <v>1154</v>
      </c>
      <c r="B211" s="880" t="s">
        <v>45</v>
      </c>
      <c r="C211" s="880"/>
      <c r="D211" s="969" t="s">
        <v>1232</v>
      </c>
    </row>
    <row r="212" spans="1:22" x14ac:dyDescent="0.25">
      <c r="A212" s="887" t="s">
        <v>1154</v>
      </c>
      <c r="B212" s="887" t="s">
        <v>45</v>
      </c>
      <c r="C212" s="887"/>
      <c r="D212" s="882" t="s">
        <v>1114</v>
      </c>
    </row>
    <row r="213" spans="1:22" x14ac:dyDescent="0.25">
      <c r="A213" s="887" t="s">
        <v>1154</v>
      </c>
      <c r="B213" s="887" t="s">
        <v>45</v>
      </c>
      <c r="C213" s="887"/>
      <c r="D213" s="884" t="s">
        <v>1115</v>
      </c>
      <c r="E213" s="881">
        <v>1</v>
      </c>
      <c r="F213" s="881">
        <v>1</v>
      </c>
      <c r="G213" s="881">
        <v>1</v>
      </c>
      <c r="H213" s="881">
        <v>1</v>
      </c>
      <c r="I213" s="881">
        <v>1</v>
      </c>
      <c r="J213" s="881">
        <v>1</v>
      </c>
      <c r="K213" s="881">
        <v>1</v>
      </c>
      <c r="L213" s="881">
        <v>1</v>
      </c>
      <c r="M213" s="881">
        <v>1</v>
      </c>
      <c r="N213" s="881">
        <v>1</v>
      </c>
      <c r="O213" s="881">
        <v>1</v>
      </c>
      <c r="P213" s="881">
        <v>1</v>
      </c>
      <c r="Q213" s="881">
        <v>1</v>
      </c>
      <c r="R213" s="881">
        <v>1</v>
      </c>
      <c r="S213" s="881">
        <v>1</v>
      </c>
      <c r="T213" s="881">
        <v>1</v>
      </c>
      <c r="U213" s="881">
        <v>1</v>
      </c>
      <c r="V213" s="881">
        <v>1</v>
      </c>
    </row>
    <row r="214" spans="1:22" x14ac:dyDescent="0.25">
      <c r="A214" s="887" t="s">
        <v>1154</v>
      </c>
      <c r="B214" s="887" t="s">
        <v>45</v>
      </c>
      <c r="C214" s="887"/>
      <c r="D214" s="884" t="s">
        <v>1116</v>
      </c>
      <c r="E214" s="881">
        <v>0</v>
      </c>
      <c r="F214" s="881">
        <v>0</v>
      </c>
      <c r="G214" s="881">
        <v>0</v>
      </c>
      <c r="H214" s="881">
        <v>0</v>
      </c>
      <c r="I214" s="881">
        <v>0</v>
      </c>
      <c r="J214" s="881">
        <v>0</v>
      </c>
      <c r="K214" s="881">
        <v>0</v>
      </c>
      <c r="L214" s="881">
        <v>0</v>
      </c>
      <c r="M214" s="881">
        <v>0</v>
      </c>
      <c r="N214" s="881">
        <v>0</v>
      </c>
      <c r="O214" s="881">
        <v>0</v>
      </c>
      <c r="P214" s="881">
        <v>0</v>
      </c>
      <c r="Q214" s="881">
        <v>0</v>
      </c>
      <c r="R214" s="881">
        <v>0</v>
      </c>
      <c r="S214" s="881">
        <v>0</v>
      </c>
      <c r="T214" s="881">
        <v>0</v>
      </c>
      <c r="U214" s="881">
        <v>0</v>
      </c>
      <c r="V214" s="881">
        <v>0</v>
      </c>
    </row>
    <row r="215" spans="1:22" x14ac:dyDescent="0.25">
      <c r="A215" s="887" t="s">
        <v>1154</v>
      </c>
      <c r="B215" s="887" t="s">
        <v>45</v>
      </c>
      <c r="C215" s="887"/>
      <c r="D215" s="884" t="s">
        <v>1117</v>
      </c>
      <c r="E215" s="881">
        <v>1</v>
      </c>
      <c r="F215" s="881">
        <v>1</v>
      </c>
      <c r="G215" s="881">
        <v>1</v>
      </c>
      <c r="H215" s="881">
        <v>1</v>
      </c>
      <c r="I215" s="881">
        <v>1</v>
      </c>
      <c r="J215" s="881">
        <v>1</v>
      </c>
      <c r="K215" s="881">
        <v>1</v>
      </c>
      <c r="L215" s="881">
        <v>1</v>
      </c>
      <c r="M215" s="881">
        <v>1</v>
      </c>
      <c r="N215" s="881">
        <v>1</v>
      </c>
      <c r="O215" s="881">
        <v>1</v>
      </c>
      <c r="P215" s="881">
        <v>1</v>
      </c>
      <c r="Q215" s="881">
        <v>1</v>
      </c>
      <c r="R215" s="881">
        <v>1</v>
      </c>
      <c r="S215" s="881">
        <v>1</v>
      </c>
      <c r="T215" s="881">
        <v>1</v>
      </c>
      <c r="U215" s="881">
        <v>1</v>
      </c>
      <c r="V215" s="881">
        <v>1</v>
      </c>
    </row>
    <row r="216" spans="1:22" x14ac:dyDescent="0.25">
      <c r="A216" s="887" t="s">
        <v>1154</v>
      </c>
      <c r="B216" s="887" t="s">
        <v>45</v>
      </c>
      <c r="C216" s="887"/>
      <c r="D216" s="884" t="s">
        <v>1118</v>
      </c>
      <c r="E216" s="881">
        <v>180</v>
      </c>
      <c r="F216" s="881">
        <v>180</v>
      </c>
      <c r="G216" s="881">
        <v>180</v>
      </c>
      <c r="H216" s="881">
        <v>180</v>
      </c>
      <c r="I216" s="881">
        <v>180</v>
      </c>
      <c r="J216" s="881">
        <v>180</v>
      </c>
      <c r="K216" s="881">
        <v>180</v>
      </c>
      <c r="L216" s="881">
        <v>180</v>
      </c>
      <c r="M216" s="881">
        <v>180</v>
      </c>
      <c r="N216" s="881">
        <v>180</v>
      </c>
      <c r="O216" s="881">
        <v>180</v>
      </c>
      <c r="P216" s="881">
        <v>180</v>
      </c>
      <c r="Q216" s="881">
        <v>180</v>
      </c>
      <c r="R216" s="881">
        <v>180</v>
      </c>
      <c r="S216" s="881">
        <v>180</v>
      </c>
      <c r="T216" s="881">
        <v>180</v>
      </c>
      <c r="U216" s="881">
        <v>180</v>
      </c>
      <c r="V216" s="881">
        <v>180</v>
      </c>
    </row>
    <row r="217" spans="1:22" x14ac:dyDescent="0.25">
      <c r="A217" s="887" t="s">
        <v>1154</v>
      </c>
      <c r="B217" s="887" t="s">
        <v>45</v>
      </c>
      <c r="C217" s="887"/>
      <c r="D217" s="884" t="s">
        <v>1119</v>
      </c>
      <c r="E217" s="881">
        <v>0</v>
      </c>
      <c r="F217" s="881">
        <v>0</v>
      </c>
      <c r="G217" s="881">
        <v>0</v>
      </c>
      <c r="H217" s="881">
        <v>0</v>
      </c>
      <c r="I217" s="881">
        <v>0</v>
      </c>
      <c r="J217" s="881">
        <v>0</v>
      </c>
      <c r="K217" s="881">
        <v>0</v>
      </c>
      <c r="L217" s="881">
        <v>0</v>
      </c>
      <c r="M217" s="881">
        <v>0</v>
      </c>
      <c r="N217" s="881">
        <v>0</v>
      </c>
      <c r="O217" s="881">
        <v>0</v>
      </c>
      <c r="P217" s="881">
        <v>0</v>
      </c>
      <c r="Q217" s="881">
        <v>0</v>
      </c>
      <c r="R217" s="881">
        <v>0</v>
      </c>
      <c r="S217" s="881">
        <v>0</v>
      </c>
      <c r="T217" s="881">
        <v>0</v>
      </c>
      <c r="U217" s="881">
        <v>0</v>
      </c>
      <c r="V217" s="881">
        <v>0</v>
      </c>
    </row>
    <row r="218" spans="1:22" x14ac:dyDescent="0.25">
      <c r="A218" s="887" t="s">
        <v>1154</v>
      </c>
      <c r="B218" s="887" t="s">
        <v>45</v>
      </c>
      <c r="C218" s="887" t="s">
        <v>169</v>
      </c>
      <c r="D218" s="882" t="s">
        <v>1120</v>
      </c>
      <c r="E218" s="881">
        <v>0.18</v>
      </c>
      <c r="F218" s="881">
        <v>0.18</v>
      </c>
      <c r="G218" s="881">
        <v>0.18</v>
      </c>
      <c r="H218" s="881">
        <v>0.18</v>
      </c>
      <c r="I218" s="881">
        <v>0.18</v>
      </c>
      <c r="J218" s="881">
        <v>0.18</v>
      </c>
      <c r="K218" s="881">
        <v>0.18</v>
      </c>
      <c r="L218" s="881">
        <v>0.18</v>
      </c>
      <c r="M218" s="881">
        <v>0.18</v>
      </c>
      <c r="N218" s="881">
        <v>0.18</v>
      </c>
      <c r="O218" s="881">
        <v>0.18</v>
      </c>
      <c r="P218" s="881">
        <v>0.18</v>
      </c>
      <c r="Q218" s="881">
        <v>0.18</v>
      </c>
      <c r="R218" s="881">
        <v>0.18</v>
      </c>
      <c r="S218" s="881">
        <v>0.18</v>
      </c>
      <c r="T218" s="881">
        <v>0.18</v>
      </c>
      <c r="U218" s="881">
        <v>0.18</v>
      </c>
      <c r="V218" s="881">
        <v>0.18</v>
      </c>
    </row>
    <row r="219" spans="1:22" x14ac:dyDescent="0.25">
      <c r="A219" s="887" t="s">
        <v>1154</v>
      </c>
      <c r="B219" s="887" t="s">
        <v>45</v>
      </c>
      <c r="C219" s="887"/>
      <c r="D219" s="882" t="s">
        <v>1121</v>
      </c>
    </row>
    <row r="220" spans="1:22" x14ac:dyDescent="0.25">
      <c r="A220" s="887" t="s">
        <v>1154</v>
      </c>
      <c r="B220" s="887" t="s">
        <v>45</v>
      </c>
      <c r="C220" s="887"/>
      <c r="D220" s="884" t="s">
        <v>1122</v>
      </c>
      <c r="E220" s="881">
        <v>12324.3</v>
      </c>
      <c r="F220" s="881">
        <v>8240.6</v>
      </c>
      <c r="G220" s="881">
        <v>14564.1</v>
      </c>
      <c r="H220" s="881">
        <v>12191.8</v>
      </c>
      <c r="I220" s="881">
        <v>12279.6</v>
      </c>
      <c r="J220" s="881">
        <v>12236.5</v>
      </c>
      <c r="K220" s="881">
        <v>13182.9</v>
      </c>
      <c r="L220" s="881">
        <v>13395.9</v>
      </c>
      <c r="M220" s="881">
        <v>12191.8</v>
      </c>
      <c r="N220" s="881">
        <v>14343.8</v>
      </c>
      <c r="O220" s="881">
        <v>15460.1</v>
      </c>
      <c r="P220" s="881">
        <v>12236.5</v>
      </c>
      <c r="Q220" s="881">
        <v>12279.6</v>
      </c>
      <c r="R220" s="881">
        <v>11339</v>
      </c>
      <c r="S220" s="881">
        <v>12191.9</v>
      </c>
      <c r="T220" s="881">
        <v>13486.9</v>
      </c>
      <c r="U220" s="881">
        <v>12279.6</v>
      </c>
      <c r="V220" s="881">
        <v>12191.8</v>
      </c>
    </row>
    <row r="221" spans="1:22" x14ac:dyDescent="0.25">
      <c r="A221" s="887" t="s">
        <v>1154</v>
      </c>
      <c r="B221" s="887" t="s">
        <v>45</v>
      </c>
      <c r="C221" s="887"/>
      <c r="D221" s="884" t="s">
        <v>1123</v>
      </c>
      <c r="E221" s="881">
        <v>0</v>
      </c>
      <c r="F221" s="881">
        <v>0</v>
      </c>
      <c r="G221" s="881">
        <v>0</v>
      </c>
      <c r="H221" s="881">
        <v>0</v>
      </c>
      <c r="I221" s="881">
        <v>0</v>
      </c>
      <c r="J221" s="881">
        <v>0</v>
      </c>
      <c r="K221" s="881">
        <v>0</v>
      </c>
      <c r="L221" s="881">
        <v>0</v>
      </c>
      <c r="M221" s="881">
        <v>0</v>
      </c>
      <c r="N221" s="881">
        <v>0</v>
      </c>
      <c r="O221" s="881">
        <v>0</v>
      </c>
      <c r="P221" s="881">
        <v>0</v>
      </c>
      <c r="Q221" s="881">
        <v>0</v>
      </c>
      <c r="R221" s="881">
        <v>0</v>
      </c>
      <c r="S221" s="881">
        <v>0</v>
      </c>
      <c r="T221" s="881">
        <v>0</v>
      </c>
      <c r="U221" s="881">
        <v>0</v>
      </c>
      <c r="V221" s="881">
        <v>0</v>
      </c>
    </row>
    <row r="222" spans="1:22" x14ac:dyDescent="0.25">
      <c r="A222" s="887" t="s">
        <v>1154</v>
      </c>
      <c r="B222" s="887" t="s">
        <v>45</v>
      </c>
      <c r="C222" s="887"/>
      <c r="D222" s="885" t="s">
        <v>1124</v>
      </c>
      <c r="E222" s="883">
        <v>12.324299999999999</v>
      </c>
      <c r="F222" s="883">
        <v>8.2406000000000006</v>
      </c>
      <c r="G222" s="883">
        <v>14.5641</v>
      </c>
      <c r="H222" s="883">
        <v>12.191799999999899</v>
      </c>
      <c r="I222" s="883">
        <v>12.2796</v>
      </c>
      <c r="J222" s="883">
        <v>12.236499999999999</v>
      </c>
      <c r="K222" s="883">
        <v>13.1829</v>
      </c>
      <c r="L222" s="883">
        <v>13.395899999999999</v>
      </c>
      <c r="M222" s="883">
        <v>12.191799999999899</v>
      </c>
      <c r="N222" s="883">
        <v>14.3438</v>
      </c>
      <c r="O222" s="883">
        <v>15.460100000000001</v>
      </c>
      <c r="P222" s="883">
        <v>12.236499999999999</v>
      </c>
      <c r="Q222" s="883">
        <v>12.2796</v>
      </c>
      <c r="R222" s="883">
        <v>11.339</v>
      </c>
      <c r="S222" s="883">
        <v>12.1919</v>
      </c>
      <c r="T222" s="883">
        <v>13.4869</v>
      </c>
      <c r="U222" s="883">
        <v>12.2796</v>
      </c>
      <c r="V222" s="883">
        <v>12.191799999999899</v>
      </c>
    </row>
    <row r="223" spans="1:22" x14ac:dyDescent="0.25">
      <c r="A223" s="887" t="s">
        <v>1154</v>
      </c>
      <c r="B223" s="887" t="s">
        <v>45</v>
      </c>
      <c r="C223" s="887"/>
      <c r="D223" s="885" t="s">
        <v>1125</v>
      </c>
      <c r="E223" s="883">
        <v>0.33289999999999997</v>
      </c>
      <c r="F223" s="883">
        <v>0.33289999999999997</v>
      </c>
      <c r="G223" s="883">
        <v>0.33289999999999997</v>
      </c>
      <c r="H223" s="883">
        <v>0.33289999999999997</v>
      </c>
      <c r="I223" s="883">
        <v>0.33289999999999997</v>
      </c>
      <c r="J223" s="883">
        <v>0.33289999999999997</v>
      </c>
      <c r="K223" s="883">
        <v>0.33289999999999997</v>
      </c>
      <c r="L223" s="883">
        <v>0.33289999999999997</v>
      </c>
      <c r="M223" s="883">
        <v>0.33289999999999997</v>
      </c>
      <c r="N223" s="883">
        <v>0.33289999999999997</v>
      </c>
      <c r="O223" s="883">
        <v>0.33289999999999997</v>
      </c>
      <c r="P223" s="883">
        <v>0.33289999999999997</v>
      </c>
      <c r="Q223" s="883">
        <v>0.33289999999999997</v>
      </c>
      <c r="R223" s="883">
        <v>0.33289999999999997</v>
      </c>
      <c r="S223" s="883">
        <v>0.33289999999999997</v>
      </c>
      <c r="T223" s="883">
        <v>0.33289999999999997</v>
      </c>
      <c r="U223" s="883">
        <v>0.33289999999999997</v>
      </c>
      <c r="V223" s="883">
        <v>0.33289999999999997</v>
      </c>
    </row>
    <row r="224" spans="1:22" x14ac:dyDescent="0.25">
      <c r="A224" s="887" t="s">
        <v>1154</v>
      </c>
      <c r="B224" s="887" t="s">
        <v>45</v>
      </c>
      <c r="C224" s="887"/>
      <c r="D224" s="885" t="s">
        <v>1126</v>
      </c>
      <c r="E224" s="883">
        <v>0.33289999999999997</v>
      </c>
      <c r="F224" s="883">
        <v>0.33289999999999997</v>
      </c>
      <c r="G224" s="883">
        <v>0.33289999999999997</v>
      </c>
      <c r="H224" s="883">
        <v>0.33289999999999997</v>
      </c>
      <c r="I224" s="883">
        <v>0.33289999999999997</v>
      </c>
      <c r="J224" s="883">
        <v>0.33289999999999997</v>
      </c>
      <c r="K224" s="883">
        <v>0.33289999999999997</v>
      </c>
      <c r="L224" s="883">
        <v>0.33289999999999997</v>
      </c>
      <c r="M224" s="883">
        <v>0.33289999999999997</v>
      </c>
      <c r="N224" s="883">
        <v>0.33289999999999997</v>
      </c>
      <c r="O224" s="883">
        <v>0.33289999999999997</v>
      </c>
      <c r="P224" s="883">
        <v>0.33289999999999997</v>
      </c>
      <c r="Q224" s="883">
        <v>0.33289999999999997</v>
      </c>
      <c r="R224" s="883">
        <v>0.33289999999999997</v>
      </c>
      <c r="S224" s="883">
        <v>0.33289999999999997</v>
      </c>
      <c r="T224" s="883">
        <v>0.33289999999999997</v>
      </c>
      <c r="U224" s="883">
        <v>0.33289999999999997</v>
      </c>
      <c r="V224" s="883">
        <v>0.33289999999999997</v>
      </c>
    </row>
    <row r="225" spans="1:22" x14ac:dyDescent="0.25">
      <c r="A225" s="887" t="s">
        <v>1154</v>
      </c>
      <c r="B225" s="887" t="s">
        <v>45</v>
      </c>
      <c r="C225" s="887"/>
      <c r="D225" s="885" t="s">
        <v>1127</v>
      </c>
      <c r="E225" s="883">
        <v>0</v>
      </c>
      <c r="F225" s="883">
        <v>0</v>
      </c>
      <c r="G225" s="883">
        <v>0</v>
      </c>
      <c r="H225" s="883">
        <v>0</v>
      </c>
      <c r="I225" s="883">
        <v>0</v>
      </c>
      <c r="J225" s="883">
        <v>0</v>
      </c>
      <c r="K225" s="883">
        <v>0</v>
      </c>
      <c r="L225" s="883">
        <v>0</v>
      </c>
      <c r="M225" s="883">
        <v>0</v>
      </c>
      <c r="N225" s="883">
        <v>0</v>
      </c>
      <c r="O225" s="883">
        <v>0</v>
      </c>
      <c r="P225" s="883">
        <v>0</v>
      </c>
      <c r="Q225" s="883">
        <v>0</v>
      </c>
      <c r="R225" s="883">
        <v>0</v>
      </c>
      <c r="S225" s="883">
        <v>0</v>
      </c>
      <c r="T225" s="883">
        <v>0</v>
      </c>
      <c r="U225" s="883">
        <v>0</v>
      </c>
      <c r="V225" s="883">
        <v>0</v>
      </c>
    </row>
    <row r="226" spans="1:22" x14ac:dyDescent="0.25">
      <c r="A226" s="887" t="s">
        <v>1154</v>
      </c>
      <c r="B226" s="887" t="s">
        <v>45</v>
      </c>
      <c r="C226" s="887" t="s">
        <v>778</v>
      </c>
      <c r="D226" s="882" t="s">
        <v>1128</v>
      </c>
      <c r="E226" s="881">
        <v>4.1027594699999899</v>
      </c>
      <c r="F226" s="881">
        <v>2.7432957400000002</v>
      </c>
      <c r="G226" s="881">
        <v>4.8483888899999998</v>
      </c>
      <c r="H226" s="881">
        <v>4.0586502199999996</v>
      </c>
      <c r="I226" s="881">
        <v>4.0878788400000001</v>
      </c>
      <c r="J226" s="881">
        <v>4.07353085</v>
      </c>
      <c r="K226" s="881">
        <v>4.3885874099999898</v>
      </c>
      <c r="L226" s="881">
        <v>4.4594951099999998</v>
      </c>
      <c r="M226" s="881">
        <v>4.0586502199999996</v>
      </c>
      <c r="N226" s="881">
        <v>4.7750510199999896</v>
      </c>
      <c r="O226" s="881">
        <v>5.1466672899999999</v>
      </c>
      <c r="P226" s="881">
        <v>4.07353085</v>
      </c>
      <c r="Q226" s="881">
        <v>4.0878788400000001</v>
      </c>
      <c r="R226" s="881">
        <v>3.7747530999999999</v>
      </c>
      <c r="S226" s="881">
        <v>4.0586835099999998</v>
      </c>
      <c r="T226" s="881">
        <v>4.48978901</v>
      </c>
      <c r="U226" s="881">
        <v>4.0878788400000001</v>
      </c>
      <c r="V226" s="881">
        <v>4.0586502199999996</v>
      </c>
    </row>
    <row r="227" spans="1:22" x14ac:dyDescent="0.25">
      <c r="A227" s="887" t="s">
        <v>1154</v>
      </c>
      <c r="B227" s="887" t="s">
        <v>45</v>
      </c>
      <c r="C227" s="887"/>
      <c r="D227" s="882" t="s">
        <v>1129</v>
      </c>
    </row>
    <row r="228" spans="1:22" x14ac:dyDescent="0.25">
      <c r="A228" s="887" t="s">
        <v>1154</v>
      </c>
      <c r="B228" s="887" t="s">
        <v>45</v>
      </c>
      <c r="C228" s="887"/>
      <c r="D228" s="882" t="s">
        <v>1130</v>
      </c>
    </row>
    <row r="229" spans="1:22" x14ac:dyDescent="0.25">
      <c r="A229" s="887" t="s">
        <v>1154</v>
      </c>
      <c r="B229" s="887" t="s">
        <v>45</v>
      </c>
      <c r="C229" s="887"/>
      <c r="D229" s="884" t="s">
        <v>1143</v>
      </c>
      <c r="E229" s="881">
        <v>16560</v>
      </c>
      <c r="F229" s="881">
        <v>16560</v>
      </c>
      <c r="G229" s="881">
        <v>16560</v>
      </c>
      <c r="H229" s="881">
        <v>16560</v>
      </c>
      <c r="I229" s="881">
        <v>16560</v>
      </c>
      <c r="J229" s="881">
        <v>16560</v>
      </c>
      <c r="K229" s="881">
        <v>16560</v>
      </c>
      <c r="L229" s="881">
        <v>16560</v>
      </c>
      <c r="M229" s="881">
        <v>16560</v>
      </c>
      <c r="N229" s="881">
        <v>16560</v>
      </c>
      <c r="O229" s="881">
        <v>16560</v>
      </c>
      <c r="P229" s="881">
        <v>16560</v>
      </c>
      <c r="Q229" s="881">
        <v>16560</v>
      </c>
      <c r="R229" s="881">
        <v>16560</v>
      </c>
      <c r="S229" s="881">
        <v>16560</v>
      </c>
      <c r="T229" s="881">
        <v>16560</v>
      </c>
      <c r="U229" s="881">
        <v>16560</v>
      </c>
      <c r="V229" s="881">
        <v>16560</v>
      </c>
    </row>
    <row r="230" spans="1:22" x14ac:dyDescent="0.25">
      <c r="A230" s="887" t="s">
        <v>1154</v>
      </c>
      <c r="B230" s="887" t="s">
        <v>45</v>
      </c>
      <c r="C230" s="887"/>
      <c r="D230" s="885" t="s">
        <v>1144</v>
      </c>
      <c r="E230" s="883">
        <v>11.2629</v>
      </c>
      <c r="F230" s="883">
        <v>11.2629</v>
      </c>
      <c r="G230" s="883">
        <v>11.2629</v>
      </c>
      <c r="H230" s="883">
        <v>11.2629</v>
      </c>
      <c r="I230" s="883">
        <v>11.2629</v>
      </c>
      <c r="J230" s="883">
        <v>11.2629</v>
      </c>
      <c r="K230" s="883">
        <v>11.2629</v>
      </c>
      <c r="L230" s="883">
        <v>11.2629</v>
      </c>
      <c r="M230" s="883">
        <v>11.2629</v>
      </c>
      <c r="N230" s="883">
        <v>11.2629</v>
      </c>
      <c r="O230" s="883">
        <v>11.2629</v>
      </c>
      <c r="P230" s="883">
        <v>11.2629</v>
      </c>
      <c r="Q230" s="883">
        <v>11.2629</v>
      </c>
      <c r="R230" s="883">
        <v>11.2629</v>
      </c>
      <c r="S230" s="883">
        <v>11.2629</v>
      </c>
      <c r="T230" s="883">
        <v>11.2629</v>
      </c>
      <c r="U230" s="883">
        <v>11.2629</v>
      </c>
      <c r="V230" s="883">
        <v>11.2629</v>
      </c>
    </row>
    <row r="231" spans="1:22" x14ac:dyDescent="0.25">
      <c r="A231" s="887" t="s">
        <v>1154</v>
      </c>
      <c r="B231" s="887" t="s">
        <v>45</v>
      </c>
      <c r="C231" s="887" t="s">
        <v>264</v>
      </c>
      <c r="D231" s="886" t="s">
        <v>1145</v>
      </c>
      <c r="E231" s="883">
        <v>186.51362399999999</v>
      </c>
      <c r="F231" s="883">
        <v>186.51362399999999</v>
      </c>
      <c r="G231" s="883">
        <v>186.51362399999999</v>
      </c>
      <c r="H231" s="883">
        <v>186.51362399999999</v>
      </c>
      <c r="I231" s="883">
        <v>186.51362399999999</v>
      </c>
      <c r="J231" s="883">
        <v>186.51362399999999</v>
      </c>
      <c r="K231" s="883">
        <v>186.51362399999999</v>
      </c>
      <c r="L231" s="883">
        <v>186.51362399999999</v>
      </c>
      <c r="M231" s="883">
        <v>186.51362399999999</v>
      </c>
      <c r="N231" s="883">
        <v>186.51362399999999</v>
      </c>
      <c r="O231" s="883">
        <v>186.51362399999999</v>
      </c>
      <c r="P231" s="883">
        <v>186.51362399999999</v>
      </c>
      <c r="Q231" s="883">
        <v>186.51362399999999</v>
      </c>
      <c r="R231" s="883">
        <v>186.51362399999999</v>
      </c>
      <c r="S231" s="883">
        <v>186.51362399999999</v>
      </c>
      <c r="T231" s="883">
        <v>186.51362399999999</v>
      </c>
      <c r="U231" s="883">
        <v>186.51362399999999</v>
      </c>
      <c r="V231" s="883">
        <v>186.51362399999999</v>
      </c>
    </row>
    <row r="232" spans="1:22" x14ac:dyDescent="0.25">
      <c r="A232" s="887" t="s">
        <v>1154</v>
      </c>
      <c r="B232" s="887" t="s">
        <v>45</v>
      </c>
      <c r="C232" s="887"/>
      <c r="D232" s="882" t="s">
        <v>1131</v>
      </c>
      <c r="E232" s="881">
        <v>190.79638346999999</v>
      </c>
      <c r="F232" s="881">
        <v>189.43691974000001</v>
      </c>
      <c r="G232" s="881">
        <v>191.54201289</v>
      </c>
      <c r="H232" s="881">
        <v>190.75227422</v>
      </c>
      <c r="I232" s="881">
        <v>190.78150284</v>
      </c>
      <c r="J232" s="881">
        <v>190.76715485</v>
      </c>
      <c r="K232" s="881">
        <v>191.08221141000001</v>
      </c>
      <c r="L232" s="881">
        <v>191.15311911000001</v>
      </c>
      <c r="M232" s="881">
        <v>190.75227422</v>
      </c>
      <c r="N232" s="881">
        <v>191.46867502000001</v>
      </c>
      <c r="O232" s="881">
        <v>191.84029129000001</v>
      </c>
      <c r="P232" s="881">
        <v>190.76715485</v>
      </c>
      <c r="Q232" s="881">
        <v>190.78150284</v>
      </c>
      <c r="R232" s="881">
        <v>190.4683771</v>
      </c>
      <c r="S232" s="881">
        <v>190.75230751000001</v>
      </c>
      <c r="T232" s="881">
        <v>191.18341301000001</v>
      </c>
      <c r="U232" s="881">
        <v>190.78150284</v>
      </c>
      <c r="V232" s="881">
        <v>190.75227422</v>
      </c>
    </row>
    <row r="233" spans="1:22" x14ac:dyDescent="0.25">
      <c r="A233" s="887" t="s">
        <v>1154</v>
      </c>
      <c r="B233" s="887" t="s">
        <v>45</v>
      </c>
      <c r="C233" s="887"/>
      <c r="D233" s="882" t="s">
        <v>1132</v>
      </c>
    </row>
    <row r="234" spans="1:22" x14ac:dyDescent="0.25">
      <c r="A234" s="887" t="s">
        <v>1154</v>
      </c>
      <c r="B234" s="887" t="s">
        <v>45</v>
      </c>
      <c r="C234" s="887"/>
      <c r="D234" s="885" t="s">
        <v>1133</v>
      </c>
      <c r="E234" s="883">
        <v>3.54132328535503</v>
      </c>
      <c r="F234" s="883">
        <v>4.0825536529198896</v>
      </c>
      <c r="G234" s="883">
        <v>4.6151370530302804</v>
      </c>
      <c r="H234" s="883">
        <v>4.7204926546137003</v>
      </c>
      <c r="I234" s="883">
        <v>4.2816079006073897</v>
      </c>
      <c r="J234" s="883">
        <v>4.61774840312499</v>
      </c>
      <c r="K234" s="883">
        <v>3.6370825733754901</v>
      </c>
      <c r="L234" s="883">
        <v>3.1998593487156</v>
      </c>
      <c r="M234" s="883">
        <v>3.4441400635944199</v>
      </c>
      <c r="N234" s="883">
        <v>2.6697967759149801</v>
      </c>
      <c r="O234" s="883">
        <v>3.6621728781104101</v>
      </c>
      <c r="P234" s="883">
        <v>3.9547219031793199</v>
      </c>
      <c r="Q234" s="883">
        <v>4.3060793499123999</v>
      </c>
      <c r="R234" s="883">
        <v>4.66270835833049</v>
      </c>
      <c r="S234" s="883">
        <v>5.2056863414265502</v>
      </c>
      <c r="T234" s="883">
        <v>5.4531502607765896</v>
      </c>
      <c r="U234" s="883">
        <v>5.0764131270513699</v>
      </c>
      <c r="V234" s="883">
        <v>4.0447960531742</v>
      </c>
    </row>
    <row r="235" spans="1:22" x14ac:dyDescent="0.25">
      <c r="A235" s="887" t="s">
        <v>1154</v>
      </c>
      <c r="B235" s="887" t="s">
        <v>45</v>
      </c>
      <c r="C235" s="887" t="s">
        <v>196</v>
      </c>
      <c r="D235" s="884" t="s">
        <v>1134</v>
      </c>
      <c r="E235" s="881">
        <v>43.644330565700997</v>
      </c>
      <c r="F235" s="881">
        <v>33.642691632251598</v>
      </c>
      <c r="G235" s="881">
        <v>67.215317554038293</v>
      </c>
      <c r="H235" s="881">
        <v>57.5513023465193</v>
      </c>
      <c r="I235" s="881">
        <v>52.576432376298499</v>
      </c>
      <c r="J235" s="881">
        <v>56.505078334838998</v>
      </c>
      <c r="K235" s="881">
        <v>47.947295856551698</v>
      </c>
      <c r="L235" s="881">
        <v>42.864995849459397</v>
      </c>
      <c r="M235" s="881">
        <v>41.990266827330501</v>
      </c>
      <c r="N235" s="881">
        <v>38.295030994369398</v>
      </c>
      <c r="O235" s="881">
        <v>56.617558912874799</v>
      </c>
      <c r="P235" s="881">
        <v>48.391954568253702</v>
      </c>
      <c r="Q235" s="881">
        <v>52.876931985184399</v>
      </c>
      <c r="R235" s="881">
        <v>52.870450075109403</v>
      </c>
      <c r="S235" s="881">
        <v>63.467207306038397</v>
      </c>
      <c r="T235" s="881">
        <v>73.546092252067794</v>
      </c>
      <c r="U235" s="881">
        <v>62.336322634939997</v>
      </c>
      <c r="V235" s="881">
        <v>49.313344521089199</v>
      </c>
    </row>
    <row r="236" spans="1:22" x14ac:dyDescent="0.25">
      <c r="A236" s="887" t="s">
        <v>1154</v>
      </c>
      <c r="B236" s="887" t="s">
        <v>45</v>
      </c>
      <c r="C236" s="887"/>
      <c r="D236" s="882" t="s">
        <v>1135</v>
      </c>
    </row>
    <row r="237" spans="1:22" x14ac:dyDescent="0.25">
      <c r="A237" s="887" t="s">
        <v>1154</v>
      </c>
      <c r="B237" s="887" t="s">
        <v>45</v>
      </c>
      <c r="C237" s="887"/>
      <c r="D237" s="885" t="s">
        <v>1136</v>
      </c>
      <c r="E237" s="883">
        <v>0</v>
      </c>
      <c r="F237" s="883">
        <v>0</v>
      </c>
      <c r="G237" s="883">
        <v>0</v>
      </c>
      <c r="H237" s="883">
        <v>0</v>
      </c>
      <c r="I237" s="883">
        <v>0</v>
      </c>
      <c r="J237" s="883">
        <v>0</v>
      </c>
      <c r="K237" s="883">
        <v>0</v>
      </c>
      <c r="L237" s="883">
        <v>0</v>
      </c>
      <c r="M237" s="883">
        <v>0</v>
      </c>
      <c r="N237" s="883">
        <v>0</v>
      </c>
      <c r="O237" s="883">
        <v>0</v>
      </c>
      <c r="P237" s="883">
        <v>0</v>
      </c>
      <c r="Q237" s="883">
        <v>0</v>
      </c>
      <c r="R237" s="883">
        <v>0</v>
      </c>
      <c r="S237" s="883">
        <v>0</v>
      </c>
      <c r="T237" s="883">
        <v>0</v>
      </c>
      <c r="U237" s="883">
        <v>0</v>
      </c>
      <c r="V237" s="883">
        <v>0</v>
      </c>
    </row>
    <row r="238" spans="1:22" x14ac:dyDescent="0.25">
      <c r="A238" s="887" t="s">
        <v>1154</v>
      </c>
      <c r="B238" s="887" t="s">
        <v>45</v>
      </c>
      <c r="C238" s="887" t="s">
        <v>198</v>
      </c>
      <c r="D238" s="884" t="s">
        <v>1137</v>
      </c>
      <c r="E238" s="881">
        <v>0</v>
      </c>
      <c r="F238" s="881">
        <v>0</v>
      </c>
      <c r="G238" s="881">
        <v>0</v>
      </c>
      <c r="H238" s="881">
        <v>0</v>
      </c>
      <c r="I238" s="881">
        <v>0</v>
      </c>
      <c r="J238" s="881">
        <v>0</v>
      </c>
      <c r="K238" s="881">
        <v>0</v>
      </c>
      <c r="L238" s="881">
        <v>0</v>
      </c>
      <c r="M238" s="881">
        <v>0</v>
      </c>
      <c r="N238" s="881">
        <v>0</v>
      </c>
      <c r="O238" s="881">
        <v>0</v>
      </c>
      <c r="P238" s="881">
        <v>0</v>
      </c>
      <c r="Q238" s="881">
        <v>0</v>
      </c>
      <c r="R238" s="881">
        <v>0</v>
      </c>
      <c r="S238" s="881">
        <v>0</v>
      </c>
      <c r="T238" s="881">
        <v>0</v>
      </c>
      <c r="U238" s="881">
        <v>0</v>
      </c>
      <c r="V238" s="881">
        <v>0</v>
      </c>
    </row>
    <row r="239" spans="1:22" x14ac:dyDescent="0.25">
      <c r="A239" s="887" t="s">
        <v>1154</v>
      </c>
      <c r="B239" s="887" t="s">
        <v>45</v>
      </c>
      <c r="C239" s="887"/>
      <c r="D239" s="882" t="s">
        <v>1138</v>
      </c>
    </row>
    <row r="240" spans="1:22" x14ac:dyDescent="0.25">
      <c r="A240" s="887" t="s">
        <v>1154</v>
      </c>
      <c r="B240" s="887" t="s">
        <v>45</v>
      </c>
      <c r="C240" s="887"/>
      <c r="D240" s="885" t="s">
        <v>1139</v>
      </c>
      <c r="E240" s="883">
        <v>0</v>
      </c>
      <c r="F240" s="883">
        <v>0</v>
      </c>
      <c r="G240" s="883">
        <v>0</v>
      </c>
      <c r="H240" s="883">
        <v>0</v>
      </c>
      <c r="I240" s="883">
        <v>0</v>
      </c>
      <c r="J240" s="883">
        <v>0</v>
      </c>
      <c r="K240" s="883">
        <v>0</v>
      </c>
      <c r="L240" s="883">
        <v>0</v>
      </c>
      <c r="M240" s="883">
        <v>0</v>
      </c>
      <c r="N240" s="883">
        <v>0</v>
      </c>
      <c r="O240" s="883">
        <v>0</v>
      </c>
      <c r="P240" s="883">
        <v>0</v>
      </c>
      <c r="Q240" s="883">
        <v>0</v>
      </c>
      <c r="R240" s="883">
        <v>0</v>
      </c>
      <c r="S240" s="883">
        <v>0</v>
      </c>
      <c r="T240" s="883">
        <v>0</v>
      </c>
      <c r="U240" s="883">
        <v>0</v>
      </c>
      <c r="V240" s="883">
        <v>0</v>
      </c>
    </row>
    <row r="241" spans="1:22" x14ac:dyDescent="0.25">
      <c r="A241" s="887" t="s">
        <v>1154</v>
      </c>
      <c r="B241" s="887" t="s">
        <v>45</v>
      </c>
      <c r="C241" s="887" t="s">
        <v>670</v>
      </c>
      <c r="D241" s="884" t="s">
        <v>1140</v>
      </c>
      <c r="E241" s="881">
        <v>0</v>
      </c>
      <c r="F241" s="881">
        <v>0</v>
      </c>
      <c r="G241" s="881">
        <v>0</v>
      </c>
      <c r="H241" s="881">
        <v>0</v>
      </c>
      <c r="I241" s="881">
        <v>0</v>
      </c>
      <c r="J241" s="881">
        <v>0</v>
      </c>
      <c r="K241" s="881">
        <v>0</v>
      </c>
      <c r="L241" s="881">
        <v>0</v>
      </c>
      <c r="M241" s="881">
        <v>0</v>
      </c>
      <c r="N241" s="881">
        <v>0</v>
      </c>
      <c r="O241" s="881">
        <v>0</v>
      </c>
      <c r="P241" s="881">
        <v>0</v>
      </c>
      <c r="Q241" s="881">
        <v>0</v>
      </c>
      <c r="R241" s="881">
        <v>0</v>
      </c>
      <c r="S241" s="881">
        <v>0</v>
      </c>
      <c r="T241" s="881">
        <v>0</v>
      </c>
      <c r="U241" s="881">
        <v>0</v>
      </c>
      <c r="V241" s="881">
        <v>0</v>
      </c>
    </row>
    <row r="242" spans="1:22" x14ac:dyDescent="0.25">
      <c r="A242" s="887" t="s">
        <v>1154</v>
      </c>
      <c r="B242" s="887" t="s">
        <v>45</v>
      </c>
      <c r="C242" s="887"/>
      <c r="D242" s="882" t="s">
        <v>1141</v>
      </c>
      <c r="E242" s="881">
        <v>234.44071403570101</v>
      </c>
      <c r="F242" s="881">
        <v>223.07961137225101</v>
      </c>
      <c r="G242" s="881">
        <v>258.75733044403802</v>
      </c>
      <c r="H242" s="881">
        <v>248.30357656651901</v>
      </c>
      <c r="I242" s="881">
        <v>243.35793521629799</v>
      </c>
      <c r="J242" s="881">
        <v>247.272233184839</v>
      </c>
      <c r="K242" s="881">
        <v>239.02950726655101</v>
      </c>
      <c r="L242" s="881">
        <v>234.01811495945901</v>
      </c>
      <c r="M242" s="881">
        <v>232.74254104733001</v>
      </c>
      <c r="N242" s="881">
        <v>229.76370601436901</v>
      </c>
      <c r="O242" s="881">
        <v>248.457850202874</v>
      </c>
      <c r="P242" s="881">
        <v>239.159109418253</v>
      </c>
      <c r="Q242" s="881">
        <v>243.658434825184</v>
      </c>
      <c r="R242" s="881">
        <v>243.338827175109</v>
      </c>
      <c r="S242" s="881">
        <v>254.21951481603799</v>
      </c>
      <c r="T242" s="881">
        <v>264.72950526206699</v>
      </c>
      <c r="U242" s="881">
        <v>253.11782547493999</v>
      </c>
      <c r="V242" s="881">
        <v>240.065618741089</v>
      </c>
    </row>
    <row r="243" spans="1:22" s="82" customFormat="1" x14ac:dyDescent="0.25">
      <c r="A243" s="880" t="s">
        <v>1154</v>
      </c>
      <c r="B243" s="880" t="s">
        <v>57</v>
      </c>
      <c r="C243" s="880"/>
      <c r="D243" s="969" t="s">
        <v>1233</v>
      </c>
    </row>
    <row r="244" spans="1:22" x14ac:dyDescent="0.25">
      <c r="A244" s="887" t="s">
        <v>1154</v>
      </c>
      <c r="B244" s="887" t="s">
        <v>57</v>
      </c>
      <c r="C244" s="887"/>
      <c r="D244" s="882" t="s">
        <v>1114</v>
      </c>
    </row>
    <row r="245" spans="1:22" x14ac:dyDescent="0.25">
      <c r="A245" s="887" t="s">
        <v>1154</v>
      </c>
      <c r="B245" s="887" t="s">
        <v>57</v>
      </c>
      <c r="C245" s="887"/>
      <c r="D245" s="884" t="s">
        <v>1115</v>
      </c>
      <c r="E245" s="881">
        <v>1</v>
      </c>
      <c r="F245" s="881">
        <v>0</v>
      </c>
      <c r="G245" s="881">
        <v>0</v>
      </c>
      <c r="H245" s="881">
        <v>0</v>
      </c>
      <c r="I245" s="881">
        <v>0</v>
      </c>
      <c r="J245" s="881">
        <v>0</v>
      </c>
      <c r="K245" s="881">
        <v>0</v>
      </c>
      <c r="L245" s="881">
        <v>0</v>
      </c>
      <c r="M245" s="881">
        <v>0</v>
      </c>
      <c r="N245" s="881">
        <v>0</v>
      </c>
      <c r="O245" s="881">
        <v>0</v>
      </c>
      <c r="P245" s="881">
        <v>0</v>
      </c>
      <c r="Q245" s="881">
        <v>0</v>
      </c>
      <c r="R245" s="881">
        <v>0</v>
      </c>
      <c r="S245" s="881">
        <v>0</v>
      </c>
      <c r="T245" s="881">
        <v>0</v>
      </c>
      <c r="U245" s="881">
        <v>0</v>
      </c>
      <c r="V245" s="881">
        <v>0</v>
      </c>
    </row>
    <row r="246" spans="1:22" x14ac:dyDescent="0.25">
      <c r="A246" s="887" t="s">
        <v>1154</v>
      </c>
      <c r="B246" s="887" t="s">
        <v>57</v>
      </c>
      <c r="C246" s="887"/>
      <c r="D246" s="884" t="s">
        <v>1116</v>
      </c>
      <c r="E246" s="881">
        <v>0</v>
      </c>
      <c r="F246" s="881">
        <v>0</v>
      </c>
      <c r="G246" s="881">
        <v>0</v>
      </c>
      <c r="H246" s="881">
        <v>0</v>
      </c>
      <c r="I246" s="881">
        <v>0</v>
      </c>
      <c r="J246" s="881">
        <v>0</v>
      </c>
      <c r="K246" s="881">
        <v>0</v>
      </c>
      <c r="L246" s="881">
        <v>0</v>
      </c>
      <c r="M246" s="881">
        <v>0</v>
      </c>
      <c r="N246" s="881">
        <v>0</v>
      </c>
      <c r="O246" s="881">
        <v>0</v>
      </c>
      <c r="P246" s="881">
        <v>0</v>
      </c>
      <c r="Q246" s="881">
        <v>0</v>
      </c>
      <c r="R246" s="881">
        <v>0</v>
      </c>
      <c r="S246" s="881">
        <v>0</v>
      </c>
      <c r="T246" s="881">
        <v>0</v>
      </c>
      <c r="U246" s="881">
        <v>0</v>
      </c>
      <c r="V246" s="881">
        <v>0</v>
      </c>
    </row>
    <row r="247" spans="1:22" x14ac:dyDescent="0.25">
      <c r="A247" s="887" t="s">
        <v>1154</v>
      </c>
      <c r="B247" s="887" t="s">
        <v>57</v>
      </c>
      <c r="C247" s="887"/>
      <c r="D247" s="884" t="s">
        <v>1117</v>
      </c>
      <c r="E247" s="881">
        <v>1</v>
      </c>
      <c r="F247" s="881">
        <v>0</v>
      </c>
      <c r="G247" s="881">
        <v>0</v>
      </c>
      <c r="H247" s="881">
        <v>0</v>
      </c>
      <c r="I247" s="881">
        <v>0</v>
      </c>
      <c r="J247" s="881">
        <v>0</v>
      </c>
      <c r="K247" s="881">
        <v>0</v>
      </c>
      <c r="L247" s="881">
        <v>0</v>
      </c>
      <c r="M247" s="881">
        <v>0</v>
      </c>
      <c r="N247" s="881">
        <v>0</v>
      </c>
      <c r="O247" s="881">
        <v>0</v>
      </c>
      <c r="P247" s="881">
        <v>0</v>
      </c>
      <c r="Q247" s="881">
        <v>0</v>
      </c>
      <c r="R247" s="881">
        <v>0</v>
      </c>
      <c r="S247" s="881">
        <v>0</v>
      </c>
      <c r="T247" s="881">
        <v>0</v>
      </c>
      <c r="U247" s="881">
        <v>0</v>
      </c>
      <c r="V247" s="881">
        <v>0</v>
      </c>
    </row>
    <row r="248" spans="1:22" x14ac:dyDescent="0.25">
      <c r="A248" s="887" t="s">
        <v>1154</v>
      </c>
      <c r="B248" s="887" t="s">
        <v>57</v>
      </c>
      <c r="C248" s="887"/>
      <c r="D248" s="884" t="s">
        <v>1118</v>
      </c>
      <c r="E248" s="881">
        <v>800</v>
      </c>
      <c r="F248" s="881">
        <v>800</v>
      </c>
      <c r="G248" s="881">
        <v>800</v>
      </c>
      <c r="H248" s="881">
        <v>800</v>
      </c>
      <c r="I248" s="881">
        <v>800</v>
      </c>
      <c r="J248" s="881">
        <v>800</v>
      </c>
      <c r="K248" s="881">
        <v>800</v>
      </c>
      <c r="L248" s="881">
        <v>800</v>
      </c>
      <c r="M248" s="881">
        <v>800</v>
      </c>
      <c r="N248" s="881">
        <v>800</v>
      </c>
      <c r="O248" s="881">
        <v>800</v>
      </c>
      <c r="P248" s="881">
        <v>800</v>
      </c>
      <c r="Q248" s="881">
        <v>800</v>
      </c>
      <c r="R248" s="881">
        <v>800</v>
      </c>
      <c r="S248" s="881">
        <v>800</v>
      </c>
      <c r="T248" s="881">
        <v>800</v>
      </c>
      <c r="U248" s="881">
        <v>800</v>
      </c>
      <c r="V248" s="881">
        <v>800</v>
      </c>
    </row>
    <row r="249" spans="1:22" x14ac:dyDescent="0.25">
      <c r="A249" s="887" t="s">
        <v>1154</v>
      </c>
      <c r="B249" s="887" t="s">
        <v>57</v>
      </c>
      <c r="C249" s="887"/>
      <c r="D249" s="884" t="s">
        <v>1119</v>
      </c>
      <c r="E249" s="881">
        <v>0</v>
      </c>
      <c r="F249" s="881">
        <v>0</v>
      </c>
      <c r="G249" s="881">
        <v>0</v>
      </c>
      <c r="H249" s="881">
        <v>0</v>
      </c>
      <c r="I249" s="881">
        <v>0</v>
      </c>
      <c r="J249" s="881">
        <v>0</v>
      </c>
      <c r="K249" s="881">
        <v>0</v>
      </c>
      <c r="L249" s="881">
        <v>0</v>
      </c>
      <c r="M249" s="881">
        <v>0</v>
      </c>
      <c r="N249" s="881">
        <v>0</v>
      </c>
      <c r="O249" s="881">
        <v>0</v>
      </c>
      <c r="P249" s="881">
        <v>0</v>
      </c>
      <c r="Q249" s="881">
        <v>0</v>
      </c>
      <c r="R249" s="881">
        <v>0</v>
      </c>
      <c r="S249" s="881">
        <v>0</v>
      </c>
      <c r="T249" s="881">
        <v>0</v>
      </c>
      <c r="U249" s="881">
        <v>0</v>
      </c>
      <c r="V249" s="881">
        <v>0</v>
      </c>
    </row>
    <row r="250" spans="1:22" x14ac:dyDescent="0.25">
      <c r="A250" s="887" t="s">
        <v>1154</v>
      </c>
      <c r="B250" s="887" t="s">
        <v>57</v>
      </c>
      <c r="C250" s="887" t="s">
        <v>169</v>
      </c>
      <c r="D250" s="882" t="s">
        <v>1120</v>
      </c>
      <c r="E250" s="881">
        <v>0.8</v>
      </c>
      <c r="F250" s="881">
        <v>0</v>
      </c>
      <c r="G250" s="881">
        <v>0</v>
      </c>
      <c r="H250" s="881">
        <v>0</v>
      </c>
      <c r="I250" s="881">
        <v>0</v>
      </c>
      <c r="J250" s="881">
        <v>0</v>
      </c>
      <c r="K250" s="881">
        <v>0</v>
      </c>
      <c r="L250" s="881">
        <v>0</v>
      </c>
      <c r="M250" s="881">
        <v>0</v>
      </c>
      <c r="N250" s="881">
        <v>0</v>
      </c>
      <c r="O250" s="881">
        <v>0</v>
      </c>
      <c r="P250" s="881">
        <v>0</v>
      </c>
      <c r="Q250" s="881">
        <v>0</v>
      </c>
      <c r="R250" s="881">
        <v>0</v>
      </c>
      <c r="S250" s="881">
        <v>0</v>
      </c>
      <c r="T250" s="881">
        <v>0</v>
      </c>
      <c r="U250" s="881">
        <v>0</v>
      </c>
      <c r="V250" s="881">
        <v>0</v>
      </c>
    </row>
    <row r="251" spans="1:22" x14ac:dyDescent="0.25">
      <c r="A251" s="887" t="s">
        <v>1154</v>
      </c>
      <c r="B251" s="887" t="s">
        <v>57</v>
      </c>
      <c r="C251" s="887"/>
      <c r="D251" s="882" t="s">
        <v>1121</v>
      </c>
    </row>
    <row r="252" spans="1:22" x14ac:dyDescent="0.25">
      <c r="A252" s="887" t="s">
        <v>1154</v>
      </c>
      <c r="B252" s="887" t="s">
        <v>57</v>
      </c>
      <c r="C252" s="887"/>
      <c r="D252" s="884" t="s">
        <v>1122</v>
      </c>
      <c r="E252" s="881">
        <v>58774.9</v>
      </c>
      <c r="F252" s="881">
        <v>0</v>
      </c>
      <c r="G252" s="881">
        <v>0</v>
      </c>
      <c r="H252" s="881">
        <v>0</v>
      </c>
      <c r="I252" s="881">
        <v>0</v>
      </c>
      <c r="J252" s="881">
        <v>0</v>
      </c>
      <c r="K252" s="881">
        <v>0</v>
      </c>
      <c r="L252" s="881">
        <v>0</v>
      </c>
      <c r="M252" s="881">
        <v>0</v>
      </c>
      <c r="N252" s="881">
        <v>0</v>
      </c>
      <c r="O252" s="881">
        <v>0</v>
      </c>
      <c r="P252" s="881">
        <v>0</v>
      </c>
      <c r="Q252" s="881">
        <v>0</v>
      </c>
      <c r="R252" s="881">
        <v>0</v>
      </c>
      <c r="S252" s="881">
        <v>0</v>
      </c>
      <c r="T252" s="881">
        <v>0</v>
      </c>
      <c r="U252" s="881">
        <v>0</v>
      </c>
      <c r="V252" s="881">
        <v>0</v>
      </c>
    </row>
    <row r="253" spans="1:22" x14ac:dyDescent="0.25">
      <c r="A253" s="887" t="s">
        <v>1154</v>
      </c>
      <c r="B253" s="887" t="s">
        <v>57</v>
      </c>
      <c r="C253" s="887"/>
      <c r="D253" s="884" t="s">
        <v>1123</v>
      </c>
      <c r="E253" s="881">
        <v>0</v>
      </c>
      <c r="F253" s="881">
        <v>0</v>
      </c>
      <c r="G253" s="881">
        <v>0</v>
      </c>
      <c r="H253" s="881">
        <v>0</v>
      </c>
      <c r="I253" s="881">
        <v>0</v>
      </c>
      <c r="J253" s="881">
        <v>0</v>
      </c>
      <c r="K253" s="881">
        <v>0</v>
      </c>
      <c r="L253" s="881">
        <v>0</v>
      </c>
      <c r="M253" s="881">
        <v>0</v>
      </c>
      <c r="N253" s="881">
        <v>0</v>
      </c>
      <c r="O253" s="881">
        <v>0</v>
      </c>
      <c r="P253" s="881">
        <v>0</v>
      </c>
      <c r="Q253" s="881">
        <v>0</v>
      </c>
      <c r="R253" s="881">
        <v>0</v>
      </c>
      <c r="S253" s="881">
        <v>0</v>
      </c>
      <c r="T253" s="881">
        <v>0</v>
      </c>
      <c r="U253" s="881">
        <v>0</v>
      </c>
      <c r="V253" s="881">
        <v>0</v>
      </c>
    </row>
    <row r="254" spans="1:22" x14ac:dyDescent="0.25">
      <c r="A254" s="887" t="s">
        <v>1154</v>
      </c>
      <c r="B254" s="887" t="s">
        <v>57</v>
      </c>
      <c r="C254" s="887"/>
      <c r="D254" s="885" t="s">
        <v>1124</v>
      </c>
      <c r="E254" s="883">
        <v>58.774900000000002</v>
      </c>
      <c r="F254" s="883">
        <v>0</v>
      </c>
      <c r="G254" s="883">
        <v>0</v>
      </c>
      <c r="H254" s="883">
        <v>0</v>
      </c>
      <c r="I254" s="883">
        <v>0</v>
      </c>
      <c r="J254" s="883">
        <v>0</v>
      </c>
      <c r="K254" s="883">
        <v>0</v>
      </c>
      <c r="L254" s="883">
        <v>0</v>
      </c>
      <c r="M254" s="883">
        <v>0</v>
      </c>
      <c r="N254" s="883">
        <v>0</v>
      </c>
      <c r="O254" s="883">
        <v>0</v>
      </c>
      <c r="P254" s="883">
        <v>0</v>
      </c>
      <c r="Q254" s="883">
        <v>0</v>
      </c>
      <c r="R254" s="883">
        <v>0</v>
      </c>
      <c r="S254" s="883">
        <v>0</v>
      </c>
      <c r="T254" s="883">
        <v>0</v>
      </c>
      <c r="U254" s="883">
        <v>0</v>
      </c>
      <c r="V254" s="883">
        <v>0</v>
      </c>
    </row>
    <row r="255" spans="1:22" x14ac:dyDescent="0.25">
      <c r="A255" s="887" t="s">
        <v>1154</v>
      </c>
      <c r="B255" s="887" t="s">
        <v>57</v>
      </c>
      <c r="C255" s="887"/>
      <c r="D255" s="885" t="s">
        <v>1125</v>
      </c>
      <c r="E255" s="883">
        <v>4.9700000000000001E-2</v>
      </c>
      <c r="F255" s="883">
        <v>4.9700000000000001E-2</v>
      </c>
      <c r="G255" s="883">
        <v>4.9700000000000001E-2</v>
      </c>
      <c r="H255" s="883">
        <v>4.9700000000000001E-2</v>
      </c>
      <c r="I255" s="883">
        <v>4.9700000000000001E-2</v>
      </c>
      <c r="J255" s="883">
        <v>4.9700000000000001E-2</v>
      </c>
      <c r="K255" s="883">
        <v>4.9700000000000001E-2</v>
      </c>
      <c r="L255" s="883">
        <v>4.9700000000000001E-2</v>
      </c>
      <c r="M255" s="883">
        <v>4.9700000000000001E-2</v>
      </c>
      <c r="N255" s="883">
        <v>4.9700000000000001E-2</v>
      </c>
      <c r="O255" s="883">
        <v>4.9700000000000001E-2</v>
      </c>
      <c r="P255" s="883">
        <v>4.9700000000000001E-2</v>
      </c>
      <c r="Q255" s="883">
        <v>4.9700000000000001E-2</v>
      </c>
      <c r="R255" s="883">
        <v>4.9700000000000001E-2</v>
      </c>
      <c r="S255" s="883">
        <v>4.9700000000000001E-2</v>
      </c>
      <c r="T255" s="883">
        <v>4.9700000000000001E-2</v>
      </c>
      <c r="U255" s="883">
        <v>4.9700000000000001E-2</v>
      </c>
      <c r="V255" s="883">
        <v>4.9700000000000001E-2</v>
      </c>
    </row>
    <row r="256" spans="1:22" x14ac:dyDescent="0.25">
      <c r="A256" s="887" t="s">
        <v>1154</v>
      </c>
      <c r="B256" s="887" t="s">
        <v>57</v>
      </c>
      <c r="C256" s="887"/>
      <c r="D256" s="885" t="s">
        <v>1126</v>
      </c>
      <c r="E256" s="883">
        <v>4.9700000000000001E-2</v>
      </c>
      <c r="F256" s="883">
        <v>4.9700000000000001E-2</v>
      </c>
      <c r="G256" s="883">
        <v>4.9700000000000001E-2</v>
      </c>
      <c r="H256" s="883">
        <v>4.9700000000000001E-2</v>
      </c>
      <c r="I256" s="883">
        <v>4.9700000000000001E-2</v>
      </c>
      <c r="J256" s="883">
        <v>4.9700000000000001E-2</v>
      </c>
      <c r="K256" s="883">
        <v>4.9700000000000001E-2</v>
      </c>
      <c r="L256" s="883">
        <v>4.9700000000000001E-2</v>
      </c>
      <c r="M256" s="883">
        <v>4.9700000000000001E-2</v>
      </c>
      <c r="N256" s="883">
        <v>4.9700000000000001E-2</v>
      </c>
      <c r="O256" s="883">
        <v>4.9700000000000001E-2</v>
      </c>
      <c r="P256" s="883">
        <v>4.9700000000000001E-2</v>
      </c>
      <c r="Q256" s="883">
        <v>4.9700000000000001E-2</v>
      </c>
      <c r="R256" s="883">
        <v>4.9700000000000001E-2</v>
      </c>
      <c r="S256" s="883">
        <v>4.9700000000000001E-2</v>
      </c>
      <c r="T256" s="883">
        <v>4.9700000000000001E-2</v>
      </c>
      <c r="U256" s="883">
        <v>4.9700000000000001E-2</v>
      </c>
      <c r="V256" s="883">
        <v>4.9700000000000001E-2</v>
      </c>
    </row>
    <row r="257" spans="1:22" x14ac:dyDescent="0.25">
      <c r="A257" s="887" t="s">
        <v>1154</v>
      </c>
      <c r="B257" s="887" t="s">
        <v>57</v>
      </c>
      <c r="C257" s="887"/>
      <c r="D257" s="885" t="s">
        <v>1127</v>
      </c>
      <c r="E257" s="883">
        <v>0</v>
      </c>
      <c r="F257" s="883">
        <v>0</v>
      </c>
      <c r="G257" s="883">
        <v>0</v>
      </c>
      <c r="H257" s="883">
        <v>0</v>
      </c>
      <c r="I257" s="883">
        <v>0</v>
      </c>
      <c r="J257" s="883">
        <v>0</v>
      </c>
      <c r="K257" s="883">
        <v>0</v>
      </c>
      <c r="L257" s="883">
        <v>0</v>
      </c>
      <c r="M257" s="883">
        <v>0</v>
      </c>
      <c r="N257" s="883">
        <v>0</v>
      </c>
      <c r="O257" s="883">
        <v>0</v>
      </c>
      <c r="P257" s="883">
        <v>0</v>
      </c>
      <c r="Q257" s="883">
        <v>0</v>
      </c>
      <c r="R257" s="883">
        <v>0</v>
      </c>
      <c r="S257" s="883">
        <v>0</v>
      </c>
      <c r="T257" s="883">
        <v>0</v>
      </c>
      <c r="U257" s="883">
        <v>0</v>
      </c>
      <c r="V257" s="883">
        <v>0</v>
      </c>
    </row>
    <row r="258" spans="1:22" x14ac:dyDescent="0.25">
      <c r="A258" s="887" t="s">
        <v>1154</v>
      </c>
      <c r="B258" s="887" t="s">
        <v>57</v>
      </c>
      <c r="C258" s="887" t="s">
        <v>778</v>
      </c>
      <c r="D258" s="882" t="s">
        <v>1128</v>
      </c>
      <c r="E258" s="881">
        <v>2.9211125299999998</v>
      </c>
      <c r="F258" s="881">
        <v>0</v>
      </c>
      <c r="G258" s="881">
        <v>0</v>
      </c>
      <c r="H258" s="881">
        <v>0</v>
      </c>
      <c r="I258" s="881">
        <v>0</v>
      </c>
      <c r="J258" s="881">
        <v>0</v>
      </c>
      <c r="K258" s="881">
        <v>0</v>
      </c>
      <c r="L258" s="881">
        <v>0</v>
      </c>
      <c r="M258" s="881">
        <v>0</v>
      </c>
      <c r="N258" s="881">
        <v>0</v>
      </c>
      <c r="O258" s="881">
        <v>0</v>
      </c>
      <c r="P258" s="881">
        <v>0</v>
      </c>
      <c r="Q258" s="881">
        <v>0</v>
      </c>
      <c r="R258" s="881">
        <v>0</v>
      </c>
      <c r="S258" s="881">
        <v>0</v>
      </c>
      <c r="T258" s="881">
        <v>0</v>
      </c>
      <c r="U258" s="881">
        <v>0</v>
      </c>
      <c r="V258" s="881">
        <v>0</v>
      </c>
    </row>
    <row r="259" spans="1:22" x14ac:dyDescent="0.25">
      <c r="A259" s="887" t="s">
        <v>1154</v>
      </c>
      <c r="B259" s="887" t="s">
        <v>57</v>
      </c>
      <c r="C259" s="887"/>
      <c r="D259" s="882" t="s">
        <v>1129</v>
      </c>
    </row>
    <row r="260" spans="1:22" x14ac:dyDescent="0.25">
      <c r="A260" s="887" t="s">
        <v>1154</v>
      </c>
      <c r="B260" s="887" t="s">
        <v>57</v>
      </c>
      <c r="C260" s="887"/>
      <c r="D260" s="882" t="s">
        <v>1130</v>
      </c>
    </row>
    <row r="261" spans="1:22" x14ac:dyDescent="0.25">
      <c r="A261" s="887" t="s">
        <v>1154</v>
      </c>
      <c r="B261" s="887" t="s">
        <v>57</v>
      </c>
      <c r="C261" s="887"/>
      <c r="D261" s="884" t="s">
        <v>1143</v>
      </c>
      <c r="E261" s="881">
        <v>43200</v>
      </c>
      <c r="F261" s="881">
        <v>43200</v>
      </c>
      <c r="G261" s="881">
        <v>0</v>
      </c>
      <c r="H261" s="881">
        <v>0</v>
      </c>
      <c r="I261" s="881">
        <v>0</v>
      </c>
      <c r="J261" s="881">
        <v>0</v>
      </c>
      <c r="K261" s="881">
        <v>0</v>
      </c>
      <c r="L261" s="881">
        <v>0</v>
      </c>
      <c r="M261" s="881">
        <v>0</v>
      </c>
      <c r="N261" s="881">
        <v>0</v>
      </c>
      <c r="O261" s="881">
        <v>0</v>
      </c>
      <c r="P261" s="881">
        <v>0</v>
      </c>
      <c r="Q261" s="881">
        <v>0</v>
      </c>
      <c r="R261" s="881">
        <v>0</v>
      </c>
      <c r="S261" s="881">
        <v>0</v>
      </c>
      <c r="T261" s="881">
        <v>0</v>
      </c>
      <c r="U261" s="881">
        <v>0</v>
      </c>
      <c r="V261" s="881">
        <v>0</v>
      </c>
    </row>
    <row r="262" spans="1:22" x14ac:dyDescent="0.25">
      <c r="A262" s="887" t="s">
        <v>1154</v>
      </c>
      <c r="B262" s="887" t="s">
        <v>57</v>
      </c>
      <c r="C262" s="887"/>
      <c r="D262" s="885" t="s">
        <v>1144</v>
      </c>
      <c r="E262" s="883">
        <v>2.4801000000000002</v>
      </c>
      <c r="F262" s="883">
        <v>2.4801000000000002</v>
      </c>
      <c r="G262" s="883">
        <v>2.4801000000000002</v>
      </c>
      <c r="H262" s="883">
        <v>2.4801000000000002</v>
      </c>
      <c r="I262" s="883">
        <v>2.4801000000000002</v>
      </c>
      <c r="J262" s="883">
        <v>2.4801000000000002</v>
      </c>
      <c r="K262" s="883">
        <v>2.4801000000000002</v>
      </c>
      <c r="L262" s="883">
        <v>2.4801000000000002</v>
      </c>
      <c r="M262" s="883">
        <v>2.4801000000000002</v>
      </c>
      <c r="N262" s="883">
        <v>2.4801000000000002</v>
      </c>
      <c r="O262" s="883">
        <v>2.4801000000000002</v>
      </c>
      <c r="P262" s="883">
        <v>2.4801000000000002</v>
      </c>
      <c r="Q262" s="883">
        <v>2.4801000000000002</v>
      </c>
      <c r="R262" s="883">
        <v>2.4801000000000002</v>
      </c>
      <c r="S262" s="883">
        <v>2.4801000000000002</v>
      </c>
      <c r="T262" s="883">
        <v>2.4801000000000002</v>
      </c>
      <c r="U262" s="883">
        <v>2.4801000000000002</v>
      </c>
      <c r="V262" s="883">
        <v>2.4801000000000002</v>
      </c>
    </row>
    <row r="263" spans="1:22" x14ac:dyDescent="0.25">
      <c r="A263" s="887" t="s">
        <v>1154</v>
      </c>
      <c r="B263" s="887" t="s">
        <v>57</v>
      </c>
      <c r="C263" s="887" t="s">
        <v>264</v>
      </c>
      <c r="D263" s="886" t="s">
        <v>1145</v>
      </c>
      <c r="E263" s="883">
        <v>107.14032</v>
      </c>
      <c r="F263" s="883">
        <v>107.14032</v>
      </c>
      <c r="G263" s="883">
        <v>0</v>
      </c>
      <c r="H263" s="883">
        <v>0</v>
      </c>
      <c r="I263" s="883">
        <v>0</v>
      </c>
      <c r="J263" s="883">
        <v>0</v>
      </c>
      <c r="K263" s="883">
        <v>0</v>
      </c>
      <c r="L263" s="883">
        <v>0</v>
      </c>
      <c r="M263" s="883">
        <v>0</v>
      </c>
      <c r="N263" s="883">
        <v>0</v>
      </c>
      <c r="O263" s="883">
        <v>0</v>
      </c>
      <c r="P263" s="883">
        <v>0</v>
      </c>
      <c r="Q263" s="883">
        <v>0</v>
      </c>
      <c r="R263" s="883">
        <v>0</v>
      </c>
      <c r="S263" s="883">
        <v>0</v>
      </c>
      <c r="T263" s="883">
        <v>0</v>
      </c>
      <c r="U263" s="883">
        <v>0</v>
      </c>
      <c r="V263" s="883">
        <v>0</v>
      </c>
    </row>
    <row r="264" spans="1:22" x14ac:dyDescent="0.25">
      <c r="A264" s="887" t="s">
        <v>1154</v>
      </c>
      <c r="B264" s="887" t="s">
        <v>57</v>
      </c>
      <c r="C264" s="887"/>
      <c r="D264" s="882" t="s">
        <v>1131</v>
      </c>
      <c r="E264" s="881">
        <v>110.86143253</v>
      </c>
      <c r="F264" s="881">
        <v>107.14032</v>
      </c>
      <c r="G264" s="881">
        <v>0</v>
      </c>
      <c r="H264" s="881">
        <v>0</v>
      </c>
      <c r="I264" s="881">
        <v>0</v>
      </c>
      <c r="J264" s="881">
        <v>0</v>
      </c>
      <c r="K264" s="881">
        <v>0</v>
      </c>
      <c r="L264" s="881">
        <v>0</v>
      </c>
      <c r="M264" s="881">
        <v>0</v>
      </c>
      <c r="N264" s="881">
        <v>0</v>
      </c>
      <c r="O264" s="881">
        <v>0</v>
      </c>
      <c r="P264" s="881">
        <v>0</v>
      </c>
      <c r="Q264" s="881">
        <v>0</v>
      </c>
      <c r="R264" s="881">
        <v>0</v>
      </c>
      <c r="S264" s="881">
        <v>0</v>
      </c>
      <c r="T264" s="881">
        <v>0</v>
      </c>
      <c r="U264" s="881">
        <v>0</v>
      </c>
      <c r="V264" s="881">
        <v>0</v>
      </c>
    </row>
    <row r="265" spans="1:22" x14ac:dyDescent="0.25">
      <c r="A265" s="887" t="s">
        <v>1154</v>
      </c>
      <c r="B265" s="887" t="s">
        <v>57</v>
      </c>
      <c r="C265" s="887"/>
      <c r="D265" s="882" t="s">
        <v>1132</v>
      </c>
    </row>
    <row r="266" spans="1:22" x14ac:dyDescent="0.25">
      <c r="A266" s="887" t="s">
        <v>1154</v>
      </c>
      <c r="B266" s="887" t="s">
        <v>57</v>
      </c>
      <c r="C266" s="887"/>
      <c r="D266" s="885" t="s">
        <v>1133</v>
      </c>
      <c r="E266" s="883">
        <v>0</v>
      </c>
      <c r="F266" s="883">
        <v>0</v>
      </c>
      <c r="G266" s="883">
        <v>0</v>
      </c>
      <c r="H266" s="883">
        <v>0</v>
      </c>
      <c r="I266" s="883">
        <v>0</v>
      </c>
      <c r="J266" s="883">
        <v>0</v>
      </c>
      <c r="K266" s="883">
        <v>0</v>
      </c>
      <c r="L266" s="883">
        <v>0</v>
      </c>
      <c r="M266" s="883">
        <v>0</v>
      </c>
      <c r="N266" s="883">
        <v>0</v>
      </c>
      <c r="O266" s="883">
        <v>0</v>
      </c>
      <c r="P266" s="883">
        <v>0</v>
      </c>
      <c r="Q266" s="883">
        <v>0</v>
      </c>
      <c r="R266" s="883">
        <v>0</v>
      </c>
      <c r="S266" s="883">
        <v>0</v>
      </c>
      <c r="T266" s="883">
        <v>0</v>
      </c>
      <c r="U266" s="883">
        <v>0</v>
      </c>
      <c r="V266" s="883">
        <v>0</v>
      </c>
    </row>
    <row r="267" spans="1:22" x14ac:dyDescent="0.25">
      <c r="A267" s="887" t="s">
        <v>1154</v>
      </c>
      <c r="B267" s="887" t="s">
        <v>57</v>
      </c>
      <c r="C267" s="887" t="s">
        <v>196</v>
      </c>
      <c r="D267" s="884" t="s">
        <v>1134</v>
      </c>
      <c r="E267" s="881">
        <v>0</v>
      </c>
      <c r="F267" s="881">
        <v>0</v>
      </c>
      <c r="G267" s="881">
        <v>0</v>
      </c>
      <c r="H267" s="881">
        <v>0</v>
      </c>
      <c r="I267" s="881">
        <v>0</v>
      </c>
      <c r="J267" s="881">
        <v>0</v>
      </c>
      <c r="K267" s="881">
        <v>0</v>
      </c>
      <c r="L267" s="881">
        <v>0</v>
      </c>
      <c r="M267" s="881">
        <v>0</v>
      </c>
      <c r="N267" s="881">
        <v>0</v>
      </c>
      <c r="O267" s="881">
        <v>0</v>
      </c>
      <c r="P267" s="881">
        <v>0</v>
      </c>
      <c r="Q267" s="881">
        <v>0</v>
      </c>
      <c r="R267" s="881">
        <v>0</v>
      </c>
      <c r="S267" s="881">
        <v>0</v>
      </c>
      <c r="T267" s="881">
        <v>0</v>
      </c>
      <c r="U267" s="881">
        <v>0</v>
      </c>
      <c r="V267" s="881">
        <v>0</v>
      </c>
    </row>
    <row r="268" spans="1:22" x14ac:dyDescent="0.25">
      <c r="A268" s="887" t="s">
        <v>1154</v>
      </c>
      <c r="B268" s="887" t="s">
        <v>57</v>
      </c>
      <c r="C268" s="887"/>
      <c r="D268" s="882" t="s">
        <v>1135</v>
      </c>
    </row>
    <row r="269" spans="1:22" x14ac:dyDescent="0.25">
      <c r="A269" s="887" t="s">
        <v>1154</v>
      </c>
      <c r="B269" s="887" t="s">
        <v>57</v>
      </c>
      <c r="C269" s="887"/>
      <c r="D269" s="885" t="s">
        <v>1136</v>
      </c>
      <c r="E269" s="883">
        <v>0</v>
      </c>
      <c r="F269" s="883">
        <v>0</v>
      </c>
      <c r="G269" s="883">
        <v>0</v>
      </c>
      <c r="H269" s="883">
        <v>0</v>
      </c>
      <c r="I269" s="883">
        <v>0</v>
      </c>
      <c r="J269" s="883">
        <v>0</v>
      </c>
      <c r="K269" s="883">
        <v>0</v>
      </c>
      <c r="L269" s="883">
        <v>0</v>
      </c>
      <c r="M269" s="883">
        <v>0</v>
      </c>
      <c r="N269" s="883">
        <v>0</v>
      </c>
      <c r="O269" s="883">
        <v>0</v>
      </c>
      <c r="P269" s="883">
        <v>0</v>
      </c>
      <c r="Q269" s="883">
        <v>0</v>
      </c>
      <c r="R269" s="883">
        <v>0</v>
      </c>
      <c r="S269" s="883">
        <v>0</v>
      </c>
      <c r="T269" s="883">
        <v>0</v>
      </c>
      <c r="U269" s="883">
        <v>0</v>
      </c>
      <c r="V269" s="883">
        <v>0</v>
      </c>
    </row>
    <row r="270" spans="1:22" x14ac:dyDescent="0.25">
      <c r="A270" s="887" t="s">
        <v>1154</v>
      </c>
      <c r="B270" s="887" t="s">
        <v>57</v>
      </c>
      <c r="C270" s="887" t="s">
        <v>198</v>
      </c>
      <c r="D270" s="884" t="s">
        <v>1137</v>
      </c>
      <c r="E270" s="881">
        <v>0</v>
      </c>
      <c r="F270" s="881">
        <v>0</v>
      </c>
      <c r="G270" s="881">
        <v>0</v>
      </c>
      <c r="H270" s="881">
        <v>0</v>
      </c>
      <c r="I270" s="881">
        <v>0</v>
      </c>
      <c r="J270" s="881">
        <v>0</v>
      </c>
      <c r="K270" s="881">
        <v>0</v>
      </c>
      <c r="L270" s="881">
        <v>0</v>
      </c>
      <c r="M270" s="881">
        <v>0</v>
      </c>
      <c r="N270" s="881">
        <v>0</v>
      </c>
      <c r="O270" s="881">
        <v>0</v>
      </c>
      <c r="P270" s="881">
        <v>0</v>
      </c>
      <c r="Q270" s="881">
        <v>0</v>
      </c>
      <c r="R270" s="881">
        <v>0</v>
      </c>
      <c r="S270" s="881">
        <v>0</v>
      </c>
      <c r="T270" s="881">
        <v>0</v>
      </c>
      <c r="U270" s="881">
        <v>0</v>
      </c>
      <c r="V270" s="881">
        <v>0</v>
      </c>
    </row>
    <row r="271" spans="1:22" x14ac:dyDescent="0.25">
      <c r="A271" s="887" t="s">
        <v>1154</v>
      </c>
      <c r="B271" s="887" t="s">
        <v>57</v>
      </c>
      <c r="C271" s="887"/>
      <c r="D271" s="882" t="s">
        <v>1138</v>
      </c>
    </row>
    <row r="272" spans="1:22" x14ac:dyDescent="0.25">
      <c r="A272" s="887" t="s">
        <v>1154</v>
      </c>
      <c r="B272" s="887" t="s">
        <v>57</v>
      </c>
      <c r="C272" s="887"/>
      <c r="D272" s="885" t="s">
        <v>1139</v>
      </c>
      <c r="E272" s="883">
        <v>0</v>
      </c>
      <c r="F272" s="883">
        <v>0</v>
      </c>
      <c r="G272" s="883">
        <v>0</v>
      </c>
      <c r="H272" s="883">
        <v>0</v>
      </c>
      <c r="I272" s="883">
        <v>0</v>
      </c>
      <c r="J272" s="883">
        <v>0</v>
      </c>
      <c r="K272" s="883">
        <v>0</v>
      </c>
      <c r="L272" s="883">
        <v>0</v>
      </c>
      <c r="M272" s="883">
        <v>0</v>
      </c>
      <c r="N272" s="883">
        <v>0</v>
      </c>
      <c r="O272" s="883">
        <v>0</v>
      </c>
      <c r="P272" s="883">
        <v>0</v>
      </c>
      <c r="Q272" s="883">
        <v>0</v>
      </c>
      <c r="R272" s="883">
        <v>0</v>
      </c>
      <c r="S272" s="883">
        <v>0</v>
      </c>
      <c r="T272" s="883">
        <v>0</v>
      </c>
      <c r="U272" s="883">
        <v>0</v>
      </c>
      <c r="V272" s="883">
        <v>0</v>
      </c>
    </row>
    <row r="273" spans="1:22" x14ac:dyDescent="0.25">
      <c r="A273" s="887" t="s">
        <v>1154</v>
      </c>
      <c r="B273" s="887" t="s">
        <v>57</v>
      </c>
      <c r="C273" s="887" t="s">
        <v>670</v>
      </c>
      <c r="D273" s="884" t="s">
        <v>1140</v>
      </c>
      <c r="E273" s="881">
        <v>0</v>
      </c>
      <c r="F273" s="881">
        <v>0</v>
      </c>
      <c r="G273" s="881">
        <v>0</v>
      </c>
      <c r="H273" s="881">
        <v>0</v>
      </c>
      <c r="I273" s="881">
        <v>0</v>
      </c>
      <c r="J273" s="881">
        <v>0</v>
      </c>
      <c r="K273" s="881">
        <v>0</v>
      </c>
      <c r="L273" s="881">
        <v>0</v>
      </c>
      <c r="M273" s="881">
        <v>0</v>
      </c>
      <c r="N273" s="881">
        <v>0</v>
      </c>
      <c r="O273" s="881">
        <v>0</v>
      </c>
      <c r="P273" s="881">
        <v>0</v>
      </c>
      <c r="Q273" s="881">
        <v>0</v>
      </c>
      <c r="R273" s="881">
        <v>0</v>
      </c>
      <c r="S273" s="881">
        <v>0</v>
      </c>
      <c r="T273" s="881">
        <v>0</v>
      </c>
      <c r="U273" s="881">
        <v>0</v>
      </c>
      <c r="V273" s="881">
        <v>0</v>
      </c>
    </row>
    <row r="274" spans="1:22" x14ac:dyDescent="0.25">
      <c r="A274" s="887" t="s">
        <v>1154</v>
      </c>
      <c r="B274" s="887" t="s">
        <v>57</v>
      </c>
      <c r="C274" s="887"/>
      <c r="D274" s="882" t="s">
        <v>1141</v>
      </c>
      <c r="E274" s="881">
        <v>110.86143253</v>
      </c>
      <c r="F274" s="881">
        <v>107.14032</v>
      </c>
      <c r="G274" s="881">
        <v>0</v>
      </c>
      <c r="H274" s="881">
        <v>0</v>
      </c>
      <c r="I274" s="881">
        <v>0</v>
      </c>
      <c r="J274" s="881">
        <v>0</v>
      </c>
      <c r="K274" s="881">
        <v>0</v>
      </c>
      <c r="L274" s="881">
        <v>0</v>
      </c>
      <c r="M274" s="881">
        <v>0</v>
      </c>
      <c r="N274" s="881">
        <v>0</v>
      </c>
      <c r="O274" s="881">
        <v>0</v>
      </c>
      <c r="P274" s="881">
        <v>0</v>
      </c>
      <c r="Q274" s="881">
        <v>0</v>
      </c>
      <c r="R274" s="881">
        <v>0</v>
      </c>
      <c r="S274" s="881">
        <v>0</v>
      </c>
      <c r="T274" s="881">
        <v>0</v>
      </c>
      <c r="U274" s="881">
        <v>0</v>
      </c>
      <c r="V274" s="881">
        <v>0</v>
      </c>
    </row>
    <row r="275" spans="1:22" s="82" customFormat="1" x14ac:dyDescent="0.25">
      <c r="A275" s="880" t="s">
        <v>119</v>
      </c>
      <c r="B275" s="880" t="s">
        <v>18</v>
      </c>
      <c r="C275" s="880"/>
      <c r="D275" s="969" t="s">
        <v>1155</v>
      </c>
    </row>
    <row r="276" spans="1:22" x14ac:dyDescent="0.25">
      <c r="A276" s="887" t="s">
        <v>119</v>
      </c>
      <c r="B276" s="881" t="s">
        <v>18</v>
      </c>
      <c r="C276" s="887"/>
      <c r="D276" s="882" t="s">
        <v>1114</v>
      </c>
    </row>
    <row r="277" spans="1:22" x14ac:dyDescent="0.25">
      <c r="A277" s="887" t="s">
        <v>119</v>
      </c>
      <c r="B277" s="881" t="s">
        <v>18</v>
      </c>
      <c r="C277" s="887"/>
      <c r="D277" s="884" t="s">
        <v>1115</v>
      </c>
      <c r="E277" s="881">
        <v>1</v>
      </c>
      <c r="F277" s="881">
        <v>1</v>
      </c>
      <c r="G277" s="881">
        <v>1</v>
      </c>
      <c r="H277" s="881">
        <v>1</v>
      </c>
      <c r="I277" s="881">
        <v>1</v>
      </c>
      <c r="J277" s="881">
        <v>1</v>
      </c>
      <c r="K277" s="881">
        <v>1</v>
      </c>
      <c r="L277" s="881">
        <v>1</v>
      </c>
      <c r="M277" s="881">
        <v>1</v>
      </c>
      <c r="N277" s="881">
        <v>1</v>
      </c>
      <c r="O277" s="881">
        <v>1</v>
      </c>
      <c r="P277" s="881">
        <v>1</v>
      </c>
      <c r="Q277" s="881">
        <v>1</v>
      </c>
      <c r="R277" s="881">
        <v>1</v>
      </c>
      <c r="S277" s="881">
        <v>1</v>
      </c>
      <c r="T277" s="881">
        <v>1</v>
      </c>
      <c r="U277" s="881">
        <v>1</v>
      </c>
      <c r="V277" s="881">
        <v>1</v>
      </c>
    </row>
    <row r="278" spans="1:22" x14ac:dyDescent="0.25">
      <c r="A278" s="887" t="s">
        <v>119</v>
      </c>
      <c r="B278" s="881" t="s">
        <v>18</v>
      </c>
      <c r="C278" s="887"/>
      <c r="D278" s="884" t="s">
        <v>1116</v>
      </c>
      <c r="E278" s="881">
        <v>0</v>
      </c>
      <c r="F278" s="881">
        <v>0</v>
      </c>
      <c r="G278" s="881">
        <v>0</v>
      </c>
      <c r="H278" s="881">
        <v>0</v>
      </c>
      <c r="I278" s="881">
        <v>0</v>
      </c>
      <c r="J278" s="881">
        <v>0</v>
      </c>
      <c r="K278" s="881">
        <v>0</v>
      </c>
      <c r="L278" s="881">
        <v>0</v>
      </c>
      <c r="M278" s="881">
        <v>0</v>
      </c>
      <c r="N278" s="881">
        <v>0</v>
      </c>
      <c r="O278" s="881">
        <v>0</v>
      </c>
      <c r="P278" s="881">
        <v>0</v>
      </c>
      <c r="Q278" s="881">
        <v>0</v>
      </c>
      <c r="R278" s="881">
        <v>0</v>
      </c>
      <c r="S278" s="881">
        <v>0</v>
      </c>
      <c r="T278" s="881">
        <v>0</v>
      </c>
      <c r="U278" s="881">
        <v>0</v>
      </c>
      <c r="V278" s="881">
        <v>0</v>
      </c>
    </row>
    <row r="279" spans="1:22" x14ac:dyDescent="0.25">
      <c r="A279" s="887" t="s">
        <v>119</v>
      </c>
      <c r="B279" s="881" t="s">
        <v>18</v>
      </c>
      <c r="C279" s="887"/>
      <c r="D279" s="884" t="s">
        <v>1117</v>
      </c>
      <c r="E279" s="881">
        <v>1</v>
      </c>
      <c r="F279" s="881">
        <v>1</v>
      </c>
      <c r="G279" s="881">
        <v>1</v>
      </c>
      <c r="H279" s="881">
        <v>1</v>
      </c>
      <c r="I279" s="881">
        <v>1</v>
      </c>
      <c r="J279" s="881">
        <v>1</v>
      </c>
      <c r="K279" s="881">
        <v>1</v>
      </c>
      <c r="L279" s="881">
        <v>1</v>
      </c>
      <c r="M279" s="881">
        <v>1</v>
      </c>
      <c r="N279" s="881">
        <v>1</v>
      </c>
      <c r="O279" s="881">
        <v>1</v>
      </c>
      <c r="P279" s="881">
        <v>1</v>
      </c>
      <c r="Q279" s="881">
        <v>1</v>
      </c>
      <c r="R279" s="881">
        <v>1</v>
      </c>
      <c r="S279" s="881">
        <v>1</v>
      </c>
      <c r="T279" s="881">
        <v>1</v>
      </c>
      <c r="U279" s="881">
        <v>1</v>
      </c>
      <c r="V279" s="881">
        <v>1</v>
      </c>
    </row>
    <row r="280" spans="1:22" x14ac:dyDescent="0.25">
      <c r="A280" s="887" t="s">
        <v>119</v>
      </c>
      <c r="B280" s="881" t="s">
        <v>18</v>
      </c>
      <c r="C280" s="887"/>
      <c r="D280" s="884" t="s">
        <v>1118</v>
      </c>
      <c r="E280" s="881">
        <v>400</v>
      </c>
      <c r="F280" s="881">
        <v>400</v>
      </c>
      <c r="G280" s="881">
        <v>400</v>
      </c>
      <c r="H280" s="881">
        <v>400</v>
      </c>
      <c r="I280" s="881">
        <v>400</v>
      </c>
      <c r="J280" s="881">
        <v>400</v>
      </c>
      <c r="K280" s="881">
        <v>400</v>
      </c>
      <c r="L280" s="881">
        <v>400</v>
      </c>
      <c r="M280" s="881">
        <v>400</v>
      </c>
      <c r="N280" s="881">
        <v>400</v>
      </c>
      <c r="O280" s="881">
        <v>400</v>
      </c>
      <c r="P280" s="881">
        <v>400</v>
      </c>
      <c r="Q280" s="881">
        <v>400</v>
      </c>
      <c r="R280" s="881">
        <v>400</v>
      </c>
      <c r="S280" s="881">
        <v>400</v>
      </c>
      <c r="T280" s="881">
        <v>400</v>
      </c>
      <c r="U280" s="881">
        <v>400</v>
      </c>
      <c r="V280" s="881">
        <v>400</v>
      </c>
    </row>
    <row r="281" spans="1:22" x14ac:dyDescent="0.25">
      <c r="A281" s="887" t="s">
        <v>119</v>
      </c>
      <c r="B281" s="881" t="s">
        <v>18</v>
      </c>
      <c r="C281" s="887"/>
      <c r="D281" s="884" t="s">
        <v>1119</v>
      </c>
      <c r="E281" s="881">
        <v>0</v>
      </c>
      <c r="F281" s="881">
        <v>0</v>
      </c>
      <c r="G281" s="881">
        <v>0</v>
      </c>
      <c r="H281" s="881">
        <v>0</v>
      </c>
      <c r="I281" s="881">
        <v>0</v>
      </c>
      <c r="J281" s="881">
        <v>0</v>
      </c>
      <c r="K281" s="881">
        <v>0</v>
      </c>
      <c r="L281" s="881">
        <v>0</v>
      </c>
      <c r="M281" s="881">
        <v>0</v>
      </c>
      <c r="N281" s="881">
        <v>0</v>
      </c>
      <c r="O281" s="881">
        <v>0</v>
      </c>
      <c r="P281" s="881">
        <v>0</v>
      </c>
      <c r="Q281" s="881">
        <v>0</v>
      </c>
      <c r="R281" s="881">
        <v>0</v>
      </c>
      <c r="S281" s="881">
        <v>0</v>
      </c>
      <c r="T281" s="881">
        <v>0</v>
      </c>
      <c r="U281" s="881">
        <v>0</v>
      </c>
      <c r="V281" s="881">
        <v>0</v>
      </c>
    </row>
    <row r="282" spans="1:22" x14ac:dyDescent="0.25">
      <c r="A282" s="887" t="s">
        <v>119</v>
      </c>
      <c r="B282" s="881" t="s">
        <v>18</v>
      </c>
      <c r="C282" s="887" t="s">
        <v>169</v>
      </c>
      <c r="D282" s="882" t="s">
        <v>1120</v>
      </c>
      <c r="E282" s="881">
        <v>0.4</v>
      </c>
      <c r="F282" s="881">
        <v>0.4</v>
      </c>
      <c r="G282" s="881">
        <v>0.4</v>
      </c>
      <c r="H282" s="881">
        <v>0.4</v>
      </c>
      <c r="I282" s="881">
        <v>0.4</v>
      </c>
      <c r="J282" s="881">
        <v>0.4</v>
      </c>
      <c r="K282" s="881">
        <v>0.4</v>
      </c>
      <c r="L282" s="881">
        <v>0.4</v>
      </c>
      <c r="M282" s="881">
        <v>0.4</v>
      </c>
      <c r="N282" s="881">
        <v>0.4</v>
      </c>
      <c r="O282" s="881">
        <v>0.4</v>
      </c>
      <c r="P282" s="881">
        <v>0.4</v>
      </c>
      <c r="Q282" s="881">
        <v>0.4</v>
      </c>
      <c r="R282" s="881">
        <v>0.4</v>
      </c>
      <c r="S282" s="881">
        <v>0.4</v>
      </c>
      <c r="T282" s="881">
        <v>0.4</v>
      </c>
      <c r="U282" s="881">
        <v>0.4</v>
      </c>
      <c r="V282" s="881">
        <v>0.4</v>
      </c>
    </row>
    <row r="283" spans="1:22" x14ac:dyDescent="0.25">
      <c r="A283" s="887" t="s">
        <v>119</v>
      </c>
      <c r="B283" s="881" t="s">
        <v>18</v>
      </c>
      <c r="C283" s="887"/>
      <c r="D283" s="882" t="s">
        <v>1121</v>
      </c>
    </row>
    <row r="284" spans="1:22" x14ac:dyDescent="0.25">
      <c r="A284" s="887" t="s">
        <v>119</v>
      </c>
      <c r="B284" s="881" t="s">
        <v>18</v>
      </c>
      <c r="C284" s="887"/>
      <c r="D284" s="884" t="s">
        <v>1122</v>
      </c>
      <c r="E284" s="881">
        <v>8809.2025940000003</v>
      </c>
      <c r="F284" s="881">
        <v>10137.998799999999</v>
      </c>
      <c r="G284" s="881">
        <v>9514.0040200000003</v>
      </c>
      <c r="H284" s="881">
        <v>3815.6661939999999</v>
      </c>
      <c r="I284" s="881">
        <v>1473.663605</v>
      </c>
      <c r="J284" s="881">
        <v>1259.1612150000001</v>
      </c>
      <c r="K284" s="881">
        <v>7402.731041</v>
      </c>
      <c r="L284" s="881">
        <v>6944.2115469999999</v>
      </c>
      <c r="M284" s="881">
        <v>6957.5193140000001</v>
      </c>
      <c r="N284" s="881">
        <v>11265.272989999999</v>
      </c>
      <c r="O284" s="881">
        <v>6930.7913559999997</v>
      </c>
      <c r="P284" s="881">
        <v>3553.07618</v>
      </c>
      <c r="Q284" s="881">
        <v>1491.666011</v>
      </c>
      <c r="R284" s="881">
        <v>1269.9198369999999</v>
      </c>
      <c r="S284" s="881">
        <v>1685.0335259999999</v>
      </c>
      <c r="T284" s="881">
        <v>3075.4743060000001</v>
      </c>
      <c r="U284" s="881">
        <v>4691.3193769999998</v>
      </c>
      <c r="V284" s="881">
        <v>5700.2117630000002</v>
      </c>
    </row>
    <row r="285" spans="1:22" x14ac:dyDescent="0.25">
      <c r="A285" s="887" t="s">
        <v>119</v>
      </c>
      <c r="B285" s="881" t="s">
        <v>18</v>
      </c>
      <c r="C285" s="887"/>
      <c r="D285" s="884" t="s">
        <v>1123</v>
      </c>
      <c r="E285" s="881">
        <v>0</v>
      </c>
      <c r="F285" s="881">
        <v>0</v>
      </c>
      <c r="G285" s="881">
        <v>0</v>
      </c>
      <c r="H285" s="881">
        <v>0</v>
      </c>
      <c r="I285" s="881">
        <v>0</v>
      </c>
      <c r="J285" s="881">
        <v>0</v>
      </c>
      <c r="K285" s="881">
        <v>0</v>
      </c>
      <c r="L285" s="881">
        <v>0</v>
      </c>
      <c r="M285" s="881">
        <v>0</v>
      </c>
      <c r="N285" s="881">
        <v>0</v>
      </c>
      <c r="O285" s="881">
        <v>0</v>
      </c>
      <c r="P285" s="881">
        <v>0</v>
      </c>
      <c r="Q285" s="881">
        <v>0</v>
      </c>
      <c r="R285" s="881">
        <v>0</v>
      </c>
      <c r="S285" s="881">
        <v>0</v>
      </c>
      <c r="T285" s="881">
        <v>0</v>
      </c>
      <c r="U285" s="881">
        <v>0</v>
      </c>
      <c r="V285" s="881">
        <v>0</v>
      </c>
    </row>
    <row r="286" spans="1:22" x14ac:dyDescent="0.25">
      <c r="A286" s="887" t="s">
        <v>119</v>
      </c>
      <c r="B286" s="881" t="s">
        <v>18</v>
      </c>
      <c r="C286" s="887"/>
      <c r="D286" s="885" t="s">
        <v>1124</v>
      </c>
      <c r="E286" s="883">
        <v>8.8092025940000003</v>
      </c>
      <c r="F286" s="883">
        <v>10.1379988</v>
      </c>
      <c r="G286" s="883">
        <v>9.5140040199999998</v>
      </c>
      <c r="H286" s="883">
        <v>3.8156661939999998</v>
      </c>
      <c r="I286" s="883">
        <v>1.473663605</v>
      </c>
      <c r="J286" s="883">
        <v>1.259161215</v>
      </c>
      <c r="K286" s="883">
        <v>7.402731041</v>
      </c>
      <c r="L286" s="883">
        <v>6.9442115470000001</v>
      </c>
      <c r="M286" s="883">
        <v>6.9575193139999998</v>
      </c>
      <c r="N286" s="883">
        <v>11.26527299</v>
      </c>
      <c r="O286" s="883">
        <v>6.9307913560000003</v>
      </c>
      <c r="P286" s="883">
        <v>3.5530761800000001</v>
      </c>
      <c r="Q286" s="883">
        <v>1.491666011</v>
      </c>
      <c r="R286" s="883">
        <v>1.269919837</v>
      </c>
      <c r="S286" s="883">
        <v>1.685033526</v>
      </c>
      <c r="T286" s="883">
        <v>3.0754743059999998</v>
      </c>
      <c r="U286" s="883">
        <v>4.6913193770000001</v>
      </c>
      <c r="V286" s="883">
        <v>5.7002117630000004</v>
      </c>
    </row>
    <row r="287" spans="1:22" x14ac:dyDescent="0.25">
      <c r="A287" s="887" t="s">
        <v>119</v>
      </c>
      <c r="B287" s="881" t="s">
        <v>18</v>
      </c>
      <c r="C287" s="887"/>
      <c r="D287" s="885" t="s">
        <v>1125</v>
      </c>
      <c r="E287" s="883">
        <v>0.70089999999999997</v>
      </c>
      <c r="F287" s="883">
        <v>0.70089999999999997</v>
      </c>
      <c r="G287" s="883">
        <v>0.70089999999999997</v>
      </c>
      <c r="H287" s="883">
        <v>0.70089999999999997</v>
      </c>
      <c r="I287" s="883">
        <v>0.70089999999999997</v>
      </c>
      <c r="J287" s="883">
        <v>0.70089999999999997</v>
      </c>
      <c r="K287" s="883">
        <v>0.70089999999999997</v>
      </c>
      <c r="L287" s="883">
        <v>0.70089999999999997</v>
      </c>
      <c r="M287" s="883">
        <v>0.70089999999999997</v>
      </c>
      <c r="N287" s="883">
        <v>0.70089999999999997</v>
      </c>
      <c r="O287" s="883">
        <v>0.70089999999999997</v>
      </c>
      <c r="P287" s="883">
        <v>0.70089999999999997</v>
      </c>
      <c r="Q287" s="883">
        <v>0.70089999999999997</v>
      </c>
      <c r="R287" s="883">
        <v>0.70089999999999997</v>
      </c>
      <c r="S287" s="883">
        <v>0.70089999999999997</v>
      </c>
      <c r="T287" s="883">
        <v>0.70089999999999997</v>
      </c>
      <c r="U287" s="883">
        <v>0.70089999999999997</v>
      </c>
      <c r="V287" s="883">
        <v>0.70089999999999997</v>
      </c>
    </row>
    <row r="288" spans="1:22" x14ac:dyDescent="0.25">
      <c r="A288" s="887" t="s">
        <v>119</v>
      </c>
      <c r="B288" s="881" t="s">
        <v>18</v>
      </c>
      <c r="C288" s="887"/>
      <c r="D288" s="885" t="s">
        <v>1126</v>
      </c>
      <c r="E288" s="883">
        <v>0.70089999999999997</v>
      </c>
      <c r="F288" s="883">
        <v>0.70089999999999997</v>
      </c>
      <c r="G288" s="883">
        <v>0.70089999999999997</v>
      </c>
      <c r="H288" s="883">
        <v>0.70089999999999997</v>
      </c>
      <c r="I288" s="883">
        <v>0.70089999999999997</v>
      </c>
      <c r="J288" s="883">
        <v>0.70089999999999997</v>
      </c>
      <c r="K288" s="883">
        <v>0.70089999999999997</v>
      </c>
      <c r="L288" s="883">
        <v>0.70089999999999997</v>
      </c>
      <c r="M288" s="883">
        <v>0.70089999999999997</v>
      </c>
      <c r="N288" s="883">
        <v>0.70089999999999997</v>
      </c>
      <c r="O288" s="883">
        <v>0.70089999999999997</v>
      </c>
      <c r="P288" s="883">
        <v>0.70089999999999997</v>
      </c>
      <c r="Q288" s="883">
        <v>0.70089999999999997</v>
      </c>
      <c r="R288" s="883">
        <v>0.70089999999999997</v>
      </c>
      <c r="S288" s="883">
        <v>0.70089999999999997</v>
      </c>
      <c r="T288" s="883">
        <v>0.70089999999999997</v>
      </c>
      <c r="U288" s="883">
        <v>0.70089999999999997</v>
      </c>
      <c r="V288" s="883">
        <v>0.70089999999999997</v>
      </c>
    </row>
    <row r="289" spans="1:22" x14ac:dyDescent="0.25">
      <c r="A289" s="887" t="s">
        <v>119</v>
      </c>
      <c r="B289" s="881" t="s">
        <v>18</v>
      </c>
      <c r="C289" s="887"/>
      <c r="D289" s="885" t="s">
        <v>1127</v>
      </c>
      <c r="E289" s="883">
        <v>0</v>
      </c>
      <c r="F289" s="883">
        <v>0</v>
      </c>
      <c r="G289" s="883">
        <v>0</v>
      </c>
      <c r="H289" s="883">
        <v>0</v>
      </c>
      <c r="I289" s="883">
        <v>0</v>
      </c>
      <c r="J289" s="883">
        <v>0</v>
      </c>
      <c r="K289" s="883">
        <v>0</v>
      </c>
      <c r="L289" s="883">
        <v>0</v>
      </c>
      <c r="M289" s="883">
        <v>0</v>
      </c>
      <c r="N289" s="883">
        <v>0</v>
      </c>
      <c r="O289" s="883">
        <v>0</v>
      </c>
      <c r="P289" s="883">
        <v>0</v>
      </c>
      <c r="Q289" s="883">
        <v>0</v>
      </c>
      <c r="R289" s="883">
        <v>0</v>
      </c>
      <c r="S289" s="883">
        <v>0</v>
      </c>
      <c r="T289" s="883">
        <v>0</v>
      </c>
      <c r="U289" s="883">
        <v>0</v>
      </c>
      <c r="V289" s="883">
        <v>0</v>
      </c>
    </row>
    <row r="290" spans="1:22" x14ac:dyDescent="0.25">
      <c r="A290" s="887" t="s">
        <v>119</v>
      </c>
      <c r="B290" s="881" t="s">
        <v>18</v>
      </c>
      <c r="C290" s="887" t="s">
        <v>778</v>
      </c>
      <c r="D290" s="882" t="s">
        <v>1128</v>
      </c>
      <c r="E290" s="881">
        <v>6.1743700981345997</v>
      </c>
      <c r="F290" s="881">
        <v>7.1057233589199997</v>
      </c>
      <c r="G290" s="881">
        <v>6.6683654176180003</v>
      </c>
      <c r="H290" s="881">
        <v>2.6744004353745998</v>
      </c>
      <c r="I290" s="881">
        <v>1.0328908207445</v>
      </c>
      <c r="J290" s="881">
        <v>0.88254609559349995</v>
      </c>
      <c r="K290" s="881">
        <v>5.1885741866368997</v>
      </c>
      <c r="L290" s="881">
        <v>4.8671978732922998</v>
      </c>
      <c r="M290" s="881">
        <v>4.8765252871825897</v>
      </c>
      <c r="N290" s="881">
        <v>7.8958298386909904</v>
      </c>
      <c r="O290" s="881">
        <v>4.8577916614204</v>
      </c>
      <c r="P290" s="881">
        <v>2.490351094562</v>
      </c>
      <c r="Q290" s="881">
        <v>1.0455087071098901</v>
      </c>
      <c r="R290" s="881">
        <v>0.89008681375329901</v>
      </c>
      <c r="S290" s="881">
        <v>1.1810399983733999</v>
      </c>
      <c r="T290" s="881">
        <v>2.1555999410753999</v>
      </c>
      <c r="U290" s="881">
        <v>3.28814575133929</v>
      </c>
      <c r="V290" s="881">
        <v>3.9952784246866999</v>
      </c>
    </row>
    <row r="291" spans="1:22" x14ac:dyDescent="0.25">
      <c r="A291" s="887" t="s">
        <v>119</v>
      </c>
      <c r="B291" s="881" t="s">
        <v>18</v>
      </c>
      <c r="C291" s="887"/>
      <c r="D291" s="882" t="s">
        <v>1129</v>
      </c>
    </row>
    <row r="292" spans="1:22" x14ac:dyDescent="0.25">
      <c r="A292" s="887" t="s">
        <v>119</v>
      </c>
      <c r="B292" s="881" t="s">
        <v>18</v>
      </c>
      <c r="C292" s="887"/>
      <c r="D292" s="882" t="s">
        <v>1130</v>
      </c>
    </row>
    <row r="293" spans="1:22" x14ac:dyDescent="0.25">
      <c r="A293" s="887" t="s">
        <v>119</v>
      </c>
      <c r="B293" s="881" t="s">
        <v>18</v>
      </c>
      <c r="C293" s="887"/>
      <c r="D293" s="882" t="s">
        <v>1131</v>
      </c>
      <c r="E293" s="881">
        <v>6.5743700981346</v>
      </c>
      <c r="F293" s="881">
        <v>7.5057233589200001</v>
      </c>
      <c r="G293" s="881">
        <v>7.0683654176179997</v>
      </c>
      <c r="H293" s="881">
        <v>3.07440043537459</v>
      </c>
      <c r="I293" s="881">
        <v>1.4328908207444999</v>
      </c>
      <c r="J293" s="881">
        <v>1.2825460955935</v>
      </c>
      <c r="K293" s="881">
        <v>5.5885741866369001</v>
      </c>
      <c r="L293" s="881">
        <v>5.2671978732923002</v>
      </c>
      <c r="M293" s="881">
        <v>5.2765252871825998</v>
      </c>
      <c r="N293" s="881">
        <v>8.2958298386909899</v>
      </c>
      <c r="O293" s="881">
        <v>5.2577916614204003</v>
      </c>
      <c r="P293" s="881">
        <v>2.8903510945619999</v>
      </c>
      <c r="Q293" s="881">
        <v>1.44550870710989</v>
      </c>
      <c r="R293" s="881">
        <v>1.2900868137532999</v>
      </c>
      <c r="S293" s="881">
        <v>1.5810399983734</v>
      </c>
      <c r="T293" s="881">
        <v>2.5555999410753998</v>
      </c>
      <c r="U293" s="881">
        <v>3.6881457513392899</v>
      </c>
      <c r="V293" s="881">
        <v>4.3952784246867003</v>
      </c>
    </row>
    <row r="294" spans="1:22" x14ac:dyDescent="0.25">
      <c r="A294" s="887" t="s">
        <v>119</v>
      </c>
      <c r="B294" s="881" t="s">
        <v>18</v>
      </c>
      <c r="C294" s="887"/>
      <c r="D294" s="882" t="s">
        <v>1132</v>
      </c>
    </row>
    <row r="295" spans="1:22" x14ac:dyDescent="0.25">
      <c r="A295" s="887" t="s">
        <v>119</v>
      </c>
      <c r="B295" s="881" t="s">
        <v>18</v>
      </c>
      <c r="C295" s="887"/>
      <c r="D295" s="885" t="s">
        <v>1133</v>
      </c>
      <c r="E295" s="883">
        <v>3.54132328535503</v>
      </c>
      <c r="F295" s="883">
        <v>4.0825536529198896</v>
      </c>
      <c r="G295" s="883">
        <v>4.6151370530302804</v>
      </c>
      <c r="H295" s="883">
        <v>4.7204926546137003</v>
      </c>
      <c r="I295" s="883">
        <v>4.2816079006073897</v>
      </c>
      <c r="J295" s="883">
        <v>4.61774840312499</v>
      </c>
      <c r="K295" s="883">
        <v>3.6370825733754901</v>
      </c>
      <c r="L295" s="883">
        <v>3.1998593487156</v>
      </c>
      <c r="M295" s="883">
        <v>3.4441400635944199</v>
      </c>
      <c r="N295" s="883">
        <v>2.6697967759149801</v>
      </c>
      <c r="O295" s="883">
        <v>3.6621728781104101</v>
      </c>
      <c r="P295" s="883">
        <v>3.9547219031793199</v>
      </c>
      <c r="Q295" s="883">
        <v>4.3060793499123999</v>
      </c>
      <c r="R295" s="883">
        <v>4.66270835833049</v>
      </c>
      <c r="S295" s="883">
        <v>5.2056863414265502</v>
      </c>
      <c r="T295" s="883">
        <v>5.4531502607765896</v>
      </c>
      <c r="U295" s="883">
        <v>5.0764131270513699</v>
      </c>
      <c r="V295" s="883">
        <v>4.0447960531742</v>
      </c>
    </row>
    <row r="296" spans="1:22" x14ac:dyDescent="0.25">
      <c r="A296" s="887" t="s">
        <v>119</v>
      </c>
      <c r="B296" s="881" t="s">
        <v>18</v>
      </c>
      <c r="C296" s="887" t="s">
        <v>196</v>
      </c>
      <c r="D296" s="884" t="s">
        <v>1134</v>
      </c>
      <c r="E296" s="881">
        <v>31.196234271542099</v>
      </c>
      <c r="F296" s="881">
        <v>41.388924034237398</v>
      </c>
      <c r="G296" s="881">
        <v>43.908432475380998</v>
      </c>
      <c r="H296" s="881">
        <v>18.011824241234802</v>
      </c>
      <c r="I296" s="881">
        <v>6.3096497340055597</v>
      </c>
      <c r="J296" s="881">
        <v>5.8144896898431799</v>
      </c>
      <c r="K296" s="881">
        <v>26.924344064606899</v>
      </c>
      <c r="L296" s="881">
        <v>22.2205002381268</v>
      </c>
      <c r="M296" s="881">
        <v>23.962671012579399</v>
      </c>
      <c r="N296" s="881">
        <v>30.0759895085042</v>
      </c>
      <c r="O296" s="881">
        <v>25.381756127785302</v>
      </c>
      <c r="P296" s="881">
        <v>14.0514281927107</v>
      </c>
      <c r="Q296" s="881">
        <v>6.4232322069333101</v>
      </c>
      <c r="R296" s="881">
        <v>5.9212658383896004</v>
      </c>
      <c r="S296" s="881">
        <v>8.7717560111440296</v>
      </c>
      <c r="T296" s="881">
        <v>16.771023513775599</v>
      </c>
      <c r="U296" s="881">
        <v>23.815075268593201</v>
      </c>
      <c r="V296" s="881">
        <v>23.0561940412395</v>
      </c>
    </row>
    <row r="297" spans="1:22" x14ac:dyDescent="0.25">
      <c r="A297" s="887" t="s">
        <v>119</v>
      </c>
      <c r="B297" s="881" t="s">
        <v>18</v>
      </c>
      <c r="C297" s="887"/>
      <c r="D297" s="882" t="s">
        <v>1135</v>
      </c>
    </row>
    <row r="298" spans="1:22" x14ac:dyDescent="0.25">
      <c r="A298" s="887" t="s">
        <v>119</v>
      </c>
      <c r="B298" s="881" t="s">
        <v>18</v>
      </c>
      <c r="C298" s="887"/>
      <c r="D298" s="885" t="s">
        <v>1136</v>
      </c>
      <c r="E298" s="883">
        <v>0</v>
      </c>
      <c r="F298" s="883">
        <v>0</v>
      </c>
      <c r="G298" s="883">
        <v>0</v>
      </c>
      <c r="H298" s="883">
        <v>0</v>
      </c>
      <c r="I298" s="883">
        <v>0</v>
      </c>
      <c r="J298" s="883">
        <v>0</v>
      </c>
      <c r="K298" s="883">
        <v>0</v>
      </c>
      <c r="L298" s="883">
        <v>0</v>
      </c>
      <c r="M298" s="883">
        <v>0</v>
      </c>
      <c r="N298" s="883">
        <v>0</v>
      </c>
      <c r="O298" s="883">
        <v>0</v>
      </c>
      <c r="P298" s="883">
        <v>0</v>
      </c>
      <c r="Q298" s="883">
        <v>0</v>
      </c>
      <c r="R298" s="883">
        <v>0</v>
      </c>
      <c r="S298" s="883">
        <v>0</v>
      </c>
      <c r="T298" s="883">
        <v>0</v>
      </c>
      <c r="U298" s="883">
        <v>0</v>
      </c>
      <c r="V298" s="883">
        <v>0</v>
      </c>
    </row>
    <row r="299" spans="1:22" x14ac:dyDescent="0.25">
      <c r="A299" s="887" t="s">
        <v>119</v>
      </c>
      <c r="B299" s="881" t="s">
        <v>18</v>
      </c>
      <c r="C299" s="887" t="s">
        <v>198</v>
      </c>
      <c r="D299" s="884" t="s">
        <v>1137</v>
      </c>
      <c r="E299" s="881">
        <v>0</v>
      </c>
      <c r="F299" s="881">
        <v>0</v>
      </c>
      <c r="G299" s="881">
        <v>0</v>
      </c>
      <c r="H299" s="881">
        <v>0</v>
      </c>
      <c r="I299" s="881">
        <v>0</v>
      </c>
      <c r="J299" s="881">
        <v>0</v>
      </c>
      <c r="K299" s="881">
        <v>0</v>
      </c>
      <c r="L299" s="881">
        <v>0</v>
      </c>
      <c r="M299" s="881">
        <v>0</v>
      </c>
      <c r="N299" s="881">
        <v>0</v>
      </c>
      <c r="O299" s="881">
        <v>0</v>
      </c>
      <c r="P299" s="881">
        <v>0</v>
      </c>
      <c r="Q299" s="881">
        <v>0</v>
      </c>
      <c r="R299" s="881">
        <v>0</v>
      </c>
      <c r="S299" s="881">
        <v>0</v>
      </c>
      <c r="T299" s="881">
        <v>0</v>
      </c>
      <c r="U299" s="881">
        <v>0</v>
      </c>
      <c r="V299" s="881">
        <v>0</v>
      </c>
    </row>
    <row r="300" spans="1:22" x14ac:dyDescent="0.25">
      <c r="A300" s="887" t="s">
        <v>119</v>
      </c>
      <c r="B300" s="881" t="s">
        <v>18</v>
      </c>
      <c r="C300" s="887"/>
      <c r="D300" s="882" t="s">
        <v>1138</v>
      </c>
    </row>
    <row r="301" spans="1:22" x14ac:dyDescent="0.25">
      <c r="A301" s="887" t="s">
        <v>119</v>
      </c>
      <c r="B301" s="881" t="s">
        <v>18</v>
      </c>
      <c r="C301" s="887"/>
      <c r="D301" s="885" t="s">
        <v>1139</v>
      </c>
      <c r="E301" s="883">
        <v>7.2705548342424002E-3</v>
      </c>
      <c r="F301" s="883">
        <v>7.2705548342424002E-3</v>
      </c>
      <c r="G301" s="883">
        <v>7.2705548342424002E-3</v>
      </c>
      <c r="H301" s="883">
        <v>7.2705548342424002E-3</v>
      </c>
      <c r="I301" s="883">
        <v>7.2705548342424002E-3</v>
      </c>
      <c r="J301" s="883">
        <v>7.2705548342424002E-3</v>
      </c>
      <c r="K301" s="883">
        <v>7.2705548342424002E-3</v>
      </c>
      <c r="L301" s="883">
        <v>7.2705548342424002E-3</v>
      </c>
      <c r="M301" s="883">
        <v>7.2705548342424002E-3</v>
      </c>
      <c r="N301" s="883">
        <v>7.2705548342424002E-3</v>
      </c>
      <c r="O301" s="883">
        <v>7.2705548342424002E-3</v>
      </c>
      <c r="P301" s="883">
        <v>7.2705548342424002E-3</v>
      </c>
      <c r="Q301" s="883">
        <v>7.2705548342424002E-3</v>
      </c>
      <c r="R301" s="883">
        <v>7.2705548342424002E-3</v>
      </c>
      <c r="S301" s="883">
        <v>7.2705548342424002E-3</v>
      </c>
      <c r="T301" s="883">
        <v>7.2705548342424002E-3</v>
      </c>
      <c r="U301" s="883">
        <v>7.2705548342424002E-3</v>
      </c>
      <c r="V301" s="883">
        <v>7.2705548342424002E-3</v>
      </c>
    </row>
    <row r="302" spans="1:22" x14ac:dyDescent="0.25">
      <c r="A302" s="887" t="s">
        <v>119</v>
      </c>
      <c r="B302" s="881" t="s">
        <v>18</v>
      </c>
      <c r="C302" s="887" t="s">
        <v>670</v>
      </c>
      <c r="D302" s="884" t="s">
        <v>1140</v>
      </c>
      <c r="E302" s="881">
        <v>7.4930802110046901</v>
      </c>
      <c r="F302" s="881">
        <v>7.1531538209383596</v>
      </c>
      <c r="G302" s="881">
        <v>7.2252895836036197</v>
      </c>
      <c r="H302" s="881">
        <v>3.7729649862026098</v>
      </c>
      <c r="I302" s="881">
        <v>2.03989262129158</v>
      </c>
      <c r="J302" s="881">
        <v>2.18472255225808</v>
      </c>
      <c r="K302" s="881">
        <v>10.0429151194999</v>
      </c>
      <c r="L302" s="881">
        <v>10.7844120493347</v>
      </c>
      <c r="M302" s="881">
        <v>8.4050985313901201</v>
      </c>
      <c r="N302" s="881">
        <v>8.0560930786626308</v>
      </c>
      <c r="O302" s="881">
        <v>6.2358684263117903</v>
      </c>
      <c r="P302" s="881">
        <v>3.9885736197903898</v>
      </c>
      <c r="Q302" s="881">
        <v>2.3386658166276599</v>
      </c>
      <c r="R302" s="881">
        <v>2.4978479575464601</v>
      </c>
      <c r="S302" s="881">
        <v>3.9665346548056601</v>
      </c>
      <c r="T302" s="881">
        <v>6.8476379239324299</v>
      </c>
      <c r="U302" s="881">
        <v>10.6359316763289</v>
      </c>
      <c r="V302" s="881">
        <v>10.9171588496433</v>
      </c>
    </row>
    <row r="303" spans="1:22" x14ac:dyDescent="0.25">
      <c r="A303" s="887" t="s">
        <v>119</v>
      </c>
      <c r="B303" s="881" t="s">
        <v>18</v>
      </c>
      <c r="C303" s="887"/>
      <c r="D303" s="882" t="s">
        <v>1141</v>
      </c>
      <c r="E303" s="881">
        <v>45.263684580681399</v>
      </c>
      <c r="F303" s="881">
        <v>56.047801214095799</v>
      </c>
      <c r="G303" s="881">
        <v>58.202087476602699</v>
      </c>
      <c r="H303" s="881">
        <v>24.859189662812</v>
      </c>
      <c r="I303" s="881">
        <v>9.7824331760416499</v>
      </c>
      <c r="J303" s="881">
        <v>9.2817583376947699</v>
      </c>
      <c r="K303" s="881">
        <v>42.555833370743699</v>
      </c>
      <c r="L303" s="881">
        <v>38.272110160753797</v>
      </c>
      <c r="M303" s="881">
        <v>37.644294831152102</v>
      </c>
      <c r="N303" s="881">
        <v>46.427912425857798</v>
      </c>
      <c r="O303" s="881">
        <v>36.875416215517497</v>
      </c>
      <c r="P303" s="881">
        <v>20.930352907063099</v>
      </c>
      <c r="Q303" s="881">
        <v>10.207406730670799</v>
      </c>
      <c r="R303" s="881">
        <v>9.7092006096893595</v>
      </c>
      <c r="S303" s="881">
        <v>14.3193306643231</v>
      </c>
      <c r="T303" s="881">
        <v>26.174261378783399</v>
      </c>
      <c r="U303" s="881">
        <v>38.139152696261398</v>
      </c>
      <c r="V303" s="881">
        <v>38.368631315569601</v>
      </c>
    </row>
    <row r="304" spans="1:22" s="82" customFormat="1" x14ac:dyDescent="0.25">
      <c r="A304" s="880" t="s">
        <v>124</v>
      </c>
      <c r="B304" s="880" t="s">
        <v>50</v>
      </c>
      <c r="C304" s="880"/>
      <c r="D304" s="969" t="s">
        <v>1156</v>
      </c>
    </row>
    <row r="305" spans="1:22" x14ac:dyDescent="0.25">
      <c r="A305" s="887" t="s">
        <v>124</v>
      </c>
      <c r="B305" s="881" t="s">
        <v>50</v>
      </c>
      <c r="C305" s="887"/>
      <c r="D305" s="882" t="s">
        <v>1114</v>
      </c>
    </row>
    <row r="306" spans="1:22" x14ac:dyDescent="0.25">
      <c r="A306" s="887" t="s">
        <v>124</v>
      </c>
      <c r="B306" s="881" t="s">
        <v>50</v>
      </c>
      <c r="C306" s="887"/>
      <c r="D306" s="884" t="s">
        <v>1115</v>
      </c>
      <c r="E306" s="881">
        <v>62</v>
      </c>
      <c r="F306" s="881">
        <v>62</v>
      </c>
      <c r="G306" s="881">
        <v>62</v>
      </c>
      <c r="H306" s="881">
        <v>62</v>
      </c>
      <c r="I306" s="881">
        <v>62</v>
      </c>
      <c r="J306" s="881">
        <v>62</v>
      </c>
      <c r="K306" s="881">
        <v>62</v>
      </c>
      <c r="L306" s="881">
        <v>62</v>
      </c>
      <c r="M306" s="881">
        <v>62</v>
      </c>
      <c r="N306" s="881">
        <v>62</v>
      </c>
      <c r="O306" s="881">
        <v>62</v>
      </c>
      <c r="P306" s="881">
        <v>62</v>
      </c>
      <c r="Q306" s="881">
        <v>62</v>
      </c>
      <c r="R306" s="881">
        <v>62</v>
      </c>
      <c r="S306" s="881">
        <v>62</v>
      </c>
      <c r="T306" s="881">
        <v>62</v>
      </c>
      <c r="U306" s="881">
        <v>62</v>
      </c>
      <c r="V306" s="881">
        <v>62</v>
      </c>
    </row>
    <row r="307" spans="1:22" x14ac:dyDescent="0.25">
      <c r="A307" s="887" t="s">
        <v>124</v>
      </c>
      <c r="B307" s="881" t="s">
        <v>50</v>
      </c>
      <c r="C307" s="887"/>
      <c r="D307" s="884" t="s">
        <v>1116</v>
      </c>
      <c r="E307" s="881">
        <v>0</v>
      </c>
      <c r="F307" s="881">
        <v>0</v>
      </c>
      <c r="G307" s="881">
        <v>0</v>
      </c>
      <c r="H307" s="881">
        <v>0</v>
      </c>
      <c r="I307" s="881">
        <v>0</v>
      </c>
      <c r="J307" s="881">
        <v>0</v>
      </c>
      <c r="K307" s="881">
        <v>0</v>
      </c>
      <c r="L307" s="881">
        <v>0</v>
      </c>
      <c r="M307" s="881">
        <v>0</v>
      </c>
      <c r="N307" s="881">
        <v>0</v>
      </c>
      <c r="O307" s="881">
        <v>0</v>
      </c>
      <c r="P307" s="881">
        <v>0</v>
      </c>
      <c r="Q307" s="881">
        <v>0</v>
      </c>
      <c r="R307" s="881">
        <v>0</v>
      </c>
      <c r="S307" s="881">
        <v>0</v>
      </c>
      <c r="T307" s="881">
        <v>0</v>
      </c>
      <c r="U307" s="881">
        <v>0</v>
      </c>
      <c r="V307" s="881">
        <v>0</v>
      </c>
    </row>
    <row r="308" spans="1:22" x14ac:dyDescent="0.25">
      <c r="A308" s="887" t="s">
        <v>124</v>
      </c>
      <c r="B308" s="881" t="s">
        <v>50</v>
      </c>
      <c r="C308" s="887"/>
      <c r="D308" s="884" t="s">
        <v>1117</v>
      </c>
      <c r="E308" s="881">
        <v>62</v>
      </c>
      <c r="F308" s="881">
        <v>62</v>
      </c>
      <c r="G308" s="881">
        <v>62</v>
      </c>
      <c r="H308" s="881">
        <v>62</v>
      </c>
      <c r="I308" s="881">
        <v>62</v>
      </c>
      <c r="J308" s="881">
        <v>62</v>
      </c>
      <c r="K308" s="881">
        <v>62</v>
      </c>
      <c r="L308" s="881">
        <v>62</v>
      </c>
      <c r="M308" s="881">
        <v>62</v>
      </c>
      <c r="N308" s="881">
        <v>62</v>
      </c>
      <c r="O308" s="881">
        <v>62</v>
      </c>
      <c r="P308" s="881">
        <v>62</v>
      </c>
      <c r="Q308" s="881">
        <v>62</v>
      </c>
      <c r="R308" s="881">
        <v>62</v>
      </c>
      <c r="S308" s="881">
        <v>62</v>
      </c>
      <c r="T308" s="881">
        <v>62</v>
      </c>
      <c r="U308" s="881">
        <v>62</v>
      </c>
      <c r="V308" s="881">
        <v>62</v>
      </c>
    </row>
    <row r="309" spans="1:22" x14ac:dyDescent="0.25">
      <c r="A309" s="887" t="s">
        <v>124</v>
      </c>
      <c r="B309" s="881" t="s">
        <v>50</v>
      </c>
      <c r="C309" s="887"/>
      <c r="D309" s="884" t="s">
        <v>1118</v>
      </c>
      <c r="E309" s="881">
        <v>0</v>
      </c>
      <c r="F309" s="881">
        <v>0</v>
      </c>
      <c r="G309" s="881">
        <v>0</v>
      </c>
      <c r="H309" s="881">
        <v>0</v>
      </c>
      <c r="I309" s="881">
        <v>0</v>
      </c>
      <c r="J309" s="881">
        <v>0</v>
      </c>
      <c r="K309" s="881">
        <v>0</v>
      </c>
      <c r="L309" s="881">
        <v>0</v>
      </c>
      <c r="M309" s="881">
        <v>0</v>
      </c>
      <c r="N309" s="881">
        <v>0</v>
      </c>
      <c r="O309" s="881">
        <v>0</v>
      </c>
      <c r="P309" s="881">
        <v>0</v>
      </c>
      <c r="Q309" s="881">
        <v>0</v>
      </c>
      <c r="R309" s="881">
        <v>0</v>
      </c>
      <c r="S309" s="881">
        <v>0</v>
      </c>
      <c r="T309" s="881">
        <v>0</v>
      </c>
      <c r="U309" s="881">
        <v>0</v>
      </c>
      <c r="V309" s="881">
        <v>0</v>
      </c>
    </row>
    <row r="310" spans="1:22" x14ac:dyDescent="0.25">
      <c r="A310" s="887" t="s">
        <v>124</v>
      </c>
      <c r="B310" s="881" t="s">
        <v>50</v>
      </c>
      <c r="C310" s="887"/>
      <c r="D310" s="884" t="s">
        <v>1119</v>
      </c>
      <c r="E310" s="881">
        <v>0</v>
      </c>
      <c r="F310" s="881">
        <v>0</v>
      </c>
      <c r="G310" s="881">
        <v>0</v>
      </c>
      <c r="H310" s="881">
        <v>0</v>
      </c>
      <c r="I310" s="881">
        <v>0</v>
      </c>
      <c r="J310" s="881">
        <v>0</v>
      </c>
      <c r="K310" s="881">
        <v>0</v>
      </c>
      <c r="L310" s="881">
        <v>0</v>
      </c>
      <c r="M310" s="881">
        <v>0</v>
      </c>
      <c r="N310" s="881">
        <v>0</v>
      </c>
      <c r="O310" s="881">
        <v>0</v>
      </c>
      <c r="P310" s="881">
        <v>0</v>
      </c>
      <c r="Q310" s="881">
        <v>0</v>
      </c>
      <c r="R310" s="881">
        <v>0</v>
      </c>
      <c r="S310" s="881">
        <v>0</v>
      </c>
      <c r="T310" s="881">
        <v>0</v>
      </c>
      <c r="U310" s="881">
        <v>0</v>
      </c>
      <c r="V310" s="881">
        <v>0</v>
      </c>
    </row>
    <row r="311" spans="1:22" x14ac:dyDescent="0.25">
      <c r="A311" s="887" t="s">
        <v>124</v>
      </c>
      <c r="B311" s="881" t="s">
        <v>50</v>
      </c>
      <c r="C311" s="887" t="s">
        <v>169</v>
      </c>
      <c r="D311" s="882" t="s">
        <v>1120</v>
      </c>
      <c r="E311" s="881">
        <v>0</v>
      </c>
      <c r="F311" s="881">
        <v>0</v>
      </c>
      <c r="G311" s="881">
        <v>0</v>
      </c>
      <c r="H311" s="881">
        <v>0</v>
      </c>
      <c r="I311" s="881">
        <v>0</v>
      </c>
      <c r="J311" s="881">
        <v>0</v>
      </c>
      <c r="K311" s="881">
        <v>0</v>
      </c>
      <c r="L311" s="881">
        <v>0</v>
      </c>
      <c r="M311" s="881">
        <v>0</v>
      </c>
      <c r="N311" s="881">
        <v>0</v>
      </c>
      <c r="O311" s="881">
        <v>0</v>
      </c>
      <c r="P311" s="881">
        <v>0</v>
      </c>
      <c r="Q311" s="881">
        <v>0</v>
      </c>
      <c r="R311" s="881">
        <v>0</v>
      </c>
      <c r="S311" s="881">
        <v>0</v>
      </c>
      <c r="T311" s="881">
        <v>0</v>
      </c>
      <c r="U311" s="881">
        <v>0</v>
      </c>
      <c r="V311" s="881">
        <v>0</v>
      </c>
    </row>
    <row r="312" spans="1:22" x14ac:dyDescent="0.25">
      <c r="A312" s="887" t="s">
        <v>124</v>
      </c>
      <c r="B312" s="881" t="s">
        <v>50</v>
      </c>
      <c r="C312" s="887"/>
      <c r="D312" s="882" t="s">
        <v>1121</v>
      </c>
    </row>
    <row r="313" spans="1:22" x14ac:dyDescent="0.25">
      <c r="A313" s="887" t="s">
        <v>124</v>
      </c>
      <c r="B313" s="881" t="s">
        <v>50</v>
      </c>
      <c r="C313" s="887"/>
      <c r="D313" s="884" t="s">
        <v>1122</v>
      </c>
      <c r="E313" s="881">
        <v>713850.82500399998</v>
      </c>
      <c r="F313" s="881">
        <v>1059021.2598009999</v>
      </c>
      <c r="G313" s="881">
        <v>1309791.3389099999</v>
      </c>
      <c r="H313" s="881">
        <v>1367405.8945539901</v>
      </c>
      <c r="I313" s="881">
        <v>1389653.7958140001</v>
      </c>
      <c r="J313" s="881">
        <v>1219748.062135</v>
      </c>
      <c r="K313" s="881">
        <v>642997.88151069998</v>
      </c>
      <c r="L313" s="881">
        <v>692910.41433099995</v>
      </c>
      <c r="M313" s="881">
        <v>703331.09925900004</v>
      </c>
      <c r="N313" s="881">
        <v>1043773.995199</v>
      </c>
      <c r="O313" s="881">
        <v>1289843.689573</v>
      </c>
      <c r="P313" s="881">
        <v>1358722.7922410001</v>
      </c>
      <c r="Q313" s="881">
        <v>1401469.6767239999</v>
      </c>
      <c r="R313" s="881">
        <v>1226409.786809</v>
      </c>
      <c r="S313" s="881">
        <v>972077.34864800004</v>
      </c>
      <c r="T313" s="881">
        <v>721146.706280999</v>
      </c>
      <c r="U313" s="881">
        <v>655570.16209150001</v>
      </c>
      <c r="V313" s="881">
        <v>627133.78768269997</v>
      </c>
    </row>
    <row r="314" spans="1:22" x14ac:dyDescent="0.25">
      <c r="A314" s="887" t="s">
        <v>124</v>
      </c>
      <c r="B314" s="881" t="s">
        <v>50</v>
      </c>
      <c r="C314" s="887"/>
      <c r="D314" s="884" t="s">
        <v>1123</v>
      </c>
      <c r="E314" s="881">
        <v>0</v>
      </c>
      <c r="F314" s="881">
        <v>0</v>
      </c>
      <c r="G314" s="881">
        <v>0</v>
      </c>
      <c r="H314" s="881">
        <v>0</v>
      </c>
      <c r="I314" s="881">
        <v>0</v>
      </c>
      <c r="J314" s="881">
        <v>0</v>
      </c>
      <c r="K314" s="881">
        <v>0</v>
      </c>
      <c r="L314" s="881">
        <v>0</v>
      </c>
      <c r="M314" s="881">
        <v>0</v>
      </c>
      <c r="N314" s="881">
        <v>0</v>
      </c>
      <c r="O314" s="881">
        <v>0</v>
      </c>
      <c r="P314" s="881">
        <v>0</v>
      </c>
      <c r="Q314" s="881">
        <v>0</v>
      </c>
      <c r="R314" s="881">
        <v>0</v>
      </c>
      <c r="S314" s="881">
        <v>0</v>
      </c>
      <c r="T314" s="881">
        <v>0</v>
      </c>
      <c r="U314" s="881">
        <v>0</v>
      </c>
      <c r="V314" s="881">
        <v>0</v>
      </c>
    </row>
    <row r="315" spans="1:22" x14ac:dyDescent="0.25">
      <c r="A315" s="887" t="s">
        <v>124</v>
      </c>
      <c r="B315" s="881" t="s">
        <v>50</v>
      </c>
      <c r="C315" s="887"/>
      <c r="D315" s="885" t="s">
        <v>1124</v>
      </c>
      <c r="E315" s="883">
        <v>713.85082500399994</v>
      </c>
      <c r="F315" s="883">
        <v>1059.02125980099</v>
      </c>
      <c r="G315" s="883">
        <v>1309.7913389099999</v>
      </c>
      <c r="H315" s="883">
        <v>1367.40589455399</v>
      </c>
      <c r="I315" s="883">
        <v>1389.653795814</v>
      </c>
      <c r="J315" s="883">
        <v>1219.7480621350001</v>
      </c>
      <c r="K315" s="883">
        <v>642.99788151070004</v>
      </c>
      <c r="L315" s="883">
        <v>692.91041433099997</v>
      </c>
      <c r="M315" s="883">
        <v>703.33109925899998</v>
      </c>
      <c r="N315" s="883">
        <v>1043.773995199</v>
      </c>
      <c r="O315" s="883">
        <v>1289.8436895729999</v>
      </c>
      <c r="P315" s="883">
        <v>1358.722792241</v>
      </c>
      <c r="Q315" s="883">
        <v>1401.469676724</v>
      </c>
      <c r="R315" s="883">
        <v>1226.409786809</v>
      </c>
      <c r="S315" s="883">
        <v>972.077348648</v>
      </c>
      <c r="T315" s="883">
        <v>721.14670628099998</v>
      </c>
      <c r="U315" s="883">
        <v>655.57016209150004</v>
      </c>
      <c r="V315" s="883">
        <v>627.13378768270002</v>
      </c>
    </row>
    <row r="316" spans="1:22" x14ac:dyDescent="0.25">
      <c r="A316" s="887" t="s">
        <v>124</v>
      </c>
      <c r="B316" s="881" t="s">
        <v>50</v>
      </c>
      <c r="C316" s="887"/>
      <c r="D316" s="885" t="s">
        <v>1125</v>
      </c>
      <c r="E316" s="883">
        <v>0.43020000000000003</v>
      </c>
      <c r="F316" s="883">
        <v>0.43020000000000003</v>
      </c>
      <c r="G316" s="883">
        <v>0.43020000000000003</v>
      </c>
      <c r="H316" s="883">
        <v>0.43020000000000003</v>
      </c>
      <c r="I316" s="883">
        <v>0.43020000000000003</v>
      </c>
      <c r="J316" s="883">
        <v>0.43020000000000003</v>
      </c>
      <c r="K316" s="883">
        <v>0.43020000000000003</v>
      </c>
      <c r="L316" s="883">
        <v>0.43020000000000003</v>
      </c>
      <c r="M316" s="883">
        <v>0.43020000000000003</v>
      </c>
      <c r="N316" s="883">
        <v>0.43020000000000003</v>
      </c>
      <c r="O316" s="883">
        <v>0.43020000000000003</v>
      </c>
      <c r="P316" s="883">
        <v>0.43020000000000003</v>
      </c>
      <c r="Q316" s="883">
        <v>0.43020000000000003</v>
      </c>
      <c r="R316" s="883">
        <v>0.43020000000000003</v>
      </c>
      <c r="S316" s="883">
        <v>0.43020000000000003</v>
      </c>
      <c r="T316" s="883">
        <v>0.43020000000000003</v>
      </c>
      <c r="U316" s="883">
        <v>0.43020000000000003</v>
      </c>
      <c r="V316" s="883">
        <v>0.43020000000000003</v>
      </c>
    </row>
    <row r="317" spans="1:22" x14ac:dyDescent="0.25">
      <c r="A317" s="887" t="s">
        <v>124</v>
      </c>
      <c r="B317" s="881" t="s">
        <v>50</v>
      </c>
      <c r="C317" s="887"/>
      <c r="D317" s="885" t="s">
        <v>1126</v>
      </c>
      <c r="E317" s="883">
        <v>0.43020000000000003</v>
      </c>
      <c r="F317" s="883">
        <v>0.43020000000000003</v>
      </c>
      <c r="G317" s="883">
        <v>0.43020000000000003</v>
      </c>
      <c r="H317" s="883">
        <v>0.43020000000000003</v>
      </c>
      <c r="I317" s="883">
        <v>0.43020000000000003</v>
      </c>
      <c r="J317" s="883">
        <v>0.43020000000000003</v>
      </c>
      <c r="K317" s="883">
        <v>0.43020000000000003</v>
      </c>
      <c r="L317" s="883">
        <v>0.43020000000000003</v>
      </c>
      <c r="M317" s="883">
        <v>0.43020000000000003</v>
      </c>
      <c r="N317" s="883">
        <v>0.43020000000000003</v>
      </c>
      <c r="O317" s="883">
        <v>0.43020000000000003</v>
      </c>
      <c r="P317" s="883">
        <v>0.43020000000000003</v>
      </c>
      <c r="Q317" s="883">
        <v>0.43020000000000003</v>
      </c>
      <c r="R317" s="883">
        <v>0.43020000000000003</v>
      </c>
      <c r="S317" s="883">
        <v>0.43020000000000003</v>
      </c>
      <c r="T317" s="883">
        <v>0.43020000000000003</v>
      </c>
      <c r="U317" s="883">
        <v>0.43020000000000003</v>
      </c>
      <c r="V317" s="883">
        <v>0.43020000000000003</v>
      </c>
    </row>
    <row r="318" spans="1:22" x14ac:dyDescent="0.25">
      <c r="A318" s="887" t="s">
        <v>124</v>
      </c>
      <c r="B318" s="881" t="s">
        <v>50</v>
      </c>
      <c r="C318" s="887"/>
      <c r="D318" s="885" t="s">
        <v>1127</v>
      </c>
      <c r="E318" s="883">
        <v>0</v>
      </c>
      <c r="F318" s="883">
        <v>0</v>
      </c>
      <c r="G318" s="883">
        <v>0</v>
      </c>
      <c r="H318" s="883">
        <v>0</v>
      </c>
      <c r="I318" s="883">
        <v>0</v>
      </c>
      <c r="J318" s="883">
        <v>0</v>
      </c>
      <c r="K318" s="883">
        <v>0</v>
      </c>
      <c r="L318" s="883">
        <v>0</v>
      </c>
      <c r="M318" s="883">
        <v>0</v>
      </c>
      <c r="N318" s="883">
        <v>0</v>
      </c>
      <c r="O318" s="883">
        <v>0</v>
      </c>
      <c r="P318" s="883">
        <v>0</v>
      </c>
      <c r="Q318" s="883">
        <v>0</v>
      </c>
      <c r="R318" s="883">
        <v>0</v>
      </c>
      <c r="S318" s="883">
        <v>0</v>
      </c>
      <c r="T318" s="883">
        <v>0</v>
      </c>
      <c r="U318" s="883">
        <v>0</v>
      </c>
      <c r="V318" s="883">
        <v>0</v>
      </c>
    </row>
    <row r="319" spans="1:22" x14ac:dyDescent="0.25">
      <c r="A319" s="887" t="s">
        <v>124</v>
      </c>
      <c r="B319" s="881" t="s">
        <v>50</v>
      </c>
      <c r="C319" s="887" t="s">
        <v>778</v>
      </c>
      <c r="D319" s="882" t="s">
        <v>1128</v>
      </c>
      <c r="E319" s="881">
        <v>307.09862491671998</v>
      </c>
      <c r="F319" s="881">
        <v>455.59094596639</v>
      </c>
      <c r="G319" s="881">
        <v>563.47223399908205</v>
      </c>
      <c r="H319" s="881">
        <v>588.25801583712996</v>
      </c>
      <c r="I319" s="881">
        <v>597.82906295918201</v>
      </c>
      <c r="J319" s="881">
        <v>524.735616330477</v>
      </c>
      <c r="K319" s="881">
        <v>276.61768862590299</v>
      </c>
      <c r="L319" s="881">
        <v>298.09006024519601</v>
      </c>
      <c r="M319" s="881">
        <v>302.57303890122103</v>
      </c>
      <c r="N319" s="881">
        <v>449.03157273460897</v>
      </c>
      <c r="O319" s="881">
        <v>554.89075525430405</v>
      </c>
      <c r="P319" s="881">
        <v>584.52254522207795</v>
      </c>
      <c r="Q319" s="881">
        <v>602.91225492666399</v>
      </c>
      <c r="R319" s="881">
        <v>527.60149028523097</v>
      </c>
      <c r="S319" s="881">
        <v>418.18767538836897</v>
      </c>
      <c r="T319" s="881">
        <v>310.23731304208599</v>
      </c>
      <c r="U319" s="881">
        <v>282.02628373176299</v>
      </c>
      <c r="V319" s="881">
        <v>269.79295546109699</v>
      </c>
    </row>
    <row r="320" spans="1:22" x14ac:dyDescent="0.25">
      <c r="A320" s="887" t="s">
        <v>124</v>
      </c>
      <c r="B320" s="881" t="s">
        <v>50</v>
      </c>
      <c r="C320" s="887"/>
      <c r="D320" s="882" t="s">
        <v>1129</v>
      </c>
    </row>
    <row r="321" spans="1:22" x14ac:dyDescent="0.25">
      <c r="A321" s="887" t="s">
        <v>124</v>
      </c>
      <c r="B321" s="881" t="s">
        <v>50</v>
      </c>
      <c r="C321" s="887"/>
      <c r="D321" s="884" t="s">
        <v>1147</v>
      </c>
      <c r="E321" s="881">
        <v>550</v>
      </c>
      <c r="F321" s="881">
        <v>550</v>
      </c>
      <c r="G321" s="881">
        <v>550</v>
      </c>
      <c r="H321" s="881">
        <v>550</v>
      </c>
      <c r="I321" s="881">
        <v>550</v>
      </c>
      <c r="J321" s="881">
        <v>550</v>
      </c>
      <c r="K321" s="881">
        <v>550</v>
      </c>
      <c r="L321" s="881">
        <v>550</v>
      </c>
      <c r="M321" s="881">
        <v>550</v>
      </c>
      <c r="N321" s="881">
        <v>550</v>
      </c>
      <c r="O321" s="881">
        <v>550</v>
      </c>
      <c r="P321" s="881">
        <v>550</v>
      </c>
      <c r="Q321" s="881">
        <v>550</v>
      </c>
      <c r="R321" s="881">
        <v>550</v>
      </c>
      <c r="S321" s="881">
        <v>550</v>
      </c>
      <c r="T321" s="881">
        <v>550</v>
      </c>
      <c r="U321" s="881">
        <v>550</v>
      </c>
      <c r="V321" s="881">
        <v>550</v>
      </c>
    </row>
    <row r="322" spans="1:22" x14ac:dyDescent="0.25">
      <c r="A322" s="887" t="s">
        <v>124</v>
      </c>
      <c r="B322" s="881" t="s">
        <v>50</v>
      </c>
      <c r="C322" s="887" t="s">
        <v>1148</v>
      </c>
      <c r="D322" s="886" t="s">
        <v>1149</v>
      </c>
      <c r="E322" s="883">
        <v>34.1</v>
      </c>
      <c r="F322" s="883">
        <v>34.1</v>
      </c>
      <c r="G322" s="883">
        <v>34.1</v>
      </c>
      <c r="H322" s="883">
        <v>34.1</v>
      </c>
      <c r="I322" s="883">
        <v>34.1</v>
      </c>
      <c r="J322" s="883">
        <v>34.1</v>
      </c>
      <c r="K322" s="883">
        <v>34.1</v>
      </c>
      <c r="L322" s="883">
        <v>34.1</v>
      </c>
      <c r="M322" s="883">
        <v>34.1</v>
      </c>
      <c r="N322" s="883">
        <v>34.1</v>
      </c>
      <c r="O322" s="883">
        <v>34.1</v>
      </c>
      <c r="P322" s="883">
        <v>34.1</v>
      </c>
      <c r="Q322" s="883">
        <v>34.1</v>
      </c>
      <c r="R322" s="883">
        <v>34.1</v>
      </c>
      <c r="S322" s="883">
        <v>34.1</v>
      </c>
      <c r="T322" s="883">
        <v>34.1</v>
      </c>
      <c r="U322" s="883">
        <v>34.1</v>
      </c>
      <c r="V322" s="883">
        <v>34.1</v>
      </c>
    </row>
    <row r="323" spans="1:22" x14ac:dyDescent="0.25">
      <c r="A323" s="887" t="s">
        <v>124</v>
      </c>
      <c r="B323" s="881" t="s">
        <v>50</v>
      </c>
      <c r="C323" s="887"/>
      <c r="D323" s="882" t="s">
        <v>1130</v>
      </c>
    </row>
    <row r="324" spans="1:22" x14ac:dyDescent="0.25">
      <c r="A324" s="887" t="s">
        <v>124</v>
      </c>
      <c r="B324" s="881" t="s">
        <v>50</v>
      </c>
      <c r="C324" s="887" t="s">
        <v>1157</v>
      </c>
      <c r="D324" s="882" t="s">
        <v>1158</v>
      </c>
      <c r="E324" s="881">
        <v>5.1749999999999998</v>
      </c>
      <c r="F324" s="881">
        <v>5.1749999999999998</v>
      </c>
      <c r="G324" s="881">
        <v>5.1749999999999998</v>
      </c>
      <c r="H324" s="881">
        <v>5.1749999999999998</v>
      </c>
      <c r="I324" s="881">
        <v>5.1749999999999998</v>
      </c>
      <c r="J324" s="881">
        <v>5.1749999999999998</v>
      </c>
      <c r="K324" s="881">
        <v>5.1749999999999998</v>
      </c>
      <c r="L324" s="881">
        <v>5.1749999999999998</v>
      </c>
      <c r="M324" s="881">
        <v>5.1749999999999998</v>
      </c>
      <c r="N324" s="881">
        <v>5.1749999999999998</v>
      </c>
      <c r="O324" s="881">
        <v>5.1749999999999998</v>
      </c>
      <c r="P324" s="881">
        <v>5.1749999999999998</v>
      </c>
      <c r="Q324" s="881">
        <v>5.1749999999999998</v>
      </c>
      <c r="R324" s="881">
        <v>5.1749999999999998</v>
      </c>
      <c r="S324" s="881">
        <v>5.1749999999999998</v>
      </c>
      <c r="T324" s="881">
        <v>5.1749999999999998</v>
      </c>
      <c r="U324" s="881">
        <v>5.1749999999999998</v>
      </c>
      <c r="V324" s="881">
        <v>5.1749999999999998</v>
      </c>
    </row>
    <row r="325" spans="1:22" x14ac:dyDescent="0.25">
      <c r="A325" s="887" t="s">
        <v>124</v>
      </c>
      <c r="B325" s="881" t="s">
        <v>50</v>
      </c>
      <c r="C325" s="887"/>
      <c r="D325" s="882" t="s">
        <v>1131</v>
      </c>
      <c r="E325" s="881">
        <v>346.37362491672002</v>
      </c>
      <c r="F325" s="881">
        <v>494.86594596638997</v>
      </c>
      <c r="G325" s="881">
        <v>602.74723399908203</v>
      </c>
      <c r="H325" s="881">
        <v>627.53301583713005</v>
      </c>
      <c r="I325" s="881">
        <v>637.10406295918199</v>
      </c>
      <c r="J325" s="881">
        <v>564.01061633047698</v>
      </c>
      <c r="K325" s="881">
        <v>315.89268862590302</v>
      </c>
      <c r="L325" s="881">
        <v>337.36506024519599</v>
      </c>
      <c r="M325" s="881">
        <v>341.848038901221</v>
      </c>
      <c r="N325" s="881">
        <v>488.30657273460901</v>
      </c>
      <c r="O325" s="881">
        <v>594.16575525430403</v>
      </c>
      <c r="P325" s="881">
        <v>623.79754522207804</v>
      </c>
      <c r="Q325" s="881">
        <v>642.18725492666397</v>
      </c>
      <c r="R325" s="881">
        <v>566.87649028523094</v>
      </c>
      <c r="S325" s="881">
        <v>457.46267538836901</v>
      </c>
      <c r="T325" s="881">
        <v>349.51231304208602</v>
      </c>
      <c r="U325" s="881">
        <v>321.30128373176302</v>
      </c>
      <c r="V325" s="881">
        <v>309.06795546109697</v>
      </c>
    </row>
    <row r="326" spans="1:22" x14ac:dyDescent="0.25">
      <c r="A326" s="887" t="s">
        <v>124</v>
      </c>
      <c r="B326" s="881" t="s">
        <v>50</v>
      </c>
      <c r="C326" s="887"/>
      <c r="D326" s="882" t="s">
        <v>1132</v>
      </c>
    </row>
    <row r="327" spans="1:22" x14ac:dyDescent="0.25">
      <c r="A327" s="887" t="s">
        <v>124</v>
      </c>
      <c r="B327" s="881" t="s">
        <v>50</v>
      </c>
      <c r="C327" s="887"/>
      <c r="D327" s="885" t="s">
        <v>1133</v>
      </c>
      <c r="E327" s="883">
        <v>0</v>
      </c>
      <c r="F327" s="883">
        <v>0</v>
      </c>
      <c r="G327" s="883">
        <v>0</v>
      </c>
      <c r="H327" s="883">
        <v>0</v>
      </c>
      <c r="I327" s="883">
        <v>0</v>
      </c>
      <c r="J327" s="883">
        <v>0</v>
      </c>
      <c r="K327" s="883">
        <v>0</v>
      </c>
      <c r="L327" s="883">
        <v>0</v>
      </c>
      <c r="M327" s="883">
        <v>0</v>
      </c>
      <c r="N327" s="883">
        <v>0</v>
      </c>
      <c r="O327" s="883">
        <v>0</v>
      </c>
      <c r="P327" s="883">
        <v>0</v>
      </c>
      <c r="Q327" s="883">
        <v>0</v>
      </c>
      <c r="R327" s="883">
        <v>0</v>
      </c>
      <c r="S327" s="883">
        <v>0</v>
      </c>
      <c r="T327" s="883">
        <v>0</v>
      </c>
      <c r="U327" s="883">
        <v>0</v>
      </c>
      <c r="V327" s="883">
        <v>0</v>
      </c>
    </row>
    <row r="328" spans="1:22" x14ac:dyDescent="0.25">
      <c r="A328" s="887" t="s">
        <v>124</v>
      </c>
      <c r="B328" s="881" t="s">
        <v>50</v>
      </c>
      <c r="C328" s="887" t="s">
        <v>196</v>
      </c>
      <c r="D328" s="884" t="s">
        <v>1134</v>
      </c>
      <c r="E328" s="881">
        <v>0</v>
      </c>
      <c r="F328" s="881">
        <v>0</v>
      </c>
      <c r="G328" s="881">
        <v>0</v>
      </c>
      <c r="H328" s="881">
        <v>0</v>
      </c>
      <c r="I328" s="881">
        <v>0</v>
      </c>
      <c r="J328" s="881">
        <v>0</v>
      </c>
      <c r="K328" s="881">
        <v>0</v>
      </c>
      <c r="L328" s="881">
        <v>0</v>
      </c>
      <c r="M328" s="881">
        <v>0</v>
      </c>
      <c r="N328" s="881">
        <v>0</v>
      </c>
      <c r="O328" s="881">
        <v>0</v>
      </c>
      <c r="P328" s="881">
        <v>0</v>
      </c>
      <c r="Q328" s="881">
        <v>0</v>
      </c>
      <c r="R328" s="881">
        <v>0</v>
      </c>
      <c r="S328" s="881">
        <v>0</v>
      </c>
      <c r="T328" s="881">
        <v>0</v>
      </c>
      <c r="U328" s="881">
        <v>0</v>
      </c>
      <c r="V328" s="881">
        <v>0</v>
      </c>
    </row>
    <row r="329" spans="1:22" x14ac:dyDescent="0.25">
      <c r="A329" s="887" t="s">
        <v>124</v>
      </c>
      <c r="B329" s="881" t="s">
        <v>50</v>
      </c>
      <c r="C329" s="887"/>
      <c r="D329" s="882" t="s">
        <v>1135</v>
      </c>
    </row>
    <row r="330" spans="1:22" x14ac:dyDescent="0.25">
      <c r="A330" s="887" t="s">
        <v>124</v>
      </c>
      <c r="B330" s="881" t="s">
        <v>50</v>
      </c>
      <c r="C330" s="887"/>
      <c r="D330" s="885" t="s">
        <v>1136</v>
      </c>
      <c r="E330" s="883">
        <v>0.34906843462946002</v>
      </c>
      <c r="F330" s="883">
        <v>0.16939007523933</v>
      </c>
      <c r="G330" s="883">
        <v>9.4024398016510996E-2</v>
      </c>
      <c r="H330" s="883">
        <v>7.9005885786712304E-2</v>
      </c>
      <c r="I330" s="883">
        <v>4.2818241030573301E-2</v>
      </c>
      <c r="J330" s="883">
        <v>5.3348528484577801E-2</v>
      </c>
      <c r="K330" s="883">
        <v>0.24690512534735301</v>
      </c>
      <c r="L330" s="883">
        <v>0.286805863570613</v>
      </c>
      <c r="M330" s="883">
        <v>0.2714755224323</v>
      </c>
      <c r="N330" s="883">
        <v>0.23977615362243901</v>
      </c>
      <c r="O330" s="883">
        <v>0.112823983088882</v>
      </c>
      <c r="P330" s="883">
        <v>3.1676324500992899E-2</v>
      </c>
      <c r="Q330" s="883">
        <v>5.1767532114618299E-2</v>
      </c>
      <c r="R330" s="883">
        <v>6.4560825100963504E-2</v>
      </c>
      <c r="S330" s="883">
        <v>0.10990553607190399</v>
      </c>
      <c r="T330" s="883">
        <v>0.18637651503338701</v>
      </c>
      <c r="U330" s="883">
        <v>0.28860955010716799</v>
      </c>
      <c r="V330" s="883">
        <v>0.33287319112658798</v>
      </c>
    </row>
    <row r="331" spans="1:22" x14ac:dyDescent="0.25">
      <c r="A331" s="887" t="s">
        <v>124</v>
      </c>
      <c r="B331" s="881" t="s">
        <v>50</v>
      </c>
      <c r="C331" s="887" t="s">
        <v>198</v>
      </c>
      <c r="D331" s="884" t="s">
        <v>1137</v>
      </c>
      <c r="E331" s="881">
        <v>249.182790043095</v>
      </c>
      <c r="F331" s="881">
        <v>179.38769087774099</v>
      </c>
      <c r="G331" s="881">
        <v>123.15234216825201</v>
      </c>
      <c r="H331" s="881">
        <v>108.03311392921</v>
      </c>
      <c r="I331" s="881">
        <v>59.502531178215001</v>
      </c>
      <c r="J331" s="881">
        <v>65.0717642368177</v>
      </c>
      <c r="K331" s="881">
        <v>158.75947253248199</v>
      </c>
      <c r="L331" s="881">
        <v>198.73076975927401</v>
      </c>
      <c r="M331" s="881">
        <v>190.93717761422101</v>
      </c>
      <c r="N331" s="881">
        <v>250.272113819943</v>
      </c>
      <c r="O331" s="881">
        <v>145.52530261968499</v>
      </c>
      <c r="P331" s="881">
        <v>43.0393440739211</v>
      </c>
      <c r="Q331" s="881">
        <v>72.550626497473402</v>
      </c>
      <c r="R331" s="881">
        <v>79.1780277482858</v>
      </c>
      <c r="S331" s="881">
        <v>106.836682106513</v>
      </c>
      <c r="T331" s="881">
        <v>134.40480994445801</v>
      </c>
      <c r="U331" s="881">
        <v>189.203809544911</v>
      </c>
      <c r="V331" s="881">
        <v>208.756025169244</v>
      </c>
    </row>
    <row r="332" spans="1:22" x14ac:dyDescent="0.25">
      <c r="A332" s="887" t="s">
        <v>124</v>
      </c>
      <c r="B332" s="881" t="s">
        <v>50</v>
      </c>
      <c r="C332" s="887"/>
      <c r="D332" s="882" t="s">
        <v>1138</v>
      </c>
    </row>
    <row r="333" spans="1:22" x14ac:dyDescent="0.25">
      <c r="A333" s="887" t="s">
        <v>124</v>
      </c>
      <c r="B333" s="881" t="s">
        <v>50</v>
      </c>
      <c r="C333" s="887"/>
      <c r="D333" s="885" t="s">
        <v>1139</v>
      </c>
      <c r="E333" s="883">
        <v>0</v>
      </c>
      <c r="F333" s="883">
        <v>0</v>
      </c>
      <c r="G333" s="883">
        <v>0</v>
      </c>
      <c r="H333" s="883">
        <v>0</v>
      </c>
      <c r="I333" s="883">
        <v>0</v>
      </c>
      <c r="J333" s="883">
        <v>0</v>
      </c>
      <c r="K333" s="883">
        <v>0</v>
      </c>
      <c r="L333" s="883">
        <v>0</v>
      </c>
      <c r="M333" s="883">
        <v>0</v>
      </c>
      <c r="N333" s="883">
        <v>0</v>
      </c>
      <c r="O333" s="883">
        <v>0</v>
      </c>
      <c r="P333" s="883">
        <v>0</v>
      </c>
      <c r="Q333" s="883">
        <v>0</v>
      </c>
      <c r="R333" s="883">
        <v>0</v>
      </c>
      <c r="S333" s="883">
        <v>0</v>
      </c>
      <c r="T333" s="883">
        <v>0</v>
      </c>
      <c r="U333" s="883">
        <v>0</v>
      </c>
      <c r="V333" s="883">
        <v>0</v>
      </c>
    </row>
    <row r="334" spans="1:22" x14ac:dyDescent="0.25">
      <c r="A334" s="887" t="s">
        <v>124</v>
      </c>
      <c r="B334" s="881" t="s">
        <v>50</v>
      </c>
      <c r="C334" s="881" t="s">
        <v>670</v>
      </c>
      <c r="D334" s="884" t="s">
        <v>1140</v>
      </c>
      <c r="E334" s="881">
        <v>0</v>
      </c>
      <c r="F334" s="881">
        <v>0</v>
      </c>
      <c r="G334" s="881">
        <v>0</v>
      </c>
      <c r="H334" s="881">
        <v>0</v>
      </c>
      <c r="I334" s="881">
        <v>0</v>
      </c>
      <c r="J334" s="881">
        <v>0</v>
      </c>
      <c r="K334" s="881">
        <v>0</v>
      </c>
      <c r="L334" s="881">
        <v>0</v>
      </c>
      <c r="M334" s="881">
        <v>0</v>
      </c>
      <c r="N334" s="881">
        <v>0</v>
      </c>
      <c r="O334" s="881">
        <v>0</v>
      </c>
      <c r="P334" s="881">
        <v>0</v>
      </c>
      <c r="Q334" s="881">
        <v>0</v>
      </c>
      <c r="R334" s="881">
        <v>0</v>
      </c>
      <c r="S334" s="881">
        <v>0</v>
      </c>
      <c r="T334" s="881">
        <v>0</v>
      </c>
      <c r="U334" s="881">
        <v>0</v>
      </c>
      <c r="V334" s="881">
        <v>0</v>
      </c>
    </row>
    <row r="335" spans="1:22" x14ac:dyDescent="0.25">
      <c r="A335" s="887" t="s">
        <v>124</v>
      </c>
      <c r="B335" s="881" t="s">
        <v>50</v>
      </c>
      <c r="C335" s="881"/>
      <c r="D335" s="882" t="s">
        <v>1141</v>
      </c>
      <c r="E335" s="881">
        <v>595.55641495981604</v>
      </c>
      <c r="F335" s="881">
        <v>674.25363684413196</v>
      </c>
      <c r="G335" s="881">
        <v>725.89957616733398</v>
      </c>
      <c r="H335" s="881">
        <v>735.56612976634096</v>
      </c>
      <c r="I335" s="881">
        <v>696.60659413739802</v>
      </c>
      <c r="J335" s="881">
        <v>629.08238056729397</v>
      </c>
      <c r="K335" s="881">
        <v>474.65216115838501</v>
      </c>
      <c r="L335" s="881">
        <v>536.09583000447003</v>
      </c>
      <c r="M335" s="881">
        <v>532.78521651544304</v>
      </c>
      <c r="N335" s="881">
        <v>738.57868655455297</v>
      </c>
      <c r="O335" s="881">
        <v>739.69105787398996</v>
      </c>
      <c r="P335" s="881">
        <v>666.83688929599896</v>
      </c>
      <c r="Q335" s="881">
        <v>714.73788142413798</v>
      </c>
      <c r="R335" s="881">
        <v>646.05451803351696</v>
      </c>
      <c r="S335" s="881">
        <v>564.299357494883</v>
      </c>
      <c r="T335" s="881">
        <v>483.91712298654397</v>
      </c>
      <c r="U335" s="881">
        <v>510.50509327667402</v>
      </c>
      <c r="V335" s="881">
        <v>517.82398063034202</v>
      </c>
    </row>
    <row r="336" spans="1:22" s="82" customFormat="1" x14ac:dyDescent="0.25">
      <c r="A336" s="880" t="s">
        <v>969</v>
      </c>
      <c r="B336" s="880" t="s">
        <v>96</v>
      </c>
      <c r="C336" s="880"/>
      <c r="D336" s="969" t="s">
        <v>1159</v>
      </c>
    </row>
    <row r="337" spans="1:22" x14ac:dyDescent="0.25">
      <c r="A337" s="887" t="s">
        <v>969</v>
      </c>
      <c r="B337" s="887" t="s">
        <v>96</v>
      </c>
      <c r="C337" s="887"/>
      <c r="D337" s="882" t="s">
        <v>1114</v>
      </c>
    </row>
    <row r="338" spans="1:22" x14ac:dyDescent="0.25">
      <c r="A338" s="887" t="s">
        <v>969</v>
      </c>
      <c r="B338" s="887" t="s">
        <v>96</v>
      </c>
      <c r="C338" s="887"/>
      <c r="D338" s="884" t="s">
        <v>1115</v>
      </c>
      <c r="E338" s="881">
        <v>2</v>
      </c>
      <c r="F338" s="881">
        <v>2</v>
      </c>
      <c r="G338" s="881">
        <v>2</v>
      </c>
      <c r="H338" s="881">
        <v>2</v>
      </c>
      <c r="I338" s="881">
        <v>2</v>
      </c>
      <c r="J338" s="881">
        <v>2</v>
      </c>
      <c r="K338" s="881">
        <v>2</v>
      </c>
      <c r="L338" s="881">
        <v>2</v>
      </c>
      <c r="M338" s="881">
        <v>2</v>
      </c>
      <c r="N338" s="881">
        <v>2</v>
      </c>
      <c r="O338" s="881">
        <v>2</v>
      </c>
      <c r="P338" s="881">
        <v>2</v>
      </c>
      <c r="Q338" s="881">
        <v>2</v>
      </c>
      <c r="R338" s="881">
        <v>2</v>
      </c>
      <c r="S338" s="881">
        <v>2</v>
      </c>
      <c r="T338" s="881">
        <v>2</v>
      </c>
      <c r="U338" s="881">
        <v>2</v>
      </c>
      <c r="V338" s="881">
        <v>2</v>
      </c>
    </row>
    <row r="339" spans="1:22" x14ac:dyDescent="0.25">
      <c r="A339" s="887" t="s">
        <v>969</v>
      </c>
      <c r="B339" s="887" t="s">
        <v>96</v>
      </c>
      <c r="C339" s="887"/>
      <c r="D339" s="884" t="s">
        <v>1116</v>
      </c>
      <c r="E339" s="881">
        <v>0</v>
      </c>
      <c r="F339" s="881">
        <v>0</v>
      </c>
      <c r="G339" s="881">
        <v>0</v>
      </c>
      <c r="H339" s="881">
        <v>0</v>
      </c>
      <c r="I339" s="881">
        <v>0</v>
      </c>
      <c r="J339" s="881">
        <v>0</v>
      </c>
      <c r="K339" s="881">
        <v>0</v>
      </c>
      <c r="L339" s="881">
        <v>0</v>
      </c>
      <c r="M339" s="881">
        <v>0</v>
      </c>
      <c r="N339" s="881">
        <v>0</v>
      </c>
      <c r="O339" s="881">
        <v>0</v>
      </c>
      <c r="P339" s="881">
        <v>0</v>
      </c>
      <c r="Q339" s="881">
        <v>0</v>
      </c>
      <c r="R339" s="881">
        <v>0</v>
      </c>
      <c r="S339" s="881">
        <v>0</v>
      </c>
      <c r="T339" s="881">
        <v>0</v>
      </c>
      <c r="U339" s="881">
        <v>0</v>
      </c>
      <c r="V339" s="881">
        <v>0</v>
      </c>
    </row>
    <row r="340" spans="1:22" x14ac:dyDescent="0.25">
      <c r="A340" s="887" t="s">
        <v>969</v>
      </c>
      <c r="B340" s="887" t="s">
        <v>96</v>
      </c>
      <c r="C340" s="887"/>
      <c r="D340" s="884" t="s">
        <v>1117</v>
      </c>
      <c r="E340" s="881">
        <v>2</v>
      </c>
      <c r="F340" s="881">
        <v>2</v>
      </c>
      <c r="G340" s="881">
        <v>2</v>
      </c>
      <c r="H340" s="881">
        <v>2</v>
      </c>
      <c r="I340" s="881">
        <v>2</v>
      </c>
      <c r="J340" s="881">
        <v>2</v>
      </c>
      <c r="K340" s="881">
        <v>2</v>
      </c>
      <c r="L340" s="881">
        <v>2</v>
      </c>
      <c r="M340" s="881">
        <v>2</v>
      </c>
      <c r="N340" s="881">
        <v>2</v>
      </c>
      <c r="O340" s="881">
        <v>2</v>
      </c>
      <c r="P340" s="881">
        <v>2</v>
      </c>
      <c r="Q340" s="881">
        <v>2</v>
      </c>
      <c r="R340" s="881">
        <v>2</v>
      </c>
      <c r="S340" s="881">
        <v>2</v>
      </c>
      <c r="T340" s="881">
        <v>2</v>
      </c>
      <c r="U340" s="881">
        <v>2</v>
      </c>
      <c r="V340" s="881">
        <v>2</v>
      </c>
    </row>
    <row r="341" spans="1:22" x14ac:dyDescent="0.25">
      <c r="A341" s="887" t="s">
        <v>969</v>
      </c>
      <c r="B341" s="887" t="s">
        <v>96</v>
      </c>
      <c r="C341" s="887"/>
      <c r="D341" s="884" t="s">
        <v>1118</v>
      </c>
      <c r="E341" s="881">
        <v>400</v>
      </c>
      <c r="F341" s="881">
        <v>400</v>
      </c>
      <c r="G341" s="881">
        <v>400</v>
      </c>
      <c r="H341" s="881">
        <v>400</v>
      </c>
      <c r="I341" s="881">
        <v>400</v>
      </c>
      <c r="J341" s="881">
        <v>400</v>
      </c>
      <c r="K341" s="881">
        <v>400</v>
      </c>
      <c r="L341" s="881">
        <v>400</v>
      </c>
      <c r="M341" s="881">
        <v>400</v>
      </c>
      <c r="N341" s="881">
        <v>400</v>
      </c>
      <c r="O341" s="881">
        <v>400</v>
      </c>
      <c r="P341" s="881">
        <v>400</v>
      </c>
      <c r="Q341" s="881">
        <v>400</v>
      </c>
      <c r="R341" s="881">
        <v>400</v>
      </c>
      <c r="S341" s="881">
        <v>400</v>
      </c>
      <c r="T341" s="881">
        <v>400</v>
      </c>
      <c r="U341" s="881">
        <v>400</v>
      </c>
      <c r="V341" s="881">
        <v>400</v>
      </c>
    </row>
    <row r="342" spans="1:22" x14ac:dyDescent="0.25">
      <c r="A342" s="887" t="s">
        <v>969</v>
      </c>
      <c r="B342" s="887" t="s">
        <v>96</v>
      </c>
      <c r="C342" s="887"/>
      <c r="D342" s="884" t="s">
        <v>1119</v>
      </c>
      <c r="E342" s="881">
        <v>550</v>
      </c>
      <c r="F342" s="881">
        <v>550</v>
      </c>
      <c r="G342" s="881">
        <v>550</v>
      </c>
      <c r="H342" s="881">
        <v>550</v>
      </c>
      <c r="I342" s="881">
        <v>550</v>
      </c>
      <c r="J342" s="881">
        <v>550</v>
      </c>
      <c r="K342" s="881">
        <v>550</v>
      </c>
      <c r="L342" s="881">
        <v>550</v>
      </c>
      <c r="M342" s="881">
        <v>550</v>
      </c>
      <c r="N342" s="881">
        <v>550</v>
      </c>
      <c r="O342" s="881">
        <v>550</v>
      </c>
      <c r="P342" s="881">
        <v>550</v>
      </c>
      <c r="Q342" s="881">
        <v>550</v>
      </c>
      <c r="R342" s="881">
        <v>550</v>
      </c>
      <c r="S342" s="881">
        <v>550</v>
      </c>
      <c r="T342" s="881">
        <v>550</v>
      </c>
      <c r="U342" s="881">
        <v>550</v>
      </c>
      <c r="V342" s="881">
        <v>550</v>
      </c>
    </row>
    <row r="343" spans="1:22" x14ac:dyDescent="0.25">
      <c r="A343" s="887" t="s">
        <v>969</v>
      </c>
      <c r="B343" s="887" t="s">
        <v>96</v>
      </c>
      <c r="C343" s="887" t="s">
        <v>169</v>
      </c>
      <c r="D343" s="882" t="s">
        <v>1120</v>
      </c>
      <c r="E343" s="881">
        <v>0.8</v>
      </c>
      <c r="F343" s="881">
        <v>0.8</v>
      </c>
      <c r="G343" s="881">
        <v>0.8</v>
      </c>
      <c r="H343" s="881">
        <v>0.8</v>
      </c>
      <c r="I343" s="881">
        <v>0.8</v>
      </c>
      <c r="J343" s="881">
        <v>0.8</v>
      </c>
      <c r="K343" s="881">
        <v>0.8</v>
      </c>
      <c r="L343" s="881">
        <v>0.8</v>
      </c>
      <c r="M343" s="881">
        <v>0.8</v>
      </c>
      <c r="N343" s="881">
        <v>0.8</v>
      </c>
      <c r="O343" s="881">
        <v>0.8</v>
      </c>
      <c r="P343" s="881">
        <v>0.8</v>
      </c>
      <c r="Q343" s="881">
        <v>0.8</v>
      </c>
      <c r="R343" s="881">
        <v>0.8</v>
      </c>
      <c r="S343" s="881">
        <v>0.8</v>
      </c>
      <c r="T343" s="881">
        <v>0.8</v>
      </c>
      <c r="U343" s="881">
        <v>0.8</v>
      </c>
      <c r="V343" s="881">
        <v>0.8</v>
      </c>
    </row>
    <row r="344" spans="1:22" x14ac:dyDescent="0.25">
      <c r="A344" s="887" t="s">
        <v>969</v>
      </c>
      <c r="B344" s="887" t="s">
        <v>96</v>
      </c>
      <c r="C344" s="887"/>
      <c r="D344" s="882" t="s">
        <v>1121</v>
      </c>
    </row>
    <row r="345" spans="1:22" x14ac:dyDescent="0.25">
      <c r="A345" s="887" t="s">
        <v>969</v>
      </c>
      <c r="B345" s="887" t="s">
        <v>96</v>
      </c>
      <c r="C345" s="887"/>
      <c r="D345" s="884" t="s">
        <v>1122</v>
      </c>
      <c r="E345" s="881">
        <v>25334.763577055499</v>
      </c>
      <c r="F345" s="881">
        <v>41140.513964988902</v>
      </c>
      <c r="G345" s="881">
        <v>28318.414948726899</v>
      </c>
      <c r="H345" s="881">
        <v>25475.084264502599</v>
      </c>
      <c r="I345" s="881">
        <v>21711.278732859999</v>
      </c>
      <c r="J345" s="881">
        <v>12803.477305091201</v>
      </c>
      <c r="K345" s="881">
        <v>13248.4998901954</v>
      </c>
      <c r="L345" s="881">
        <v>3399.3552088602401</v>
      </c>
      <c r="M345" s="881">
        <v>24293.027842465301</v>
      </c>
      <c r="N345" s="881">
        <v>43936.846015835799</v>
      </c>
      <c r="O345" s="881">
        <v>50393.077664057098</v>
      </c>
      <c r="P345" s="881">
        <v>36536.384880028803</v>
      </c>
      <c r="Q345" s="881">
        <v>21910.005295801799</v>
      </c>
      <c r="R345" s="881">
        <v>12873.7997396438</v>
      </c>
      <c r="S345" s="881">
        <v>15918.464883627599</v>
      </c>
      <c r="T345" s="881">
        <v>15386.666585888501</v>
      </c>
      <c r="U345" s="881">
        <v>8164.4209796613704</v>
      </c>
      <c r="V345" s="881">
        <v>9622.3718545388601</v>
      </c>
    </row>
    <row r="346" spans="1:22" x14ac:dyDescent="0.25">
      <c r="A346" s="887" t="s">
        <v>969</v>
      </c>
      <c r="B346" s="887" t="s">
        <v>96</v>
      </c>
      <c r="C346" s="887"/>
      <c r="D346" s="884" t="s">
        <v>1123</v>
      </c>
      <c r="E346" s="881">
        <v>0</v>
      </c>
      <c r="F346" s="881">
        <v>0</v>
      </c>
      <c r="G346" s="881">
        <v>0</v>
      </c>
      <c r="H346" s="881">
        <v>0</v>
      </c>
      <c r="I346" s="881">
        <v>0</v>
      </c>
      <c r="J346" s="881">
        <v>0</v>
      </c>
      <c r="K346" s="881">
        <v>0</v>
      </c>
      <c r="L346" s="881">
        <v>0</v>
      </c>
      <c r="M346" s="881">
        <v>0</v>
      </c>
      <c r="N346" s="881">
        <v>0</v>
      </c>
      <c r="O346" s="881">
        <v>0</v>
      </c>
      <c r="P346" s="881">
        <v>0</v>
      </c>
      <c r="Q346" s="881">
        <v>0</v>
      </c>
      <c r="R346" s="881">
        <v>0</v>
      </c>
      <c r="S346" s="881">
        <v>0</v>
      </c>
      <c r="T346" s="881">
        <v>0</v>
      </c>
      <c r="U346" s="881">
        <v>0</v>
      </c>
      <c r="V346" s="881">
        <v>0</v>
      </c>
    </row>
    <row r="347" spans="1:22" x14ac:dyDescent="0.25">
      <c r="A347" s="887" t="s">
        <v>969</v>
      </c>
      <c r="B347" s="887" t="s">
        <v>96</v>
      </c>
      <c r="C347" s="887"/>
      <c r="D347" s="885" t="s">
        <v>1124</v>
      </c>
      <c r="E347" s="883">
        <v>25.334763577055501</v>
      </c>
      <c r="F347" s="883">
        <v>41.140513964988898</v>
      </c>
      <c r="G347" s="883">
        <v>28.3184149487269</v>
      </c>
      <c r="H347" s="883">
        <v>25.475084264502598</v>
      </c>
      <c r="I347" s="883">
        <v>21.711278732859999</v>
      </c>
      <c r="J347" s="883">
        <v>12.803477305091199</v>
      </c>
      <c r="K347" s="883">
        <v>13.248499890195401</v>
      </c>
      <c r="L347" s="883">
        <v>3.3993552088602401</v>
      </c>
      <c r="M347" s="883">
        <v>24.2930278424653</v>
      </c>
      <c r="N347" s="883">
        <v>43.936846015835798</v>
      </c>
      <c r="O347" s="883">
        <v>50.393077664057103</v>
      </c>
      <c r="P347" s="883">
        <v>36.536384880028798</v>
      </c>
      <c r="Q347" s="883">
        <v>21.910005295801799</v>
      </c>
      <c r="R347" s="883">
        <v>12.8737997396438</v>
      </c>
      <c r="S347" s="883">
        <v>15.9184648836276</v>
      </c>
      <c r="T347" s="883">
        <v>15.3866665858885</v>
      </c>
      <c r="U347" s="883">
        <v>8.1644209796613705</v>
      </c>
      <c r="V347" s="883">
        <v>9.6223718545388603</v>
      </c>
    </row>
    <row r="348" spans="1:22" x14ac:dyDescent="0.25">
      <c r="A348" s="887" t="s">
        <v>969</v>
      </c>
      <c r="B348" s="887" t="s">
        <v>96</v>
      </c>
      <c r="C348" s="887"/>
      <c r="D348" s="885" t="s">
        <v>1125</v>
      </c>
      <c r="E348" s="883">
        <v>0.70089999999999997</v>
      </c>
      <c r="F348" s="883">
        <v>0.70089999999999997</v>
      </c>
      <c r="G348" s="883">
        <v>0.70089999999999997</v>
      </c>
      <c r="H348" s="883">
        <v>0.70089999999999997</v>
      </c>
      <c r="I348" s="883">
        <v>0.70089999999999997</v>
      </c>
      <c r="J348" s="883">
        <v>0.70089999999999997</v>
      </c>
      <c r="K348" s="883">
        <v>0.70089999999999997</v>
      </c>
      <c r="L348" s="883">
        <v>0.70089999999999997</v>
      </c>
      <c r="M348" s="883">
        <v>0.70089999999999997</v>
      </c>
      <c r="N348" s="883">
        <v>0.70089999999999997</v>
      </c>
      <c r="O348" s="883">
        <v>0.70089999999999997</v>
      </c>
      <c r="P348" s="883">
        <v>0.70089999999999997</v>
      </c>
      <c r="Q348" s="883">
        <v>0.70089999999999997</v>
      </c>
      <c r="R348" s="883">
        <v>0.70089999999999997</v>
      </c>
      <c r="S348" s="883">
        <v>0.70089999999999997</v>
      </c>
      <c r="T348" s="883">
        <v>0.70089999999999997</v>
      </c>
      <c r="U348" s="883">
        <v>0.70089999999999997</v>
      </c>
      <c r="V348" s="883">
        <v>0.70089999999999997</v>
      </c>
    </row>
    <row r="349" spans="1:22" x14ac:dyDescent="0.25">
      <c r="A349" s="887" t="s">
        <v>969</v>
      </c>
      <c r="B349" s="887" t="s">
        <v>96</v>
      </c>
      <c r="C349" s="887"/>
      <c r="D349" s="885" t="s">
        <v>1126</v>
      </c>
      <c r="E349" s="883">
        <v>0.70089999999999997</v>
      </c>
      <c r="F349" s="883">
        <v>0.70089999999999997</v>
      </c>
      <c r="G349" s="883">
        <v>0.70089999999999997</v>
      </c>
      <c r="H349" s="883">
        <v>0.70089999999999997</v>
      </c>
      <c r="I349" s="883">
        <v>0.70089999999999997</v>
      </c>
      <c r="J349" s="883">
        <v>0.70089999999999997</v>
      </c>
      <c r="K349" s="883">
        <v>0.70089999999999997</v>
      </c>
      <c r="L349" s="883">
        <v>0.70089999999999997</v>
      </c>
      <c r="M349" s="883">
        <v>0.70089999999999997</v>
      </c>
      <c r="N349" s="883">
        <v>0.70089999999999997</v>
      </c>
      <c r="O349" s="883">
        <v>0.70089999999999997</v>
      </c>
      <c r="P349" s="883">
        <v>0.70089999999999997</v>
      </c>
      <c r="Q349" s="883">
        <v>0.70089999999999997</v>
      </c>
      <c r="R349" s="883">
        <v>0.70089999999999997</v>
      </c>
      <c r="S349" s="883">
        <v>0.70089999999999997</v>
      </c>
      <c r="T349" s="883">
        <v>0.70089999999999997</v>
      </c>
      <c r="U349" s="883">
        <v>0.70089999999999997</v>
      </c>
      <c r="V349" s="883">
        <v>0.70089999999999997</v>
      </c>
    </row>
    <row r="350" spans="1:22" x14ac:dyDescent="0.25">
      <c r="A350" s="887" t="s">
        <v>969</v>
      </c>
      <c r="B350" s="887" t="s">
        <v>96</v>
      </c>
      <c r="C350" s="887"/>
      <c r="D350" s="885" t="s">
        <v>1127</v>
      </c>
      <c r="E350" s="883">
        <v>0.70089999999999997</v>
      </c>
      <c r="F350" s="883">
        <v>0.70089999999999997</v>
      </c>
      <c r="G350" s="883">
        <v>0.70089999999999997</v>
      </c>
      <c r="H350" s="883">
        <v>0.70089999999999997</v>
      </c>
      <c r="I350" s="883">
        <v>0.70089999999999997</v>
      </c>
      <c r="J350" s="883">
        <v>0.70089999999999997</v>
      </c>
      <c r="K350" s="883">
        <v>0.70089999999999997</v>
      </c>
      <c r="L350" s="883">
        <v>0.70089999999999997</v>
      </c>
      <c r="M350" s="883">
        <v>0.70089999999999997</v>
      </c>
      <c r="N350" s="883">
        <v>0.70089999999999997</v>
      </c>
      <c r="O350" s="883">
        <v>0.70089999999999997</v>
      </c>
      <c r="P350" s="883">
        <v>0.70089999999999997</v>
      </c>
      <c r="Q350" s="883">
        <v>0.70089999999999997</v>
      </c>
      <c r="R350" s="883">
        <v>0.70089999999999997</v>
      </c>
      <c r="S350" s="883">
        <v>0.70089999999999997</v>
      </c>
      <c r="T350" s="883">
        <v>0.70089999999999997</v>
      </c>
      <c r="U350" s="883">
        <v>0.70089999999999997</v>
      </c>
      <c r="V350" s="883">
        <v>0.70089999999999997</v>
      </c>
    </row>
    <row r="351" spans="1:22" x14ac:dyDescent="0.25">
      <c r="A351" s="887" t="s">
        <v>969</v>
      </c>
      <c r="B351" s="887" t="s">
        <v>96</v>
      </c>
      <c r="C351" s="887" t="s">
        <v>778</v>
      </c>
      <c r="D351" s="882" t="s">
        <v>1128</v>
      </c>
      <c r="E351" s="881">
        <v>17.757135791158198</v>
      </c>
      <c r="F351" s="881">
        <v>28.8353862380607</v>
      </c>
      <c r="G351" s="881">
        <v>19.848377037562599</v>
      </c>
      <c r="H351" s="881">
        <v>17.855486560989799</v>
      </c>
      <c r="I351" s="881">
        <v>15.2174352638615</v>
      </c>
      <c r="J351" s="881">
        <v>8.97395724313842</v>
      </c>
      <c r="K351" s="881">
        <v>9.28587357303795</v>
      </c>
      <c r="L351" s="881">
        <v>2.3826080658901398</v>
      </c>
      <c r="M351" s="881">
        <v>17.0269832147839</v>
      </c>
      <c r="N351" s="881">
        <v>30.795335372499299</v>
      </c>
      <c r="O351" s="881">
        <v>35.320508134737601</v>
      </c>
      <c r="P351" s="881">
        <v>25.6083521624121</v>
      </c>
      <c r="Q351" s="881">
        <v>15.3567227118274</v>
      </c>
      <c r="R351" s="881">
        <v>9.0232462375163394</v>
      </c>
      <c r="S351" s="881">
        <v>11.1572520369345</v>
      </c>
      <c r="T351" s="881">
        <v>10.7845146100492</v>
      </c>
      <c r="U351" s="881">
        <v>5.7224426646446496</v>
      </c>
      <c r="V351" s="881">
        <v>6.7443204328462798</v>
      </c>
    </row>
    <row r="352" spans="1:22" x14ac:dyDescent="0.25">
      <c r="A352" s="887" t="s">
        <v>969</v>
      </c>
      <c r="B352" s="887" t="s">
        <v>96</v>
      </c>
      <c r="C352" s="887"/>
      <c r="D352" s="882" t="s">
        <v>1129</v>
      </c>
    </row>
    <row r="353" spans="1:22" x14ac:dyDescent="0.25">
      <c r="A353" s="887" t="s">
        <v>969</v>
      </c>
      <c r="B353" s="887" t="s">
        <v>96</v>
      </c>
      <c r="C353" s="887"/>
      <c r="D353" s="884" t="s">
        <v>1147</v>
      </c>
      <c r="E353" s="881">
        <v>550</v>
      </c>
      <c r="F353" s="881">
        <v>550</v>
      </c>
      <c r="G353" s="881">
        <v>550</v>
      </c>
      <c r="H353" s="881">
        <v>550</v>
      </c>
      <c r="I353" s="881">
        <v>550</v>
      </c>
      <c r="J353" s="881">
        <v>550</v>
      </c>
      <c r="K353" s="881">
        <v>550</v>
      </c>
      <c r="L353" s="881">
        <v>550</v>
      </c>
      <c r="M353" s="881">
        <v>550</v>
      </c>
      <c r="N353" s="881">
        <v>550</v>
      </c>
      <c r="O353" s="881">
        <v>550</v>
      </c>
      <c r="P353" s="881">
        <v>550</v>
      </c>
      <c r="Q353" s="881">
        <v>550</v>
      </c>
      <c r="R353" s="881">
        <v>550</v>
      </c>
      <c r="S353" s="881">
        <v>550</v>
      </c>
      <c r="T353" s="881">
        <v>550</v>
      </c>
      <c r="U353" s="881">
        <v>550</v>
      </c>
      <c r="V353" s="881">
        <v>550</v>
      </c>
    </row>
    <row r="354" spans="1:22" x14ac:dyDescent="0.25">
      <c r="A354" s="887" t="s">
        <v>969</v>
      </c>
      <c r="B354" s="887" t="s">
        <v>96</v>
      </c>
      <c r="C354" s="887" t="s">
        <v>1148</v>
      </c>
      <c r="D354" s="886" t="s">
        <v>1149</v>
      </c>
      <c r="E354" s="883">
        <v>1.1000000000000001</v>
      </c>
      <c r="F354" s="883">
        <v>1.1000000000000001</v>
      </c>
      <c r="G354" s="883">
        <v>1.1000000000000001</v>
      </c>
      <c r="H354" s="883">
        <v>1.1000000000000001</v>
      </c>
      <c r="I354" s="883">
        <v>1.1000000000000001</v>
      </c>
      <c r="J354" s="883">
        <v>1.1000000000000001</v>
      </c>
      <c r="K354" s="883">
        <v>1.1000000000000001</v>
      </c>
      <c r="L354" s="883">
        <v>1.1000000000000001</v>
      </c>
      <c r="M354" s="883">
        <v>1.1000000000000001</v>
      </c>
      <c r="N354" s="883">
        <v>1.1000000000000001</v>
      </c>
      <c r="O354" s="883">
        <v>1.1000000000000001</v>
      </c>
      <c r="P354" s="883">
        <v>1.1000000000000001</v>
      </c>
      <c r="Q354" s="883">
        <v>1.1000000000000001</v>
      </c>
      <c r="R354" s="883">
        <v>1.1000000000000001</v>
      </c>
      <c r="S354" s="883">
        <v>1.1000000000000001</v>
      </c>
      <c r="T354" s="883">
        <v>1.1000000000000001</v>
      </c>
      <c r="U354" s="883">
        <v>1.1000000000000001</v>
      </c>
      <c r="V354" s="883">
        <v>1.1000000000000001</v>
      </c>
    </row>
    <row r="355" spans="1:22" x14ac:dyDescent="0.25">
      <c r="A355" s="887" t="s">
        <v>969</v>
      </c>
      <c r="B355" s="887" t="s">
        <v>96</v>
      </c>
      <c r="C355" s="887"/>
      <c r="D355" s="882" t="s">
        <v>1130</v>
      </c>
    </row>
    <row r="356" spans="1:22" x14ac:dyDescent="0.25">
      <c r="A356" s="887" t="s">
        <v>969</v>
      </c>
      <c r="B356" s="887" t="s">
        <v>96</v>
      </c>
      <c r="C356" s="887"/>
      <c r="D356" s="882" t="s">
        <v>1131</v>
      </c>
      <c r="E356" s="881">
        <v>19.657135791158201</v>
      </c>
      <c r="F356" s="881">
        <v>30.735386238060698</v>
      </c>
      <c r="G356" s="881">
        <v>21.748377037562602</v>
      </c>
      <c r="H356" s="881">
        <v>19.755486560989802</v>
      </c>
      <c r="I356" s="881">
        <v>17.117435263861498</v>
      </c>
      <c r="J356" s="881">
        <v>10.873957243138401</v>
      </c>
      <c r="K356" s="881">
        <v>11.185873573037901</v>
      </c>
      <c r="L356" s="881">
        <v>4.2826080658901402</v>
      </c>
      <c r="M356" s="881">
        <v>18.926983214783899</v>
      </c>
      <c r="N356" s="881">
        <v>32.695335372499301</v>
      </c>
      <c r="O356" s="881">
        <v>37.220508134737599</v>
      </c>
      <c r="P356" s="881">
        <v>27.508352162412098</v>
      </c>
      <c r="Q356" s="881">
        <v>17.2567227118274</v>
      </c>
      <c r="R356" s="881">
        <v>10.923246237516301</v>
      </c>
      <c r="S356" s="881">
        <v>13.0572520369345</v>
      </c>
      <c r="T356" s="881">
        <v>12.684514610049201</v>
      </c>
      <c r="U356" s="881">
        <v>7.6224426646446499</v>
      </c>
      <c r="V356" s="881">
        <v>8.6443204328462802</v>
      </c>
    </row>
    <row r="357" spans="1:22" x14ac:dyDescent="0.25">
      <c r="A357" s="887" t="s">
        <v>969</v>
      </c>
      <c r="B357" s="887" t="s">
        <v>96</v>
      </c>
      <c r="C357" s="887"/>
      <c r="D357" s="882" t="s">
        <v>1132</v>
      </c>
    </row>
    <row r="358" spans="1:22" x14ac:dyDescent="0.25">
      <c r="A358" s="887" t="s">
        <v>969</v>
      </c>
      <c r="B358" s="887" t="s">
        <v>96</v>
      </c>
      <c r="C358" s="887"/>
      <c r="D358" s="885" t="s">
        <v>1133</v>
      </c>
      <c r="E358" s="883">
        <v>0</v>
      </c>
      <c r="F358" s="883">
        <v>0</v>
      </c>
      <c r="G358" s="883">
        <v>0</v>
      </c>
      <c r="H358" s="883">
        <v>0</v>
      </c>
      <c r="I358" s="883">
        <v>0</v>
      </c>
      <c r="J358" s="883">
        <v>0</v>
      </c>
      <c r="K358" s="883">
        <v>0</v>
      </c>
      <c r="L358" s="883">
        <v>0</v>
      </c>
      <c r="M358" s="883">
        <v>0</v>
      </c>
      <c r="N358" s="883">
        <v>0</v>
      </c>
      <c r="O358" s="883">
        <v>0</v>
      </c>
      <c r="P358" s="883">
        <v>0</v>
      </c>
      <c r="Q358" s="883">
        <v>0</v>
      </c>
      <c r="R358" s="883">
        <v>0</v>
      </c>
      <c r="S358" s="883">
        <v>0</v>
      </c>
      <c r="T358" s="883">
        <v>0</v>
      </c>
      <c r="U358" s="883">
        <v>0</v>
      </c>
      <c r="V358" s="883">
        <v>0</v>
      </c>
    </row>
    <row r="359" spans="1:22" x14ac:dyDescent="0.25">
      <c r="A359" s="887" t="s">
        <v>969</v>
      </c>
      <c r="B359" s="887" t="s">
        <v>96</v>
      </c>
      <c r="C359" s="887" t="s">
        <v>196</v>
      </c>
      <c r="D359" s="884" t="s">
        <v>1134</v>
      </c>
      <c r="E359" s="881">
        <v>0</v>
      </c>
      <c r="F359" s="881">
        <v>0</v>
      </c>
      <c r="G359" s="881">
        <v>0</v>
      </c>
      <c r="H359" s="881">
        <v>0</v>
      </c>
      <c r="I359" s="881">
        <v>0</v>
      </c>
      <c r="J359" s="881">
        <v>0</v>
      </c>
      <c r="K359" s="881">
        <v>0</v>
      </c>
      <c r="L359" s="881">
        <v>0</v>
      </c>
      <c r="M359" s="881">
        <v>0</v>
      </c>
      <c r="N359" s="881">
        <v>0</v>
      </c>
      <c r="O359" s="881">
        <v>0</v>
      </c>
      <c r="P359" s="881">
        <v>0</v>
      </c>
      <c r="Q359" s="881">
        <v>0</v>
      </c>
      <c r="R359" s="881">
        <v>0</v>
      </c>
      <c r="S359" s="881">
        <v>0</v>
      </c>
      <c r="T359" s="881">
        <v>0</v>
      </c>
      <c r="U359" s="881">
        <v>0</v>
      </c>
      <c r="V359" s="881">
        <v>0</v>
      </c>
    </row>
    <row r="360" spans="1:22" x14ac:dyDescent="0.25">
      <c r="A360" s="887" t="s">
        <v>969</v>
      </c>
      <c r="B360" s="887" t="s">
        <v>96</v>
      </c>
      <c r="C360" s="887"/>
      <c r="D360" s="882" t="s">
        <v>1135</v>
      </c>
    </row>
    <row r="361" spans="1:22" x14ac:dyDescent="0.25">
      <c r="A361" s="887" t="s">
        <v>969</v>
      </c>
      <c r="B361" s="887" t="s">
        <v>96</v>
      </c>
      <c r="C361" s="887"/>
      <c r="D361" s="885" t="s">
        <v>1136</v>
      </c>
      <c r="E361" s="883">
        <v>0</v>
      </c>
      <c r="F361" s="883">
        <v>0</v>
      </c>
      <c r="G361" s="883">
        <v>0</v>
      </c>
      <c r="H361" s="883">
        <v>0</v>
      </c>
      <c r="I361" s="883">
        <v>0</v>
      </c>
      <c r="J361" s="883">
        <v>0</v>
      </c>
      <c r="K361" s="883">
        <v>0</v>
      </c>
      <c r="L361" s="883">
        <v>0</v>
      </c>
      <c r="M361" s="883">
        <v>0</v>
      </c>
      <c r="N361" s="883">
        <v>0</v>
      </c>
      <c r="O361" s="883">
        <v>0</v>
      </c>
      <c r="P361" s="883">
        <v>0</v>
      </c>
      <c r="Q361" s="883">
        <v>0</v>
      </c>
      <c r="R361" s="883">
        <v>0</v>
      </c>
      <c r="S361" s="883">
        <v>0</v>
      </c>
      <c r="T361" s="883">
        <v>0</v>
      </c>
      <c r="U361" s="883">
        <v>0</v>
      </c>
      <c r="V361" s="883">
        <v>0</v>
      </c>
    </row>
    <row r="362" spans="1:22" x14ac:dyDescent="0.25">
      <c r="A362" s="887" t="s">
        <v>969</v>
      </c>
      <c r="B362" s="887" t="s">
        <v>96</v>
      </c>
      <c r="C362" s="887" t="s">
        <v>198</v>
      </c>
      <c r="D362" s="884" t="s">
        <v>1137</v>
      </c>
      <c r="E362" s="881">
        <v>0</v>
      </c>
      <c r="F362" s="881">
        <v>0</v>
      </c>
      <c r="G362" s="881">
        <v>0</v>
      </c>
      <c r="H362" s="881">
        <v>0</v>
      </c>
      <c r="I362" s="881">
        <v>0</v>
      </c>
      <c r="J362" s="881">
        <v>0</v>
      </c>
      <c r="K362" s="881">
        <v>0</v>
      </c>
      <c r="L362" s="881">
        <v>0</v>
      </c>
      <c r="M362" s="881">
        <v>0</v>
      </c>
      <c r="N362" s="881">
        <v>0</v>
      </c>
      <c r="O362" s="881">
        <v>0</v>
      </c>
      <c r="P362" s="881">
        <v>0</v>
      </c>
      <c r="Q362" s="881">
        <v>0</v>
      </c>
      <c r="R362" s="881">
        <v>0</v>
      </c>
      <c r="S362" s="881">
        <v>0</v>
      </c>
      <c r="T362" s="881">
        <v>0</v>
      </c>
      <c r="U362" s="881">
        <v>0</v>
      </c>
      <c r="V362" s="881">
        <v>0</v>
      </c>
    </row>
    <row r="363" spans="1:22" x14ac:dyDescent="0.25">
      <c r="A363" s="887" t="s">
        <v>969</v>
      </c>
      <c r="B363" s="887" t="s">
        <v>96</v>
      </c>
      <c r="C363" s="887"/>
      <c r="D363" s="882" t="s">
        <v>1138</v>
      </c>
    </row>
    <row r="364" spans="1:22" x14ac:dyDescent="0.25">
      <c r="A364" s="887" t="s">
        <v>969</v>
      </c>
      <c r="B364" s="887" t="s">
        <v>96</v>
      </c>
      <c r="C364" s="887"/>
      <c r="D364" s="885" t="s">
        <v>1139</v>
      </c>
      <c r="E364" s="883">
        <v>7.2705548342424002E-3</v>
      </c>
      <c r="F364" s="883">
        <v>7.2705548342424002E-3</v>
      </c>
      <c r="G364" s="883">
        <v>7.2705548342424002E-3</v>
      </c>
      <c r="H364" s="883">
        <v>7.2705548342424002E-3</v>
      </c>
      <c r="I364" s="883">
        <v>7.2705548342424002E-3</v>
      </c>
      <c r="J364" s="883">
        <v>7.2705548342424002E-3</v>
      </c>
      <c r="K364" s="883">
        <v>7.2705548342424002E-3</v>
      </c>
      <c r="L364" s="883">
        <v>7.2705548342424002E-3</v>
      </c>
      <c r="M364" s="883">
        <v>7.2705548342424002E-3</v>
      </c>
      <c r="N364" s="883">
        <v>7.2705548342424002E-3</v>
      </c>
      <c r="O364" s="883">
        <v>7.2705548342424002E-3</v>
      </c>
      <c r="P364" s="883">
        <v>7.2705548342424002E-3</v>
      </c>
      <c r="Q364" s="883">
        <v>7.2705548342424002E-3</v>
      </c>
      <c r="R364" s="883">
        <v>7.2705548342424002E-3</v>
      </c>
      <c r="S364" s="883">
        <v>7.2705548342424002E-3</v>
      </c>
      <c r="T364" s="883">
        <v>7.2705548342424002E-3</v>
      </c>
      <c r="U364" s="883">
        <v>7.2705548342424002E-3</v>
      </c>
      <c r="V364" s="883">
        <v>7.2705548342424002E-3</v>
      </c>
    </row>
    <row r="365" spans="1:22" x14ac:dyDescent="0.25">
      <c r="A365" s="887" t="s">
        <v>969</v>
      </c>
      <c r="B365" s="887" t="s">
        <v>96</v>
      </c>
      <c r="C365" s="887" t="s">
        <v>670</v>
      </c>
      <c r="D365" s="884" t="s">
        <v>1140</v>
      </c>
      <c r="E365" s="881">
        <v>3.8996594748695501</v>
      </c>
      <c r="F365" s="881">
        <v>4.4965033439952302</v>
      </c>
      <c r="G365" s="881">
        <v>3.08254595354579</v>
      </c>
      <c r="H365" s="881">
        <v>3.5348555857271799</v>
      </c>
      <c r="I365" s="881">
        <v>4.5098543098706001</v>
      </c>
      <c r="J365" s="881">
        <v>3.3473946503304699</v>
      </c>
      <c r="K365" s="881">
        <v>3.4552044194673202</v>
      </c>
      <c r="L365" s="881">
        <v>1.6802210880356301</v>
      </c>
      <c r="M365" s="881">
        <v>5.4407500531579496</v>
      </c>
      <c r="N365" s="881">
        <v>6.8643256817114704</v>
      </c>
      <c r="O365" s="881">
        <v>7.5752485998001902</v>
      </c>
      <c r="P365" s="881">
        <v>6.4762434864988601</v>
      </c>
      <c r="Q365" s="881">
        <v>5.12886470072326</v>
      </c>
      <c r="R365" s="881">
        <v>3.7835631705030299</v>
      </c>
      <c r="S365" s="881">
        <v>5.0027106352158297</v>
      </c>
      <c r="T365" s="881">
        <v>4.4942647893647703</v>
      </c>
      <c r="U365" s="881">
        <v>2.9477194445384902</v>
      </c>
      <c r="V365" s="881">
        <v>3.4377543656260299</v>
      </c>
    </row>
    <row r="366" spans="1:22" x14ac:dyDescent="0.25">
      <c r="A366" s="887" t="s">
        <v>969</v>
      </c>
      <c r="B366" s="887" t="s">
        <v>96</v>
      </c>
      <c r="C366" s="887"/>
      <c r="D366" s="882" t="s">
        <v>1141</v>
      </c>
      <c r="E366" s="881">
        <v>23.556795266027699</v>
      </c>
      <c r="F366" s="881">
        <v>35.231889582055899</v>
      </c>
      <c r="G366" s="881">
        <v>24.830922991108402</v>
      </c>
      <c r="H366" s="881">
        <v>23.290342146716998</v>
      </c>
      <c r="I366" s="881">
        <v>21.627289573732099</v>
      </c>
      <c r="J366" s="881">
        <v>14.2213518934688</v>
      </c>
      <c r="K366" s="881">
        <v>14.641077992505201</v>
      </c>
      <c r="L366" s="881">
        <v>5.9628291539257701</v>
      </c>
      <c r="M366" s="881">
        <v>24.367733267941802</v>
      </c>
      <c r="N366" s="881">
        <v>39.5596610542107</v>
      </c>
      <c r="O366" s="881">
        <v>44.795756734537797</v>
      </c>
      <c r="P366" s="881">
        <v>33.984595648910997</v>
      </c>
      <c r="Q366" s="881">
        <v>22.385587412550699</v>
      </c>
      <c r="R366" s="881">
        <v>14.7068094080193</v>
      </c>
      <c r="S366" s="881">
        <v>18.059962672150402</v>
      </c>
      <c r="T366" s="881">
        <v>17.178779399414001</v>
      </c>
      <c r="U366" s="881">
        <v>10.5701621091831</v>
      </c>
      <c r="V366" s="881">
        <v>12.0820747984723</v>
      </c>
    </row>
    <row r="367" spans="1:22" s="82" customFormat="1" x14ac:dyDescent="0.25">
      <c r="A367" s="880" t="s">
        <v>893</v>
      </c>
      <c r="B367" s="880" t="s">
        <v>42</v>
      </c>
      <c r="C367" s="880"/>
      <c r="D367" s="969" t="s">
        <v>1160</v>
      </c>
    </row>
    <row r="368" spans="1:22" x14ac:dyDescent="0.25">
      <c r="A368" s="887" t="s">
        <v>893</v>
      </c>
      <c r="B368" s="887" t="s">
        <v>42</v>
      </c>
      <c r="C368" s="887"/>
      <c r="D368" s="882" t="s">
        <v>1114</v>
      </c>
    </row>
    <row r="369" spans="1:22" x14ac:dyDescent="0.25">
      <c r="A369" s="887" t="s">
        <v>893</v>
      </c>
      <c r="B369" s="887" t="s">
        <v>42</v>
      </c>
      <c r="C369" s="887"/>
      <c r="D369" s="884" t="s">
        <v>1115</v>
      </c>
      <c r="E369" s="881">
        <v>0</v>
      </c>
      <c r="F369" s="881">
        <v>0</v>
      </c>
      <c r="G369" s="881">
        <v>0</v>
      </c>
      <c r="H369" s="881">
        <v>0</v>
      </c>
      <c r="I369" s="881">
        <v>0</v>
      </c>
      <c r="J369" s="881">
        <v>0</v>
      </c>
      <c r="K369" s="881">
        <v>0</v>
      </c>
      <c r="L369" s="881">
        <v>0</v>
      </c>
      <c r="M369" s="881">
        <v>0</v>
      </c>
      <c r="N369" s="881">
        <v>0</v>
      </c>
      <c r="O369" s="881">
        <v>0</v>
      </c>
      <c r="P369" s="881">
        <v>0</v>
      </c>
      <c r="Q369" s="881">
        <v>0</v>
      </c>
      <c r="R369" s="881">
        <v>0</v>
      </c>
      <c r="S369" s="881">
        <v>0</v>
      </c>
      <c r="T369" s="881">
        <v>0</v>
      </c>
      <c r="U369" s="881">
        <v>0</v>
      </c>
      <c r="V369" s="881">
        <v>0</v>
      </c>
    </row>
    <row r="370" spans="1:22" x14ac:dyDescent="0.25">
      <c r="A370" s="887" t="s">
        <v>893</v>
      </c>
      <c r="B370" s="887" t="s">
        <v>42</v>
      </c>
      <c r="C370" s="887"/>
      <c r="D370" s="884" t="s">
        <v>1116</v>
      </c>
      <c r="E370" s="881">
        <v>5</v>
      </c>
      <c r="F370" s="881">
        <v>5</v>
      </c>
      <c r="G370" s="881">
        <v>5</v>
      </c>
      <c r="H370" s="881">
        <v>5</v>
      </c>
      <c r="I370" s="881">
        <v>5</v>
      </c>
      <c r="J370" s="881">
        <v>5</v>
      </c>
      <c r="K370" s="881">
        <v>5</v>
      </c>
      <c r="L370" s="881">
        <v>5</v>
      </c>
      <c r="M370" s="881">
        <v>5</v>
      </c>
      <c r="N370" s="881">
        <v>5</v>
      </c>
      <c r="O370" s="881">
        <v>5</v>
      </c>
      <c r="P370" s="881">
        <v>5</v>
      </c>
      <c r="Q370" s="881">
        <v>5</v>
      </c>
      <c r="R370" s="881">
        <v>5</v>
      </c>
      <c r="S370" s="881">
        <v>5</v>
      </c>
      <c r="T370" s="881">
        <v>5</v>
      </c>
      <c r="U370" s="881">
        <v>5</v>
      </c>
      <c r="V370" s="881">
        <v>5</v>
      </c>
    </row>
    <row r="371" spans="1:22" x14ac:dyDescent="0.25">
      <c r="A371" s="887" t="s">
        <v>893</v>
      </c>
      <c r="B371" s="887" t="s">
        <v>42</v>
      </c>
      <c r="C371" s="887"/>
      <c r="D371" s="884" t="s">
        <v>1117</v>
      </c>
      <c r="E371" s="881">
        <v>5</v>
      </c>
      <c r="F371" s="881">
        <v>5</v>
      </c>
      <c r="G371" s="881">
        <v>5</v>
      </c>
      <c r="H371" s="881">
        <v>5</v>
      </c>
      <c r="I371" s="881">
        <v>5</v>
      </c>
      <c r="J371" s="881">
        <v>5</v>
      </c>
      <c r="K371" s="881">
        <v>5</v>
      </c>
      <c r="L371" s="881">
        <v>5</v>
      </c>
      <c r="M371" s="881">
        <v>5</v>
      </c>
      <c r="N371" s="881">
        <v>5</v>
      </c>
      <c r="O371" s="881">
        <v>5</v>
      </c>
      <c r="P371" s="881">
        <v>5</v>
      </c>
      <c r="Q371" s="881">
        <v>5</v>
      </c>
      <c r="R371" s="881">
        <v>5</v>
      </c>
      <c r="S371" s="881">
        <v>5</v>
      </c>
      <c r="T371" s="881">
        <v>5</v>
      </c>
      <c r="U371" s="881">
        <v>5</v>
      </c>
      <c r="V371" s="881">
        <v>5</v>
      </c>
    </row>
    <row r="372" spans="1:22" x14ac:dyDescent="0.25">
      <c r="A372" s="887" t="s">
        <v>893</v>
      </c>
      <c r="B372" s="887" t="s">
        <v>42</v>
      </c>
      <c r="C372" s="887"/>
      <c r="D372" s="884" t="s">
        <v>1118</v>
      </c>
      <c r="E372" s="881">
        <v>40</v>
      </c>
      <c r="F372" s="881">
        <v>40</v>
      </c>
      <c r="G372" s="881">
        <v>40</v>
      </c>
      <c r="H372" s="881">
        <v>40</v>
      </c>
      <c r="I372" s="881">
        <v>40</v>
      </c>
      <c r="J372" s="881">
        <v>40</v>
      </c>
      <c r="K372" s="881">
        <v>40</v>
      </c>
      <c r="L372" s="881">
        <v>40</v>
      </c>
      <c r="M372" s="881">
        <v>40</v>
      </c>
      <c r="N372" s="881">
        <v>40</v>
      </c>
      <c r="O372" s="881">
        <v>40</v>
      </c>
      <c r="P372" s="881">
        <v>40</v>
      </c>
      <c r="Q372" s="881">
        <v>40</v>
      </c>
      <c r="R372" s="881">
        <v>40</v>
      </c>
      <c r="S372" s="881">
        <v>40</v>
      </c>
      <c r="T372" s="881">
        <v>40</v>
      </c>
      <c r="U372" s="881">
        <v>40</v>
      </c>
      <c r="V372" s="881">
        <v>40</v>
      </c>
    </row>
    <row r="373" spans="1:22" x14ac:dyDescent="0.25">
      <c r="A373" s="887" t="s">
        <v>893</v>
      </c>
      <c r="B373" s="887" t="s">
        <v>42</v>
      </c>
      <c r="C373" s="887"/>
      <c r="D373" s="884" t="s">
        <v>1119</v>
      </c>
      <c r="E373" s="881">
        <v>180</v>
      </c>
      <c r="F373" s="881">
        <v>180</v>
      </c>
      <c r="G373" s="881">
        <v>180</v>
      </c>
      <c r="H373" s="881">
        <v>180</v>
      </c>
      <c r="I373" s="881">
        <v>180</v>
      </c>
      <c r="J373" s="881">
        <v>180</v>
      </c>
      <c r="K373" s="881">
        <v>180</v>
      </c>
      <c r="L373" s="881">
        <v>180</v>
      </c>
      <c r="M373" s="881">
        <v>180</v>
      </c>
      <c r="N373" s="881">
        <v>180</v>
      </c>
      <c r="O373" s="881">
        <v>180</v>
      </c>
      <c r="P373" s="881">
        <v>180</v>
      </c>
      <c r="Q373" s="881">
        <v>180</v>
      </c>
      <c r="R373" s="881">
        <v>180</v>
      </c>
      <c r="S373" s="881">
        <v>180</v>
      </c>
      <c r="T373" s="881">
        <v>180</v>
      </c>
      <c r="U373" s="881">
        <v>180</v>
      </c>
      <c r="V373" s="881">
        <v>180</v>
      </c>
    </row>
    <row r="374" spans="1:22" x14ac:dyDescent="0.25">
      <c r="A374" s="887" t="s">
        <v>893</v>
      </c>
      <c r="B374" s="887" t="s">
        <v>42</v>
      </c>
      <c r="C374" s="887" t="s">
        <v>169</v>
      </c>
      <c r="D374" s="882" t="s">
        <v>1120</v>
      </c>
      <c r="E374" s="881">
        <v>0.9</v>
      </c>
      <c r="F374" s="881">
        <v>0.9</v>
      </c>
      <c r="G374" s="881">
        <v>0.9</v>
      </c>
      <c r="H374" s="881">
        <v>0.9</v>
      </c>
      <c r="I374" s="881">
        <v>0.9</v>
      </c>
      <c r="J374" s="881">
        <v>0.9</v>
      </c>
      <c r="K374" s="881">
        <v>0.9</v>
      </c>
      <c r="L374" s="881">
        <v>0.9</v>
      </c>
      <c r="M374" s="881">
        <v>0.9</v>
      </c>
      <c r="N374" s="881">
        <v>0.9</v>
      </c>
      <c r="O374" s="881">
        <v>0.9</v>
      </c>
      <c r="P374" s="881">
        <v>0.9</v>
      </c>
      <c r="Q374" s="881">
        <v>0.9</v>
      </c>
      <c r="R374" s="881">
        <v>0.9</v>
      </c>
      <c r="S374" s="881">
        <v>0.9</v>
      </c>
      <c r="T374" s="881">
        <v>0.9</v>
      </c>
      <c r="U374" s="881">
        <v>0.9</v>
      </c>
      <c r="V374" s="881">
        <v>0.9</v>
      </c>
    </row>
    <row r="375" spans="1:22" x14ac:dyDescent="0.25">
      <c r="A375" s="887" t="s">
        <v>893</v>
      </c>
      <c r="B375" s="887" t="s">
        <v>42</v>
      </c>
      <c r="C375" s="887"/>
      <c r="D375" s="882" t="s">
        <v>1121</v>
      </c>
    </row>
    <row r="376" spans="1:22" x14ac:dyDescent="0.25">
      <c r="A376" s="887" t="s">
        <v>893</v>
      </c>
      <c r="B376" s="887" t="s">
        <v>42</v>
      </c>
      <c r="C376" s="887"/>
      <c r="D376" s="884" t="s">
        <v>1122</v>
      </c>
      <c r="E376" s="881">
        <v>500</v>
      </c>
      <c r="F376" s="881">
        <v>500</v>
      </c>
      <c r="G376" s="881">
        <v>500</v>
      </c>
      <c r="H376" s="881">
        <v>500</v>
      </c>
      <c r="I376" s="881">
        <v>500</v>
      </c>
      <c r="J376" s="881">
        <v>500</v>
      </c>
      <c r="K376" s="881">
        <v>500</v>
      </c>
      <c r="L376" s="881">
        <v>500</v>
      </c>
      <c r="M376" s="881">
        <v>500</v>
      </c>
      <c r="N376" s="881">
        <v>500</v>
      </c>
      <c r="O376" s="881">
        <v>500</v>
      </c>
      <c r="P376" s="881">
        <v>500</v>
      </c>
      <c r="Q376" s="881">
        <v>500</v>
      </c>
      <c r="R376" s="881">
        <v>500</v>
      </c>
      <c r="S376" s="881">
        <v>500</v>
      </c>
      <c r="T376" s="881">
        <v>500</v>
      </c>
      <c r="U376" s="881">
        <v>500</v>
      </c>
      <c r="V376" s="881">
        <v>500</v>
      </c>
    </row>
    <row r="377" spans="1:22" x14ac:dyDescent="0.25">
      <c r="A377" s="887" t="s">
        <v>893</v>
      </c>
      <c r="B377" s="887" t="s">
        <v>42</v>
      </c>
      <c r="C377" s="887"/>
      <c r="D377" s="884" t="s">
        <v>1123</v>
      </c>
      <c r="E377" s="881">
        <v>42551.282081999998</v>
      </c>
      <c r="F377" s="881">
        <v>63188.231715000002</v>
      </c>
      <c r="G377" s="881">
        <v>49828.004328000003</v>
      </c>
      <c r="H377" s="881">
        <v>39030.612775000001</v>
      </c>
      <c r="I377" s="881">
        <v>17426.550902999999</v>
      </c>
      <c r="J377" s="881">
        <v>11006.3838435</v>
      </c>
      <c r="K377" s="881">
        <v>42562.129309000004</v>
      </c>
      <c r="L377" s="881">
        <v>33315.644157000002</v>
      </c>
      <c r="M377" s="881">
        <v>42140.851381</v>
      </c>
      <c r="N377" s="881">
        <v>67140.584843000004</v>
      </c>
      <c r="O377" s="881">
        <v>72083.230221000005</v>
      </c>
      <c r="P377" s="881">
        <v>51892.893148000003</v>
      </c>
      <c r="Q377" s="881">
        <v>17620.127293000001</v>
      </c>
      <c r="R377" s="881">
        <v>11088.4432113</v>
      </c>
      <c r="S377" s="881">
        <v>18002.250968</v>
      </c>
      <c r="T377" s="881">
        <v>32097.663379000001</v>
      </c>
      <c r="U377" s="881">
        <v>32106.717369999998</v>
      </c>
      <c r="V377" s="881">
        <v>33876.768490000002</v>
      </c>
    </row>
    <row r="378" spans="1:22" x14ac:dyDescent="0.25">
      <c r="A378" s="887" t="s">
        <v>893</v>
      </c>
      <c r="B378" s="887" t="s">
        <v>42</v>
      </c>
      <c r="C378" s="887"/>
      <c r="D378" s="885" t="s">
        <v>1124</v>
      </c>
      <c r="E378" s="883">
        <v>43.051282082</v>
      </c>
      <c r="F378" s="883">
        <v>63.688231715000001</v>
      </c>
      <c r="G378" s="883">
        <v>50.328004327999999</v>
      </c>
      <c r="H378" s="883">
        <v>39.530612775000002</v>
      </c>
      <c r="I378" s="883">
        <v>17.926550902999999</v>
      </c>
      <c r="J378" s="883">
        <v>11.5063838435</v>
      </c>
      <c r="K378" s="883">
        <v>43.062129308999999</v>
      </c>
      <c r="L378" s="883">
        <v>33.815644157000001</v>
      </c>
      <c r="M378" s="883">
        <v>42.640851380999997</v>
      </c>
      <c r="N378" s="883">
        <v>67.640584842999999</v>
      </c>
      <c r="O378" s="883">
        <v>72.583230220999994</v>
      </c>
      <c r="P378" s="883">
        <v>52.392893147999999</v>
      </c>
      <c r="Q378" s="883">
        <v>18.120127292999999</v>
      </c>
      <c r="R378" s="883">
        <v>11.5884432113</v>
      </c>
      <c r="S378" s="883">
        <v>18.502250967999998</v>
      </c>
      <c r="T378" s="883">
        <v>32.597663378999997</v>
      </c>
      <c r="U378" s="883">
        <v>32.606717369999998</v>
      </c>
      <c r="V378" s="883">
        <v>34.376768490000003</v>
      </c>
    </row>
    <row r="379" spans="1:22" x14ac:dyDescent="0.25">
      <c r="A379" s="887" t="s">
        <v>893</v>
      </c>
      <c r="B379" s="887" t="s">
        <v>42</v>
      </c>
      <c r="C379" s="887"/>
      <c r="D379" s="885" t="s">
        <v>1125</v>
      </c>
      <c r="E379" s="883">
        <v>2.2778999999999998</v>
      </c>
      <c r="F379" s="883">
        <v>2.2778999999999998</v>
      </c>
      <c r="G379" s="883">
        <v>2.2778999999999998</v>
      </c>
      <c r="H379" s="883">
        <v>2.2778999999999998</v>
      </c>
      <c r="I379" s="883">
        <v>2.2778999999999998</v>
      </c>
      <c r="J379" s="883">
        <v>2.2778999999999998</v>
      </c>
      <c r="K379" s="883">
        <v>2.2778999999999998</v>
      </c>
      <c r="L379" s="883">
        <v>2.2778999999999998</v>
      </c>
      <c r="M379" s="883">
        <v>2.2778999999999998</v>
      </c>
      <c r="N379" s="883">
        <v>2.2778999999999998</v>
      </c>
      <c r="O379" s="883">
        <v>2.2778999999999998</v>
      </c>
      <c r="P379" s="883">
        <v>2.2778999999999998</v>
      </c>
      <c r="Q379" s="883">
        <v>2.2778999999999998</v>
      </c>
      <c r="R379" s="883">
        <v>2.2778999999999998</v>
      </c>
      <c r="S379" s="883">
        <v>2.2778999999999998</v>
      </c>
      <c r="T379" s="883">
        <v>2.2778999999999998</v>
      </c>
      <c r="U379" s="883">
        <v>2.2778999999999998</v>
      </c>
      <c r="V379" s="883">
        <v>2.2778999999999998</v>
      </c>
    </row>
    <row r="380" spans="1:22" x14ac:dyDescent="0.25">
      <c r="A380" s="887" t="s">
        <v>893</v>
      </c>
      <c r="B380" s="887" t="s">
        <v>42</v>
      </c>
      <c r="C380" s="887"/>
      <c r="D380" s="885" t="s">
        <v>1126</v>
      </c>
      <c r="E380" s="883">
        <v>2.2778999999999998</v>
      </c>
      <c r="F380" s="883">
        <v>2.2778999999999998</v>
      </c>
      <c r="G380" s="883">
        <v>2.2778999999999998</v>
      </c>
      <c r="H380" s="883">
        <v>2.2778999999999998</v>
      </c>
      <c r="I380" s="883">
        <v>2.2778999999999998</v>
      </c>
      <c r="J380" s="883">
        <v>2.2778999999999998</v>
      </c>
      <c r="K380" s="883">
        <v>2.2778999999999998</v>
      </c>
      <c r="L380" s="883">
        <v>2.2778999999999998</v>
      </c>
      <c r="M380" s="883">
        <v>2.2778999999999998</v>
      </c>
      <c r="N380" s="883">
        <v>2.2778999999999998</v>
      </c>
      <c r="O380" s="883">
        <v>2.2778999999999998</v>
      </c>
      <c r="P380" s="883">
        <v>2.2778999999999998</v>
      </c>
      <c r="Q380" s="883">
        <v>2.2778999999999998</v>
      </c>
      <c r="R380" s="883">
        <v>2.2778999999999998</v>
      </c>
      <c r="S380" s="883">
        <v>2.2778999999999998</v>
      </c>
      <c r="T380" s="883">
        <v>2.2778999999999998</v>
      </c>
      <c r="U380" s="883">
        <v>2.2778999999999998</v>
      </c>
      <c r="V380" s="883">
        <v>2.2778999999999998</v>
      </c>
    </row>
    <row r="381" spans="1:22" x14ac:dyDescent="0.25">
      <c r="A381" s="887" t="s">
        <v>893</v>
      </c>
      <c r="B381" s="887" t="s">
        <v>42</v>
      </c>
      <c r="C381" s="887"/>
      <c r="D381" s="885" t="s">
        <v>1127</v>
      </c>
      <c r="E381" s="883">
        <v>1.7779</v>
      </c>
      <c r="F381" s="883">
        <v>1.7779</v>
      </c>
      <c r="G381" s="883">
        <v>2.2778999999999998</v>
      </c>
      <c r="H381" s="883">
        <v>2.2778999999999998</v>
      </c>
      <c r="I381" s="883">
        <v>2.2778999999999998</v>
      </c>
      <c r="J381" s="883">
        <v>2.2778999999999998</v>
      </c>
      <c r="K381" s="883">
        <v>1.7779</v>
      </c>
      <c r="L381" s="883">
        <v>1.7779</v>
      </c>
      <c r="M381" s="883">
        <v>1.7779</v>
      </c>
      <c r="N381" s="883">
        <v>1.7779</v>
      </c>
      <c r="O381" s="883">
        <v>2.2778999999999998</v>
      </c>
      <c r="P381" s="883">
        <v>2.2778999999999998</v>
      </c>
      <c r="Q381" s="883">
        <v>2.2778999999999998</v>
      </c>
      <c r="R381" s="883">
        <v>2.2778999999999998</v>
      </c>
      <c r="S381" s="883">
        <v>2.2778999999999998</v>
      </c>
      <c r="T381" s="883">
        <v>1.7779</v>
      </c>
      <c r="U381" s="883">
        <v>1.7779</v>
      </c>
      <c r="V381" s="883">
        <v>1.7779</v>
      </c>
    </row>
    <row r="382" spans="1:22" x14ac:dyDescent="0.25">
      <c r="A382" s="887" t="s">
        <v>893</v>
      </c>
      <c r="B382" s="887" t="s">
        <v>42</v>
      </c>
      <c r="C382" s="887" t="s">
        <v>778</v>
      </c>
      <c r="D382" s="882" t="s">
        <v>1128</v>
      </c>
      <c r="E382" s="881">
        <v>76.790874413587801</v>
      </c>
      <c r="F382" s="881">
        <v>113.48130716609801</v>
      </c>
      <c r="G382" s="881">
        <v>114.642161058751</v>
      </c>
      <c r="H382" s="881">
        <v>90.046782840172497</v>
      </c>
      <c r="I382" s="881">
        <v>40.834890301943602</v>
      </c>
      <c r="J382" s="881">
        <v>26.210391757108599</v>
      </c>
      <c r="K382" s="881">
        <v>76.810159698471097</v>
      </c>
      <c r="L382" s="881">
        <v>60.370833746730298</v>
      </c>
      <c r="M382" s="881">
        <v>76.061169670279895</v>
      </c>
      <c r="N382" s="881">
        <v>120.50819579236899</v>
      </c>
      <c r="O382" s="881">
        <v>165.33734012041501</v>
      </c>
      <c r="P382" s="881">
        <v>119.345771301829</v>
      </c>
      <c r="Q382" s="881">
        <v>41.275837960724701</v>
      </c>
      <c r="R382" s="881">
        <v>26.3973147910202</v>
      </c>
      <c r="S382" s="881">
        <v>42.1462774800071</v>
      </c>
      <c r="T382" s="881">
        <v>58.205385721524102</v>
      </c>
      <c r="U382" s="881">
        <v>58.2214828121229</v>
      </c>
      <c r="V382" s="881">
        <v>61.368456698370998</v>
      </c>
    </row>
    <row r="383" spans="1:22" x14ac:dyDescent="0.25">
      <c r="A383" s="887" t="s">
        <v>893</v>
      </c>
      <c r="B383" s="887" t="s">
        <v>42</v>
      </c>
      <c r="C383" s="887"/>
      <c r="D383" s="882" t="s">
        <v>1129</v>
      </c>
    </row>
    <row r="384" spans="1:22" x14ac:dyDescent="0.25">
      <c r="A384" s="887" t="s">
        <v>893</v>
      </c>
      <c r="B384" s="887" t="s">
        <v>42</v>
      </c>
      <c r="C384" s="887"/>
      <c r="D384" s="884" t="s">
        <v>1147</v>
      </c>
      <c r="E384" s="881">
        <v>550</v>
      </c>
      <c r="F384" s="881">
        <v>550</v>
      </c>
      <c r="G384" s="881">
        <v>550</v>
      </c>
      <c r="H384" s="881">
        <v>550</v>
      </c>
      <c r="I384" s="881">
        <v>550</v>
      </c>
      <c r="J384" s="881">
        <v>550</v>
      </c>
      <c r="K384" s="881">
        <v>550</v>
      </c>
      <c r="L384" s="881">
        <v>550</v>
      </c>
      <c r="M384" s="881">
        <v>550</v>
      </c>
      <c r="N384" s="881">
        <v>550</v>
      </c>
      <c r="O384" s="881">
        <v>550</v>
      </c>
      <c r="P384" s="881">
        <v>550</v>
      </c>
      <c r="Q384" s="881">
        <v>550</v>
      </c>
      <c r="R384" s="881">
        <v>550</v>
      </c>
      <c r="S384" s="881">
        <v>550</v>
      </c>
      <c r="T384" s="881">
        <v>550</v>
      </c>
      <c r="U384" s="881">
        <v>550</v>
      </c>
      <c r="V384" s="881">
        <v>550</v>
      </c>
    </row>
    <row r="385" spans="1:22" x14ac:dyDescent="0.25">
      <c r="A385" s="887" t="s">
        <v>893</v>
      </c>
      <c r="B385" s="887" t="s">
        <v>42</v>
      </c>
      <c r="C385" s="887" t="s">
        <v>1148</v>
      </c>
      <c r="D385" s="886" t="s">
        <v>1149</v>
      </c>
      <c r="E385" s="883">
        <v>2.75</v>
      </c>
      <c r="F385" s="883">
        <v>2.75</v>
      </c>
      <c r="G385" s="883">
        <v>2.75</v>
      </c>
      <c r="H385" s="883">
        <v>2.75</v>
      </c>
      <c r="I385" s="883">
        <v>2.75</v>
      </c>
      <c r="J385" s="883">
        <v>2.75</v>
      </c>
      <c r="K385" s="883">
        <v>2.75</v>
      </c>
      <c r="L385" s="883">
        <v>2.75</v>
      </c>
      <c r="M385" s="883">
        <v>2.75</v>
      </c>
      <c r="N385" s="883">
        <v>2.75</v>
      </c>
      <c r="O385" s="883">
        <v>2.75</v>
      </c>
      <c r="P385" s="883">
        <v>2.75</v>
      </c>
      <c r="Q385" s="883">
        <v>2.75</v>
      </c>
      <c r="R385" s="883">
        <v>2.75</v>
      </c>
      <c r="S385" s="883">
        <v>2.75</v>
      </c>
      <c r="T385" s="883">
        <v>2.75</v>
      </c>
      <c r="U385" s="883">
        <v>2.75</v>
      </c>
      <c r="V385" s="883">
        <v>2.75</v>
      </c>
    </row>
    <row r="386" spans="1:22" x14ac:dyDescent="0.25">
      <c r="A386" s="887" t="s">
        <v>893</v>
      </c>
      <c r="B386" s="887" t="s">
        <v>42</v>
      </c>
      <c r="C386" s="887"/>
      <c r="D386" s="882" t="s">
        <v>1130</v>
      </c>
    </row>
    <row r="387" spans="1:22" x14ac:dyDescent="0.25">
      <c r="A387" s="887" t="s">
        <v>893</v>
      </c>
      <c r="B387" s="887" t="s">
        <v>42</v>
      </c>
      <c r="C387" s="887" t="s">
        <v>1157</v>
      </c>
      <c r="D387" s="882" t="s">
        <v>1158</v>
      </c>
      <c r="E387" s="881">
        <v>0.15</v>
      </c>
      <c r="F387" s="881">
        <v>0.15</v>
      </c>
      <c r="G387" s="881">
        <v>0.15</v>
      </c>
      <c r="H387" s="881">
        <v>0.15</v>
      </c>
      <c r="I387" s="881">
        <v>0.15</v>
      </c>
      <c r="J387" s="881">
        <v>0.15</v>
      </c>
      <c r="K387" s="881">
        <v>0.15</v>
      </c>
      <c r="L387" s="881">
        <v>0.15</v>
      </c>
      <c r="M387" s="881">
        <v>0.15</v>
      </c>
      <c r="N387" s="881">
        <v>0.15</v>
      </c>
      <c r="O387" s="881">
        <v>0.15</v>
      </c>
      <c r="P387" s="881">
        <v>0.15</v>
      </c>
      <c r="Q387" s="881">
        <v>0.15</v>
      </c>
      <c r="R387" s="881">
        <v>0.15</v>
      </c>
      <c r="S387" s="881">
        <v>0.15</v>
      </c>
      <c r="T387" s="881">
        <v>0.15</v>
      </c>
      <c r="U387" s="881">
        <v>0.15</v>
      </c>
      <c r="V387" s="881">
        <v>0.15</v>
      </c>
    </row>
    <row r="388" spans="1:22" x14ac:dyDescent="0.25">
      <c r="A388" s="887" t="s">
        <v>893</v>
      </c>
      <c r="B388" s="887" t="s">
        <v>42</v>
      </c>
      <c r="C388" s="887"/>
      <c r="D388" s="882" t="s">
        <v>1131</v>
      </c>
      <c r="E388" s="881">
        <v>80.590874413587798</v>
      </c>
      <c r="F388" s="881">
        <v>117.281307166098</v>
      </c>
      <c r="G388" s="881">
        <v>118.442161058751</v>
      </c>
      <c r="H388" s="881">
        <v>93.846782840172494</v>
      </c>
      <c r="I388" s="881">
        <v>44.634890301943599</v>
      </c>
      <c r="J388" s="881">
        <v>30.0103917571086</v>
      </c>
      <c r="K388" s="881">
        <v>80.610159698471094</v>
      </c>
      <c r="L388" s="881">
        <v>64.170833746730295</v>
      </c>
      <c r="M388" s="881">
        <v>79.861169670279907</v>
      </c>
      <c r="N388" s="881">
        <v>124.30819579236901</v>
      </c>
      <c r="O388" s="881">
        <v>169.13734012041499</v>
      </c>
      <c r="P388" s="881">
        <v>123.145771301829</v>
      </c>
      <c r="Q388" s="881">
        <v>45.075837960724698</v>
      </c>
      <c r="R388" s="881">
        <v>30.197314791020201</v>
      </c>
      <c r="S388" s="881">
        <v>45.946277480007097</v>
      </c>
      <c r="T388" s="881">
        <v>62.0053857215241</v>
      </c>
      <c r="U388" s="881">
        <v>62.021482812122898</v>
      </c>
      <c r="V388" s="881">
        <v>65.168456698371003</v>
      </c>
    </row>
    <row r="389" spans="1:22" x14ac:dyDescent="0.25">
      <c r="A389" s="887" t="s">
        <v>893</v>
      </c>
      <c r="B389" s="887" t="s">
        <v>42</v>
      </c>
      <c r="C389" s="887"/>
      <c r="D389" s="882" t="s">
        <v>1132</v>
      </c>
    </row>
    <row r="390" spans="1:22" x14ac:dyDescent="0.25">
      <c r="A390" s="887" t="s">
        <v>893</v>
      </c>
      <c r="B390" s="887" t="s">
        <v>42</v>
      </c>
      <c r="C390" s="887"/>
      <c r="D390" s="885" t="s">
        <v>1133</v>
      </c>
      <c r="E390" s="883">
        <v>0</v>
      </c>
      <c r="F390" s="883">
        <v>0</v>
      </c>
      <c r="G390" s="883">
        <v>0</v>
      </c>
      <c r="H390" s="883">
        <v>0</v>
      </c>
      <c r="I390" s="883">
        <v>0</v>
      </c>
      <c r="J390" s="883">
        <v>0</v>
      </c>
      <c r="K390" s="883">
        <v>0</v>
      </c>
      <c r="L390" s="883">
        <v>0</v>
      </c>
      <c r="M390" s="883">
        <v>0</v>
      </c>
      <c r="N390" s="883">
        <v>0</v>
      </c>
      <c r="O390" s="883">
        <v>0</v>
      </c>
      <c r="P390" s="883">
        <v>0</v>
      </c>
      <c r="Q390" s="883">
        <v>0</v>
      </c>
      <c r="R390" s="883">
        <v>0</v>
      </c>
      <c r="S390" s="883">
        <v>0</v>
      </c>
      <c r="T390" s="883">
        <v>0</v>
      </c>
      <c r="U390" s="883">
        <v>0</v>
      </c>
      <c r="V390" s="883">
        <v>0</v>
      </c>
    </row>
    <row r="391" spans="1:22" x14ac:dyDescent="0.25">
      <c r="A391" s="887" t="s">
        <v>893</v>
      </c>
      <c r="B391" s="887" t="s">
        <v>42</v>
      </c>
      <c r="C391" s="887" t="s">
        <v>196</v>
      </c>
      <c r="D391" s="884" t="s">
        <v>1134</v>
      </c>
      <c r="E391" s="881">
        <v>0</v>
      </c>
      <c r="F391" s="881">
        <v>0</v>
      </c>
      <c r="G391" s="881">
        <v>0</v>
      </c>
      <c r="H391" s="881">
        <v>0</v>
      </c>
      <c r="I391" s="881">
        <v>0</v>
      </c>
      <c r="J391" s="881">
        <v>0</v>
      </c>
      <c r="K391" s="881">
        <v>0</v>
      </c>
      <c r="L391" s="881">
        <v>0</v>
      </c>
      <c r="M391" s="881">
        <v>0</v>
      </c>
      <c r="N391" s="881">
        <v>0</v>
      </c>
      <c r="O391" s="881">
        <v>0</v>
      </c>
      <c r="P391" s="881">
        <v>0</v>
      </c>
      <c r="Q391" s="881">
        <v>0</v>
      </c>
      <c r="R391" s="881">
        <v>0</v>
      </c>
      <c r="S391" s="881">
        <v>0</v>
      </c>
      <c r="T391" s="881">
        <v>0</v>
      </c>
      <c r="U391" s="881">
        <v>0</v>
      </c>
      <c r="V391" s="881">
        <v>0</v>
      </c>
    </row>
    <row r="392" spans="1:22" x14ac:dyDescent="0.25">
      <c r="A392" s="887" t="s">
        <v>893</v>
      </c>
      <c r="B392" s="887" t="s">
        <v>42</v>
      </c>
      <c r="C392" s="887"/>
      <c r="D392" s="882" t="s">
        <v>1135</v>
      </c>
    </row>
    <row r="393" spans="1:22" x14ac:dyDescent="0.25">
      <c r="A393" s="887" t="s">
        <v>893</v>
      </c>
      <c r="B393" s="887" t="s">
        <v>42</v>
      </c>
      <c r="C393" s="887"/>
      <c r="D393" s="885" t="s">
        <v>1136</v>
      </c>
      <c r="E393" s="883">
        <v>0</v>
      </c>
      <c r="F393" s="883">
        <v>0</v>
      </c>
      <c r="G393" s="883">
        <v>0</v>
      </c>
      <c r="H393" s="883">
        <v>0</v>
      </c>
      <c r="I393" s="883">
        <v>0</v>
      </c>
      <c r="J393" s="883">
        <v>0</v>
      </c>
      <c r="K393" s="883">
        <v>0</v>
      </c>
      <c r="L393" s="883">
        <v>0</v>
      </c>
      <c r="M393" s="883">
        <v>0</v>
      </c>
      <c r="N393" s="883">
        <v>0</v>
      </c>
      <c r="O393" s="883">
        <v>0</v>
      </c>
      <c r="P393" s="883">
        <v>0</v>
      </c>
      <c r="Q393" s="883">
        <v>0</v>
      </c>
      <c r="R393" s="883">
        <v>0</v>
      </c>
      <c r="S393" s="883">
        <v>0</v>
      </c>
      <c r="T393" s="883">
        <v>0</v>
      </c>
      <c r="U393" s="883">
        <v>0</v>
      </c>
      <c r="V393" s="883">
        <v>0</v>
      </c>
    </row>
    <row r="394" spans="1:22" x14ac:dyDescent="0.25">
      <c r="A394" s="887" t="s">
        <v>893</v>
      </c>
      <c r="B394" s="887" t="s">
        <v>42</v>
      </c>
      <c r="C394" s="887" t="s">
        <v>198</v>
      </c>
      <c r="D394" s="884" t="s">
        <v>1137</v>
      </c>
      <c r="E394" s="881">
        <v>0</v>
      </c>
      <c r="F394" s="881">
        <v>0</v>
      </c>
      <c r="G394" s="881">
        <v>0</v>
      </c>
      <c r="H394" s="881">
        <v>0</v>
      </c>
      <c r="I394" s="881">
        <v>0</v>
      </c>
      <c r="J394" s="881">
        <v>0</v>
      </c>
      <c r="K394" s="881">
        <v>0</v>
      </c>
      <c r="L394" s="881">
        <v>0</v>
      </c>
      <c r="M394" s="881">
        <v>0</v>
      </c>
      <c r="N394" s="881">
        <v>0</v>
      </c>
      <c r="O394" s="881">
        <v>0</v>
      </c>
      <c r="P394" s="881">
        <v>0</v>
      </c>
      <c r="Q394" s="881">
        <v>0</v>
      </c>
      <c r="R394" s="881">
        <v>0</v>
      </c>
      <c r="S394" s="881">
        <v>0</v>
      </c>
      <c r="T394" s="881">
        <v>0</v>
      </c>
      <c r="U394" s="881">
        <v>0</v>
      </c>
      <c r="V394" s="881">
        <v>0</v>
      </c>
    </row>
    <row r="395" spans="1:22" x14ac:dyDescent="0.25">
      <c r="A395" s="887" t="s">
        <v>893</v>
      </c>
      <c r="B395" s="887" t="s">
        <v>42</v>
      </c>
      <c r="C395" s="887"/>
      <c r="D395" s="882" t="s">
        <v>1138</v>
      </c>
    </row>
    <row r="396" spans="1:22" x14ac:dyDescent="0.25">
      <c r="A396" s="887" t="s">
        <v>893</v>
      </c>
      <c r="B396" s="887" t="s">
        <v>42</v>
      </c>
      <c r="C396" s="887"/>
      <c r="D396" s="885" t="s">
        <v>1139</v>
      </c>
      <c r="E396" s="883">
        <v>2.90831517292084E-2</v>
      </c>
      <c r="F396" s="883">
        <v>2.90831517292084E-2</v>
      </c>
      <c r="G396" s="883">
        <v>2.90831517292084E-2</v>
      </c>
      <c r="H396" s="883">
        <v>2.90831517292084E-2</v>
      </c>
      <c r="I396" s="883">
        <v>2.90831517292084E-2</v>
      </c>
      <c r="J396" s="883">
        <v>2.90831517292084E-2</v>
      </c>
      <c r="K396" s="883">
        <v>2.90831517292084E-2</v>
      </c>
      <c r="L396" s="883">
        <v>2.90831517292084E-2</v>
      </c>
      <c r="M396" s="883">
        <v>2.90831517292084E-2</v>
      </c>
      <c r="N396" s="883">
        <v>2.90831517292084E-2</v>
      </c>
      <c r="O396" s="883">
        <v>2.90831517292084E-2</v>
      </c>
      <c r="P396" s="883">
        <v>2.90831517292084E-2</v>
      </c>
      <c r="Q396" s="883">
        <v>2.90831517292084E-2</v>
      </c>
      <c r="R396" s="883">
        <v>2.90831517292084E-2</v>
      </c>
      <c r="S396" s="883">
        <v>2.90831517292084E-2</v>
      </c>
      <c r="T396" s="883">
        <v>2.90831517292084E-2</v>
      </c>
      <c r="U396" s="883">
        <v>2.90831517292084E-2</v>
      </c>
      <c r="V396" s="883">
        <v>2.90831517292084E-2</v>
      </c>
    </row>
    <row r="397" spans="1:22" x14ac:dyDescent="0.25">
      <c r="A397" s="887" t="s">
        <v>893</v>
      </c>
      <c r="B397" s="887" t="s">
        <v>42</v>
      </c>
      <c r="C397" s="887" t="s">
        <v>670</v>
      </c>
      <c r="D397" s="884" t="s">
        <v>1140</v>
      </c>
      <c r="E397" s="881">
        <v>8.6103098119020807</v>
      </c>
      <c r="F397" s="881">
        <v>7.9694662024940399</v>
      </c>
      <c r="G397" s="881">
        <v>6.3842958470891604</v>
      </c>
      <c r="H397" s="881">
        <v>4.4047580736538796</v>
      </c>
      <c r="I397" s="881">
        <v>2.6961003285474998</v>
      </c>
      <c r="J397" s="881">
        <v>1.83835503211103</v>
      </c>
      <c r="K397" s="881">
        <v>10.854382378769699</v>
      </c>
      <c r="L397" s="881">
        <v>9.0311387632786992</v>
      </c>
      <c r="M397" s="881">
        <v>10.4209330591286</v>
      </c>
      <c r="N397" s="881">
        <v>12.408173290942701</v>
      </c>
      <c r="O397" s="881">
        <v>12.0964232845335</v>
      </c>
      <c r="P397" s="881">
        <v>7.5084344240365697</v>
      </c>
      <c r="Q397" s="881">
        <v>3.0186950918720901</v>
      </c>
      <c r="R397" s="881">
        <v>2.0492413155202001</v>
      </c>
      <c r="S397" s="881">
        <v>3.8415462178069402</v>
      </c>
      <c r="T397" s="881">
        <v>6.6183955208963301</v>
      </c>
      <c r="U397" s="881">
        <v>7.9063570264852396</v>
      </c>
      <c r="V397" s="881">
        <v>9.73128247534477</v>
      </c>
    </row>
    <row r="398" spans="1:22" x14ac:dyDescent="0.25">
      <c r="A398" s="887" t="s">
        <v>893</v>
      </c>
      <c r="B398" s="887" t="s">
        <v>42</v>
      </c>
      <c r="C398" s="887"/>
      <c r="D398" s="882" t="s">
        <v>1141</v>
      </c>
      <c r="E398" s="881">
        <v>89.201184225489897</v>
      </c>
      <c r="F398" s="881">
        <v>125.25077336859199</v>
      </c>
      <c r="G398" s="881">
        <v>124.82645690584</v>
      </c>
      <c r="H398" s="881">
        <v>98.251540913826304</v>
      </c>
      <c r="I398" s="881">
        <v>47.3309906304912</v>
      </c>
      <c r="J398" s="881">
        <v>31.8487467892196</v>
      </c>
      <c r="K398" s="881">
        <v>91.464542077240907</v>
      </c>
      <c r="L398" s="881">
        <v>73.201972510009</v>
      </c>
      <c r="M398" s="881">
        <v>90.282102729408507</v>
      </c>
      <c r="N398" s="881">
        <v>136.716369083312</v>
      </c>
      <c r="O398" s="881">
        <v>181.233763404949</v>
      </c>
      <c r="P398" s="881">
        <v>130.65420572586501</v>
      </c>
      <c r="Q398" s="881">
        <v>48.094533052596702</v>
      </c>
      <c r="R398" s="881">
        <v>32.246556106540403</v>
      </c>
      <c r="S398" s="881">
        <v>49.787823697814098</v>
      </c>
      <c r="T398" s="881">
        <v>68.623781242420407</v>
      </c>
      <c r="U398" s="881">
        <v>69.927839838608193</v>
      </c>
      <c r="V398" s="881">
        <v>74.899739173715702</v>
      </c>
    </row>
    <row r="399" spans="1:22" s="82" customFormat="1" x14ac:dyDescent="0.25">
      <c r="A399" s="880" t="s">
        <v>110</v>
      </c>
      <c r="B399" s="880" t="s">
        <v>18</v>
      </c>
      <c r="C399" s="880"/>
      <c r="D399" s="969" t="s">
        <v>1161</v>
      </c>
    </row>
    <row r="400" spans="1:22" x14ac:dyDescent="0.25">
      <c r="A400" s="887" t="s">
        <v>110</v>
      </c>
      <c r="B400" s="887" t="s">
        <v>18</v>
      </c>
      <c r="C400" s="887"/>
      <c r="D400" s="882" t="s">
        <v>1114</v>
      </c>
    </row>
    <row r="401" spans="1:22" x14ac:dyDescent="0.25">
      <c r="A401" s="887" t="s">
        <v>110</v>
      </c>
      <c r="B401" s="887" t="s">
        <v>18</v>
      </c>
      <c r="C401" s="887"/>
      <c r="D401" s="884" t="s">
        <v>1115</v>
      </c>
      <c r="E401" s="881">
        <v>2</v>
      </c>
      <c r="F401" s="881">
        <v>2</v>
      </c>
      <c r="G401" s="881">
        <v>2</v>
      </c>
      <c r="H401" s="881">
        <v>2</v>
      </c>
      <c r="I401" s="881">
        <v>2</v>
      </c>
      <c r="J401" s="881">
        <v>2</v>
      </c>
      <c r="K401" s="881">
        <v>2</v>
      </c>
      <c r="L401" s="881">
        <v>2</v>
      </c>
      <c r="M401" s="881">
        <v>2</v>
      </c>
      <c r="N401" s="881">
        <v>2</v>
      </c>
      <c r="O401" s="881">
        <v>2</v>
      </c>
      <c r="P401" s="881">
        <v>2</v>
      </c>
      <c r="Q401" s="881">
        <v>2</v>
      </c>
      <c r="R401" s="881">
        <v>2</v>
      </c>
      <c r="S401" s="881">
        <v>2</v>
      </c>
      <c r="T401" s="881">
        <v>2</v>
      </c>
      <c r="U401" s="881">
        <v>2</v>
      </c>
      <c r="V401" s="881">
        <v>2</v>
      </c>
    </row>
    <row r="402" spans="1:22" x14ac:dyDescent="0.25">
      <c r="A402" s="887" t="s">
        <v>110</v>
      </c>
      <c r="B402" s="887" t="s">
        <v>18</v>
      </c>
      <c r="C402" s="887"/>
      <c r="D402" s="884" t="s">
        <v>1116</v>
      </c>
      <c r="E402" s="881">
        <v>0</v>
      </c>
      <c r="F402" s="881">
        <v>0</v>
      </c>
      <c r="G402" s="881">
        <v>0</v>
      </c>
      <c r="H402" s="881">
        <v>0</v>
      </c>
      <c r="I402" s="881">
        <v>0</v>
      </c>
      <c r="J402" s="881">
        <v>0</v>
      </c>
      <c r="K402" s="881">
        <v>0</v>
      </c>
      <c r="L402" s="881">
        <v>0</v>
      </c>
      <c r="M402" s="881">
        <v>0</v>
      </c>
      <c r="N402" s="881">
        <v>0</v>
      </c>
      <c r="O402" s="881">
        <v>0</v>
      </c>
      <c r="P402" s="881">
        <v>0</v>
      </c>
      <c r="Q402" s="881">
        <v>0</v>
      </c>
      <c r="R402" s="881">
        <v>0</v>
      </c>
      <c r="S402" s="881">
        <v>0</v>
      </c>
      <c r="T402" s="881">
        <v>0</v>
      </c>
      <c r="U402" s="881">
        <v>0</v>
      </c>
      <c r="V402" s="881">
        <v>0</v>
      </c>
    </row>
    <row r="403" spans="1:22" x14ac:dyDescent="0.25">
      <c r="A403" s="887" t="s">
        <v>110</v>
      </c>
      <c r="B403" s="887" t="s">
        <v>18</v>
      </c>
      <c r="C403" s="887"/>
      <c r="D403" s="884" t="s">
        <v>1117</v>
      </c>
      <c r="E403" s="881">
        <v>2</v>
      </c>
      <c r="F403" s="881">
        <v>2</v>
      </c>
      <c r="G403" s="881">
        <v>2</v>
      </c>
      <c r="H403" s="881">
        <v>2</v>
      </c>
      <c r="I403" s="881">
        <v>2</v>
      </c>
      <c r="J403" s="881">
        <v>2</v>
      </c>
      <c r="K403" s="881">
        <v>2</v>
      </c>
      <c r="L403" s="881">
        <v>2</v>
      </c>
      <c r="M403" s="881">
        <v>2</v>
      </c>
      <c r="N403" s="881">
        <v>2</v>
      </c>
      <c r="O403" s="881">
        <v>2</v>
      </c>
      <c r="P403" s="881">
        <v>2</v>
      </c>
      <c r="Q403" s="881">
        <v>2</v>
      </c>
      <c r="R403" s="881">
        <v>2</v>
      </c>
      <c r="S403" s="881">
        <v>2</v>
      </c>
      <c r="T403" s="881">
        <v>2</v>
      </c>
      <c r="U403" s="881">
        <v>2</v>
      </c>
      <c r="V403" s="881">
        <v>2</v>
      </c>
    </row>
    <row r="404" spans="1:22" x14ac:dyDescent="0.25">
      <c r="A404" s="887" t="s">
        <v>110</v>
      </c>
      <c r="B404" s="887" t="s">
        <v>18</v>
      </c>
      <c r="C404" s="887"/>
      <c r="D404" s="884" t="s">
        <v>1118</v>
      </c>
      <c r="E404" s="881">
        <v>400</v>
      </c>
      <c r="F404" s="881">
        <v>400</v>
      </c>
      <c r="G404" s="881">
        <v>400</v>
      </c>
      <c r="H404" s="881">
        <v>400</v>
      </c>
      <c r="I404" s="881">
        <v>400</v>
      </c>
      <c r="J404" s="881">
        <v>400</v>
      </c>
      <c r="K404" s="881">
        <v>400</v>
      </c>
      <c r="L404" s="881">
        <v>400</v>
      </c>
      <c r="M404" s="881">
        <v>400</v>
      </c>
      <c r="N404" s="881">
        <v>400</v>
      </c>
      <c r="O404" s="881">
        <v>400</v>
      </c>
      <c r="P404" s="881">
        <v>400</v>
      </c>
      <c r="Q404" s="881">
        <v>400</v>
      </c>
      <c r="R404" s="881">
        <v>400</v>
      </c>
      <c r="S404" s="881">
        <v>400</v>
      </c>
      <c r="T404" s="881">
        <v>400</v>
      </c>
      <c r="U404" s="881">
        <v>400</v>
      </c>
      <c r="V404" s="881">
        <v>400</v>
      </c>
    </row>
    <row r="405" spans="1:22" x14ac:dyDescent="0.25">
      <c r="A405" s="887" t="s">
        <v>110</v>
      </c>
      <c r="B405" s="887" t="s">
        <v>18</v>
      </c>
      <c r="C405" s="887"/>
      <c r="D405" s="884" t="s">
        <v>1119</v>
      </c>
      <c r="E405" s="881">
        <v>0</v>
      </c>
      <c r="F405" s="881">
        <v>0</v>
      </c>
      <c r="G405" s="881">
        <v>0</v>
      </c>
      <c r="H405" s="881">
        <v>0</v>
      </c>
      <c r="I405" s="881">
        <v>0</v>
      </c>
      <c r="J405" s="881">
        <v>0</v>
      </c>
      <c r="K405" s="881">
        <v>0</v>
      </c>
      <c r="L405" s="881">
        <v>0</v>
      </c>
      <c r="M405" s="881">
        <v>0</v>
      </c>
      <c r="N405" s="881">
        <v>0</v>
      </c>
      <c r="O405" s="881">
        <v>0</v>
      </c>
      <c r="P405" s="881">
        <v>0</v>
      </c>
      <c r="Q405" s="881">
        <v>0</v>
      </c>
      <c r="R405" s="881">
        <v>0</v>
      </c>
      <c r="S405" s="881">
        <v>0</v>
      </c>
      <c r="T405" s="881">
        <v>0</v>
      </c>
      <c r="U405" s="881">
        <v>0</v>
      </c>
      <c r="V405" s="881">
        <v>0</v>
      </c>
    </row>
    <row r="406" spans="1:22" x14ac:dyDescent="0.25">
      <c r="A406" s="887" t="s">
        <v>110</v>
      </c>
      <c r="B406" s="887" t="s">
        <v>18</v>
      </c>
      <c r="C406" s="887" t="s">
        <v>169</v>
      </c>
      <c r="D406" s="882" t="s">
        <v>1120</v>
      </c>
      <c r="E406" s="881">
        <v>0.8</v>
      </c>
      <c r="F406" s="881">
        <v>0.8</v>
      </c>
      <c r="G406" s="881">
        <v>0.8</v>
      </c>
      <c r="H406" s="881">
        <v>0.8</v>
      </c>
      <c r="I406" s="881">
        <v>0.8</v>
      </c>
      <c r="J406" s="881">
        <v>0.8</v>
      </c>
      <c r="K406" s="881">
        <v>0.8</v>
      </c>
      <c r="L406" s="881">
        <v>0.8</v>
      </c>
      <c r="M406" s="881">
        <v>0.8</v>
      </c>
      <c r="N406" s="881">
        <v>0.8</v>
      </c>
      <c r="O406" s="881">
        <v>0.8</v>
      </c>
      <c r="P406" s="881">
        <v>0.8</v>
      </c>
      <c r="Q406" s="881">
        <v>0.8</v>
      </c>
      <c r="R406" s="881">
        <v>0.8</v>
      </c>
      <c r="S406" s="881">
        <v>0.8</v>
      </c>
      <c r="T406" s="881">
        <v>0.8</v>
      </c>
      <c r="U406" s="881">
        <v>0.8</v>
      </c>
      <c r="V406" s="881">
        <v>0.8</v>
      </c>
    </row>
    <row r="407" spans="1:22" x14ac:dyDescent="0.25">
      <c r="A407" s="887" t="s">
        <v>110</v>
      </c>
      <c r="B407" s="887" t="s">
        <v>18</v>
      </c>
      <c r="C407" s="887"/>
      <c r="D407" s="882" t="s">
        <v>1121</v>
      </c>
    </row>
    <row r="408" spans="1:22" x14ac:dyDescent="0.25">
      <c r="A408" s="887" t="s">
        <v>110</v>
      </c>
      <c r="B408" s="887" t="s">
        <v>18</v>
      </c>
      <c r="C408" s="887"/>
      <c r="D408" s="884" t="s">
        <v>1122</v>
      </c>
      <c r="E408" s="881">
        <v>2782.9581269999999</v>
      </c>
      <c r="F408" s="881">
        <v>3521.9537849999901</v>
      </c>
      <c r="G408" s="881">
        <v>3912.6435959999999</v>
      </c>
      <c r="H408" s="881">
        <v>4208.9920401999998</v>
      </c>
      <c r="I408" s="881">
        <v>4330.8183252999997</v>
      </c>
      <c r="J408" s="881">
        <v>3618.4850550000001</v>
      </c>
      <c r="K408" s="881">
        <v>2348.4319089999999</v>
      </c>
      <c r="L408" s="881">
        <v>2413.3539940000001</v>
      </c>
      <c r="M408" s="881">
        <v>2512.790739</v>
      </c>
      <c r="N408" s="881">
        <v>3728.087368</v>
      </c>
      <c r="O408" s="881">
        <v>3343.0375530000001</v>
      </c>
      <c r="P408" s="881">
        <v>3903.4085791000002</v>
      </c>
      <c r="Q408" s="881">
        <v>4381.4149010000001</v>
      </c>
      <c r="R408" s="881">
        <v>3651.0720240000001</v>
      </c>
      <c r="S408" s="881">
        <v>2568.1109483999999</v>
      </c>
      <c r="T408" s="881">
        <v>2221.2573284</v>
      </c>
      <c r="U408" s="881">
        <v>1998.2515954999999</v>
      </c>
      <c r="V408" s="881">
        <v>2135.4861221000001</v>
      </c>
    </row>
    <row r="409" spans="1:22" x14ac:dyDescent="0.25">
      <c r="A409" s="887" t="s">
        <v>110</v>
      </c>
      <c r="B409" s="887" t="s">
        <v>18</v>
      </c>
      <c r="C409" s="887"/>
      <c r="D409" s="884" t="s">
        <v>1123</v>
      </c>
      <c r="E409" s="881">
        <v>0</v>
      </c>
      <c r="F409" s="881">
        <v>0</v>
      </c>
      <c r="G409" s="881">
        <v>0</v>
      </c>
      <c r="H409" s="881">
        <v>0</v>
      </c>
      <c r="I409" s="881">
        <v>0</v>
      </c>
      <c r="J409" s="881">
        <v>0</v>
      </c>
      <c r="K409" s="881">
        <v>0</v>
      </c>
      <c r="L409" s="881">
        <v>0</v>
      </c>
      <c r="M409" s="881">
        <v>0</v>
      </c>
      <c r="N409" s="881">
        <v>0</v>
      </c>
      <c r="O409" s="881">
        <v>0</v>
      </c>
      <c r="P409" s="881">
        <v>0</v>
      </c>
      <c r="Q409" s="881">
        <v>0</v>
      </c>
      <c r="R409" s="881">
        <v>0</v>
      </c>
      <c r="S409" s="881">
        <v>0</v>
      </c>
      <c r="T409" s="881">
        <v>0</v>
      </c>
      <c r="U409" s="881">
        <v>0</v>
      </c>
      <c r="V409" s="881">
        <v>0</v>
      </c>
    </row>
    <row r="410" spans="1:22" x14ac:dyDescent="0.25">
      <c r="A410" s="887" t="s">
        <v>110</v>
      </c>
      <c r="B410" s="887" t="s">
        <v>18</v>
      </c>
      <c r="C410" s="887"/>
      <c r="D410" s="885" t="s">
        <v>1124</v>
      </c>
      <c r="E410" s="883">
        <v>2.7829581270000001</v>
      </c>
      <c r="F410" s="883">
        <v>3.5219537849999898</v>
      </c>
      <c r="G410" s="883">
        <v>3.9126435960000001</v>
      </c>
      <c r="H410" s="883">
        <v>4.2089920402000001</v>
      </c>
      <c r="I410" s="883">
        <v>4.3308183253000001</v>
      </c>
      <c r="J410" s="883">
        <v>3.6184850549999998</v>
      </c>
      <c r="K410" s="883">
        <v>2.3484319089999999</v>
      </c>
      <c r="L410" s="883">
        <v>2.4133539939999999</v>
      </c>
      <c r="M410" s="883">
        <v>2.5127907390000002</v>
      </c>
      <c r="N410" s="883">
        <v>3.7280873680000002</v>
      </c>
      <c r="O410" s="883">
        <v>3.3430375529999998</v>
      </c>
      <c r="P410" s="883">
        <v>3.9034085791000002</v>
      </c>
      <c r="Q410" s="883">
        <v>4.3814149010000003</v>
      </c>
      <c r="R410" s="883">
        <v>3.6510720239999999</v>
      </c>
      <c r="S410" s="883">
        <v>2.56811094839999</v>
      </c>
      <c r="T410" s="883">
        <v>2.2212573284000001</v>
      </c>
      <c r="U410" s="883">
        <v>1.9982515955</v>
      </c>
      <c r="V410" s="883">
        <v>2.1354861221000001</v>
      </c>
    </row>
    <row r="411" spans="1:22" x14ac:dyDescent="0.25">
      <c r="A411" s="887" t="s">
        <v>110</v>
      </c>
      <c r="B411" s="887" t="s">
        <v>18</v>
      </c>
      <c r="C411" s="887"/>
      <c r="D411" s="885" t="s">
        <v>1125</v>
      </c>
      <c r="E411" s="883">
        <v>0.70089999999999997</v>
      </c>
      <c r="F411" s="883">
        <v>0.70089999999999997</v>
      </c>
      <c r="G411" s="883">
        <v>0.70089999999999997</v>
      </c>
      <c r="H411" s="883">
        <v>0.70089999999999997</v>
      </c>
      <c r="I411" s="883">
        <v>0.70089999999999997</v>
      </c>
      <c r="J411" s="883">
        <v>0.70089999999999997</v>
      </c>
      <c r="K411" s="883">
        <v>0.70089999999999997</v>
      </c>
      <c r="L411" s="883">
        <v>0.70089999999999997</v>
      </c>
      <c r="M411" s="883">
        <v>0.70089999999999997</v>
      </c>
      <c r="N411" s="883">
        <v>0.70089999999999997</v>
      </c>
      <c r="O411" s="883">
        <v>0.70089999999999997</v>
      </c>
      <c r="P411" s="883">
        <v>0.70089999999999997</v>
      </c>
      <c r="Q411" s="883">
        <v>0.70089999999999997</v>
      </c>
      <c r="R411" s="883">
        <v>0.70089999999999997</v>
      </c>
      <c r="S411" s="883">
        <v>0.70089999999999997</v>
      </c>
      <c r="T411" s="883">
        <v>0.70089999999999997</v>
      </c>
      <c r="U411" s="883">
        <v>0.70089999999999997</v>
      </c>
      <c r="V411" s="883">
        <v>0.70089999999999997</v>
      </c>
    </row>
    <row r="412" spans="1:22" x14ac:dyDescent="0.25">
      <c r="A412" s="887" t="s">
        <v>110</v>
      </c>
      <c r="B412" s="887" t="s">
        <v>18</v>
      </c>
      <c r="C412" s="887"/>
      <c r="D412" s="885" t="s">
        <v>1126</v>
      </c>
      <c r="E412" s="883">
        <v>0.70089999999999997</v>
      </c>
      <c r="F412" s="883">
        <v>0.70089999999999997</v>
      </c>
      <c r="G412" s="883">
        <v>0.70089999999999997</v>
      </c>
      <c r="H412" s="883">
        <v>0.70089999999999997</v>
      </c>
      <c r="I412" s="883">
        <v>0.70089999999999997</v>
      </c>
      <c r="J412" s="883">
        <v>0.70089999999999997</v>
      </c>
      <c r="K412" s="883">
        <v>0.70089999999999997</v>
      </c>
      <c r="L412" s="883">
        <v>0.70089999999999997</v>
      </c>
      <c r="M412" s="883">
        <v>0.70089999999999997</v>
      </c>
      <c r="N412" s="883">
        <v>0.70089999999999997</v>
      </c>
      <c r="O412" s="883">
        <v>0.70089999999999997</v>
      </c>
      <c r="P412" s="883">
        <v>0.70089999999999997</v>
      </c>
      <c r="Q412" s="883">
        <v>0.70089999999999997</v>
      </c>
      <c r="R412" s="883">
        <v>0.70089999999999997</v>
      </c>
      <c r="S412" s="883">
        <v>0.70089999999999997</v>
      </c>
      <c r="T412" s="883">
        <v>0.70089999999999997</v>
      </c>
      <c r="U412" s="883">
        <v>0.70089999999999997</v>
      </c>
      <c r="V412" s="883">
        <v>0.70089999999999997</v>
      </c>
    </row>
    <row r="413" spans="1:22" x14ac:dyDescent="0.25">
      <c r="A413" s="887" t="s">
        <v>110</v>
      </c>
      <c r="B413" s="887" t="s">
        <v>18</v>
      </c>
      <c r="C413" s="887"/>
      <c r="D413" s="885" t="s">
        <v>1127</v>
      </c>
      <c r="E413" s="883">
        <v>0</v>
      </c>
      <c r="F413" s="883">
        <v>0</v>
      </c>
      <c r="G413" s="883">
        <v>0</v>
      </c>
      <c r="H413" s="883">
        <v>0</v>
      </c>
      <c r="I413" s="883">
        <v>0</v>
      </c>
      <c r="J413" s="883">
        <v>0</v>
      </c>
      <c r="K413" s="883">
        <v>0</v>
      </c>
      <c r="L413" s="883">
        <v>0</v>
      </c>
      <c r="M413" s="883">
        <v>0</v>
      </c>
      <c r="N413" s="883">
        <v>0</v>
      </c>
      <c r="O413" s="883">
        <v>0</v>
      </c>
      <c r="P413" s="883">
        <v>0</v>
      </c>
      <c r="Q413" s="883">
        <v>0</v>
      </c>
      <c r="R413" s="883">
        <v>0</v>
      </c>
      <c r="S413" s="883">
        <v>0</v>
      </c>
      <c r="T413" s="883">
        <v>0</v>
      </c>
      <c r="U413" s="883">
        <v>0</v>
      </c>
      <c r="V413" s="883">
        <v>0</v>
      </c>
    </row>
    <row r="414" spans="1:22" x14ac:dyDescent="0.25">
      <c r="A414" s="887" t="s">
        <v>110</v>
      </c>
      <c r="B414" s="887" t="s">
        <v>18</v>
      </c>
      <c r="C414" s="887" t="s">
        <v>778</v>
      </c>
      <c r="D414" s="882" t="s">
        <v>1128</v>
      </c>
      <c r="E414" s="881">
        <v>1.95057535121429</v>
      </c>
      <c r="F414" s="881">
        <v>2.4685374079064899</v>
      </c>
      <c r="G414" s="881">
        <v>2.7423718964363899</v>
      </c>
      <c r="H414" s="881">
        <v>2.9500825209761699</v>
      </c>
      <c r="I414" s="881">
        <v>3.0354705642027699</v>
      </c>
      <c r="J414" s="881">
        <v>2.5361961750494899</v>
      </c>
      <c r="K414" s="881">
        <v>1.6460159250180999</v>
      </c>
      <c r="L414" s="881">
        <v>1.6915198143946</v>
      </c>
      <c r="M414" s="881">
        <v>1.7612150289650901</v>
      </c>
      <c r="N414" s="881">
        <v>2.6130164362312001</v>
      </c>
      <c r="O414" s="881">
        <v>2.3431350208977002</v>
      </c>
      <c r="P414" s="881">
        <v>2.7358990730911898</v>
      </c>
      <c r="Q414" s="881">
        <v>3.0709337041108999</v>
      </c>
      <c r="R414" s="881">
        <v>2.5590363816216</v>
      </c>
      <c r="S414" s="881">
        <v>1.79998896373355</v>
      </c>
      <c r="T414" s="881">
        <v>1.55687926147556</v>
      </c>
      <c r="U414" s="881">
        <v>1.40057454328595</v>
      </c>
      <c r="V414" s="881">
        <v>1.49676222297989</v>
      </c>
    </row>
    <row r="415" spans="1:22" x14ac:dyDescent="0.25">
      <c r="A415" s="887" t="s">
        <v>110</v>
      </c>
      <c r="B415" s="887" t="s">
        <v>18</v>
      </c>
      <c r="C415" s="887"/>
      <c r="D415" s="882" t="s">
        <v>1129</v>
      </c>
    </row>
    <row r="416" spans="1:22" x14ac:dyDescent="0.25">
      <c r="A416" s="887" t="s">
        <v>110</v>
      </c>
      <c r="B416" s="887" t="s">
        <v>18</v>
      </c>
      <c r="C416" s="887"/>
      <c r="D416" s="882" t="s">
        <v>1130</v>
      </c>
    </row>
    <row r="417" spans="1:22" x14ac:dyDescent="0.25">
      <c r="A417" s="887" t="s">
        <v>110</v>
      </c>
      <c r="B417" s="887" t="s">
        <v>18</v>
      </c>
      <c r="C417" s="887"/>
      <c r="D417" s="882" t="s">
        <v>1131</v>
      </c>
      <c r="E417" s="881">
        <v>2.7505753512142999</v>
      </c>
      <c r="F417" s="881">
        <v>3.2685374079064999</v>
      </c>
      <c r="G417" s="881">
        <v>3.5423718964363999</v>
      </c>
      <c r="H417" s="881">
        <v>3.7500825209761701</v>
      </c>
      <c r="I417" s="881">
        <v>3.83547056420276</v>
      </c>
      <c r="J417" s="881">
        <v>3.3361961750494902</v>
      </c>
      <c r="K417" s="881">
        <v>2.4460159250180999</v>
      </c>
      <c r="L417" s="881">
        <v>2.4915198143946</v>
      </c>
      <c r="M417" s="881">
        <v>2.5612150289650999</v>
      </c>
      <c r="N417" s="881">
        <v>3.4130164362311999</v>
      </c>
      <c r="O417" s="881">
        <v>3.1431350208977</v>
      </c>
      <c r="P417" s="881">
        <v>3.5358990730911901</v>
      </c>
      <c r="Q417" s="881">
        <v>3.8709337041109002</v>
      </c>
      <c r="R417" s="881">
        <v>3.3590363816215998</v>
      </c>
      <c r="S417" s="881">
        <v>2.5999889637335598</v>
      </c>
      <c r="T417" s="881">
        <v>2.35687926147556</v>
      </c>
      <c r="U417" s="881">
        <v>2.20057454328595</v>
      </c>
      <c r="V417" s="881">
        <v>2.2967622229798899</v>
      </c>
    </row>
    <row r="418" spans="1:22" x14ac:dyDescent="0.25">
      <c r="A418" s="887" t="s">
        <v>110</v>
      </c>
      <c r="B418" s="887" t="s">
        <v>18</v>
      </c>
      <c r="C418" s="887"/>
      <c r="D418" s="882" t="s">
        <v>1132</v>
      </c>
    </row>
    <row r="419" spans="1:22" x14ac:dyDescent="0.25">
      <c r="A419" s="887" t="s">
        <v>110</v>
      </c>
      <c r="B419" s="887" t="s">
        <v>18</v>
      </c>
      <c r="C419" s="887"/>
      <c r="D419" s="885" t="s">
        <v>1133</v>
      </c>
      <c r="E419" s="883">
        <v>3.54132328535503</v>
      </c>
      <c r="F419" s="883">
        <v>4.0825536529198896</v>
      </c>
      <c r="G419" s="883">
        <v>4.6151370530302804</v>
      </c>
      <c r="H419" s="883">
        <v>4.7204926546137003</v>
      </c>
      <c r="I419" s="883">
        <v>4.2816079006073897</v>
      </c>
      <c r="J419" s="883">
        <v>4.61774840312499</v>
      </c>
      <c r="K419" s="883">
        <v>3.6370825733754901</v>
      </c>
      <c r="L419" s="883">
        <v>3.1998593487156</v>
      </c>
      <c r="M419" s="883">
        <v>3.4441400635944199</v>
      </c>
      <c r="N419" s="883">
        <v>2.6697967759149801</v>
      </c>
      <c r="O419" s="883">
        <v>3.6621728781104101</v>
      </c>
      <c r="P419" s="883">
        <v>3.9547219031793199</v>
      </c>
      <c r="Q419" s="883">
        <v>4.3060793499123999</v>
      </c>
      <c r="R419" s="883">
        <v>4.66270835833049</v>
      </c>
      <c r="S419" s="883">
        <v>5.2056863414265502</v>
      </c>
      <c r="T419" s="883">
        <v>5.4531502607765896</v>
      </c>
      <c r="U419" s="883">
        <v>5.0764131270513699</v>
      </c>
      <c r="V419" s="883">
        <v>4.0447960531742</v>
      </c>
    </row>
    <row r="420" spans="1:22" x14ac:dyDescent="0.25">
      <c r="A420" s="887" t="s">
        <v>110</v>
      </c>
      <c r="B420" s="887" t="s">
        <v>18</v>
      </c>
      <c r="C420" s="887" t="s">
        <v>196</v>
      </c>
      <c r="D420" s="884" t="s">
        <v>1134</v>
      </c>
      <c r="E420" s="881">
        <v>9.85535441731313</v>
      </c>
      <c r="F420" s="881">
        <v>14.3785652903667</v>
      </c>
      <c r="G420" s="881">
        <v>18.057386435201199</v>
      </c>
      <c r="H420" s="881">
        <v>19.8685160090916</v>
      </c>
      <c r="I420" s="881">
        <v>18.5428659576997</v>
      </c>
      <c r="J420" s="881">
        <v>16.709253584457901</v>
      </c>
      <c r="K420" s="881">
        <v>8.5414407709828399</v>
      </c>
      <c r="L420" s="881">
        <v>7.7223933394610498</v>
      </c>
      <c r="M420" s="881">
        <v>8.6544032556189396</v>
      </c>
      <c r="N420" s="881">
        <v>9.9532356354157994</v>
      </c>
      <c r="O420" s="881">
        <v>12.2427814571012</v>
      </c>
      <c r="P420" s="881">
        <v>15.436895404824799</v>
      </c>
      <c r="Q420" s="881">
        <v>18.866720228594598</v>
      </c>
      <c r="R420" s="881">
        <v>17.0238840431714</v>
      </c>
      <c r="S420" s="881">
        <v>13.3687800873538</v>
      </c>
      <c r="T420" s="881">
        <v>12.1128499796163</v>
      </c>
      <c r="U420" s="881">
        <v>10.143950630547501</v>
      </c>
      <c r="V420" s="881">
        <v>8.6376058382783594</v>
      </c>
    </row>
    <row r="421" spans="1:22" x14ac:dyDescent="0.25">
      <c r="A421" s="887" t="s">
        <v>110</v>
      </c>
      <c r="B421" s="887" t="s">
        <v>18</v>
      </c>
      <c r="C421" s="887"/>
      <c r="D421" s="882" t="s">
        <v>1135</v>
      </c>
    </row>
    <row r="422" spans="1:22" x14ac:dyDescent="0.25">
      <c r="A422" s="887" t="s">
        <v>110</v>
      </c>
      <c r="B422" s="887" t="s">
        <v>18</v>
      </c>
      <c r="C422" s="887"/>
      <c r="D422" s="885" t="s">
        <v>1136</v>
      </c>
      <c r="E422" s="883">
        <v>0.34906843462946002</v>
      </c>
      <c r="F422" s="883">
        <v>0.16939007523933</v>
      </c>
      <c r="G422" s="883">
        <v>9.4024398016510996E-2</v>
      </c>
      <c r="H422" s="883">
        <v>7.9005885786712304E-2</v>
      </c>
      <c r="I422" s="883">
        <v>4.2818241030573301E-2</v>
      </c>
      <c r="J422" s="883">
        <v>5.3348528484577801E-2</v>
      </c>
      <c r="K422" s="883">
        <v>0.24690512534735301</v>
      </c>
      <c r="L422" s="883">
        <v>0.286805863570613</v>
      </c>
      <c r="M422" s="883">
        <v>0.2714755224323</v>
      </c>
      <c r="N422" s="883">
        <v>0.23977615362243901</v>
      </c>
      <c r="O422" s="883">
        <v>0.112823983088882</v>
      </c>
      <c r="P422" s="883">
        <v>3.1676324500992899E-2</v>
      </c>
      <c r="Q422" s="883">
        <v>5.1767532114618299E-2</v>
      </c>
      <c r="R422" s="883">
        <v>6.4560825100963504E-2</v>
      </c>
      <c r="S422" s="883">
        <v>0.10990553607190399</v>
      </c>
      <c r="T422" s="883">
        <v>0.18637651503338701</v>
      </c>
      <c r="U422" s="883">
        <v>0.28860955010716799</v>
      </c>
      <c r="V422" s="883">
        <v>0.33287319112658798</v>
      </c>
    </row>
    <row r="423" spans="1:22" x14ac:dyDescent="0.25">
      <c r="A423" s="887" t="s">
        <v>110</v>
      </c>
      <c r="B423" s="887" t="s">
        <v>18</v>
      </c>
      <c r="C423" s="887" t="s">
        <v>198</v>
      </c>
      <c r="D423" s="884" t="s">
        <v>1137</v>
      </c>
      <c r="E423" s="881">
        <v>0.97144283703122503</v>
      </c>
      <c r="F423" s="881">
        <v>0.59658401663059302</v>
      </c>
      <c r="G423" s="881">
        <v>0.36788395876705698</v>
      </c>
      <c r="H423" s="881">
        <v>0.33253514440522203</v>
      </c>
      <c r="I423" s="881">
        <v>0.18543802291231901</v>
      </c>
      <c r="J423" s="881">
        <v>0.193040853027686</v>
      </c>
      <c r="K423" s="881">
        <v>0.57983987486136901</v>
      </c>
      <c r="L423" s="881">
        <v>0.69216407635076005</v>
      </c>
      <c r="M423" s="881">
        <v>0.68216117863307102</v>
      </c>
      <c r="N423" s="881">
        <v>0.89390644946744602</v>
      </c>
      <c r="O423" s="881">
        <v>0.37717481234516897</v>
      </c>
      <c r="P423" s="881">
        <v>0.123645636811531</v>
      </c>
      <c r="Q423" s="881">
        <v>0.226815036594984</v>
      </c>
      <c r="R423" s="881">
        <v>0.23571622237248499</v>
      </c>
      <c r="S423" s="881">
        <v>0.28224961047602798</v>
      </c>
      <c r="T423" s="881">
        <v>0.41399019985956398</v>
      </c>
      <c r="U423" s="881">
        <v>0.57671449397818597</v>
      </c>
      <c r="V423" s="881">
        <v>0.71084608006997096</v>
      </c>
    </row>
    <row r="424" spans="1:22" x14ac:dyDescent="0.25">
      <c r="A424" s="887" t="s">
        <v>110</v>
      </c>
      <c r="B424" s="887" t="s">
        <v>18</v>
      </c>
      <c r="C424" s="887"/>
      <c r="D424" s="882" t="s">
        <v>1138</v>
      </c>
    </row>
    <row r="425" spans="1:22" x14ac:dyDescent="0.25">
      <c r="A425" s="887" t="s">
        <v>110</v>
      </c>
      <c r="B425" s="887" t="s">
        <v>18</v>
      </c>
      <c r="C425" s="887"/>
      <c r="D425" s="885" t="s">
        <v>1139</v>
      </c>
      <c r="E425" s="883">
        <v>7.2705548342424002E-3</v>
      </c>
      <c r="F425" s="883">
        <v>7.2705548342424002E-3</v>
      </c>
      <c r="G425" s="883">
        <v>7.2705548342424002E-3</v>
      </c>
      <c r="H425" s="883">
        <v>7.2705548342424002E-3</v>
      </c>
      <c r="I425" s="883">
        <v>7.2705548342424002E-3</v>
      </c>
      <c r="J425" s="883">
        <v>7.2705548342424002E-3</v>
      </c>
      <c r="K425" s="883">
        <v>7.2705548342424002E-3</v>
      </c>
      <c r="L425" s="883">
        <v>7.2705548342424002E-3</v>
      </c>
      <c r="M425" s="883">
        <v>7.2705548342424002E-3</v>
      </c>
      <c r="N425" s="883">
        <v>7.2705548342424002E-3</v>
      </c>
      <c r="O425" s="883">
        <v>7.2705548342424002E-3</v>
      </c>
      <c r="P425" s="883">
        <v>7.2705548342424002E-3</v>
      </c>
      <c r="Q425" s="883">
        <v>7.2705548342424002E-3</v>
      </c>
      <c r="R425" s="883">
        <v>7.2705548342424002E-3</v>
      </c>
      <c r="S425" s="883">
        <v>7.2705548342424002E-3</v>
      </c>
      <c r="T425" s="883">
        <v>7.2705548342424002E-3</v>
      </c>
      <c r="U425" s="883">
        <v>7.2705548342424002E-3</v>
      </c>
      <c r="V425" s="883">
        <v>7.2705548342424002E-3</v>
      </c>
    </row>
    <row r="426" spans="1:22" x14ac:dyDescent="0.25">
      <c r="A426" s="887" t="s">
        <v>110</v>
      </c>
      <c r="B426" s="887" t="s">
        <v>18</v>
      </c>
      <c r="C426" s="887" t="s">
        <v>670</v>
      </c>
      <c r="D426" s="884" t="s">
        <v>1140</v>
      </c>
      <c r="E426" s="881">
        <v>2.6935322769107</v>
      </c>
      <c r="F426" s="881">
        <v>2.6690017065340301</v>
      </c>
      <c r="G426" s="881">
        <v>3.11362391475337</v>
      </c>
      <c r="H426" s="881">
        <v>4.2855840777361802</v>
      </c>
      <c r="I426" s="881">
        <v>5.9447770246700902</v>
      </c>
      <c r="J426" s="881">
        <v>6.2301344112707504</v>
      </c>
      <c r="K426" s="881">
        <v>3.5730221669292401</v>
      </c>
      <c r="L426" s="881">
        <v>4.2788461302094998</v>
      </c>
      <c r="M426" s="881">
        <v>3.4201353439356899</v>
      </c>
      <c r="N426" s="881">
        <v>2.9938941211808698</v>
      </c>
      <c r="O426" s="881">
        <v>3.2081597272514801</v>
      </c>
      <c r="P426" s="881">
        <v>4.4958416694006402</v>
      </c>
      <c r="Q426" s="881">
        <v>6.8252620288540804</v>
      </c>
      <c r="R426" s="881">
        <v>7.1418251083880602</v>
      </c>
      <c r="S426" s="881">
        <v>6.2263593948655203</v>
      </c>
      <c r="T426" s="881">
        <v>5.2734675527321997</v>
      </c>
      <c r="U426" s="881">
        <v>4.99684826663451</v>
      </c>
      <c r="V426" s="881">
        <v>4.63117790044942</v>
      </c>
    </row>
    <row r="427" spans="1:22" x14ac:dyDescent="0.25">
      <c r="A427" s="887" t="s">
        <v>110</v>
      </c>
      <c r="B427" s="887" t="s">
        <v>18</v>
      </c>
      <c r="C427" s="887"/>
      <c r="D427" s="882" t="s">
        <v>1141</v>
      </c>
      <c r="E427" s="881">
        <v>16.270904882469299</v>
      </c>
      <c r="F427" s="881">
        <v>20.912688421437899</v>
      </c>
      <c r="G427" s="881">
        <v>25.081266205157998</v>
      </c>
      <c r="H427" s="881">
        <v>28.236717752209199</v>
      </c>
      <c r="I427" s="881">
        <v>28.508551569484901</v>
      </c>
      <c r="J427" s="881">
        <v>26.468625023805799</v>
      </c>
      <c r="K427" s="881">
        <v>15.1403187377915</v>
      </c>
      <c r="L427" s="881">
        <v>15.184923360415899</v>
      </c>
      <c r="M427" s="881">
        <v>15.3179148071528</v>
      </c>
      <c r="N427" s="881">
        <v>17.254052642295299</v>
      </c>
      <c r="O427" s="881">
        <v>18.971251017595499</v>
      </c>
      <c r="P427" s="881">
        <v>23.5922817841282</v>
      </c>
      <c r="Q427" s="881">
        <v>29.7897309981545</v>
      </c>
      <c r="R427" s="881">
        <v>27.7604617555535</v>
      </c>
      <c r="S427" s="881">
        <v>22.477378056428901</v>
      </c>
      <c r="T427" s="881">
        <v>20.157186993683698</v>
      </c>
      <c r="U427" s="881">
        <v>17.918087934446099</v>
      </c>
      <c r="V427" s="881">
        <v>16.276392041777601</v>
      </c>
    </row>
    <row r="428" spans="1:22" s="82" customFormat="1" x14ac:dyDescent="0.25">
      <c r="A428" s="880" t="s">
        <v>109</v>
      </c>
      <c r="B428" s="880" t="s">
        <v>26</v>
      </c>
      <c r="C428" s="880"/>
      <c r="D428" s="969" t="s">
        <v>1162</v>
      </c>
    </row>
    <row r="429" spans="1:22" x14ac:dyDescent="0.25">
      <c r="A429" s="881" t="s">
        <v>109</v>
      </c>
      <c r="B429" s="881" t="s">
        <v>26</v>
      </c>
      <c r="C429" s="881"/>
      <c r="D429" s="882" t="s">
        <v>1114</v>
      </c>
    </row>
    <row r="430" spans="1:22" x14ac:dyDescent="0.25">
      <c r="A430" s="881" t="s">
        <v>109</v>
      </c>
      <c r="B430" s="881" t="s">
        <v>26</v>
      </c>
      <c r="C430" s="881"/>
      <c r="D430" s="884" t="s">
        <v>1115</v>
      </c>
      <c r="E430" s="881">
        <v>0</v>
      </c>
      <c r="F430" s="881">
        <v>0</v>
      </c>
      <c r="G430" s="881">
        <v>0</v>
      </c>
      <c r="H430" s="881">
        <v>0</v>
      </c>
      <c r="I430" s="881">
        <v>0</v>
      </c>
      <c r="J430" s="881">
        <v>0</v>
      </c>
      <c r="K430" s="881">
        <v>0</v>
      </c>
      <c r="L430" s="881">
        <v>0</v>
      </c>
      <c r="M430" s="881">
        <v>0</v>
      </c>
      <c r="N430" s="881">
        <v>0</v>
      </c>
      <c r="O430" s="881">
        <v>0</v>
      </c>
      <c r="P430" s="881">
        <v>0</v>
      </c>
      <c r="Q430" s="881">
        <v>0</v>
      </c>
      <c r="R430" s="881">
        <v>0</v>
      </c>
      <c r="S430" s="881">
        <v>0</v>
      </c>
      <c r="T430" s="881">
        <v>0</v>
      </c>
      <c r="U430" s="881">
        <v>0</v>
      </c>
      <c r="V430" s="881">
        <v>0</v>
      </c>
    </row>
    <row r="431" spans="1:22" x14ac:dyDescent="0.25">
      <c r="A431" s="881" t="s">
        <v>109</v>
      </c>
      <c r="B431" s="881" t="s">
        <v>26</v>
      </c>
      <c r="C431" s="881"/>
      <c r="D431" s="884" t="s">
        <v>1116</v>
      </c>
      <c r="E431" s="881">
        <v>0</v>
      </c>
      <c r="F431" s="881">
        <v>0</v>
      </c>
      <c r="G431" s="881">
        <v>0</v>
      </c>
      <c r="H431" s="881">
        <v>0</v>
      </c>
      <c r="I431" s="881">
        <v>0</v>
      </c>
      <c r="J431" s="881">
        <v>0</v>
      </c>
      <c r="K431" s="881">
        <v>0</v>
      </c>
      <c r="L431" s="881">
        <v>0</v>
      </c>
      <c r="M431" s="881">
        <v>0</v>
      </c>
      <c r="N431" s="881">
        <v>0</v>
      </c>
      <c r="O431" s="881">
        <v>0</v>
      </c>
      <c r="P431" s="881">
        <v>0</v>
      </c>
      <c r="Q431" s="881">
        <v>0</v>
      </c>
      <c r="R431" s="881">
        <v>0</v>
      </c>
      <c r="S431" s="881">
        <v>0</v>
      </c>
      <c r="T431" s="881">
        <v>0</v>
      </c>
      <c r="U431" s="881">
        <v>0</v>
      </c>
      <c r="V431" s="881">
        <v>0</v>
      </c>
    </row>
    <row r="432" spans="1:22" x14ac:dyDescent="0.25">
      <c r="A432" s="881" t="s">
        <v>109</v>
      </c>
      <c r="B432" s="881" t="s">
        <v>26</v>
      </c>
      <c r="C432" s="881"/>
      <c r="D432" s="884" t="s">
        <v>1117</v>
      </c>
      <c r="E432" s="881">
        <v>0</v>
      </c>
      <c r="F432" s="881">
        <v>0</v>
      </c>
      <c r="G432" s="881">
        <v>0</v>
      </c>
      <c r="H432" s="881">
        <v>0</v>
      </c>
      <c r="I432" s="881">
        <v>0</v>
      </c>
      <c r="J432" s="881">
        <v>0</v>
      </c>
      <c r="K432" s="881">
        <v>0</v>
      </c>
      <c r="L432" s="881">
        <v>0</v>
      </c>
      <c r="M432" s="881">
        <v>0</v>
      </c>
      <c r="N432" s="881">
        <v>0</v>
      </c>
      <c r="O432" s="881">
        <v>0</v>
      </c>
      <c r="P432" s="881">
        <v>0</v>
      </c>
      <c r="Q432" s="881">
        <v>0</v>
      </c>
      <c r="R432" s="881">
        <v>0</v>
      </c>
      <c r="S432" s="881">
        <v>0</v>
      </c>
      <c r="T432" s="881">
        <v>0</v>
      </c>
      <c r="U432" s="881">
        <v>0</v>
      </c>
      <c r="V432" s="881">
        <v>0</v>
      </c>
    </row>
    <row r="433" spans="1:22" x14ac:dyDescent="0.25">
      <c r="A433" s="881" t="s">
        <v>109</v>
      </c>
      <c r="B433" s="881" t="s">
        <v>26</v>
      </c>
      <c r="C433" s="881"/>
      <c r="D433" s="884" t="s">
        <v>1118</v>
      </c>
      <c r="E433" s="881">
        <v>40</v>
      </c>
      <c r="F433" s="881">
        <v>40</v>
      </c>
      <c r="G433" s="881">
        <v>40</v>
      </c>
      <c r="H433" s="881">
        <v>40</v>
      </c>
      <c r="I433" s="881">
        <v>40</v>
      </c>
      <c r="J433" s="881">
        <v>40</v>
      </c>
      <c r="K433" s="881">
        <v>40</v>
      </c>
      <c r="L433" s="881">
        <v>40</v>
      </c>
      <c r="M433" s="881">
        <v>40</v>
      </c>
      <c r="N433" s="881">
        <v>40</v>
      </c>
      <c r="O433" s="881">
        <v>40</v>
      </c>
      <c r="P433" s="881">
        <v>40</v>
      </c>
      <c r="Q433" s="881">
        <v>40</v>
      </c>
      <c r="R433" s="881">
        <v>40</v>
      </c>
      <c r="S433" s="881">
        <v>40</v>
      </c>
      <c r="T433" s="881">
        <v>40</v>
      </c>
      <c r="U433" s="881">
        <v>40</v>
      </c>
      <c r="V433" s="881">
        <v>40</v>
      </c>
    </row>
    <row r="434" spans="1:22" x14ac:dyDescent="0.25">
      <c r="A434" s="881" t="s">
        <v>109</v>
      </c>
      <c r="B434" s="881" t="s">
        <v>26</v>
      </c>
      <c r="C434" s="881"/>
      <c r="D434" s="884" t="s">
        <v>1119</v>
      </c>
      <c r="E434" s="881">
        <v>180</v>
      </c>
      <c r="F434" s="881">
        <v>180</v>
      </c>
      <c r="G434" s="881">
        <v>180</v>
      </c>
      <c r="H434" s="881">
        <v>180</v>
      </c>
      <c r="I434" s="881">
        <v>180</v>
      </c>
      <c r="J434" s="881">
        <v>180</v>
      </c>
      <c r="K434" s="881">
        <v>180</v>
      </c>
      <c r="L434" s="881">
        <v>180</v>
      </c>
      <c r="M434" s="881">
        <v>180</v>
      </c>
      <c r="N434" s="881">
        <v>180</v>
      </c>
      <c r="O434" s="881">
        <v>180</v>
      </c>
      <c r="P434" s="881">
        <v>180</v>
      </c>
      <c r="Q434" s="881">
        <v>180</v>
      </c>
      <c r="R434" s="881">
        <v>180</v>
      </c>
      <c r="S434" s="881">
        <v>180</v>
      </c>
      <c r="T434" s="881">
        <v>180</v>
      </c>
      <c r="U434" s="881">
        <v>180</v>
      </c>
      <c r="V434" s="881">
        <v>180</v>
      </c>
    </row>
    <row r="435" spans="1:22" x14ac:dyDescent="0.25">
      <c r="A435" s="881" t="s">
        <v>109</v>
      </c>
      <c r="B435" s="881" t="s">
        <v>26</v>
      </c>
      <c r="C435" s="881" t="s">
        <v>169</v>
      </c>
      <c r="D435" s="882" t="s">
        <v>1120</v>
      </c>
      <c r="E435" s="881">
        <v>0</v>
      </c>
      <c r="F435" s="881">
        <v>0</v>
      </c>
      <c r="G435" s="881">
        <v>0</v>
      </c>
      <c r="H435" s="881">
        <v>0</v>
      </c>
      <c r="I435" s="881">
        <v>0</v>
      </c>
      <c r="J435" s="881">
        <v>0</v>
      </c>
      <c r="K435" s="881">
        <v>0</v>
      </c>
      <c r="L435" s="881">
        <v>0</v>
      </c>
      <c r="M435" s="881">
        <v>0</v>
      </c>
      <c r="N435" s="881">
        <v>0</v>
      </c>
      <c r="O435" s="881">
        <v>0</v>
      </c>
      <c r="P435" s="881">
        <v>0</v>
      </c>
      <c r="Q435" s="881">
        <v>0</v>
      </c>
      <c r="R435" s="881">
        <v>0</v>
      </c>
      <c r="S435" s="881">
        <v>0</v>
      </c>
      <c r="T435" s="881">
        <v>0</v>
      </c>
      <c r="U435" s="881">
        <v>0</v>
      </c>
      <c r="V435" s="881">
        <v>0</v>
      </c>
    </row>
    <row r="436" spans="1:22" x14ac:dyDescent="0.25">
      <c r="A436" s="881" t="s">
        <v>109</v>
      </c>
      <c r="B436" s="881" t="s">
        <v>26</v>
      </c>
      <c r="C436" s="881"/>
      <c r="D436" s="882" t="s">
        <v>1121</v>
      </c>
    </row>
    <row r="437" spans="1:22" x14ac:dyDescent="0.25">
      <c r="A437" s="881" t="s">
        <v>109</v>
      </c>
      <c r="B437" s="881" t="s">
        <v>26</v>
      </c>
      <c r="C437" s="881"/>
      <c r="D437" s="884" t="s">
        <v>1122</v>
      </c>
      <c r="E437" s="881">
        <v>0</v>
      </c>
      <c r="F437" s="881">
        <v>0</v>
      </c>
      <c r="G437" s="881">
        <v>0</v>
      </c>
      <c r="H437" s="881">
        <v>0</v>
      </c>
      <c r="I437" s="881">
        <v>0</v>
      </c>
      <c r="J437" s="881">
        <v>0</v>
      </c>
      <c r="K437" s="881">
        <v>0</v>
      </c>
      <c r="L437" s="881">
        <v>0</v>
      </c>
      <c r="M437" s="881">
        <v>0</v>
      </c>
      <c r="N437" s="881">
        <v>0</v>
      </c>
      <c r="O437" s="881">
        <v>0</v>
      </c>
      <c r="P437" s="881">
        <v>0</v>
      </c>
      <c r="Q437" s="881">
        <v>0</v>
      </c>
      <c r="R437" s="881">
        <v>0</v>
      </c>
      <c r="S437" s="881">
        <v>0</v>
      </c>
      <c r="T437" s="881">
        <v>0</v>
      </c>
      <c r="U437" s="881">
        <v>0</v>
      </c>
      <c r="V437" s="881">
        <v>0</v>
      </c>
    </row>
    <row r="438" spans="1:22" x14ac:dyDescent="0.25">
      <c r="A438" s="881" t="s">
        <v>109</v>
      </c>
      <c r="B438" s="881" t="s">
        <v>26</v>
      </c>
      <c r="C438" s="881"/>
      <c r="D438" s="884" t="s">
        <v>1123</v>
      </c>
      <c r="E438" s="881">
        <v>0</v>
      </c>
      <c r="F438" s="881">
        <v>0</v>
      </c>
      <c r="G438" s="881">
        <v>0</v>
      </c>
      <c r="H438" s="881">
        <v>0</v>
      </c>
      <c r="I438" s="881">
        <v>0</v>
      </c>
      <c r="J438" s="881">
        <v>0</v>
      </c>
      <c r="K438" s="881">
        <v>0</v>
      </c>
      <c r="L438" s="881">
        <v>0</v>
      </c>
      <c r="M438" s="881">
        <v>0</v>
      </c>
      <c r="N438" s="881">
        <v>0</v>
      </c>
      <c r="O438" s="881">
        <v>0</v>
      </c>
      <c r="P438" s="881">
        <v>0</v>
      </c>
      <c r="Q438" s="881">
        <v>0</v>
      </c>
      <c r="R438" s="881">
        <v>0</v>
      </c>
      <c r="S438" s="881">
        <v>0</v>
      </c>
      <c r="T438" s="881">
        <v>0</v>
      </c>
      <c r="U438" s="881">
        <v>0</v>
      </c>
      <c r="V438" s="881">
        <v>0</v>
      </c>
    </row>
    <row r="439" spans="1:22" x14ac:dyDescent="0.25">
      <c r="A439" s="881" t="s">
        <v>109</v>
      </c>
      <c r="B439" s="881" t="s">
        <v>26</v>
      </c>
      <c r="C439" s="881"/>
      <c r="D439" s="885" t="s">
        <v>1124</v>
      </c>
      <c r="E439" s="883">
        <v>0</v>
      </c>
      <c r="F439" s="883">
        <v>0</v>
      </c>
      <c r="G439" s="883">
        <v>0</v>
      </c>
      <c r="H439" s="883">
        <v>0</v>
      </c>
      <c r="I439" s="883">
        <v>0</v>
      </c>
      <c r="J439" s="883">
        <v>0</v>
      </c>
      <c r="K439" s="883">
        <v>0</v>
      </c>
      <c r="L439" s="883">
        <v>0</v>
      </c>
      <c r="M439" s="883">
        <v>0</v>
      </c>
      <c r="N439" s="883">
        <v>0</v>
      </c>
      <c r="O439" s="883">
        <v>0</v>
      </c>
      <c r="P439" s="883">
        <v>0</v>
      </c>
      <c r="Q439" s="883">
        <v>0</v>
      </c>
      <c r="R439" s="883">
        <v>0</v>
      </c>
      <c r="S439" s="883">
        <v>0</v>
      </c>
      <c r="T439" s="883">
        <v>0</v>
      </c>
      <c r="U439" s="883">
        <v>0</v>
      </c>
      <c r="V439" s="883">
        <v>0</v>
      </c>
    </row>
    <row r="440" spans="1:22" x14ac:dyDescent="0.25">
      <c r="A440" s="881" t="s">
        <v>109</v>
      </c>
      <c r="B440" s="881" t="s">
        <v>26</v>
      </c>
      <c r="C440" s="881"/>
      <c r="D440" s="885" t="s">
        <v>1125</v>
      </c>
      <c r="E440" s="883">
        <v>2.1503999999999999</v>
      </c>
      <c r="F440" s="883">
        <v>2.1503999999999999</v>
      </c>
      <c r="G440" s="883">
        <v>2.1503999999999999</v>
      </c>
      <c r="H440" s="883">
        <v>2.1503999999999999</v>
      </c>
      <c r="I440" s="883">
        <v>2.1503999999999999</v>
      </c>
      <c r="J440" s="883">
        <v>2.1503999999999999</v>
      </c>
      <c r="K440" s="883">
        <v>2.1503999999999999</v>
      </c>
      <c r="L440" s="883">
        <v>2.1503999999999999</v>
      </c>
      <c r="M440" s="883">
        <v>2.1503999999999999</v>
      </c>
      <c r="N440" s="883">
        <v>2.1503999999999999</v>
      </c>
      <c r="O440" s="883">
        <v>2.1503999999999999</v>
      </c>
      <c r="P440" s="883">
        <v>2.1503999999999999</v>
      </c>
      <c r="Q440" s="883">
        <v>2.1503999999999999</v>
      </c>
      <c r="R440" s="883">
        <v>2.1503999999999999</v>
      </c>
      <c r="S440" s="883">
        <v>2.1503999999999999</v>
      </c>
      <c r="T440" s="883">
        <v>2.1503999999999999</v>
      </c>
      <c r="U440" s="883">
        <v>2.1503999999999999</v>
      </c>
      <c r="V440" s="883">
        <v>2.1503999999999999</v>
      </c>
    </row>
    <row r="441" spans="1:22" x14ac:dyDescent="0.25">
      <c r="A441" s="881" t="s">
        <v>109</v>
      </c>
      <c r="B441" s="881" t="s">
        <v>26</v>
      </c>
      <c r="C441" s="881"/>
      <c r="D441" s="885" t="s">
        <v>1126</v>
      </c>
      <c r="E441" s="883">
        <v>2.1503999999999999</v>
      </c>
      <c r="F441" s="883">
        <v>2.1503999999999999</v>
      </c>
      <c r="G441" s="883">
        <v>2.1503999999999999</v>
      </c>
      <c r="H441" s="883">
        <v>2.1503999999999999</v>
      </c>
      <c r="I441" s="883">
        <v>2.1503999999999999</v>
      </c>
      <c r="J441" s="883">
        <v>2.1503999999999999</v>
      </c>
      <c r="K441" s="883">
        <v>2.1503999999999999</v>
      </c>
      <c r="L441" s="883">
        <v>2.1503999999999999</v>
      </c>
      <c r="M441" s="883">
        <v>2.1503999999999999</v>
      </c>
      <c r="N441" s="883">
        <v>2.1503999999999999</v>
      </c>
      <c r="O441" s="883">
        <v>2.1503999999999999</v>
      </c>
      <c r="P441" s="883">
        <v>2.1503999999999999</v>
      </c>
      <c r="Q441" s="883">
        <v>2.1503999999999999</v>
      </c>
      <c r="R441" s="883">
        <v>2.1503999999999999</v>
      </c>
      <c r="S441" s="883">
        <v>2.1503999999999999</v>
      </c>
      <c r="T441" s="883">
        <v>2.1503999999999999</v>
      </c>
      <c r="U441" s="883">
        <v>2.1503999999999999</v>
      </c>
      <c r="V441" s="883">
        <v>2.1503999999999999</v>
      </c>
    </row>
    <row r="442" spans="1:22" x14ac:dyDescent="0.25">
      <c r="A442" s="881" t="s">
        <v>109</v>
      </c>
      <c r="B442" s="881" t="s">
        <v>26</v>
      </c>
      <c r="C442" s="881"/>
      <c r="D442" s="885" t="s">
        <v>1127</v>
      </c>
      <c r="E442" s="883">
        <v>1.6504000000000001</v>
      </c>
      <c r="F442" s="883">
        <v>1.6504000000000001</v>
      </c>
      <c r="G442" s="883">
        <v>2.1503999999999999</v>
      </c>
      <c r="H442" s="883">
        <v>2.1503999999999999</v>
      </c>
      <c r="I442" s="883">
        <v>2.1503999999999999</v>
      </c>
      <c r="J442" s="883">
        <v>2.1503999999999999</v>
      </c>
      <c r="K442" s="883">
        <v>1.6504000000000001</v>
      </c>
      <c r="L442" s="883">
        <v>1.6504000000000001</v>
      </c>
      <c r="M442" s="883">
        <v>1.6504000000000001</v>
      </c>
      <c r="N442" s="883">
        <v>1.6504000000000001</v>
      </c>
      <c r="O442" s="883">
        <v>2.1503999999999999</v>
      </c>
      <c r="P442" s="883">
        <v>2.1503999999999999</v>
      </c>
      <c r="Q442" s="883">
        <v>2.1503999999999999</v>
      </c>
      <c r="R442" s="883">
        <v>2.1503999999999999</v>
      </c>
      <c r="S442" s="883">
        <v>2.1503999999999999</v>
      </c>
      <c r="T442" s="883">
        <v>1.6504000000000001</v>
      </c>
      <c r="U442" s="883">
        <v>1.6504000000000001</v>
      </c>
      <c r="V442" s="883">
        <v>1.6504000000000001</v>
      </c>
    </row>
    <row r="443" spans="1:22" x14ac:dyDescent="0.25">
      <c r="A443" s="881" t="s">
        <v>109</v>
      </c>
      <c r="B443" s="881" t="s">
        <v>26</v>
      </c>
      <c r="C443" s="881" t="s">
        <v>778</v>
      </c>
      <c r="D443" s="882" t="s">
        <v>1128</v>
      </c>
      <c r="E443" s="881">
        <v>0</v>
      </c>
      <c r="F443" s="881">
        <v>0</v>
      </c>
      <c r="G443" s="881">
        <v>0</v>
      </c>
      <c r="H443" s="881">
        <v>0</v>
      </c>
      <c r="I443" s="881">
        <v>0</v>
      </c>
      <c r="J443" s="881">
        <v>0</v>
      </c>
      <c r="K443" s="881">
        <v>0</v>
      </c>
      <c r="L443" s="881">
        <v>0</v>
      </c>
      <c r="M443" s="881">
        <v>0</v>
      </c>
      <c r="N443" s="881">
        <v>0</v>
      </c>
      <c r="O443" s="881">
        <v>0</v>
      </c>
      <c r="P443" s="881">
        <v>0</v>
      </c>
      <c r="Q443" s="881">
        <v>0</v>
      </c>
      <c r="R443" s="881">
        <v>0</v>
      </c>
      <c r="S443" s="881">
        <v>0</v>
      </c>
      <c r="T443" s="881">
        <v>0</v>
      </c>
      <c r="U443" s="881">
        <v>0</v>
      </c>
      <c r="V443" s="881">
        <v>0</v>
      </c>
    </row>
    <row r="444" spans="1:22" x14ac:dyDescent="0.25">
      <c r="A444" s="881" t="s">
        <v>109</v>
      </c>
      <c r="B444" s="881" t="s">
        <v>26</v>
      </c>
      <c r="C444" s="881"/>
      <c r="D444" s="882" t="s">
        <v>1129</v>
      </c>
    </row>
    <row r="445" spans="1:22" x14ac:dyDescent="0.25">
      <c r="A445" s="881" t="s">
        <v>109</v>
      </c>
      <c r="B445" s="881" t="s">
        <v>26</v>
      </c>
      <c r="C445" s="881"/>
      <c r="D445" s="882" t="s">
        <v>1130</v>
      </c>
    </row>
    <row r="446" spans="1:22" x14ac:dyDescent="0.25">
      <c r="A446" s="881" t="s">
        <v>109</v>
      </c>
      <c r="B446" s="881" t="s">
        <v>26</v>
      </c>
      <c r="C446" s="881"/>
      <c r="D446" s="882" t="s">
        <v>1131</v>
      </c>
      <c r="E446" s="881">
        <v>0</v>
      </c>
      <c r="F446" s="881">
        <v>0</v>
      </c>
      <c r="G446" s="881">
        <v>0</v>
      </c>
      <c r="H446" s="881">
        <v>0</v>
      </c>
      <c r="I446" s="881">
        <v>0</v>
      </c>
      <c r="J446" s="881">
        <v>0</v>
      </c>
      <c r="K446" s="881">
        <v>0</v>
      </c>
      <c r="L446" s="881">
        <v>0</v>
      </c>
      <c r="M446" s="881">
        <v>0</v>
      </c>
      <c r="N446" s="881">
        <v>0</v>
      </c>
      <c r="O446" s="881">
        <v>0</v>
      </c>
      <c r="P446" s="881">
        <v>0</v>
      </c>
      <c r="Q446" s="881">
        <v>0</v>
      </c>
      <c r="R446" s="881">
        <v>0</v>
      </c>
      <c r="S446" s="881">
        <v>0</v>
      </c>
      <c r="T446" s="881">
        <v>0</v>
      </c>
      <c r="U446" s="881">
        <v>0</v>
      </c>
      <c r="V446" s="881">
        <v>0</v>
      </c>
    </row>
    <row r="447" spans="1:22" x14ac:dyDescent="0.25">
      <c r="A447" s="881" t="s">
        <v>109</v>
      </c>
      <c r="B447" s="881" t="s">
        <v>26</v>
      </c>
      <c r="C447" s="881"/>
      <c r="D447" s="882" t="s">
        <v>1132</v>
      </c>
    </row>
    <row r="448" spans="1:22" x14ac:dyDescent="0.25">
      <c r="A448" s="881" t="s">
        <v>109</v>
      </c>
      <c r="B448" s="881" t="s">
        <v>26</v>
      </c>
      <c r="C448" s="881"/>
      <c r="D448" s="885" t="s">
        <v>1133</v>
      </c>
      <c r="E448" s="883">
        <v>3.54132328535503</v>
      </c>
      <c r="F448" s="883">
        <v>4.0825536529198896</v>
      </c>
      <c r="G448" s="883">
        <v>4.6151370530302804</v>
      </c>
      <c r="H448" s="883">
        <v>4.7204926546137003</v>
      </c>
      <c r="I448" s="883">
        <v>4.2816079006073897</v>
      </c>
      <c r="J448" s="883">
        <v>4.61774840312499</v>
      </c>
      <c r="K448" s="883">
        <v>3.6370825733754901</v>
      </c>
      <c r="L448" s="883">
        <v>3.1998593487156</v>
      </c>
      <c r="M448" s="883">
        <v>3.4441400635944199</v>
      </c>
      <c r="N448" s="883">
        <v>2.6697967759149801</v>
      </c>
      <c r="O448" s="883">
        <v>3.6621728781104101</v>
      </c>
      <c r="P448" s="883">
        <v>3.9547219031793199</v>
      </c>
      <c r="Q448" s="883">
        <v>4.3060793499123999</v>
      </c>
      <c r="R448" s="883">
        <v>4.66270835833049</v>
      </c>
      <c r="S448" s="883">
        <v>5.2056863414265502</v>
      </c>
      <c r="T448" s="883">
        <v>5.4531502607765896</v>
      </c>
      <c r="U448" s="883">
        <v>5.0764131270513699</v>
      </c>
      <c r="V448" s="883">
        <v>4.0447960531742</v>
      </c>
    </row>
    <row r="449" spans="1:22" x14ac:dyDescent="0.25">
      <c r="A449" s="881" t="s">
        <v>109</v>
      </c>
      <c r="B449" s="881" t="s">
        <v>26</v>
      </c>
      <c r="C449" s="881" t="s">
        <v>196</v>
      </c>
      <c r="D449" s="884" t="s">
        <v>1134</v>
      </c>
      <c r="E449" s="881">
        <v>0</v>
      </c>
      <c r="F449" s="881">
        <v>0</v>
      </c>
      <c r="G449" s="881">
        <v>0</v>
      </c>
      <c r="H449" s="881">
        <v>0</v>
      </c>
      <c r="I449" s="881">
        <v>0</v>
      </c>
      <c r="J449" s="881">
        <v>0</v>
      </c>
      <c r="K449" s="881">
        <v>0</v>
      </c>
      <c r="L449" s="881">
        <v>0</v>
      </c>
      <c r="M449" s="881">
        <v>0</v>
      </c>
      <c r="N449" s="881">
        <v>0</v>
      </c>
      <c r="O449" s="881">
        <v>0</v>
      </c>
      <c r="P449" s="881">
        <v>0</v>
      </c>
      <c r="Q449" s="881">
        <v>0</v>
      </c>
      <c r="R449" s="881">
        <v>0</v>
      </c>
      <c r="S449" s="881">
        <v>0</v>
      </c>
      <c r="T449" s="881">
        <v>0</v>
      </c>
      <c r="U449" s="881">
        <v>0</v>
      </c>
      <c r="V449" s="881">
        <v>0</v>
      </c>
    </row>
    <row r="450" spans="1:22" x14ac:dyDescent="0.25">
      <c r="A450" s="881" t="s">
        <v>109</v>
      </c>
      <c r="B450" s="881" t="s">
        <v>26</v>
      </c>
      <c r="C450" s="881"/>
      <c r="D450" s="882" t="s">
        <v>1135</v>
      </c>
    </row>
    <row r="451" spans="1:22" x14ac:dyDescent="0.25">
      <c r="A451" s="881" t="s">
        <v>109</v>
      </c>
      <c r="B451" s="881" t="s">
        <v>26</v>
      </c>
      <c r="C451" s="881"/>
      <c r="D451" s="885" t="s">
        <v>1136</v>
      </c>
      <c r="E451" s="883">
        <v>0.34906843462946002</v>
      </c>
      <c r="F451" s="883">
        <v>0.16939007523933</v>
      </c>
      <c r="G451" s="883">
        <v>9.4024398016510996E-2</v>
      </c>
      <c r="H451" s="883">
        <v>7.9005885786712304E-2</v>
      </c>
      <c r="I451" s="883">
        <v>4.2818241030573301E-2</v>
      </c>
      <c r="J451" s="883">
        <v>5.3348528484577801E-2</v>
      </c>
      <c r="K451" s="883">
        <v>0.24690512534735301</v>
      </c>
      <c r="L451" s="883">
        <v>0.286805863570613</v>
      </c>
      <c r="M451" s="883">
        <v>0.2714755224323</v>
      </c>
      <c r="N451" s="883">
        <v>0.23977615362243901</v>
      </c>
      <c r="O451" s="883">
        <v>0.112823983088882</v>
      </c>
      <c r="P451" s="883">
        <v>3.1676324500992899E-2</v>
      </c>
      <c r="Q451" s="883">
        <v>5.1767532114618299E-2</v>
      </c>
      <c r="R451" s="883">
        <v>6.4560825100963504E-2</v>
      </c>
      <c r="S451" s="883">
        <v>0.10990553607190399</v>
      </c>
      <c r="T451" s="883">
        <v>0.18637651503338701</v>
      </c>
      <c r="U451" s="883">
        <v>0.28860955010716799</v>
      </c>
      <c r="V451" s="883">
        <v>0.33287319112658798</v>
      </c>
    </row>
    <row r="452" spans="1:22" x14ac:dyDescent="0.25">
      <c r="A452" s="881" t="s">
        <v>109</v>
      </c>
      <c r="B452" s="881" t="s">
        <v>26</v>
      </c>
      <c r="C452" s="881" t="s">
        <v>198</v>
      </c>
      <c r="D452" s="884" t="s">
        <v>1137</v>
      </c>
      <c r="E452" s="881">
        <v>0</v>
      </c>
      <c r="F452" s="881">
        <v>0</v>
      </c>
      <c r="G452" s="881">
        <v>0</v>
      </c>
      <c r="H452" s="881">
        <v>0</v>
      </c>
      <c r="I452" s="881">
        <v>0</v>
      </c>
      <c r="J452" s="881">
        <v>0</v>
      </c>
      <c r="K452" s="881">
        <v>0</v>
      </c>
      <c r="L452" s="881">
        <v>0</v>
      </c>
      <c r="M452" s="881">
        <v>0</v>
      </c>
      <c r="N452" s="881">
        <v>0</v>
      </c>
      <c r="O452" s="881">
        <v>0</v>
      </c>
      <c r="P452" s="881">
        <v>0</v>
      </c>
      <c r="Q452" s="881">
        <v>0</v>
      </c>
      <c r="R452" s="881">
        <v>0</v>
      </c>
      <c r="S452" s="881">
        <v>0</v>
      </c>
      <c r="T452" s="881">
        <v>0</v>
      </c>
      <c r="U452" s="881">
        <v>0</v>
      </c>
      <c r="V452" s="881">
        <v>0</v>
      </c>
    </row>
    <row r="453" spans="1:22" x14ac:dyDescent="0.25">
      <c r="A453" s="881" t="s">
        <v>109</v>
      </c>
      <c r="B453" s="881" t="s">
        <v>26</v>
      </c>
      <c r="C453" s="881"/>
      <c r="D453" s="882" t="s">
        <v>1138</v>
      </c>
    </row>
    <row r="454" spans="1:22" x14ac:dyDescent="0.25">
      <c r="A454" s="881" t="s">
        <v>109</v>
      </c>
      <c r="B454" s="881" t="s">
        <v>26</v>
      </c>
      <c r="C454" s="881"/>
      <c r="D454" s="885" t="s">
        <v>1139</v>
      </c>
      <c r="E454" s="883">
        <v>0.289271550125482</v>
      </c>
      <c r="F454" s="883">
        <v>0.289271550125482</v>
      </c>
      <c r="G454" s="883">
        <v>0.289271550125482</v>
      </c>
      <c r="H454" s="883">
        <v>0.289271550125482</v>
      </c>
      <c r="I454" s="883">
        <v>0.289271550125482</v>
      </c>
      <c r="J454" s="883">
        <v>0.289271550125482</v>
      </c>
      <c r="K454" s="883">
        <v>0.289271550125482</v>
      </c>
      <c r="L454" s="883">
        <v>0.289271550125482</v>
      </c>
      <c r="M454" s="883">
        <v>0.289271550125482</v>
      </c>
      <c r="N454" s="883">
        <v>0.289271550125482</v>
      </c>
      <c r="O454" s="883">
        <v>0.289271550125482</v>
      </c>
      <c r="P454" s="883">
        <v>0.289271550125482</v>
      </c>
      <c r="Q454" s="883">
        <v>0.289271550125482</v>
      </c>
      <c r="R454" s="883">
        <v>0.289271550125482</v>
      </c>
      <c r="S454" s="883">
        <v>0.289271550125482</v>
      </c>
      <c r="T454" s="883">
        <v>0.289271550125482</v>
      </c>
      <c r="U454" s="883">
        <v>0.289271550125482</v>
      </c>
      <c r="V454" s="883">
        <v>0.289271550125482</v>
      </c>
    </row>
    <row r="455" spans="1:22" x14ac:dyDescent="0.25">
      <c r="A455" s="881" t="s">
        <v>109</v>
      </c>
      <c r="B455" s="881" t="s">
        <v>26</v>
      </c>
      <c r="C455" s="881" t="s">
        <v>670</v>
      </c>
      <c r="D455" s="884" t="s">
        <v>1140</v>
      </c>
      <c r="E455" s="881">
        <v>0</v>
      </c>
      <c r="F455" s="881">
        <v>0</v>
      </c>
      <c r="G455" s="881">
        <v>0</v>
      </c>
      <c r="H455" s="881">
        <v>0</v>
      </c>
      <c r="I455" s="881">
        <v>0</v>
      </c>
      <c r="J455" s="881">
        <v>0</v>
      </c>
      <c r="K455" s="881">
        <v>0</v>
      </c>
      <c r="L455" s="881">
        <v>0</v>
      </c>
      <c r="M455" s="881">
        <v>0</v>
      </c>
      <c r="N455" s="881">
        <v>0</v>
      </c>
      <c r="O455" s="881">
        <v>0</v>
      </c>
      <c r="P455" s="881">
        <v>0</v>
      </c>
      <c r="Q455" s="881">
        <v>0</v>
      </c>
      <c r="R455" s="881">
        <v>0</v>
      </c>
      <c r="S455" s="881">
        <v>0</v>
      </c>
      <c r="T455" s="881">
        <v>0</v>
      </c>
      <c r="U455" s="881">
        <v>0</v>
      </c>
      <c r="V455" s="881">
        <v>0</v>
      </c>
    </row>
    <row r="456" spans="1:22" x14ac:dyDescent="0.25">
      <c r="A456" s="881" t="s">
        <v>109</v>
      </c>
      <c r="B456" s="881" t="s">
        <v>26</v>
      </c>
      <c r="C456" s="881"/>
      <c r="D456" s="882" t="s">
        <v>1141</v>
      </c>
      <c r="E456" s="881">
        <v>0</v>
      </c>
      <c r="F456" s="881">
        <v>0</v>
      </c>
      <c r="G456" s="881">
        <v>0</v>
      </c>
      <c r="H456" s="881">
        <v>0</v>
      </c>
      <c r="I456" s="881">
        <v>0</v>
      </c>
      <c r="J456" s="881">
        <v>0</v>
      </c>
      <c r="K456" s="881">
        <v>0</v>
      </c>
      <c r="L456" s="881">
        <v>0</v>
      </c>
      <c r="M456" s="881">
        <v>0</v>
      </c>
      <c r="N456" s="881">
        <v>0</v>
      </c>
      <c r="O456" s="881">
        <v>0</v>
      </c>
      <c r="P456" s="881">
        <v>0</v>
      </c>
      <c r="Q456" s="881">
        <v>0</v>
      </c>
      <c r="R456" s="881">
        <v>0</v>
      </c>
      <c r="S456" s="881">
        <v>0</v>
      </c>
      <c r="T456" s="881">
        <v>0</v>
      </c>
      <c r="U456" s="881">
        <v>0</v>
      </c>
      <c r="V456" s="881">
        <v>0</v>
      </c>
    </row>
    <row r="457" spans="1:22" s="82" customFormat="1" x14ac:dyDescent="0.25">
      <c r="A457" s="880" t="s">
        <v>1163</v>
      </c>
      <c r="B457" s="880" t="s">
        <v>50</v>
      </c>
      <c r="C457" s="880"/>
      <c r="D457" s="969" t="s">
        <v>1164</v>
      </c>
    </row>
    <row r="458" spans="1:22" x14ac:dyDescent="0.25">
      <c r="A458" s="887" t="s">
        <v>1163</v>
      </c>
      <c r="B458" s="887" t="s">
        <v>50</v>
      </c>
      <c r="C458" s="887"/>
      <c r="D458" s="882" t="s">
        <v>1114</v>
      </c>
    </row>
    <row r="459" spans="1:22" x14ac:dyDescent="0.25">
      <c r="A459" s="887" t="s">
        <v>1163</v>
      </c>
      <c r="B459" s="887" t="s">
        <v>50</v>
      </c>
      <c r="C459" s="887"/>
      <c r="D459" s="884" t="s">
        <v>1115</v>
      </c>
      <c r="E459" s="881">
        <v>3</v>
      </c>
      <c r="F459" s="881">
        <v>3</v>
      </c>
      <c r="G459" s="881">
        <v>3</v>
      </c>
      <c r="H459" s="881">
        <v>3</v>
      </c>
      <c r="I459" s="881">
        <v>3</v>
      </c>
      <c r="J459" s="881">
        <v>3</v>
      </c>
      <c r="K459" s="881">
        <v>3</v>
      </c>
      <c r="L459" s="881">
        <v>3</v>
      </c>
      <c r="M459" s="881">
        <v>3</v>
      </c>
      <c r="N459" s="881">
        <v>3</v>
      </c>
      <c r="O459" s="881">
        <v>3</v>
      </c>
      <c r="P459" s="881">
        <v>3</v>
      </c>
      <c r="Q459" s="881">
        <v>3</v>
      </c>
      <c r="R459" s="881">
        <v>3</v>
      </c>
      <c r="S459" s="881">
        <v>3</v>
      </c>
      <c r="T459" s="881">
        <v>3</v>
      </c>
      <c r="U459" s="881">
        <v>3</v>
      </c>
      <c r="V459" s="881">
        <v>3</v>
      </c>
    </row>
    <row r="460" spans="1:22" x14ac:dyDescent="0.25">
      <c r="A460" s="887" t="s">
        <v>1163</v>
      </c>
      <c r="B460" s="887" t="s">
        <v>50</v>
      </c>
      <c r="C460" s="887"/>
      <c r="D460" s="884" t="s">
        <v>1116</v>
      </c>
      <c r="E460" s="881">
        <v>0</v>
      </c>
      <c r="F460" s="881">
        <v>0</v>
      </c>
      <c r="G460" s="881">
        <v>0</v>
      </c>
      <c r="H460" s="881">
        <v>0</v>
      </c>
      <c r="I460" s="881">
        <v>0</v>
      </c>
      <c r="J460" s="881">
        <v>0</v>
      </c>
      <c r="K460" s="881">
        <v>0</v>
      </c>
      <c r="L460" s="881">
        <v>0</v>
      </c>
      <c r="M460" s="881">
        <v>0</v>
      </c>
      <c r="N460" s="881">
        <v>0</v>
      </c>
      <c r="O460" s="881">
        <v>0</v>
      </c>
      <c r="P460" s="881">
        <v>0</v>
      </c>
      <c r="Q460" s="881">
        <v>0</v>
      </c>
      <c r="R460" s="881">
        <v>0</v>
      </c>
      <c r="S460" s="881">
        <v>0</v>
      </c>
      <c r="T460" s="881">
        <v>0</v>
      </c>
      <c r="U460" s="881">
        <v>0</v>
      </c>
      <c r="V460" s="881">
        <v>0</v>
      </c>
    </row>
    <row r="461" spans="1:22" x14ac:dyDescent="0.25">
      <c r="A461" s="887" t="s">
        <v>1163</v>
      </c>
      <c r="B461" s="887" t="s">
        <v>50</v>
      </c>
      <c r="C461" s="887"/>
      <c r="D461" s="884" t="s">
        <v>1117</v>
      </c>
      <c r="E461" s="881">
        <v>3</v>
      </c>
      <c r="F461" s="881">
        <v>3</v>
      </c>
      <c r="G461" s="881">
        <v>3</v>
      </c>
      <c r="H461" s="881">
        <v>3</v>
      </c>
      <c r="I461" s="881">
        <v>3</v>
      </c>
      <c r="J461" s="881">
        <v>3</v>
      </c>
      <c r="K461" s="881">
        <v>3</v>
      </c>
      <c r="L461" s="881">
        <v>3</v>
      </c>
      <c r="M461" s="881">
        <v>3</v>
      </c>
      <c r="N461" s="881">
        <v>3</v>
      </c>
      <c r="O461" s="881">
        <v>3</v>
      </c>
      <c r="P461" s="881">
        <v>3</v>
      </c>
      <c r="Q461" s="881">
        <v>3</v>
      </c>
      <c r="R461" s="881">
        <v>3</v>
      </c>
      <c r="S461" s="881">
        <v>3</v>
      </c>
      <c r="T461" s="881">
        <v>3</v>
      </c>
      <c r="U461" s="881">
        <v>3</v>
      </c>
      <c r="V461" s="881">
        <v>3</v>
      </c>
    </row>
    <row r="462" spans="1:22" x14ac:dyDescent="0.25">
      <c r="A462" s="887" t="s">
        <v>1163</v>
      </c>
      <c r="B462" s="887" t="s">
        <v>50</v>
      </c>
      <c r="C462" s="887"/>
      <c r="D462" s="884" t="s">
        <v>1118</v>
      </c>
      <c r="E462" s="881">
        <v>0</v>
      </c>
      <c r="F462" s="881">
        <v>0</v>
      </c>
      <c r="G462" s="881">
        <v>0</v>
      </c>
      <c r="H462" s="881">
        <v>0</v>
      </c>
      <c r="I462" s="881">
        <v>0</v>
      </c>
      <c r="J462" s="881">
        <v>0</v>
      </c>
      <c r="K462" s="881">
        <v>0</v>
      </c>
      <c r="L462" s="881">
        <v>0</v>
      </c>
      <c r="M462" s="881">
        <v>0</v>
      </c>
      <c r="N462" s="881">
        <v>0</v>
      </c>
      <c r="O462" s="881">
        <v>0</v>
      </c>
      <c r="P462" s="881">
        <v>0</v>
      </c>
      <c r="Q462" s="881">
        <v>0</v>
      </c>
      <c r="R462" s="881">
        <v>0</v>
      </c>
      <c r="S462" s="881">
        <v>0</v>
      </c>
      <c r="T462" s="881">
        <v>0</v>
      </c>
      <c r="U462" s="881">
        <v>0</v>
      </c>
      <c r="V462" s="881">
        <v>0</v>
      </c>
    </row>
    <row r="463" spans="1:22" x14ac:dyDescent="0.25">
      <c r="A463" s="887" t="s">
        <v>1163</v>
      </c>
      <c r="B463" s="887" t="s">
        <v>50</v>
      </c>
      <c r="C463" s="887"/>
      <c r="D463" s="884" t="s">
        <v>1119</v>
      </c>
      <c r="E463" s="881">
        <v>0</v>
      </c>
      <c r="F463" s="881">
        <v>0</v>
      </c>
      <c r="G463" s="881">
        <v>0</v>
      </c>
      <c r="H463" s="881">
        <v>0</v>
      </c>
      <c r="I463" s="881">
        <v>0</v>
      </c>
      <c r="J463" s="881">
        <v>0</v>
      </c>
      <c r="K463" s="881">
        <v>0</v>
      </c>
      <c r="L463" s="881">
        <v>0</v>
      </c>
      <c r="M463" s="881">
        <v>0</v>
      </c>
      <c r="N463" s="881">
        <v>0</v>
      </c>
      <c r="O463" s="881">
        <v>0</v>
      </c>
      <c r="P463" s="881">
        <v>0</v>
      </c>
      <c r="Q463" s="881">
        <v>0</v>
      </c>
      <c r="R463" s="881">
        <v>0</v>
      </c>
      <c r="S463" s="881">
        <v>0</v>
      </c>
      <c r="T463" s="881">
        <v>0</v>
      </c>
      <c r="U463" s="881">
        <v>0</v>
      </c>
      <c r="V463" s="881">
        <v>0</v>
      </c>
    </row>
    <row r="464" spans="1:22" x14ac:dyDescent="0.25">
      <c r="A464" s="887" t="s">
        <v>1163</v>
      </c>
      <c r="B464" s="887" t="s">
        <v>50</v>
      </c>
      <c r="C464" s="887" t="s">
        <v>169</v>
      </c>
      <c r="D464" s="882" t="s">
        <v>1120</v>
      </c>
      <c r="E464" s="881">
        <v>0</v>
      </c>
      <c r="F464" s="881">
        <v>0</v>
      </c>
      <c r="G464" s="881">
        <v>0</v>
      </c>
      <c r="H464" s="881">
        <v>0</v>
      </c>
      <c r="I464" s="881">
        <v>0</v>
      </c>
      <c r="J464" s="881">
        <v>0</v>
      </c>
      <c r="K464" s="881">
        <v>0</v>
      </c>
      <c r="L464" s="881">
        <v>0</v>
      </c>
      <c r="M464" s="881">
        <v>0</v>
      </c>
      <c r="N464" s="881">
        <v>0</v>
      </c>
      <c r="O464" s="881">
        <v>0</v>
      </c>
      <c r="P464" s="881">
        <v>0</v>
      </c>
      <c r="Q464" s="881">
        <v>0</v>
      </c>
      <c r="R464" s="881">
        <v>0</v>
      </c>
      <c r="S464" s="881">
        <v>0</v>
      </c>
      <c r="T464" s="881">
        <v>0</v>
      </c>
      <c r="U464" s="881">
        <v>0</v>
      </c>
      <c r="V464" s="881">
        <v>0</v>
      </c>
    </row>
    <row r="465" spans="1:22" x14ac:dyDescent="0.25">
      <c r="A465" s="887" t="s">
        <v>1163</v>
      </c>
      <c r="B465" s="887" t="s">
        <v>50</v>
      </c>
      <c r="C465" s="887"/>
      <c r="D465" s="882" t="s">
        <v>1121</v>
      </c>
    </row>
    <row r="466" spans="1:22" x14ac:dyDescent="0.25">
      <c r="A466" s="887" t="s">
        <v>1163</v>
      </c>
      <c r="B466" s="887" t="s">
        <v>50</v>
      </c>
      <c r="C466" s="887"/>
      <c r="D466" s="884" t="s">
        <v>1122</v>
      </c>
      <c r="E466" s="881">
        <v>28415.0705099999</v>
      </c>
      <c r="F466" s="881">
        <v>41041.322769999999</v>
      </c>
      <c r="G466" s="881">
        <v>52600.671679999999</v>
      </c>
      <c r="H466" s="881">
        <v>54413.41517</v>
      </c>
      <c r="I466" s="881">
        <v>56103.385340000001</v>
      </c>
      <c r="J466" s="881">
        <v>47269.78183</v>
      </c>
      <c r="K466" s="881">
        <v>24200.864501</v>
      </c>
      <c r="L466" s="881">
        <v>27695.069766000001</v>
      </c>
      <c r="M466" s="881">
        <v>28055.167529999999</v>
      </c>
      <c r="N466" s="881">
        <v>40527.261500000001</v>
      </c>
      <c r="O466" s="881">
        <v>51853.511160000002</v>
      </c>
      <c r="P466" s="881">
        <v>54094.0951099999</v>
      </c>
      <c r="Q466" s="881">
        <v>56578.355280000003</v>
      </c>
      <c r="R466" s="881">
        <v>47516.430520000002</v>
      </c>
      <c r="S466" s="881">
        <v>37890.737710000001</v>
      </c>
      <c r="T466" s="881">
        <v>26341.089818</v>
      </c>
      <c r="U466" s="881">
        <v>25186.556246</v>
      </c>
      <c r="V466" s="881">
        <v>24814.867871999999</v>
      </c>
    </row>
    <row r="467" spans="1:22" x14ac:dyDescent="0.25">
      <c r="A467" s="887" t="s">
        <v>1163</v>
      </c>
      <c r="B467" s="887" t="s">
        <v>50</v>
      </c>
      <c r="C467" s="887"/>
      <c r="D467" s="884" t="s">
        <v>1123</v>
      </c>
      <c r="E467" s="881">
        <v>0</v>
      </c>
      <c r="F467" s="881">
        <v>0</v>
      </c>
      <c r="G467" s="881">
        <v>0</v>
      </c>
      <c r="H467" s="881">
        <v>0</v>
      </c>
      <c r="I467" s="881">
        <v>0</v>
      </c>
      <c r="J467" s="881">
        <v>0</v>
      </c>
      <c r="K467" s="881">
        <v>0</v>
      </c>
      <c r="L467" s="881">
        <v>0</v>
      </c>
      <c r="M467" s="881">
        <v>0</v>
      </c>
      <c r="N467" s="881">
        <v>0</v>
      </c>
      <c r="O467" s="881">
        <v>0</v>
      </c>
      <c r="P467" s="881">
        <v>0</v>
      </c>
      <c r="Q467" s="881">
        <v>0</v>
      </c>
      <c r="R467" s="881">
        <v>0</v>
      </c>
      <c r="S467" s="881">
        <v>0</v>
      </c>
      <c r="T467" s="881">
        <v>0</v>
      </c>
      <c r="U467" s="881">
        <v>0</v>
      </c>
      <c r="V467" s="881">
        <v>0</v>
      </c>
    </row>
    <row r="468" spans="1:22" x14ac:dyDescent="0.25">
      <c r="A468" s="887" t="s">
        <v>1163</v>
      </c>
      <c r="B468" s="887" t="s">
        <v>50</v>
      </c>
      <c r="C468" s="887"/>
      <c r="D468" s="885" t="s">
        <v>1124</v>
      </c>
      <c r="E468" s="883">
        <v>28.41507051</v>
      </c>
      <c r="F468" s="883">
        <v>41.041322770000001</v>
      </c>
      <c r="G468" s="883">
        <v>52.600671679999998</v>
      </c>
      <c r="H468" s="883">
        <v>54.41341517</v>
      </c>
      <c r="I468" s="883">
        <v>56.103385340000003</v>
      </c>
      <c r="J468" s="883">
        <v>47.269781829999999</v>
      </c>
      <c r="K468" s="883">
        <v>24.200864501000002</v>
      </c>
      <c r="L468" s="883">
        <v>27.695069766</v>
      </c>
      <c r="M468" s="883">
        <v>28.055167529999999</v>
      </c>
      <c r="N468" s="883">
        <v>40.527261500000002</v>
      </c>
      <c r="O468" s="883">
        <v>51.853511159999996</v>
      </c>
      <c r="P468" s="883">
        <v>54.094095109999998</v>
      </c>
      <c r="Q468" s="883">
        <v>56.578355279999997</v>
      </c>
      <c r="R468" s="883">
        <v>47.51643052</v>
      </c>
      <c r="S468" s="883">
        <v>37.890737710000003</v>
      </c>
      <c r="T468" s="883">
        <v>26.341089818</v>
      </c>
      <c r="U468" s="883">
        <v>25.186556245999999</v>
      </c>
      <c r="V468" s="883">
        <v>24.814867872000001</v>
      </c>
    </row>
    <row r="469" spans="1:22" x14ac:dyDescent="0.25">
      <c r="A469" s="887" t="s">
        <v>1163</v>
      </c>
      <c r="B469" s="887" t="s">
        <v>50</v>
      </c>
      <c r="C469" s="887"/>
      <c r="D469" s="885" t="s">
        <v>1125</v>
      </c>
      <c r="E469" s="883">
        <v>0.43020000000000003</v>
      </c>
      <c r="F469" s="883">
        <v>0.43020000000000003</v>
      </c>
      <c r="G469" s="883">
        <v>0.43020000000000003</v>
      </c>
      <c r="H469" s="883">
        <v>0.43020000000000003</v>
      </c>
      <c r="I469" s="883">
        <v>0.43020000000000003</v>
      </c>
      <c r="J469" s="883">
        <v>0.43020000000000003</v>
      </c>
      <c r="K469" s="883">
        <v>0.43020000000000003</v>
      </c>
      <c r="L469" s="883">
        <v>0.43020000000000003</v>
      </c>
      <c r="M469" s="883">
        <v>0.43020000000000003</v>
      </c>
      <c r="N469" s="883">
        <v>0.43020000000000003</v>
      </c>
      <c r="O469" s="883">
        <v>0.43020000000000003</v>
      </c>
      <c r="P469" s="883">
        <v>0.43020000000000003</v>
      </c>
      <c r="Q469" s="883">
        <v>0.43020000000000003</v>
      </c>
      <c r="R469" s="883">
        <v>0.43020000000000003</v>
      </c>
      <c r="S469" s="883">
        <v>0.43020000000000003</v>
      </c>
      <c r="T469" s="883">
        <v>0.43020000000000003</v>
      </c>
      <c r="U469" s="883">
        <v>0.43020000000000003</v>
      </c>
      <c r="V469" s="883">
        <v>0.43020000000000003</v>
      </c>
    </row>
    <row r="470" spans="1:22" x14ac:dyDescent="0.25">
      <c r="A470" s="887" t="s">
        <v>1163</v>
      </c>
      <c r="B470" s="887" t="s">
        <v>50</v>
      </c>
      <c r="C470" s="887"/>
      <c r="D470" s="885" t="s">
        <v>1126</v>
      </c>
      <c r="E470" s="883">
        <v>0.43020000000000003</v>
      </c>
      <c r="F470" s="883">
        <v>0.43020000000000003</v>
      </c>
      <c r="G470" s="883">
        <v>0.43020000000000003</v>
      </c>
      <c r="H470" s="883">
        <v>0.43020000000000003</v>
      </c>
      <c r="I470" s="883">
        <v>0.43020000000000003</v>
      </c>
      <c r="J470" s="883">
        <v>0.43020000000000003</v>
      </c>
      <c r="K470" s="883">
        <v>0.43020000000000003</v>
      </c>
      <c r="L470" s="883">
        <v>0.43020000000000003</v>
      </c>
      <c r="M470" s="883">
        <v>0.43020000000000003</v>
      </c>
      <c r="N470" s="883">
        <v>0.43020000000000003</v>
      </c>
      <c r="O470" s="883">
        <v>0.43020000000000003</v>
      </c>
      <c r="P470" s="883">
        <v>0.43020000000000003</v>
      </c>
      <c r="Q470" s="883">
        <v>0.43020000000000003</v>
      </c>
      <c r="R470" s="883">
        <v>0.43020000000000003</v>
      </c>
      <c r="S470" s="883">
        <v>0.43020000000000003</v>
      </c>
      <c r="T470" s="883">
        <v>0.43020000000000003</v>
      </c>
      <c r="U470" s="883">
        <v>0.43020000000000003</v>
      </c>
      <c r="V470" s="883">
        <v>0.43020000000000003</v>
      </c>
    </row>
    <row r="471" spans="1:22" x14ac:dyDescent="0.25">
      <c r="A471" s="887" t="s">
        <v>1163</v>
      </c>
      <c r="B471" s="887" t="s">
        <v>50</v>
      </c>
      <c r="C471" s="887"/>
      <c r="D471" s="885" t="s">
        <v>1127</v>
      </c>
      <c r="E471" s="883">
        <v>0</v>
      </c>
      <c r="F471" s="883">
        <v>0</v>
      </c>
      <c r="G471" s="883">
        <v>0</v>
      </c>
      <c r="H471" s="883">
        <v>0</v>
      </c>
      <c r="I471" s="883">
        <v>0</v>
      </c>
      <c r="J471" s="883">
        <v>0</v>
      </c>
      <c r="K471" s="883">
        <v>0</v>
      </c>
      <c r="L471" s="883">
        <v>0</v>
      </c>
      <c r="M471" s="883">
        <v>0</v>
      </c>
      <c r="N471" s="883">
        <v>0</v>
      </c>
      <c r="O471" s="883">
        <v>0</v>
      </c>
      <c r="P471" s="883">
        <v>0</v>
      </c>
      <c r="Q471" s="883">
        <v>0</v>
      </c>
      <c r="R471" s="883">
        <v>0</v>
      </c>
      <c r="S471" s="883">
        <v>0</v>
      </c>
      <c r="T471" s="883">
        <v>0</v>
      </c>
      <c r="U471" s="883">
        <v>0</v>
      </c>
      <c r="V471" s="883">
        <v>0</v>
      </c>
    </row>
    <row r="472" spans="1:22" x14ac:dyDescent="0.25">
      <c r="A472" s="887" t="s">
        <v>1163</v>
      </c>
      <c r="B472" s="887" t="s">
        <v>50</v>
      </c>
      <c r="C472" s="887" t="s">
        <v>778</v>
      </c>
      <c r="D472" s="882" t="s">
        <v>1128</v>
      </c>
      <c r="E472" s="881">
        <v>12.224163333401901</v>
      </c>
      <c r="F472" s="881">
        <v>17.655977055653999</v>
      </c>
      <c r="G472" s="881">
        <v>22.628808956735998</v>
      </c>
      <c r="H472" s="881">
        <v>23.408651206134</v>
      </c>
      <c r="I472" s="881">
        <v>24.135676373268002</v>
      </c>
      <c r="J472" s="881">
        <v>20.335460143266001</v>
      </c>
      <c r="K472" s="881">
        <v>10.4112119083302</v>
      </c>
      <c r="L472" s="881">
        <v>11.9144190133332</v>
      </c>
      <c r="M472" s="881">
        <v>12.069333071406</v>
      </c>
      <c r="N472" s="881">
        <v>17.4348278973</v>
      </c>
      <c r="O472" s="881">
        <v>22.307380501032</v>
      </c>
      <c r="P472" s="881">
        <v>23.271279716321999</v>
      </c>
      <c r="Q472" s="881">
        <v>24.340008441456</v>
      </c>
      <c r="R472" s="881">
        <v>20.441568409704001</v>
      </c>
      <c r="S472" s="881">
        <v>16.300595362842</v>
      </c>
      <c r="T472" s="881">
        <v>11.3319368397036</v>
      </c>
      <c r="U472" s="881">
        <v>10.835256497029199</v>
      </c>
      <c r="V472" s="881">
        <v>10.675356158534401</v>
      </c>
    </row>
    <row r="473" spans="1:22" x14ac:dyDescent="0.25">
      <c r="A473" s="887" t="s">
        <v>1163</v>
      </c>
      <c r="B473" s="887" t="s">
        <v>50</v>
      </c>
      <c r="C473" s="887"/>
      <c r="D473" s="882" t="s">
        <v>1129</v>
      </c>
    </row>
    <row r="474" spans="1:22" x14ac:dyDescent="0.25">
      <c r="A474" s="887" t="s">
        <v>1163</v>
      </c>
      <c r="B474" s="887" t="s">
        <v>50</v>
      </c>
      <c r="C474" s="887"/>
      <c r="D474" s="884" t="s">
        <v>1147</v>
      </c>
      <c r="E474" s="881">
        <v>550</v>
      </c>
      <c r="F474" s="881">
        <v>550</v>
      </c>
      <c r="G474" s="881">
        <v>550</v>
      </c>
      <c r="H474" s="881">
        <v>550</v>
      </c>
      <c r="I474" s="881">
        <v>550</v>
      </c>
      <c r="J474" s="881">
        <v>550</v>
      </c>
      <c r="K474" s="881">
        <v>550</v>
      </c>
      <c r="L474" s="881">
        <v>550</v>
      </c>
      <c r="M474" s="881">
        <v>550</v>
      </c>
      <c r="N474" s="881">
        <v>550</v>
      </c>
      <c r="O474" s="881">
        <v>550</v>
      </c>
      <c r="P474" s="881">
        <v>550</v>
      </c>
      <c r="Q474" s="881">
        <v>550</v>
      </c>
      <c r="R474" s="881">
        <v>550</v>
      </c>
      <c r="S474" s="881">
        <v>550</v>
      </c>
      <c r="T474" s="881">
        <v>550</v>
      </c>
      <c r="U474" s="881">
        <v>550</v>
      </c>
      <c r="V474" s="881">
        <v>550</v>
      </c>
    </row>
    <row r="475" spans="1:22" x14ac:dyDescent="0.25">
      <c r="A475" s="887" t="s">
        <v>1163</v>
      </c>
      <c r="B475" s="887" t="s">
        <v>50</v>
      </c>
      <c r="C475" s="887" t="s">
        <v>1148</v>
      </c>
      <c r="D475" s="886" t="s">
        <v>1149</v>
      </c>
      <c r="E475" s="883">
        <v>1.65</v>
      </c>
      <c r="F475" s="883">
        <v>1.65</v>
      </c>
      <c r="G475" s="883">
        <v>1.65</v>
      </c>
      <c r="H475" s="883">
        <v>1.65</v>
      </c>
      <c r="I475" s="883">
        <v>1.65</v>
      </c>
      <c r="J475" s="883">
        <v>1.65</v>
      </c>
      <c r="K475" s="883">
        <v>1.65</v>
      </c>
      <c r="L475" s="883">
        <v>1.65</v>
      </c>
      <c r="M475" s="883">
        <v>1.65</v>
      </c>
      <c r="N475" s="883">
        <v>1.65</v>
      </c>
      <c r="O475" s="883">
        <v>1.65</v>
      </c>
      <c r="P475" s="883">
        <v>1.65</v>
      </c>
      <c r="Q475" s="883">
        <v>1.65</v>
      </c>
      <c r="R475" s="883">
        <v>1.65</v>
      </c>
      <c r="S475" s="883">
        <v>1.65</v>
      </c>
      <c r="T475" s="883">
        <v>1.65</v>
      </c>
      <c r="U475" s="883">
        <v>1.65</v>
      </c>
      <c r="V475" s="883">
        <v>1.65</v>
      </c>
    </row>
    <row r="476" spans="1:22" x14ac:dyDescent="0.25">
      <c r="A476" s="887" t="s">
        <v>1163</v>
      </c>
      <c r="B476" s="887" t="s">
        <v>50</v>
      </c>
      <c r="C476" s="887"/>
      <c r="D476" s="882" t="s">
        <v>1130</v>
      </c>
    </row>
    <row r="477" spans="1:22" x14ac:dyDescent="0.25">
      <c r="A477" s="887" t="s">
        <v>1163</v>
      </c>
      <c r="B477" s="887" t="s">
        <v>50</v>
      </c>
      <c r="C477" s="887"/>
      <c r="D477" s="882" t="s">
        <v>1131</v>
      </c>
      <c r="E477" s="881">
        <v>13.874163333401899</v>
      </c>
      <c r="F477" s="881">
        <v>19.305977055653901</v>
      </c>
      <c r="G477" s="881">
        <v>24.278808956736</v>
      </c>
      <c r="H477" s="881">
        <v>25.058651206134002</v>
      </c>
      <c r="I477" s="881">
        <v>25.785676373268</v>
      </c>
      <c r="J477" s="881">
        <v>21.985460143266</v>
      </c>
      <c r="K477" s="881">
        <v>12.061211908330201</v>
      </c>
      <c r="L477" s="881">
        <v>13.5644190133332</v>
      </c>
      <c r="M477" s="881">
        <v>13.719333071406</v>
      </c>
      <c r="N477" s="881">
        <v>19.084827897299999</v>
      </c>
      <c r="O477" s="881">
        <v>23.957380501031999</v>
      </c>
      <c r="P477" s="881">
        <v>24.921279716321902</v>
      </c>
      <c r="Q477" s="881">
        <v>25.990008441455998</v>
      </c>
      <c r="R477" s="881">
        <v>22.091568409703999</v>
      </c>
      <c r="S477" s="881">
        <v>17.950595362842002</v>
      </c>
      <c r="T477" s="881">
        <v>12.9819368397036</v>
      </c>
      <c r="U477" s="881">
        <v>12.4852564970292</v>
      </c>
      <c r="V477" s="881">
        <v>12.325356158534399</v>
      </c>
    </row>
    <row r="478" spans="1:22" x14ac:dyDescent="0.25">
      <c r="A478" s="887" t="s">
        <v>1163</v>
      </c>
      <c r="B478" s="887" t="s">
        <v>50</v>
      </c>
      <c r="C478" s="887"/>
      <c r="D478" s="882" t="s">
        <v>1132</v>
      </c>
    </row>
    <row r="479" spans="1:22" x14ac:dyDescent="0.25">
      <c r="A479" s="887" t="s">
        <v>1163</v>
      </c>
      <c r="B479" s="887" t="s">
        <v>50</v>
      </c>
      <c r="C479" s="887"/>
      <c r="D479" s="885" t="s">
        <v>1133</v>
      </c>
      <c r="E479" s="883">
        <v>0</v>
      </c>
      <c r="F479" s="883">
        <v>0</v>
      </c>
      <c r="G479" s="883">
        <v>0</v>
      </c>
      <c r="H479" s="883">
        <v>0</v>
      </c>
      <c r="I479" s="883">
        <v>0</v>
      </c>
      <c r="J479" s="883">
        <v>0</v>
      </c>
      <c r="K479" s="883">
        <v>0</v>
      </c>
      <c r="L479" s="883">
        <v>0</v>
      </c>
      <c r="M479" s="883">
        <v>0</v>
      </c>
      <c r="N479" s="883">
        <v>0</v>
      </c>
      <c r="O479" s="883">
        <v>0</v>
      </c>
      <c r="P479" s="883">
        <v>0</v>
      </c>
      <c r="Q479" s="883">
        <v>0</v>
      </c>
      <c r="R479" s="883">
        <v>0</v>
      </c>
      <c r="S479" s="883">
        <v>0</v>
      </c>
      <c r="T479" s="883">
        <v>0</v>
      </c>
      <c r="U479" s="883">
        <v>0</v>
      </c>
      <c r="V479" s="883">
        <v>0</v>
      </c>
    </row>
    <row r="480" spans="1:22" x14ac:dyDescent="0.25">
      <c r="A480" s="887" t="s">
        <v>1163</v>
      </c>
      <c r="B480" s="887" t="s">
        <v>50</v>
      </c>
      <c r="C480" s="887" t="s">
        <v>196</v>
      </c>
      <c r="D480" s="884" t="s">
        <v>1134</v>
      </c>
      <c r="E480" s="881">
        <v>0</v>
      </c>
      <c r="F480" s="881">
        <v>0</v>
      </c>
      <c r="G480" s="881">
        <v>0</v>
      </c>
      <c r="H480" s="881">
        <v>0</v>
      </c>
      <c r="I480" s="881">
        <v>0</v>
      </c>
      <c r="J480" s="881">
        <v>0</v>
      </c>
      <c r="K480" s="881">
        <v>0</v>
      </c>
      <c r="L480" s="881">
        <v>0</v>
      </c>
      <c r="M480" s="881">
        <v>0</v>
      </c>
      <c r="N480" s="881">
        <v>0</v>
      </c>
      <c r="O480" s="881">
        <v>0</v>
      </c>
      <c r="P480" s="881">
        <v>0</v>
      </c>
      <c r="Q480" s="881">
        <v>0</v>
      </c>
      <c r="R480" s="881">
        <v>0</v>
      </c>
      <c r="S480" s="881">
        <v>0</v>
      </c>
      <c r="T480" s="881">
        <v>0</v>
      </c>
      <c r="U480" s="881">
        <v>0</v>
      </c>
      <c r="V480" s="881">
        <v>0</v>
      </c>
    </row>
    <row r="481" spans="1:22" x14ac:dyDescent="0.25">
      <c r="A481" s="887" t="s">
        <v>1163</v>
      </c>
      <c r="B481" s="887" t="s">
        <v>50</v>
      </c>
      <c r="C481" s="887"/>
      <c r="D481" s="882" t="s">
        <v>1135</v>
      </c>
    </row>
    <row r="482" spans="1:22" x14ac:dyDescent="0.25">
      <c r="A482" s="887" t="s">
        <v>1163</v>
      </c>
      <c r="B482" s="887" t="s">
        <v>50</v>
      </c>
      <c r="C482" s="887"/>
      <c r="D482" s="885" t="s">
        <v>1136</v>
      </c>
      <c r="E482" s="883">
        <v>0.34906843462946002</v>
      </c>
      <c r="F482" s="883">
        <v>0.16939007523933</v>
      </c>
      <c r="G482" s="883">
        <v>9.4024398016510996E-2</v>
      </c>
      <c r="H482" s="883">
        <v>7.9005885786712304E-2</v>
      </c>
      <c r="I482" s="883">
        <v>4.2818241030573301E-2</v>
      </c>
      <c r="J482" s="883">
        <v>5.3348528484577801E-2</v>
      </c>
      <c r="K482" s="883">
        <v>0.24690512534735301</v>
      </c>
      <c r="L482" s="883">
        <v>0.286805863570613</v>
      </c>
      <c r="M482" s="883">
        <v>0.2714755224323</v>
      </c>
      <c r="N482" s="883">
        <v>0.23977615362243901</v>
      </c>
      <c r="O482" s="883">
        <v>0.112823983088882</v>
      </c>
      <c r="P482" s="883">
        <v>3.1676324500992899E-2</v>
      </c>
      <c r="Q482" s="883">
        <v>5.1767532114618299E-2</v>
      </c>
      <c r="R482" s="883">
        <v>6.4560825100963504E-2</v>
      </c>
      <c r="S482" s="883">
        <v>0.10990553607190399</v>
      </c>
      <c r="T482" s="883">
        <v>0.18637651503338701</v>
      </c>
      <c r="U482" s="883">
        <v>0.28860955010716799</v>
      </c>
      <c r="V482" s="883">
        <v>0.33287319112658798</v>
      </c>
    </row>
    <row r="483" spans="1:22" x14ac:dyDescent="0.25">
      <c r="A483" s="887" t="s">
        <v>1163</v>
      </c>
      <c r="B483" s="887" t="s">
        <v>50</v>
      </c>
      <c r="C483" s="887" t="s">
        <v>198</v>
      </c>
      <c r="D483" s="884" t="s">
        <v>1137</v>
      </c>
      <c r="E483" s="881">
        <v>9.9188041828114404</v>
      </c>
      <c r="F483" s="881">
        <v>6.9519927519319298</v>
      </c>
      <c r="G483" s="881">
        <v>4.9457464899761403</v>
      </c>
      <c r="H483" s="881">
        <v>4.2989800641859803</v>
      </c>
      <c r="I483" s="881">
        <v>2.4022482761192498</v>
      </c>
      <c r="J483" s="881">
        <v>2.5217733024175302</v>
      </c>
      <c r="K483" s="881">
        <v>5.9753174831337201</v>
      </c>
      <c r="L483" s="881">
        <v>7.94310840088602</v>
      </c>
      <c r="M483" s="881">
        <v>7.6162912621324601</v>
      </c>
      <c r="N483" s="881">
        <v>9.7174708793207891</v>
      </c>
      <c r="O483" s="881">
        <v>5.8503196662149897</v>
      </c>
      <c r="P483" s="881">
        <v>1.7135021102919299</v>
      </c>
      <c r="Q483" s="881">
        <v>2.9289218239496799</v>
      </c>
      <c r="R483" s="881">
        <v>3.0676999602238002</v>
      </c>
      <c r="S483" s="881">
        <v>4.1644018401774598</v>
      </c>
      <c r="T483" s="881">
        <v>4.9093605224602799</v>
      </c>
      <c r="U483" s="881">
        <v>7.2690806669069499</v>
      </c>
      <c r="V483" s="881">
        <v>8.2602042559372997</v>
      </c>
    </row>
    <row r="484" spans="1:22" x14ac:dyDescent="0.25">
      <c r="A484" s="887" t="s">
        <v>1163</v>
      </c>
      <c r="B484" s="887" t="s">
        <v>50</v>
      </c>
      <c r="C484" s="887"/>
      <c r="D484" s="882" t="s">
        <v>1138</v>
      </c>
    </row>
    <row r="485" spans="1:22" x14ac:dyDescent="0.25">
      <c r="A485" s="887" t="s">
        <v>1163</v>
      </c>
      <c r="B485" s="887" t="s">
        <v>50</v>
      </c>
      <c r="C485" s="887"/>
      <c r="D485" s="885" t="s">
        <v>1139</v>
      </c>
      <c r="E485" s="883">
        <v>0</v>
      </c>
      <c r="F485" s="883">
        <v>0</v>
      </c>
      <c r="G485" s="883">
        <v>0</v>
      </c>
      <c r="H485" s="883">
        <v>0</v>
      </c>
      <c r="I485" s="883">
        <v>0</v>
      </c>
      <c r="J485" s="883">
        <v>0</v>
      </c>
      <c r="K485" s="883">
        <v>0</v>
      </c>
      <c r="L485" s="883">
        <v>0</v>
      </c>
      <c r="M485" s="883">
        <v>0</v>
      </c>
      <c r="N485" s="883">
        <v>0</v>
      </c>
      <c r="O485" s="883">
        <v>0</v>
      </c>
      <c r="P485" s="883">
        <v>0</v>
      </c>
      <c r="Q485" s="883">
        <v>0</v>
      </c>
      <c r="R485" s="883">
        <v>0</v>
      </c>
      <c r="S485" s="883">
        <v>0</v>
      </c>
      <c r="T485" s="883">
        <v>0</v>
      </c>
      <c r="U485" s="883">
        <v>0</v>
      </c>
      <c r="V485" s="883">
        <v>0</v>
      </c>
    </row>
    <row r="486" spans="1:22" x14ac:dyDescent="0.25">
      <c r="A486" s="887" t="s">
        <v>1163</v>
      </c>
      <c r="B486" s="887" t="s">
        <v>50</v>
      </c>
      <c r="C486" s="881" t="s">
        <v>670</v>
      </c>
      <c r="D486" s="884" t="s">
        <v>1140</v>
      </c>
      <c r="E486" s="881">
        <v>0</v>
      </c>
      <c r="F486" s="881">
        <v>0</v>
      </c>
      <c r="G486" s="881">
        <v>0</v>
      </c>
      <c r="H486" s="881">
        <v>0</v>
      </c>
      <c r="I486" s="881">
        <v>0</v>
      </c>
      <c r="J486" s="881">
        <v>0</v>
      </c>
      <c r="K486" s="881">
        <v>0</v>
      </c>
      <c r="L486" s="881">
        <v>0</v>
      </c>
      <c r="M486" s="881">
        <v>0</v>
      </c>
      <c r="N486" s="881">
        <v>0</v>
      </c>
      <c r="O486" s="881">
        <v>0</v>
      </c>
      <c r="P486" s="881">
        <v>0</v>
      </c>
      <c r="Q486" s="881">
        <v>0</v>
      </c>
      <c r="R486" s="881">
        <v>0</v>
      </c>
      <c r="S486" s="881">
        <v>0</v>
      </c>
      <c r="T486" s="881">
        <v>0</v>
      </c>
      <c r="U486" s="881">
        <v>0</v>
      </c>
      <c r="V486" s="881">
        <v>0</v>
      </c>
    </row>
    <row r="487" spans="1:22" x14ac:dyDescent="0.25">
      <c r="A487" s="887" t="s">
        <v>1163</v>
      </c>
      <c r="B487" s="887" t="s">
        <v>50</v>
      </c>
      <c r="C487" s="881"/>
      <c r="D487" s="882" t="s">
        <v>1141</v>
      </c>
      <c r="E487" s="881">
        <v>23.792967516213398</v>
      </c>
      <c r="F487" s="881">
        <v>26.257969807585901</v>
      </c>
      <c r="G487" s="881">
        <v>29.224555446712099</v>
      </c>
      <c r="H487" s="881">
        <v>29.357631270319899</v>
      </c>
      <c r="I487" s="881">
        <v>28.187924649387199</v>
      </c>
      <c r="J487" s="881">
        <v>24.5072334456835</v>
      </c>
      <c r="K487" s="881">
        <v>18.036529391463901</v>
      </c>
      <c r="L487" s="881">
        <v>21.507527414219201</v>
      </c>
      <c r="M487" s="881">
        <v>21.335624333538401</v>
      </c>
      <c r="N487" s="881">
        <v>28.802298776620798</v>
      </c>
      <c r="O487" s="881">
        <v>29.807700167246999</v>
      </c>
      <c r="P487" s="881">
        <v>26.634781826613899</v>
      </c>
      <c r="Q487" s="881">
        <v>28.918930265405599</v>
      </c>
      <c r="R487" s="881">
        <v>25.159268369927801</v>
      </c>
      <c r="S487" s="881">
        <v>22.114997203019399</v>
      </c>
      <c r="T487" s="881">
        <v>17.891297362163801</v>
      </c>
      <c r="U487" s="881">
        <v>19.7543371639361</v>
      </c>
      <c r="V487" s="881">
        <v>20.585560414471701</v>
      </c>
    </row>
    <row r="488" spans="1:22" s="82" customFormat="1" x14ac:dyDescent="0.25">
      <c r="A488" s="880" t="s">
        <v>118</v>
      </c>
      <c r="B488" s="880" t="s">
        <v>31</v>
      </c>
      <c r="C488" s="880"/>
      <c r="D488" s="969" t="s">
        <v>1165</v>
      </c>
    </row>
    <row r="489" spans="1:22" x14ac:dyDescent="0.25">
      <c r="A489" s="887" t="s">
        <v>118</v>
      </c>
      <c r="B489" s="887" t="s">
        <v>31</v>
      </c>
      <c r="C489" s="887"/>
      <c r="D489" s="882" t="s">
        <v>1114</v>
      </c>
    </row>
    <row r="490" spans="1:22" x14ac:dyDescent="0.25">
      <c r="A490" s="887" t="s">
        <v>118</v>
      </c>
      <c r="B490" s="887" t="s">
        <v>31</v>
      </c>
      <c r="C490" s="887"/>
      <c r="D490" s="884" t="s">
        <v>1115</v>
      </c>
      <c r="E490" s="881">
        <v>3</v>
      </c>
      <c r="F490" s="881">
        <v>3</v>
      </c>
      <c r="G490" s="881">
        <v>3</v>
      </c>
      <c r="H490" s="881">
        <v>3</v>
      </c>
      <c r="I490" s="881">
        <v>3</v>
      </c>
      <c r="J490" s="881">
        <v>3</v>
      </c>
      <c r="K490" s="881">
        <v>3</v>
      </c>
      <c r="L490" s="881">
        <v>3</v>
      </c>
      <c r="M490" s="881">
        <v>3</v>
      </c>
      <c r="N490" s="881">
        <v>3</v>
      </c>
      <c r="O490" s="881">
        <v>3</v>
      </c>
      <c r="P490" s="881">
        <v>3</v>
      </c>
      <c r="Q490" s="881">
        <v>3</v>
      </c>
      <c r="R490" s="881">
        <v>3</v>
      </c>
      <c r="S490" s="881">
        <v>3</v>
      </c>
      <c r="T490" s="881">
        <v>3</v>
      </c>
      <c r="U490" s="881">
        <v>3</v>
      </c>
      <c r="V490" s="881">
        <v>3</v>
      </c>
    </row>
    <row r="491" spans="1:22" x14ac:dyDescent="0.25">
      <c r="A491" s="887" t="s">
        <v>118</v>
      </c>
      <c r="B491" s="887" t="s">
        <v>31</v>
      </c>
      <c r="C491" s="887"/>
      <c r="D491" s="884" t="s">
        <v>1116</v>
      </c>
      <c r="E491" s="881">
        <v>2</v>
      </c>
      <c r="F491" s="881">
        <v>2</v>
      </c>
      <c r="G491" s="881">
        <v>2</v>
      </c>
      <c r="H491" s="881">
        <v>2</v>
      </c>
      <c r="I491" s="881">
        <v>2</v>
      </c>
      <c r="J491" s="881">
        <v>2</v>
      </c>
      <c r="K491" s="881">
        <v>2</v>
      </c>
      <c r="L491" s="881">
        <v>2</v>
      </c>
      <c r="M491" s="881">
        <v>2</v>
      </c>
      <c r="N491" s="881">
        <v>2</v>
      </c>
      <c r="O491" s="881">
        <v>2</v>
      </c>
      <c r="P491" s="881">
        <v>2</v>
      </c>
      <c r="Q491" s="881">
        <v>2</v>
      </c>
      <c r="R491" s="881">
        <v>2</v>
      </c>
      <c r="S491" s="881">
        <v>2</v>
      </c>
      <c r="T491" s="881">
        <v>2</v>
      </c>
      <c r="U491" s="881">
        <v>2</v>
      </c>
      <c r="V491" s="881">
        <v>2</v>
      </c>
    </row>
    <row r="492" spans="1:22" x14ac:dyDescent="0.25">
      <c r="A492" s="887" t="s">
        <v>118</v>
      </c>
      <c r="B492" s="887" t="s">
        <v>31</v>
      </c>
      <c r="C492" s="887"/>
      <c r="D492" s="884" t="s">
        <v>1117</v>
      </c>
      <c r="E492" s="881">
        <v>5</v>
      </c>
      <c r="F492" s="881">
        <v>5</v>
      </c>
      <c r="G492" s="881">
        <v>5</v>
      </c>
      <c r="H492" s="881">
        <v>5</v>
      </c>
      <c r="I492" s="881">
        <v>5</v>
      </c>
      <c r="J492" s="881">
        <v>5</v>
      </c>
      <c r="K492" s="881">
        <v>5</v>
      </c>
      <c r="L492" s="881">
        <v>5</v>
      </c>
      <c r="M492" s="881">
        <v>5</v>
      </c>
      <c r="N492" s="881">
        <v>5</v>
      </c>
      <c r="O492" s="881">
        <v>5</v>
      </c>
      <c r="P492" s="881">
        <v>5</v>
      </c>
      <c r="Q492" s="881">
        <v>5</v>
      </c>
      <c r="R492" s="881">
        <v>5</v>
      </c>
      <c r="S492" s="881">
        <v>5</v>
      </c>
      <c r="T492" s="881">
        <v>5</v>
      </c>
      <c r="U492" s="881">
        <v>5</v>
      </c>
      <c r="V492" s="881">
        <v>5</v>
      </c>
    </row>
    <row r="493" spans="1:22" x14ac:dyDescent="0.25">
      <c r="A493" s="887" t="s">
        <v>118</v>
      </c>
      <c r="B493" s="887" t="s">
        <v>31</v>
      </c>
      <c r="C493" s="887"/>
      <c r="D493" s="884" t="s">
        <v>1118</v>
      </c>
      <c r="E493" s="881">
        <v>40</v>
      </c>
      <c r="F493" s="881">
        <v>40</v>
      </c>
      <c r="G493" s="881">
        <v>40</v>
      </c>
      <c r="H493" s="881">
        <v>40</v>
      </c>
      <c r="I493" s="881">
        <v>40</v>
      </c>
      <c r="J493" s="881">
        <v>40</v>
      </c>
      <c r="K493" s="881">
        <v>40</v>
      </c>
      <c r="L493" s="881">
        <v>40</v>
      </c>
      <c r="M493" s="881">
        <v>40</v>
      </c>
      <c r="N493" s="881">
        <v>40</v>
      </c>
      <c r="O493" s="881">
        <v>40</v>
      </c>
      <c r="P493" s="881">
        <v>40</v>
      </c>
      <c r="Q493" s="881">
        <v>40</v>
      </c>
      <c r="R493" s="881">
        <v>40</v>
      </c>
      <c r="S493" s="881">
        <v>40</v>
      </c>
      <c r="T493" s="881">
        <v>40</v>
      </c>
      <c r="U493" s="881">
        <v>40</v>
      </c>
      <c r="V493" s="881">
        <v>40</v>
      </c>
    </row>
    <row r="494" spans="1:22" x14ac:dyDescent="0.25">
      <c r="A494" s="887" t="s">
        <v>118</v>
      </c>
      <c r="B494" s="887" t="s">
        <v>31</v>
      </c>
      <c r="C494" s="887"/>
      <c r="D494" s="884" t="s">
        <v>1119</v>
      </c>
      <c r="E494" s="881">
        <v>180</v>
      </c>
      <c r="F494" s="881">
        <v>180</v>
      </c>
      <c r="G494" s="881">
        <v>180</v>
      </c>
      <c r="H494" s="881">
        <v>180</v>
      </c>
      <c r="I494" s="881">
        <v>180</v>
      </c>
      <c r="J494" s="881">
        <v>180</v>
      </c>
      <c r="K494" s="881">
        <v>180</v>
      </c>
      <c r="L494" s="881">
        <v>180</v>
      </c>
      <c r="M494" s="881">
        <v>180</v>
      </c>
      <c r="N494" s="881">
        <v>180</v>
      </c>
      <c r="O494" s="881">
        <v>180</v>
      </c>
      <c r="P494" s="881">
        <v>180</v>
      </c>
      <c r="Q494" s="881">
        <v>180</v>
      </c>
      <c r="R494" s="881">
        <v>180</v>
      </c>
      <c r="S494" s="881">
        <v>180</v>
      </c>
      <c r="T494" s="881">
        <v>180</v>
      </c>
      <c r="U494" s="881">
        <v>180</v>
      </c>
      <c r="V494" s="881">
        <v>180</v>
      </c>
    </row>
    <row r="495" spans="1:22" x14ac:dyDescent="0.25">
      <c r="A495" s="887" t="s">
        <v>118</v>
      </c>
      <c r="B495" s="887" t="s">
        <v>31</v>
      </c>
      <c r="C495" s="887" t="s">
        <v>169</v>
      </c>
      <c r="D495" s="882" t="s">
        <v>1120</v>
      </c>
      <c r="E495" s="881">
        <v>0.48</v>
      </c>
      <c r="F495" s="881">
        <v>0.48</v>
      </c>
      <c r="G495" s="881">
        <v>0.48</v>
      </c>
      <c r="H495" s="881">
        <v>0.48</v>
      </c>
      <c r="I495" s="881">
        <v>0.48</v>
      </c>
      <c r="J495" s="881">
        <v>0.48</v>
      </c>
      <c r="K495" s="881">
        <v>0.48</v>
      </c>
      <c r="L495" s="881">
        <v>0.48</v>
      </c>
      <c r="M495" s="881">
        <v>0.48</v>
      </c>
      <c r="N495" s="881">
        <v>0.48</v>
      </c>
      <c r="O495" s="881">
        <v>0.48</v>
      </c>
      <c r="P495" s="881">
        <v>0.48</v>
      </c>
      <c r="Q495" s="881">
        <v>0.48</v>
      </c>
      <c r="R495" s="881">
        <v>0.48</v>
      </c>
      <c r="S495" s="881">
        <v>0.48</v>
      </c>
      <c r="T495" s="881">
        <v>0.48</v>
      </c>
      <c r="U495" s="881">
        <v>0.48</v>
      </c>
      <c r="V495" s="881">
        <v>0.48</v>
      </c>
    </row>
    <row r="496" spans="1:22" x14ac:dyDescent="0.25">
      <c r="A496" s="887" t="s">
        <v>118</v>
      </c>
      <c r="B496" s="887" t="s">
        <v>31</v>
      </c>
      <c r="C496" s="887"/>
      <c r="D496" s="882" t="s">
        <v>1121</v>
      </c>
    </row>
    <row r="497" spans="1:22" x14ac:dyDescent="0.25">
      <c r="A497" s="887" t="s">
        <v>118</v>
      </c>
      <c r="B497" s="887" t="s">
        <v>31</v>
      </c>
      <c r="C497" s="887"/>
      <c r="D497" s="884" t="s">
        <v>1122</v>
      </c>
      <c r="E497" s="881">
        <v>1226.2273210000001</v>
      </c>
      <c r="F497" s="881">
        <v>1797.9479530000001</v>
      </c>
      <c r="G497" s="881">
        <v>1562.01361</v>
      </c>
      <c r="H497" s="881">
        <v>1369.9069280000001</v>
      </c>
      <c r="I497" s="881">
        <v>1134.8532150000001</v>
      </c>
      <c r="J497" s="881">
        <v>1084.833335</v>
      </c>
      <c r="K497" s="881">
        <v>1162.669144</v>
      </c>
      <c r="L497" s="881">
        <v>1244.334384</v>
      </c>
      <c r="M497" s="881">
        <v>1279.362196</v>
      </c>
      <c r="N497" s="881">
        <v>1860.3674960000001</v>
      </c>
      <c r="O497" s="881">
        <v>1596.2557380000001</v>
      </c>
      <c r="P497" s="881">
        <v>1399.789534</v>
      </c>
      <c r="Q497" s="881">
        <v>1169.3873149999999</v>
      </c>
      <c r="R497" s="881">
        <v>1113.4373989999999</v>
      </c>
      <c r="S497" s="881">
        <v>1027.360905</v>
      </c>
      <c r="T497" s="881">
        <v>1150.9588980000001</v>
      </c>
      <c r="U497" s="881">
        <v>1122.6311459999999</v>
      </c>
      <c r="V497" s="881">
        <v>1162.2512939999999</v>
      </c>
    </row>
    <row r="498" spans="1:22" x14ac:dyDescent="0.25">
      <c r="A498" s="887" t="s">
        <v>118</v>
      </c>
      <c r="B498" s="887" t="s">
        <v>31</v>
      </c>
      <c r="C498" s="887"/>
      <c r="D498" s="884" t="s">
        <v>1123</v>
      </c>
      <c r="E498" s="881">
        <v>387.22968029999998</v>
      </c>
      <c r="F498" s="881">
        <v>664.99444830000004</v>
      </c>
      <c r="G498" s="881">
        <v>1278.0111360000001</v>
      </c>
      <c r="H498" s="881">
        <v>2054.860392</v>
      </c>
      <c r="I498" s="881">
        <v>2411.5630820000001</v>
      </c>
      <c r="J498" s="881">
        <v>2202.5404079999998</v>
      </c>
      <c r="K498" s="881">
        <v>367.15867700000001</v>
      </c>
      <c r="L498" s="881">
        <v>414.77812799999998</v>
      </c>
      <c r="M498" s="881">
        <v>404.0091147</v>
      </c>
      <c r="N498" s="881">
        <v>688.08112870000002</v>
      </c>
      <c r="O498" s="881">
        <v>1306.0274219999999</v>
      </c>
      <c r="P498" s="881">
        <v>2099.6843009999998</v>
      </c>
      <c r="Q498" s="881">
        <v>2484.9480450000001</v>
      </c>
      <c r="R498" s="881">
        <v>2260.6153239999999</v>
      </c>
      <c r="S498" s="881">
        <v>1478.3974000000001</v>
      </c>
      <c r="T498" s="881">
        <v>675.95998780000002</v>
      </c>
      <c r="U498" s="881">
        <v>504.37051480000002</v>
      </c>
      <c r="V498" s="881">
        <v>387.41709800000001</v>
      </c>
    </row>
    <row r="499" spans="1:22" x14ac:dyDescent="0.25">
      <c r="A499" s="887" t="s">
        <v>118</v>
      </c>
      <c r="B499" s="887" t="s">
        <v>31</v>
      </c>
      <c r="C499" s="887"/>
      <c r="D499" s="885" t="s">
        <v>1124</v>
      </c>
      <c r="E499" s="883">
        <v>1.6134570013</v>
      </c>
      <c r="F499" s="883">
        <v>2.4629424012999999</v>
      </c>
      <c r="G499" s="883">
        <v>2.8400247460000001</v>
      </c>
      <c r="H499" s="883">
        <v>3.4247673199999999</v>
      </c>
      <c r="I499" s="883">
        <v>3.5464162969999999</v>
      </c>
      <c r="J499" s="883">
        <v>3.2873737429999998</v>
      </c>
      <c r="K499" s="883">
        <v>1.52982782099999</v>
      </c>
      <c r="L499" s="883">
        <v>1.6591125119999901</v>
      </c>
      <c r="M499" s="883">
        <v>1.6833713106999999</v>
      </c>
      <c r="N499" s="883">
        <v>2.5484486247000002</v>
      </c>
      <c r="O499" s="883">
        <v>2.9022831600000001</v>
      </c>
      <c r="P499" s="883">
        <v>3.4994738349999999</v>
      </c>
      <c r="Q499" s="883">
        <v>3.6543353600000001</v>
      </c>
      <c r="R499" s="883">
        <v>3.3740527229999899</v>
      </c>
      <c r="S499" s="883">
        <v>2.5057583050000001</v>
      </c>
      <c r="T499" s="883">
        <v>1.8269188858000001</v>
      </c>
      <c r="U499" s="883">
        <v>1.6270016608</v>
      </c>
      <c r="V499" s="883">
        <v>1.5496683920000001</v>
      </c>
    </row>
    <row r="500" spans="1:22" x14ac:dyDescent="0.25">
      <c r="A500" s="887" t="s">
        <v>118</v>
      </c>
      <c r="B500" s="887" t="s">
        <v>31</v>
      </c>
      <c r="C500" s="887"/>
      <c r="D500" s="885" t="s">
        <v>1125</v>
      </c>
      <c r="E500" s="883">
        <v>2.2778999999999998</v>
      </c>
      <c r="F500" s="883">
        <v>2.2778999999999998</v>
      </c>
      <c r="G500" s="883">
        <v>2.2778999999999998</v>
      </c>
      <c r="H500" s="883">
        <v>2.2778999999999998</v>
      </c>
      <c r="I500" s="883">
        <v>2.2778999999999998</v>
      </c>
      <c r="J500" s="883">
        <v>2.2778999999999998</v>
      </c>
      <c r="K500" s="883">
        <v>2.2778999999999998</v>
      </c>
      <c r="L500" s="883">
        <v>2.2778999999999998</v>
      </c>
      <c r="M500" s="883">
        <v>2.2778999999999998</v>
      </c>
      <c r="N500" s="883">
        <v>2.2778999999999998</v>
      </c>
      <c r="O500" s="883">
        <v>2.2778999999999998</v>
      </c>
      <c r="P500" s="883">
        <v>2.2778999999999998</v>
      </c>
      <c r="Q500" s="883">
        <v>2.2778999999999998</v>
      </c>
      <c r="R500" s="883">
        <v>2.2778999999999998</v>
      </c>
      <c r="S500" s="883">
        <v>2.2778999999999998</v>
      </c>
      <c r="T500" s="883">
        <v>2.2778999999999998</v>
      </c>
      <c r="U500" s="883">
        <v>2.2778999999999998</v>
      </c>
      <c r="V500" s="883">
        <v>2.2778999999999998</v>
      </c>
    </row>
    <row r="501" spans="1:22" x14ac:dyDescent="0.25">
      <c r="A501" s="887" t="s">
        <v>118</v>
      </c>
      <c r="B501" s="887" t="s">
        <v>31</v>
      </c>
      <c r="C501" s="887"/>
      <c r="D501" s="885" t="s">
        <v>1126</v>
      </c>
      <c r="E501" s="883">
        <v>2.2778999999999998</v>
      </c>
      <c r="F501" s="883">
        <v>2.2778999999999998</v>
      </c>
      <c r="G501" s="883">
        <v>2.2778999999999998</v>
      </c>
      <c r="H501" s="883">
        <v>2.2778999999999998</v>
      </c>
      <c r="I501" s="883">
        <v>2.2778999999999998</v>
      </c>
      <c r="J501" s="883">
        <v>2.2778999999999998</v>
      </c>
      <c r="K501" s="883">
        <v>2.2778999999999998</v>
      </c>
      <c r="L501" s="883">
        <v>2.2778999999999998</v>
      </c>
      <c r="M501" s="883">
        <v>2.2778999999999998</v>
      </c>
      <c r="N501" s="883">
        <v>2.2778999999999998</v>
      </c>
      <c r="O501" s="883">
        <v>2.2778999999999998</v>
      </c>
      <c r="P501" s="883">
        <v>2.2778999999999998</v>
      </c>
      <c r="Q501" s="883">
        <v>2.2778999999999998</v>
      </c>
      <c r="R501" s="883">
        <v>2.2778999999999998</v>
      </c>
      <c r="S501" s="883">
        <v>2.2778999999999998</v>
      </c>
      <c r="T501" s="883">
        <v>2.2778999999999998</v>
      </c>
      <c r="U501" s="883">
        <v>2.2778999999999998</v>
      </c>
      <c r="V501" s="883">
        <v>2.2778999999999998</v>
      </c>
    </row>
    <row r="502" spans="1:22" x14ac:dyDescent="0.25">
      <c r="A502" s="887" t="s">
        <v>118</v>
      </c>
      <c r="B502" s="887" t="s">
        <v>31</v>
      </c>
      <c r="C502" s="887"/>
      <c r="D502" s="885" t="s">
        <v>1127</v>
      </c>
      <c r="E502" s="883">
        <v>1.7779</v>
      </c>
      <c r="F502" s="883">
        <v>1.7779</v>
      </c>
      <c r="G502" s="883">
        <v>2.2778999999999998</v>
      </c>
      <c r="H502" s="883">
        <v>2.2778999999999998</v>
      </c>
      <c r="I502" s="883">
        <v>2.2778999999999998</v>
      </c>
      <c r="J502" s="883">
        <v>2.2778999999999998</v>
      </c>
      <c r="K502" s="883">
        <v>1.7779</v>
      </c>
      <c r="L502" s="883">
        <v>1.7779</v>
      </c>
      <c r="M502" s="883">
        <v>1.7779</v>
      </c>
      <c r="N502" s="883">
        <v>1.7779</v>
      </c>
      <c r="O502" s="883">
        <v>2.2778999999999998</v>
      </c>
      <c r="P502" s="883">
        <v>2.2778999999999998</v>
      </c>
      <c r="Q502" s="883">
        <v>2.2778999999999998</v>
      </c>
      <c r="R502" s="883">
        <v>2.2778999999999998</v>
      </c>
      <c r="S502" s="883">
        <v>2.2778999999999998</v>
      </c>
      <c r="T502" s="883">
        <v>1.7779</v>
      </c>
      <c r="U502" s="883">
        <v>1.7779</v>
      </c>
      <c r="V502" s="883">
        <v>1.7779</v>
      </c>
    </row>
    <row r="503" spans="1:22" x14ac:dyDescent="0.25">
      <c r="A503" s="887" t="s">
        <v>118</v>
      </c>
      <c r="B503" s="887" t="s">
        <v>31</v>
      </c>
      <c r="C503" s="887" t="s">
        <v>778</v>
      </c>
      <c r="D503" s="882" t="s">
        <v>1128</v>
      </c>
      <c r="E503" s="881">
        <v>3.4816788631112701</v>
      </c>
      <c r="F503" s="881">
        <v>5.2778392717712697</v>
      </c>
      <c r="G503" s="881">
        <v>6.4692923689133996</v>
      </c>
      <c r="H503" s="881">
        <v>7.8012774782279903</v>
      </c>
      <c r="I503" s="881">
        <v>8.0783816829362998</v>
      </c>
      <c r="J503" s="881">
        <v>7.4883086491796904</v>
      </c>
      <c r="K503" s="881">
        <v>3.3012154549559001</v>
      </c>
      <c r="L503" s="881">
        <v>3.5719033270848</v>
      </c>
      <c r="M503" s="881">
        <v>3.6325469512935298</v>
      </c>
      <c r="N503" s="881">
        <v>5.4610705578541197</v>
      </c>
      <c r="O503" s="881">
        <v>6.6111108101639902</v>
      </c>
      <c r="P503" s="881">
        <v>7.9714514487464996</v>
      </c>
      <c r="Q503" s="881">
        <v>8.3242105165439995</v>
      </c>
      <c r="R503" s="881">
        <v>7.6857546977216904</v>
      </c>
      <c r="S503" s="881">
        <v>5.7078668429594996</v>
      </c>
      <c r="T503" s="881">
        <v>3.8235585360638198</v>
      </c>
      <c r="U503" s="881">
        <v>3.4539618257363101</v>
      </c>
      <c r="V503" s="881">
        <v>3.3362810811368</v>
      </c>
    </row>
    <row r="504" spans="1:22" x14ac:dyDescent="0.25">
      <c r="A504" s="887" t="s">
        <v>118</v>
      </c>
      <c r="B504" s="887" t="s">
        <v>31</v>
      </c>
      <c r="C504" s="887"/>
      <c r="D504" s="882" t="s">
        <v>1129</v>
      </c>
    </row>
    <row r="505" spans="1:22" x14ac:dyDescent="0.25">
      <c r="A505" s="887" t="s">
        <v>118</v>
      </c>
      <c r="B505" s="887" t="s">
        <v>31</v>
      </c>
      <c r="C505" s="887"/>
      <c r="D505" s="882" t="s">
        <v>1130</v>
      </c>
    </row>
    <row r="506" spans="1:22" x14ac:dyDescent="0.25">
      <c r="A506" s="887" t="s">
        <v>118</v>
      </c>
      <c r="B506" s="887" t="s">
        <v>31</v>
      </c>
      <c r="C506" s="887"/>
      <c r="D506" s="882" t="s">
        <v>1131</v>
      </c>
      <c r="E506" s="881">
        <v>3.96167886311127</v>
      </c>
      <c r="F506" s="881">
        <v>5.7578392717712701</v>
      </c>
      <c r="G506" s="881">
        <v>6.9492923689133903</v>
      </c>
      <c r="H506" s="881">
        <v>8.2812774782279899</v>
      </c>
      <c r="I506" s="881">
        <v>8.5583816829363002</v>
      </c>
      <c r="J506" s="881">
        <v>7.96830864917969</v>
      </c>
      <c r="K506" s="881">
        <v>3.7812154549559001</v>
      </c>
      <c r="L506" s="881">
        <v>4.0519033270847897</v>
      </c>
      <c r="M506" s="881">
        <v>4.1125469512935204</v>
      </c>
      <c r="N506" s="881">
        <v>5.9410705578541201</v>
      </c>
      <c r="O506" s="881">
        <v>7.0911108101639897</v>
      </c>
      <c r="P506" s="881">
        <v>8.4514514487465</v>
      </c>
      <c r="Q506" s="881">
        <v>8.8042105165439999</v>
      </c>
      <c r="R506" s="881">
        <v>8.1657546977216899</v>
      </c>
      <c r="S506" s="881">
        <v>6.1878668429595001</v>
      </c>
      <c r="T506" s="881">
        <v>4.3035585360638198</v>
      </c>
      <c r="U506" s="881">
        <v>3.93396182573631</v>
      </c>
      <c r="V506" s="881">
        <v>3.8162810811368</v>
      </c>
    </row>
    <row r="507" spans="1:22" x14ac:dyDescent="0.25">
      <c r="A507" s="887" t="s">
        <v>118</v>
      </c>
      <c r="B507" s="887" t="s">
        <v>31</v>
      </c>
      <c r="C507" s="887"/>
      <c r="D507" s="882" t="s">
        <v>1132</v>
      </c>
    </row>
    <row r="508" spans="1:22" x14ac:dyDescent="0.25">
      <c r="A508" s="887" t="s">
        <v>118</v>
      </c>
      <c r="B508" s="887" t="s">
        <v>31</v>
      </c>
      <c r="C508" s="887"/>
      <c r="D508" s="885" t="s">
        <v>1133</v>
      </c>
      <c r="E508" s="883">
        <v>3.54132328535503</v>
      </c>
      <c r="F508" s="883">
        <v>4.0825536529198896</v>
      </c>
      <c r="G508" s="883">
        <v>4.6151370530302804</v>
      </c>
      <c r="H508" s="883">
        <v>4.7204926546137003</v>
      </c>
      <c r="I508" s="883">
        <v>4.2816079006073897</v>
      </c>
      <c r="J508" s="883">
        <v>4.61774840312499</v>
      </c>
      <c r="K508" s="883">
        <v>3.6370825733754901</v>
      </c>
      <c r="L508" s="883">
        <v>3.1998593487156</v>
      </c>
      <c r="M508" s="883">
        <v>3.4441400635944199</v>
      </c>
      <c r="N508" s="883">
        <v>2.6697967759149801</v>
      </c>
      <c r="O508" s="883">
        <v>3.6621728781104101</v>
      </c>
      <c r="P508" s="883">
        <v>3.9547219031793199</v>
      </c>
      <c r="Q508" s="883">
        <v>4.3060793499123999</v>
      </c>
      <c r="R508" s="883">
        <v>4.66270835833049</v>
      </c>
      <c r="S508" s="883">
        <v>5.2056863414265502</v>
      </c>
      <c r="T508" s="883">
        <v>5.4531502607765896</v>
      </c>
      <c r="U508" s="883">
        <v>5.0764131270513699</v>
      </c>
      <c r="V508" s="883">
        <v>4.0447960531742</v>
      </c>
    </row>
    <row r="509" spans="1:22" x14ac:dyDescent="0.25">
      <c r="A509" s="887" t="s">
        <v>118</v>
      </c>
      <c r="B509" s="887" t="s">
        <v>31</v>
      </c>
      <c r="C509" s="887" t="s">
        <v>196</v>
      </c>
      <c r="D509" s="884" t="s">
        <v>1134</v>
      </c>
      <c r="E509" s="881">
        <v>5.7137728486227903</v>
      </c>
      <c r="F509" s="881">
        <v>10.055094497358599</v>
      </c>
      <c r="G509" s="881">
        <v>13.107103436787501</v>
      </c>
      <c r="H509" s="881">
        <v>16.166588977821</v>
      </c>
      <c r="I509" s="881">
        <v>15.184364036078</v>
      </c>
      <c r="J509" s="881">
        <v>15.180264852213201</v>
      </c>
      <c r="K509" s="881">
        <v>5.5641101080241002</v>
      </c>
      <c r="L509" s="881">
        <v>5.3089266820942296</v>
      </c>
      <c r="M509" s="881">
        <v>5.7977665730873298</v>
      </c>
      <c r="N509" s="881">
        <v>6.8038399218090397</v>
      </c>
      <c r="O509" s="881">
        <v>10.628662673148501</v>
      </c>
      <c r="P509" s="881">
        <v>13.8394458248774</v>
      </c>
      <c r="Q509" s="881">
        <v>15.7358580313507</v>
      </c>
      <c r="R509" s="881">
        <v>15.7322238329798</v>
      </c>
      <c r="S509" s="881">
        <v>13.0441917832546</v>
      </c>
      <c r="T509" s="881">
        <v>9.9624631985179501</v>
      </c>
      <c r="U509" s="881">
        <v>8.2593325886195004</v>
      </c>
      <c r="V509" s="881">
        <v>6.2680925956904101</v>
      </c>
    </row>
    <row r="510" spans="1:22" x14ac:dyDescent="0.25">
      <c r="A510" s="887" t="s">
        <v>118</v>
      </c>
      <c r="B510" s="887" t="s">
        <v>31</v>
      </c>
      <c r="C510" s="887"/>
      <c r="D510" s="882" t="s">
        <v>1135</v>
      </c>
    </row>
    <row r="511" spans="1:22" x14ac:dyDescent="0.25">
      <c r="A511" s="887" t="s">
        <v>118</v>
      </c>
      <c r="B511" s="887" t="s">
        <v>31</v>
      </c>
      <c r="C511" s="887"/>
      <c r="D511" s="885" t="s">
        <v>1136</v>
      </c>
      <c r="E511" s="883">
        <v>0</v>
      </c>
      <c r="F511" s="883">
        <v>0</v>
      </c>
      <c r="G511" s="883">
        <v>0</v>
      </c>
      <c r="H511" s="883">
        <v>0</v>
      </c>
      <c r="I511" s="883">
        <v>0</v>
      </c>
      <c r="J511" s="883">
        <v>0</v>
      </c>
      <c r="K511" s="883">
        <v>0</v>
      </c>
      <c r="L511" s="883">
        <v>0</v>
      </c>
      <c r="M511" s="883">
        <v>0</v>
      </c>
      <c r="N511" s="883">
        <v>0</v>
      </c>
      <c r="O511" s="883">
        <v>0</v>
      </c>
      <c r="P511" s="883">
        <v>0</v>
      </c>
      <c r="Q511" s="883">
        <v>0</v>
      </c>
      <c r="R511" s="883">
        <v>0</v>
      </c>
      <c r="S511" s="883">
        <v>0</v>
      </c>
      <c r="T511" s="883">
        <v>0</v>
      </c>
      <c r="U511" s="883">
        <v>0</v>
      </c>
      <c r="V511" s="883">
        <v>0</v>
      </c>
    </row>
    <row r="512" spans="1:22" x14ac:dyDescent="0.25">
      <c r="A512" s="887" t="s">
        <v>118</v>
      </c>
      <c r="B512" s="887" t="s">
        <v>31</v>
      </c>
      <c r="C512" s="887" t="s">
        <v>198</v>
      </c>
      <c r="D512" s="884" t="s">
        <v>1137</v>
      </c>
      <c r="E512" s="881">
        <v>0</v>
      </c>
      <c r="F512" s="881">
        <v>0</v>
      </c>
      <c r="G512" s="881">
        <v>0</v>
      </c>
      <c r="H512" s="881">
        <v>0</v>
      </c>
      <c r="I512" s="881">
        <v>0</v>
      </c>
      <c r="J512" s="881">
        <v>0</v>
      </c>
      <c r="K512" s="881">
        <v>0</v>
      </c>
      <c r="L512" s="881">
        <v>0</v>
      </c>
      <c r="M512" s="881">
        <v>0</v>
      </c>
      <c r="N512" s="881">
        <v>0</v>
      </c>
      <c r="O512" s="881">
        <v>0</v>
      </c>
      <c r="P512" s="881">
        <v>0</v>
      </c>
      <c r="Q512" s="881">
        <v>0</v>
      </c>
      <c r="R512" s="881">
        <v>0</v>
      </c>
      <c r="S512" s="881">
        <v>0</v>
      </c>
      <c r="T512" s="881">
        <v>0</v>
      </c>
      <c r="U512" s="881">
        <v>0</v>
      </c>
      <c r="V512" s="881">
        <v>0</v>
      </c>
    </row>
    <row r="513" spans="1:22" x14ac:dyDescent="0.25">
      <c r="A513" s="887" t="s">
        <v>118</v>
      </c>
      <c r="B513" s="887" t="s">
        <v>31</v>
      </c>
      <c r="C513" s="887"/>
      <c r="D513" s="882" t="s">
        <v>1138</v>
      </c>
    </row>
    <row r="514" spans="1:22" x14ac:dyDescent="0.25">
      <c r="A514" s="887" t="s">
        <v>118</v>
      </c>
      <c r="B514" s="887" t="s">
        <v>31</v>
      </c>
      <c r="C514" s="887"/>
      <c r="D514" s="885" t="s">
        <v>1139</v>
      </c>
      <c r="E514" s="883">
        <v>2.90831517292084E-2</v>
      </c>
      <c r="F514" s="883">
        <v>2.90831517292084E-2</v>
      </c>
      <c r="G514" s="883">
        <v>2.90831517292084E-2</v>
      </c>
      <c r="H514" s="883">
        <v>2.90831517292084E-2</v>
      </c>
      <c r="I514" s="883">
        <v>2.90831517292084E-2</v>
      </c>
      <c r="J514" s="883">
        <v>2.90831517292084E-2</v>
      </c>
      <c r="K514" s="883">
        <v>2.90831517292084E-2</v>
      </c>
      <c r="L514" s="883">
        <v>2.90831517292084E-2</v>
      </c>
      <c r="M514" s="883">
        <v>2.90831517292084E-2</v>
      </c>
      <c r="N514" s="883">
        <v>2.90831517292084E-2</v>
      </c>
      <c r="O514" s="883">
        <v>2.90831517292084E-2</v>
      </c>
      <c r="P514" s="883">
        <v>2.90831517292084E-2</v>
      </c>
      <c r="Q514" s="883">
        <v>2.90831517292084E-2</v>
      </c>
      <c r="R514" s="883">
        <v>2.90831517292084E-2</v>
      </c>
      <c r="S514" s="883">
        <v>2.90831517292084E-2</v>
      </c>
      <c r="T514" s="883">
        <v>2.90831517292084E-2</v>
      </c>
      <c r="U514" s="883">
        <v>2.90831517292084E-2</v>
      </c>
      <c r="V514" s="883">
        <v>2.90831517292084E-2</v>
      </c>
    </row>
    <row r="515" spans="1:22" x14ac:dyDescent="0.25">
      <c r="A515" s="887" t="s">
        <v>118</v>
      </c>
      <c r="B515" s="887" t="s">
        <v>31</v>
      </c>
      <c r="C515" s="887" t="s">
        <v>670</v>
      </c>
      <c r="D515" s="884" t="s">
        <v>1140</v>
      </c>
      <c r="E515" s="881">
        <v>1.03372295454437</v>
      </c>
      <c r="F515" s="881">
        <v>1.0745160015728801</v>
      </c>
      <c r="G515" s="881">
        <v>1.0810843309959299</v>
      </c>
      <c r="H515" s="881">
        <v>1.1474760657410299</v>
      </c>
      <c r="I515" s="881">
        <v>1.43414320278651</v>
      </c>
      <c r="J515" s="881">
        <v>1.4180186958871599</v>
      </c>
      <c r="K515" s="881">
        <v>1.25837409942013</v>
      </c>
      <c r="L515" s="881">
        <v>1.31740464968895</v>
      </c>
      <c r="M515" s="881">
        <v>1.29317807714233</v>
      </c>
      <c r="N515" s="881">
        <v>1.27216919850847</v>
      </c>
      <c r="O515" s="881">
        <v>1.26728894050007</v>
      </c>
      <c r="P515" s="881">
        <v>1.3591188610262399</v>
      </c>
      <c r="Q515" s="881">
        <v>1.64343000221716</v>
      </c>
      <c r="R515" s="881">
        <v>1.62175760664294</v>
      </c>
      <c r="S515" s="881">
        <v>1.60798319533769</v>
      </c>
      <c r="T515" s="881">
        <v>1.52274150463659</v>
      </c>
      <c r="U515" s="881">
        <v>1.55437333320418</v>
      </c>
      <c r="V515" s="881">
        <v>1.50584951382759</v>
      </c>
    </row>
    <row r="516" spans="1:22" x14ac:dyDescent="0.25">
      <c r="A516" s="887" t="s">
        <v>118</v>
      </c>
      <c r="B516" s="887" t="s">
        <v>31</v>
      </c>
      <c r="C516" s="887"/>
      <c r="D516" s="882" t="s">
        <v>1141</v>
      </c>
      <c r="E516" s="881">
        <v>10.7091746662784</v>
      </c>
      <c r="F516" s="881">
        <v>16.887449770702698</v>
      </c>
      <c r="G516" s="881">
        <v>21.137480136696801</v>
      </c>
      <c r="H516" s="881">
        <v>25.595342521789998</v>
      </c>
      <c r="I516" s="881">
        <v>25.176888921800799</v>
      </c>
      <c r="J516" s="881">
        <v>24.566592197280102</v>
      </c>
      <c r="K516" s="881">
        <v>10.6036996624001</v>
      </c>
      <c r="L516" s="881">
        <v>10.6782346588679</v>
      </c>
      <c r="M516" s="881">
        <v>11.203491601523099</v>
      </c>
      <c r="N516" s="881">
        <v>14.0170796781716</v>
      </c>
      <c r="O516" s="881">
        <v>18.987062423812599</v>
      </c>
      <c r="P516" s="881">
        <v>23.650016134650102</v>
      </c>
      <c r="Q516" s="881">
        <v>26.1834985501118</v>
      </c>
      <c r="R516" s="881">
        <v>25.519736137344498</v>
      </c>
      <c r="S516" s="881">
        <v>20.8400418215518</v>
      </c>
      <c r="T516" s="881">
        <v>15.7887632392183</v>
      </c>
      <c r="U516" s="881">
        <v>13.74766774756</v>
      </c>
      <c r="V516" s="881">
        <v>11.5902231906548</v>
      </c>
    </row>
    <row r="517" spans="1:22" s="82" customFormat="1" x14ac:dyDescent="0.25">
      <c r="A517" s="880" t="s">
        <v>129</v>
      </c>
      <c r="B517" s="880" t="s">
        <v>35</v>
      </c>
      <c r="C517" s="880"/>
      <c r="D517" s="969" t="s">
        <v>1166</v>
      </c>
    </row>
    <row r="518" spans="1:22" x14ac:dyDescent="0.25">
      <c r="A518" s="887" t="s">
        <v>129</v>
      </c>
      <c r="B518" s="887" t="s">
        <v>35</v>
      </c>
      <c r="C518" s="887"/>
      <c r="D518" s="882" t="s">
        <v>1114</v>
      </c>
    </row>
    <row r="519" spans="1:22" x14ac:dyDescent="0.25">
      <c r="A519" s="887" t="s">
        <v>129</v>
      </c>
      <c r="B519" s="887" t="s">
        <v>35</v>
      </c>
      <c r="C519" s="887"/>
      <c r="D519" s="884" t="s">
        <v>1115</v>
      </c>
      <c r="E519" s="881">
        <v>294106</v>
      </c>
      <c r="F519" s="881">
        <v>294431</v>
      </c>
      <c r="G519" s="881">
        <v>295094</v>
      </c>
      <c r="H519" s="881">
        <v>296171</v>
      </c>
      <c r="I519" s="881">
        <v>296728</v>
      </c>
      <c r="J519" s="881">
        <v>296970</v>
      </c>
      <c r="K519" s="881">
        <v>295585</v>
      </c>
      <c r="L519" s="881">
        <v>295508</v>
      </c>
      <c r="M519" s="881">
        <v>295117</v>
      </c>
      <c r="N519" s="881">
        <v>295420</v>
      </c>
      <c r="O519" s="881">
        <v>295562</v>
      </c>
      <c r="P519" s="881">
        <v>296650</v>
      </c>
      <c r="Q519" s="881">
        <v>297218</v>
      </c>
      <c r="R519" s="881">
        <v>297472</v>
      </c>
      <c r="S519" s="881">
        <v>297745</v>
      </c>
      <c r="T519" s="881">
        <v>297132</v>
      </c>
      <c r="U519" s="881">
        <v>296589</v>
      </c>
      <c r="V519" s="881">
        <v>296513</v>
      </c>
    </row>
    <row r="520" spans="1:22" x14ac:dyDescent="0.25">
      <c r="A520" s="887" t="s">
        <v>129</v>
      </c>
      <c r="B520" s="887" t="s">
        <v>35</v>
      </c>
      <c r="C520" s="887"/>
      <c r="D520" s="884" t="s">
        <v>1116</v>
      </c>
      <c r="E520" s="881">
        <v>0</v>
      </c>
      <c r="F520" s="881">
        <v>0</v>
      </c>
      <c r="G520" s="881">
        <v>0</v>
      </c>
      <c r="H520" s="881">
        <v>0</v>
      </c>
      <c r="I520" s="881">
        <v>0</v>
      </c>
      <c r="J520" s="881">
        <v>0</v>
      </c>
      <c r="K520" s="881">
        <v>0</v>
      </c>
      <c r="L520" s="881">
        <v>0</v>
      </c>
      <c r="M520" s="881">
        <v>0</v>
      </c>
      <c r="N520" s="881">
        <v>0</v>
      </c>
      <c r="O520" s="881">
        <v>0</v>
      </c>
      <c r="P520" s="881">
        <v>0</v>
      </c>
      <c r="Q520" s="881">
        <v>0</v>
      </c>
      <c r="R520" s="881">
        <v>0</v>
      </c>
      <c r="S520" s="881">
        <v>0</v>
      </c>
      <c r="T520" s="881">
        <v>0</v>
      </c>
      <c r="U520" s="881">
        <v>0</v>
      </c>
      <c r="V520" s="881">
        <v>0</v>
      </c>
    </row>
    <row r="521" spans="1:22" x14ac:dyDescent="0.25">
      <c r="A521" s="887" t="s">
        <v>129</v>
      </c>
      <c r="B521" s="887" t="s">
        <v>35</v>
      </c>
      <c r="C521" s="887"/>
      <c r="D521" s="884" t="s">
        <v>1117</v>
      </c>
      <c r="E521" s="881">
        <v>294106</v>
      </c>
      <c r="F521" s="881">
        <v>294431</v>
      </c>
      <c r="G521" s="881">
        <v>295094</v>
      </c>
      <c r="H521" s="881">
        <v>296171</v>
      </c>
      <c r="I521" s="881">
        <v>296728</v>
      </c>
      <c r="J521" s="881">
        <v>296970</v>
      </c>
      <c r="K521" s="881">
        <v>295585</v>
      </c>
      <c r="L521" s="881">
        <v>295508</v>
      </c>
      <c r="M521" s="881">
        <v>295117</v>
      </c>
      <c r="N521" s="881">
        <v>295420</v>
      </c>
      <c r="O521" s="881">
        <v>295562</v>
      </c>
      <c r="P521" s="881">
        <v>296650</v>
      </c>
      <c r="Q521" s="881">
        <v>297218</v>
      </c>
      <c r="R521" s="881">
        <v>297472</v>
      </c>
      <c r="S521" s="881">
        <v>297745</v>
      </c>
      <c r="T521" s="881">
        <v>297132</v>
      </c>
      <c r="U521" s="881">
        <v>296589</v>
      </c>
      <c r="V521" s="881">
        <v>296513</v>
      </c>
    </row>
    <row r="522" spans="1:22" x14ac:dyDescent="0.25">
      <c r="A522" s="887" t="s">
        <v>129</v>
      </c>
      <c r="B522" s="887" t="s">
        <v>35</v>
      </c>
      <c r="C522" s="887"/>
      <c r="D522" s="884" t="s">
        <v>1118</v>
      </c>
      <c r="E522" s="881">
        <v>13.5</v>
      </c>
      <c r="F522" s="881">
        <v>13.5</v>
      </c>
      <c r="G522" s="881">
        <v>13.5</v>
      </c>
      <c r="H522" s="881">
        <v>13.5</v>
      </c>
      <c r="I522" s="881">
        <v>13.5</v>
      </c>
      <c r="J522" s="881">
        <v>13.5</v>
      </c>
      <c r="K522" s="881">
        <v>13.5</v>
      </c>
      <c r="L522" s="881">
        <v>13.5</v>
      </c>
      <c r="M522" s="881">
        <v>13.5</v>
      </c>
      <c r="N522" s="881">
        <v>13.5</v>
      </c>
      <c r="O522" s="881">
        <v>13.5</v>
      </c>
      <c r="P522" s="881">
        <v>13.5</v>
      </c>
      <c r="Q522" s="881">
        <v>13.5</v>
      </c>
      <c r="R522" s="881">
        <v>13.5</v>
      </c>
      <c r="S522" s="881">
        <v>13.5</v>
      </c>
      <c r="T522" s="881">
        <v>13.5</v>
      </c>
      <c r="U522" s="881">
        <v>13.5</v>
      </c>
      <c r="V522" s="881">
        <v>13.5</v>
      </c>
    </row>
    <row r="523" spans="1:22" x14ac:dyDescent="0.25">
      <c r="A523" s="887" t="s">
        <v>129</v>
      </c>
      <c r="B523" s="887" t="s">
        <v>35</v>
      </c>
      <c r="C523" s="887"/>
      <c r="D523" s="884" t="s">
        <v>1119</v>
      </c>
      <c r="E523" s="881">
        <v>0</v>
      </c>
      <c r="F523" s="881">
        <v>0</v>
      </c>
      <c r="G523" s="881">
        <v>0</v>
      </c>
      <c r="H523" s="881">
        <v>0</v>
      </c>
      <c r="I523" s="881">
        <v>0</v>
      </c>
      <c r="J523" s="881">
        <v>0</v>
      </c>
      <c r="K523" s="881">
        <v>0</v>
      </c>
      <c r="L523" s="881">
        <v>0</v>
      </c>
      <c r="M523" s="881">
        <v>0</v>
      </c>
      <c r="N523" s="881">
        <v>0</v>
      </c>
      <c r="O523" s="881">
        <v>0</v>
      </c>
      <c r="P523" s="881">
        <v>0</v>
      </c>
      <c r="Q523" s="881">
        <v>0</v>
      </c>
      <c r="R523" s="881">
        <v>0</v>
      </c>
      <c r="S523" s="881">
        <v>0</v>
      </c>
      <c r="T523" s="881">
        <v>0</v>
      </c>
      <c r="U523" s="881">
        <v>0</v>
      </c>
      <c r="V523" s="881">
        <v>0</v>
      </c>
    </row>
    <row r="524" spans="1:22" x14ac:dyDescent="0.25">
      <c r="A524" s="887" t="s">
        <v>129</v>
      </c>
      <c r="B524" s="887" t="s">
        <v>35</v>
      </c>
      <c r="C524" s="887" t="s">
        <v>169</v>
      </c>
      <c r="D524" s="882" t="s">
        <v>1120</v>
      </c>
      <c r="E524" s="881">
        <v>3970.431</v>
      </c>
      <c r="F524" s="881">
        <v>3974.8184999999999</v>
      </c>
      <c r="G524" s="881">
        <v>3983.7689999999998</v>
      </c>
      <c r="H524" s="881">
        <v>3998.3085000000001</v>
      </c>
      <c r="I524" s="881">
        <v>4005.828</v>
      </c>
      <c r="J524" s="881">
        <v>4009.0949999999998</v>
      </c>
      <c r="K524" s="881">
        <v>3990.3975</v>
      </c>
      <c r="L524" s="881">
        <v>3989.3580000000002</v>
      </c>
      <c r="M524" s="881">
        <v>3984.0794999999998</v>
      </c>
      <c r="N524" s="881">
        <v>3988.17</v>
      </c>
      <c r="O524" s="881">
        <v>3990.087</v>
      </c>
      <c r="P524" s="881">
        <v>4004.7750000000001</v>
      </c>
      <c r="Q524" s="881">
        <v>4012.4430000000002</v>
      </c>
      <c r="R524" s="881">
        <v>4015.8719999999998</v>
      </c>
      <c r="S524" s="881">
        <v>4019.5574999999999</v>
      </c>
      <c r="T524" s="881">
        <v>4011.2820000000002</v>
      </c>
      <c r="U524" s="881">
        <v>4003.9515000000001</v>
      </c>
      <c r="V524" s="881">
        <v>4002.9254999999998</v>
      </c>
    </row>
    <row r="525" spans="1:22" x14ac:dyDescent="0.25">
      <c r="A525" s="887" t="s">
        <v>129</v>
      </c>
      <c r="B525" s="887" t="s">
        <v>35</v>
      </c>
      <c r="C525" s="887"/>
      <c r="D525" s="882" t="s">
        <v>1121</v>
      </c>
    </row>
    <row r="526" spans="1:22" x14ac:dyDescent="0.25">
      <c r="A526" s="887" t="s">
        <v>129</v>
      </c>
      <c r="B526" s="887" t="s">
        <v>35</v>
      </c>
      <c r="C526" s="887"/>
      <c r="D526" s="884" t="s">
        <v>1122</v>
      </c>
      <c r="E526" s="881">
        <v>363855.45412481</v>
      </c>
      <c r="F526" s="881">
        <v>722266.42397916899</v>
      </c>
      <c r="G526" s="881">
        <v>1883953.0907962399</v>
      </c>
      <c r="H526" s="881">
        <v>3470093.0340253902</v>
      </c>
      <c r="I526" s="881">
        <v>4319797.5753589002</v>
      </c>
      <c r="J526" s="881">
        <v>3654119.4696236998</v>
      </c>
      <c r="K526" s="881">
        <v>331379.92129634001</v>
      </c>
      <c r="L526" s="881">
        <v>325572.80697186</v>
      </c>
      <c r="M526" s="881">
        <v>357906.51170552999</v>
      </c>
      <c r="N526" s="881">
        <v>699066.75758664997</v>
      </c>
      <c r="O526" s="881">
        <v>1819908.05448802</v>
      </c>
      <c r="P526" s="881">
        <v>3383204.8678533998</v>
      </c>
      <c r="Q526" s="881">
        <v>4272129.1865721997</v>
      </c>
      <c r="R526" s="881">
        <v>3620817.0591555899</v>
      </c>
      <c r="S526" s="881">
        <v>2542353.7222257899</v>
      </c>
      <c r="T526" s="881">
        <v>1126273.595222</v>
      </c>
      <c r="U526" s="881">
        <v>653514.63452952995</v>
      </c>
      <c r="V526" s="881">
        <v>384194.79197376902</v>
      </c>
    </row>
    <row r="527" spans="1:22" x14ac:dyDescent="0.25">
      <c r="A527" s="887" t="s">
        <v>129</v>
      </c>
      <c r="B527" s="887" t="s">
        <v>35</v>
      </c>
      <c r="C527" s="887"/>
      <c r="D527" s="884" t="s">
        <v>1123</v>
      </c>
      <c r="E527" s="881">
        <v>0</v>
      </c>
      <c r="F527" s="881">
        <v>0</v>
      </c>
      <c r="G527" s="881">
        <v>0</v>
      </c>
      <c r="H527" s="881">
        <v>0</v>
      </c>
      <c r="I527" s="881">
        <v>0</v>
      </c>
      <c r="J527" s="881">
        <v>0</v>
      </c>
      <c r="K527" s="881">
        <v>0</v>
      </c>
      <c r="L527" s="881">
        <v>0</v>
      </c>
      <c r="M527" s="881">
        <v>0</v>
      </c>
      <c r="N527" s="881">
        <v>0</v>
      </c>
      <c r="O527" s="881">
        <v>0</v>
      </c>
      <c r="P527" s="881">
        <v>0</v>
      </c>
      <c r="Q527" s="881">
        <v>0</v>
      </c>
      <c r="R527" s="881">
        <v>0</v>
      </c>
      <c r="S527" s="881">
        <v>0</v>
      </c>
      <c r="T527" s="881">
        <v>0</v>
      </c>
      <c r="U527" s="881">
        <v>0</v>
      </c>
      <c r="V527" s="881">
        <v>0</v>
      </c>
    </row>
    <row r="528" spans="1:22" x14ac:dyDescent="0.25">
      <c r="A528" s="887" t="s">
        <v>129</v>
      </c>
      <c r="B528" s="887" t="s">
        <v>35</v>
      </c>
      <c r="C528" s="887"/>
      <c r="D528" s="885" t="s">
        <v>1124</v>
      </c>
      <c r="E528" s="883">
        <v>363.85545412481002</v>
      </c>
      <c r="F528" s="883">
        <v>722.26642397916999</v>
      </c>
      <c r="G528" s="883">
        <v>1883.9530907962401</v>
      </c>
      <c r="H528" s="883">
        <v>3470.0930340253899</v>
      </c>
      <c r="I528" s="883">
        <v>4319.7975753588998</v>
      </c>
      <c r="J528" s="883">
        <v>3654.1194696236998</v>
      </c>
      <c r="K528" s="883">
        <v>331.37992129634</v>
      </c>
      <c r="L528" s="883">
        <v>325.57280697186002</v>
      </c>
      <c r="M528" s="883">
        <v>357.90651170553002</v>
      </c>
      <c r="N528" s="883">
        <v>699.06675758665006</v>
      </c>
      <c r="O528" s="883">
        <v>1819.9080544880201</v>
      </c>
      <c r="P528" s="883">
        <v>3383.2048678534002</v>
      </c>
      <c r="Q528" s="883">
        <v>4272.1291865721996</v>
      </c>
      <c r="R528" s="883">
        <v>3620.8170591556</v>
      </c>
      <c r="S528" s="883">
        <v>2542.3537222257901</v>
      </c>
      <c r="T528" s="883">
        <v>1126.273595222</v>
      </c>
      <c r="U528" s="883">
        <v>653.51463452952999</v>
      </c>
      <c r="V528" s="883">
        <v>384.19479197376899</v>
      </c>
    </row>
    <row r="529" spans="1:22" x14ac:dyDescent="0.25">
      <c r="A529" s="887" t="s">
        <v>129</v>
      </c>
      <c r="B529" s="887" t="s">
        <v>35</v>
      </c>
      <c r="C529" s="887"/>
      <c r="D529" s="885" t="s">
        <v>1125</v>
      </c>
      <c r="E529" s="883">
        <v>2.8693</v>
      </c>
      <c r="F529" s="883">
        <v>2.8693</v>
      </c>
      <c r="G529" s="883">
        <v>2.8693</v>
      </c>
      <c r="H529" s="883">
        <v>2.8693</v>
      </c>
      <c r="I529" s="883">
        <v>2.8693</v>
      </c>
      <c r="J529" s="883">
        <v>2.8693</v>
      </c>
      <c r="K529" s="883">
        <v>2.8693</v>
      </c>
      <c r="L529" s="883">
        <v>2.8693</v>
      </c>
      <c r="M529" s="883">
        <v>2.8693</v>
      </c>
      <c r="N529" s="883">
        <v>2.8693</v>
      </c>
      <c r="O529" s="883">
        <v>2.8693</v>
      </c>
      <c r="P529" s="883">
        <v>2.8693</v>
      </c>
      <c r="Q529" s="883">
        <v>2.8693</v>
      </c>
      <c r="R529" s="883">
        <v>2.8693</v>
      </c>
      <c r="S529" s="883">
        <v>2.8693</v>
      </c>
      <c r="T529" s="883">
        <v>2.8693</v>
      </c>
      <c r="U529" s="883">
        <v>2.8693</v>
      </c>
      <c r="V529" s="883">
        <v>2.8693</v>
      </c>
    </row>
    <row r="530" spans="1:22" x14ac:dyDescent="0.25">
      <c r="A530" s="887" t="s">
        <v>129</v>
      </c>
      <c r="B530" s="887" t="s">
        <v>35</v>
      </c>
      <c r="C530" s="887"/>
      <c r="D530" s="885" t="s">
        <v>1126</v>
      </c>
      <c r="E530" s="883">
        <v>2.8693</v>
      </c>
      <c r="F530" s="883">
        <v>2.8693</v>
      </c>
      <c r="G530" s="883">
        <v>2.8693</v>
      </c>
      <c r="H530" s="883">
        <v>2.8693</v>
      </c>
      <c r="I530" s="883">
        <v>2.8693</v>
      </c>
      <c r="J530" s="883">
        <v>2.8693</v>
      </c>
      <c r="K530" s="883">
        <v>2.8693</v>
      </c>
      <c r="L530" s="883">
        <v>2.8693</v>
      </c>
      <c r="M530" s="883">
        <v>2.8693</v>
      </c>
      <c r="N530" s="883">
        <v>2.8693</v>
      </c>
      <c r="O530" s="883">
        <v>2.8693</v>
      </c>
      <c r="P530" s="883">
        <v>2.8693</v>
      </c>
      <c r="Q530" s="883">
        <v>2.8693</v>
      </c>
      <c r="R530" s="883">
        <v>2.8693</v>
      </c>
      <c r="S530" s="883">
        <v>2.8693</v>
      </c>
      <c r="T530" s="883">
        <v>2.8693</v>
      </c>
      <c r="U530" s="883">
        <v>2.8693</v>
      </c>
      <c r="V530" s="883">
        <v>2.8693</v>
      </c>
    </row>
    <row r="531" spans="1:22" x14ac:dyDescent="0.25">
      <c r="A531" s="887" t="s">
        <v>129</v>
      </c>
      <c r="B531" s="887" t="s">
        <v>35</v>
      </c>
      <c r="C531" s="887"/>
      <c r="D531" s="885" t="s">
        <v>1127</v>
      </c>
      <c r="E531" s="883">
        <v>0</v>
      </c>
      <c r="F531" s="883">
        <v>0</v>
      </c>
      <c r="G531" s="883">
        <v>0</v>
      </c>
      <c r="H531" s="883">
        <v>0</v>
      </c>
      <c r="I531" s="883">
        <v>0</v>
      </c>
      <c r="J531" s="883">
        <v>0</v>
      </c>
      <c r="K531" s="883">
        <v>0</v>
      </c>
      <c r="L531" s="883">
        <v>0</v>
      </c>
      <c r="M531" s="883">
        <v>0</v>
      </c>
      <c r="N531" s="883">
        <v>0</v>
      </c>
      <c r="O531" s="883">
        <v>0</v>
      </c>
      <c r="P531" s="883">
        <v>0</v>
      </c>
      <c r="Q531" s="883">
        <v>0</v>
      </c>
      <c r="R531" s="883">
        <v>0</v>
      </c>
      <c r="S531" s="883">
        <v>0</v>
      </c>
      <c r="T531" s="883">
        <v>0</v>
      </c>
      <c r="U531" s="883">
        <v>0</v>
      </c>
      <c r="V531" s="883">
        <v>0</v>
      </c>
    </row>
    <row r="532" spans="1:22" x14ac:dyDescent="0.25">
      <c r="A532" s="887" t="s">
        <v>129</v>
      </c>
      <c r="B532" s="887" t="s">
        <v>35</v>
      </c>
      <c r="C532" s="887" t="s">
        <v>778</v>
      </c>
      <c r="D532" s="882" t="s">
        <v>1128</v>
      </c>
      <c r="E532" s="881">
        <v>1044.0104545203101</v>
      </c>
      <c r="F532" s="881">
        <v>2072.3990503234299</v>
      </c>
      <c r="G532" s="881">
        <v>5405.6266034216496</v>
      </c>
      <c r="H532" s="881">
        <v>9956.7379425290692</v>
      </c>
      <c r="I532" s="881">
        <v>12394.795182977199</v>
      </c>
      <c r="J532" s="881">
        <v>10484.7649941912</v>
      </c>
      <c r="K532" s="881">
        <v>950.82840817558804</v>
      </c>
      <c r="L532" s="881">
        <v>934.16605504435699</v>
      </c>
      <c r="M532" s="881">
        <v>1026.94115403667</v>
      </c>
      <c r="N532" s="881">
        <v>2005.8322475433699</v>
      </c>
      <c r="O532" s="881">
        <v>5221.8621807424697</v>
      </c>
      <c r="P532" s="881">
        <v>9707.4297273317607</v>
      </c>
      <c r="Q532" s="881">
        <v>12258.0202750316</v>
      </c>
      <c r="R532" s="881">
        <v>10389.210387835101</v>
      </c>
      <c r="S532" s="881">
        <v>7294.7755351824799</v>
      </c>
      <c r="T532" s="881">
        <v>3231.6168267704802</v>
      </c>
      <c r="U532" s="881">
        <v>1875.12954085558</v>
      </c>
      <c r="V532" s="881">
        <v>1102.3701166103299</v>
      </c>
    </row>
    <row r="533" spans="1:22" x14ac:dyDescent="0.25">
      <c r="A533" s="887" t="s">
        <v>129</v>
      </c>
      <c r="B533" s="887" t="s">
        <v>35</v>
      </c>
      <c r="C533" s="887"/>
      <c r="D533" s="882" t="s">
        <v>1129</v>
      </c>
    </row>
    <row r="534" spans="1:22" x14ac:dyDescent="0.25">
      <c r="A534" s="887" t="s">
        <v>129</v>
      </c>
      <c r="B534" s="887" t="s">
        <v>35</v>
      </c>
      <c r="C534" s="887"/>
      <c r="D534" s="882" t="s">
        <v>1130</v>
      </c>
    </row>
    <row r="535" spans="1:22" x14ac:dyDescent="0.25">
      <c r="A535" s="887" t="s">
        <v>129</v>
      </c>
      <c r="B535" s="887" t="s">
        <v>35</v>
      </c>
      <c r="C535" s="887"/>
      <c r="D535" s="882" t="s">
        <v>1131</v>
      </c>
      <c r="E535" s="881">
        <v>5014.4414545203099</v>
      </c>
      <c r="F535" s="881">
        <v>6047.2175503234303</v>
      </c>
      <c r="G535" s="881">
        <v>9389.3956034216499</v>
      </c>
      <c r="H535" s="881">
        <v>13955.046442528999</v>
      </c>
      <c r="I535" s="881">
        <v>16400.6231829772</v>
      </c>
      <c r="J535" s="881">
        <v>14493.8599941912</v>
      </c>
      <c r="K535" s="881">
        <v>4941.2259081755801</v>
      </c>
      <c r="L535" s="881">
        <v>4923.5240550443496</v>
      </c>
      <c r="M535" s="881">
        <v>5011.0206540366698</v>
      </c>
      <c r="N535" s="881">
        <v>5994.0022475433698</v>
      </c>
      <c r="O535" s="881">
        <v>9211.9491807424693</v>
      </c>
      <c r="P535" s="881">
        <v>13712.2047273317</v>
      </c>
      <c r="Q535" s="881">
        <v>16270.4632750316</v>
      </c>
      <c r="R535" s="881">
        <v>14405.0823878351</v>
      </c>
      <c r="S535" s="881">
        <v>11314.333035182401</v>
      </c>
      <c r="T535" s="881">
        <v>7242.8988267704799</v>
      </c>
      <c r="U535" s="881">
        <v>5879.0810408555799</v>
      </c>
      <c r="V535" s="881">
        <v>5105.2956166103304</v>
      </c>
    </row>
    <row r="536" spans="1:22" x14ac:dyDescent="0.25">
      <c r="A536" s="887" t="s">
        <v>129</v>
      </c>
      <c r="B536" s="887" t="s">
        <v>35</v>
      </c>
      <c r="C536" s="887"/>
      <c r="D536" s="882" t="s">
        <v>1132</v>
      </c>
    </row>
    <row r="537" spans="1:22" x14ac:dyDescent="0.25">
      <c r="A537" s="887" t="s">
        <v>129</v>
      </c>
      <c r="B537" s="887" t="s">
        <v>35</v>
      </c>
      <c r="C537" s="887"/>
      <c r="D537" s="885" t="s">
        <v>1133</v>
      </c>
      <c r="E537" s="883">
        <v>3.54132328535503</v>
      </c>
      <c r="F537" s="883">
        <v>4.0825536529198896</v>
      </c>
      <c r="G537" s="883">
        <v>4.6151370530302804</v>
      </c>
      <c r="H537" s="883">
        <v>4.7204926546137003</v>
      </c>
      <c r="I537" s="883">
        <v>4.2816079006073897</v>
      </c>
      <c r="J537" s="883">
        <v>4.61774840312499</v>
      </c>
      <c r="K537" s="883">
        <v>3.6370825733754901</v>
      </c>
      <c r="L537" s="883">
        <v>3.1998593487156</v>
      </c>
      <c r="M537" s="883">
        <v>3.4441400635944199</v>
      </c>
      <c r="N537" s="883">
        <v>2.6697967759149801</v>
      </c>
      <c r="O537" s="883">
        <v>3.6621728781104101</v>
      </c>
      <c r="P537" s="883">
        <v>3.9547219031793199</v>
      </c>
      <c r="Q537" s="883">
        <v>4.3060793499123999</v>
      </c>
      <c r="R537" s="883">
        <v>4.66270835833049</v>
      </c>
      <c r="S537" s="883">
        <v>5.2056863414265502</v>
      </c>
      <c r="T537" s="883">
        <v>5.4531502607765896</v>
      </c>
      <c r="U537" s="883">
        <v>5.0764131270513699</v>
      </c>
      <c r="V537" s="883">
        <v>4.0447960531742</v>
      </c>
    </row>
    <row r="538" spans="1:22" x14ac:dyDescent="0.25">
      <c r="A538" s="887" t="s">
        <v>129</v>
      </c>
      <c r="B538" s="887" t="s">
        <v>35</v>
      </c>
      <c r="C538" s="887" t="s">
        <v>196</v>
      </c>
      <c r="D538" s="884" t="s">
        <v>1134</v>
      </c>
      <c r="E538" s="881">
        <v>1288.5297921956201</v>
      </c>
      <c r="F538" s="881">
        <v>2948.69142759754</v>
      </c>
      <c r="G538" s="881">
        <v>8694.7017155046506</v>
      </c>
      <c r="H538" s="881">
        <v>16380.548677942999</v>
      </c>
      <c r="I538" s="881">
        <v>18495.679427681302</v>
      </c>
      <c r="J538" s="881">
        <v>16873.804345682802</v>
      </c>
      <c r="K538" s="881">
        <v>1205.2561369134601</v>
      </c>
      <c r="L538" s="881">
        <v>1041.7871900764801</v>
      </c>
      <c r="M538" s="881">
        <v>1232.68015598634</v>
      </c>
      <c r="N538" s="881">
        <v>1866.36617555418</v>
      </c>
      <c r="O538" s="881">
        <v>6664.8179178007103</v>
      </c>
      <c r="P538" s="881">
        <v>13379.6343938427</v>
      </c>
      <c r="Q538" s="881">
        <v>18396.1272704566</v>
      </c>
      <c r="R538" s="881">
        <v>16882.8139657104</v>
      </c>
      <c r="S538" s="881">
        <v>13234.6960468658</v>
      </c>
      <c r="T538" s="881">
        <v>6141.7391494906396</v>
      </c>
      <c r="U538" s="881">
        <v>3317.5102694458801</v>
      </c>
      <c r="V538" s="881">
        <v>1553.9895782255801</v>
      </c>
    </row>
    <row r="539" spans="1:22" x14ac:dyDescent="0.25">
      <c r="A539" s="887" t="s">
        <v>129</v>
      </c>
      <c r="B539" s="887" t="s">
        <v>35</v>
      </c>
      <c r="C539" s="887"/>
      <c r="D539" s="882" t="s">
        <v>1135</v>
      </c>
    </row>
    <row r="540" spans="1:22" x14ac:dyDescent="0.25">
      <c r="A540" s="887" t="s">
        <v>129</v>
      </c>
      <c r="B540" s="887" t="s">
        <v>35</v>
      </c>
      <c r="C540" s="887"/>
      <c r="D540" s="885" t="s">
        <v>1136</v>
      </c>
      <c r="E540" s="883">
        <v>0.34906843462946002</v>
      </c>
      <c r="F540" s="883">
        <v>0.16939007523933</v>
      </c>
      <c r="G540" s="883">
        <v>9.4024398016510996E-2</v>
      </c>
      <c r="H540" s="883">
        <v>7.9005885786712304E-2</v>
      </c>
      <c r="I540" s="883">
        <v>4.2818241030573301E-2</v>
      </c>
      <c r="J540" s="883">
        <v>5.3348528484577801E-2</v>
      </c>
      <c r="K540" s="883">
        <v>0.24690512534735301</v>
      </c>
      <c r="L540" s="883">
        <v>0.286805863570613</v>
      </c>
      <c r="M540" s="883">
        <v>0.2714755224323</v>
      </c>
      <c r="N540" s="883">
        <v>0.23977615362243901</v>
      </c>
      <c r="O540" s="883">
        <v>0.112823983088882</v>
      </c>
      <c r="P540" s="883">
        <v>3.1676324500992899E-2</v>
      </c>
      <c r="Q540" s="883">
        <v>5.1767532114618299E-2</v>
      </c>
      <c r="R540" s="883">
        <v>6.4560825100963504E-2</v>
      </c>
      <c r="S540" s="883">
        <v>0.10990553607190399</v>
      </c>
      <c r="T540" s="883">
        <v>0.18637651503338701</v>
      </c>
      <c r="U540" s="883">
        <v>0.28860955010716799</v>
      </c>
      <c r="V540" s="883">
        <v>0.33287319112658798</v>
      </c>
    </row>
    <row r="541" spans="1:22" x14ac:dyDescent="0.25">
      <c r="A541" s="887" t="s">
        <v>129</v>
      </c>
      <c r="B541" s="887" t="s">
        <v>35</v>
      </c>
      <c r="C541" s="887" t="s">
        <v>198</v>
      </c>
      <c r="D541" s="884" t="s">
        <v>1137</v>
      </c>
      <c r="E541" s="881">
        <v>127.010453802738</v>
      </c>
      <c r="F541" s="881">
        <v>122.344763900673</v>
      </c>
      <c r="G541" s="881">
        <v>177.13755525346099</v>
      </c>
      <c r="H541" s="881">
        <v>274.15777391547601</v>
      </c>
      <c r="I541" s="881">
        <v>184.966133785003</v>
      </c>
      <c r="J541" s="881">
        <v>194.94189661127001</v>
      </c>
      <c r="K541" s="881">
        <v>81.819401005268901</v>
      </c>
      <c r="L541" s="881">
        <v>93.376190058673004</v>
      </c>
      <c r="M541" s="881">
        <v>97.162857247180995</v>
      </c>
      <c r="N541" s="881">
        <v>167.61953825943701</v>
      </c>
      <c r="O541" s="881">
        <v>205.32927556287601</v>
      </c>
      <c r="P541" s="881">
        <v>107.16749524746299</v>
      </c>
      <c r="Q541" s="881">
        <v>221.157584863674</v>
      </c>
      <c r="R541" s="881">
        <v>233.76293687872999</v>
      </c>
      <c r="S541" s="881">
        <v>279.41874872562698</v>
      </c>
      <c r="T541" s="881">
        <v>209.9109476516</v>
      </c>
      <c r="U541" s="881">
        <v>188.61056466001801</v>
      </c>
      <c r="V541" s="881">
        <v>127.888146418524</v>
      </c>
    </row>
    <row r="542" spans="1:22" x14ac:dyDescent="0.25">
      <c r="A542" s="887" t="s">
        <v>129</v>
      </c>
      <c r="B542" s="887" t="s">
        <v>35</v>
      </c>
      <c r="C542" s="887"/>
      <c r="D542" s="882" t="s">
        <v>1138</v>
      </c>
    </row>
    <row r="543" spans="1:22" x14ac:dyDescent="0.25">
      <c r="A543" s="887" t="s">
        <v>129</v>
      </c>
      <c r="B543" s="887" t="s">
        <v>35</v>
      </c>
      <c r="C543" s="887"/>
      <c r="D543" s="885" t="s">
        <v>1139</v>
      </c>
      <c r="E543" s="883">
        <v>0.67437474331106795</v>
      </c>
      <c r="F543" s="883">
        <v>0.67437474331106795</v>
      </c>
      <c r="G543" s="883">
        <v>0.67437474331106795</v>
      </c>
      <c r="H543" s="883">
        <v>0.67437474331106795</v>
      </c>
      <c r="I543" s="883">
        <v>0.67437474331106795</v>
      </c>
      <c r="J543" s="883">
        <v>0.67437474331106795</v>
      </c>
      <c r="K543" s="883">
        <v>0.67437474331106795</v>
      </c>
      <c r="L543" s="883">
        <v>0.67437474331106795</v>
      </c>
      <c r="M543" s="883">
        <v>0.67437474331106795</v>
      </c>
      <c r="N543" s="883">
        <v>0.67437474331106795</v>
      </c>
      <c r="O543" s="883">
        <v>0.67437474331106795</v>
      </c>
      <c r="P543" s="883">
        <v>0.67437474331106795</v>
      </c>
      <c r="Q543" s="883">
        <v>0.67437474331106795</v>
      </c>
      <c r="R543" s="883">
        <v>0.67437474331106795</v>
      </c>
      <c r="S543" s="883">
        <v>0.67437474331106795</v>
      </c>
      <c r="T543" s="883">
        <v>0.67437474331106795</v>
      </c>
      <c r="U543" s="883">
        <v>0.67437474331106795</v>
      </c>
      <c r="V543" s="883">
        <v>0.67437474331106795</v>
      </c>
    </row>
    <row r="544" spans="1:22" x14ac:dyDescent="0.25">
      <c r="A544" s="887" t="s">
        <v>129</v>
      </c>
      <c r="B544" s="887" t="s">
        <v>35</v>
      </c>
      <c r="C544" s="887" t="s">
        <v>670</v>
      </c>
      <c r="D544" s="884" t="s">
        <v>1140</v>
      </c>
      <c r="E544" s="881">
        <v>1459.6125222341</v>
      </c>
      <c r="F544" s="881">
        <v>1494.2763280408401</v>
      </c>
      <c r="G544" s="881">
        <v>1464.8644738815599</v>
      </c>
      <c r="H544" s="881">
        <v>1499.7135563643899</v>
      </c>
      <c r="I544" s="881">
        <v>1809.27100533359</v>
      </c>
      <c r="J544" s="881">
        <v>1770.02381107275</v>
      </c>
      <c r="K544" s="881">
        <v>1786.8833167548801</v>
      </c>
      <c r="L544" s="881">
        <v>1817.39808157524</v>
      </c>
      <c r="M544" s="881">
        <v>1819.8043182189101</v>
      </c>
      <c r="N544" s="881">
        <v>1839.6356897323101</v>
      </c>
      <c r="O544" s="881">
        <v>1825.0525293411399</v>
      </c>
      <c r="P544" s="881">
        <v>1830.47606272488</v>
      </c>
      <c r="Q544" s="881">
        <v>2072.6451650713998</v>
      </c>
      <c r="R544" s="881">
        <v>2023.81303020924</v>
      </c>
      <c r="S544" s="881">
        <v>2049.1100298654801</v>
      </c>
      <c r="T544" s="881">
        <v>2011.7065879422801</v>
      </c>
      <c r="U544" s="881">
        <v>2080.77195137948</v>
      </c>
      <c r="V544" s="881">
        <v>2064.7716088842499</v>
      </c>
    </row>
    <row r="545" spans="1:22" s="73" customFormat="1" x14ac:dyDescent="0.25">
      <c r="A545" s="887" t="s">
        <v>129</v>
      </c>
      <c r="B545" s="887" t="s">
        <v>35</v>
      </c>
      <c r="C545" s="887"/>
      <c r="D545" s="888" t="s">
        <v>1141</v>
      </c>
      <c r="E545" s="887">
        <v>7889.5942227527803</v>
      </c>
      <c r="F545" s="887">
        <v>10612.5300698625</v>
      </c>
      <c r="G545" s="887">
        <v>19726.0993480613</v>
      </c>
      <c r="H545" s="887">
        <v>32109.466450751999</v>
      </c>
      <c r="I545" s="887">
        <v>36890.539749777199</v>
      </c>
      <c r="J545" s="887">
        <v>33332.630047558101</v>
      </c>
      <c r="K545" s="887">
        <v>8015.1847628491896</v>
      </c>
      <c r="L545" s="887">
        <v>7876.0855167547597</v>
      </c>
      <c r="M545" s="887">
        <v>8160.6679854891099</v>
      </c>
      <c r="N545" s="887">
        <v>9867.6236510892995</v>
      </c>
      <c r="O545" s="887">
        <v>17907.1489034472</v>
      </c>
      <c r="P545" s="887">
        <v>29029.4826791468</v>
      </c>
      <c r="Q545" s="887">
        <v>36960.393295423302</v>
      </c>
      <c r="R545" s="887">
        <v>33545.472320633598</v>
      </c>
      <c r="S545" s="887">
        <v>26877.557860639401</v>
      </c>
      <c r="T545" s="887">
        <v>15606.255511855001</v>
      </c>
      <c r="U545" s="887">
        <v>11465.9738263409</v>
      </c>
      <c r="V545" s="887">
        <v>8851.9449501387007</v>
      </c>
    </row>
    <row r="546" spans="1:22" s="82" customFormat="1" x14ac:dyDescent="0.25"/>
    <row r="548" spans="1:22" x14ac:dyDescent="0.25">
      <c r="E548" s="991"/>
      <c r="F548" s="991"/>
      <c r="G548" s="991"/>
      <c r="H548" s="991"/>
      <c r="I548" s="991"/>
      <c r="J548" s="991"/>
    </row>
    <row r="549" spans="1:22" x14ac:dyDescent="0.25">
      <c r="E549" s="991"/>
      <c r="F549" s="991"/>
      <c r="G549" s="991"/>
      <c r="H549" s="991"/>
      <c r="I549" s="991"/>
      <c r="J549" s="991"/>
      <c r="K549" s="991"/>
      <c r="L549" s="991"/>
      <c r="M549" s="991"/>
      <c r="N549" s="991"/>
    </row>
    <row r="550" spans="1:22" x14ac:dyDescent="0.25">
      <c r="E550" s="1036"/>
      <c r="F550" s="1036"/>
      <c r="G550" s="1036"/>
      <c r="H550" s="1036"/>
      <c r="I550" s="1036"/>
      <c r="J550" s="1036"/>
    </row>
    <row r="551" spans="1:22" x14ac:dyDescent="0.25">
      <c r="E551" s="991"/>
      <c r="F551" s="991"/>
      <c r="G551" s="991"/>
      <c r="H551" s="991"/>
      <c r="I551" s="991"/>
      <c r="J551" s="99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 tint="0.39997558519241921"/>
    <pageSetUpPr fitToPage="1"/>
  </sheetPr>
  <dimension ref="A2:AJ825"/>
  <sheetViews>
    <sheetView topLeftCell="A148" workbookViewId="0">
      <selection activeCell="E165" sqref="E165"/>
    </sheetView>
  </sheetViews>
  <sheetFormatPr defaultRowHeight="11.25" x14ac:dyDescent="0.2"/>
  <cols>
    <col min="1" max="1" width="14" style="6" customWidth="1"/>
    <col min="2" max="2" width="7.85546875" style="307" customWidth="1"/>
    <col min="3" max="3" width="11.7109375" style="307" customWidth="1"/>
    <col min="4" max="4" width="11.140625" style="6" customWidth="1"/>
    <col min="5" max="5" width="31.85546875" style="6" bestFit="1" customWidth="1"/>
    <col min="6" max="6" width="21.5703125" style="5" bestFit="1" customWidth="1"/>
    <col min="7" max="7" width="12.28515625" style="5" bestFit="1" customWidth="1"/>
    <col min="8" max="8" width="9" style="5" customWidth="1"/>
    <col min="9" max="9" width="11.42578125" style="5" customWidth="1"/>
    <col min="10" max="10" width="10.28515625" style="5" customWidth="1"/>
    <col min="11" max="11" width="11.28515625" style="5" customWidth="1"/>
    <col min="12" max="12" width="10.7109375" style="5" customWidth="1"/>
    <col min="13" max="13" width="12.42578125" style="5" customWidth="1"/>
    <col min="14" max="15" width="8.7109375" style="5" customWidth="1"/>
    <col min="16" max="16" width="10.85546875" style="5" bestFit="1" customWidth="1"/>
    <col min="17" max="17" width="8.7109375" style="5" customWidth="1"/>
    <col min="18" max="18" width="12.140625" style="5" customWidth="1"/>
    <col min="19" max="19" width="7.85546875" style="5" customWidth="1"/>
    <col min="20" max="20" width="16.140625" style="5" customWidth="1"/>
    <col min="21" max="21" width="4" style="5" customWidth="1"/>
    <col min="22" max="22" width="6.5703125" style="5" customWidth="1"/>
    <col min="23" max="23" width="10.7109375" style="5" customWidth="1"/>
    <col min="24" max="24" width="12.85546875" style="5" bestFit="1" customWidth="1"/>
    <col min="25" max="26" width="12.85546875" style="5" customWidth="1"/>
    <col min="27" max="27" width="11.28515625" style="5" customWidth="1"/>
    <col min="28" max="28" width="15.42578125" style="5" customWidth="1"/>
    <col min="29" max="30" width="11.5703125" style="5" customWidth="1"/>
    <col min="31" max="31" width="10.7109375" style="5" customWidth="1"/>
    <col min="32" max="32" width="11.5703125" style="5" customWidth="1"/>
    <col min="33" max="33" width="8.7109375" style="5" bestFit="1" customWidth="1"/>
    <col min="34" max="34" width="10" style="5" bestFit="1" customWidth="1"/>
    <col min="35" max="35" width="14.42578125" style="5" bestFit="1" customWidth="1"/>
    <col min="36" max="36" width="8.42578125" style="5" bestFit="1" customWidth="1"/>
    <col min="37" max="16384" width="9.140625" style="5"/>
  </cols>
  <sheetData>
    <row r="2" spans="1:36" ht="12" thickBot="1" x14ac:dyDescent="0.25"/>
    <row r="3" spans="1:36" s="10" customFormat="1" ht="45.75" thickBot="1" x14ac:dyDescent="0.25">
      <c r="A3" s="7"/>
      <c r="B3" s="308"/>
      <c r="C3" s="308"/>
      <c r="D3" s="8"/>
      <c r="E3" s="9"/>
      <c r="F3" s="12"/>
      <c r="G3" s="12"/>
      <c r="H3" s="11" t="s">
        <v>0</v>
      </c>
      <c r="I3" s="11" t="s">
        <v>149</v>
      </c>
      <c r="J3" s="11" t="s">
        <v>150</v>
      </c>
      <c r="K3" s="11" t="s">
        <v>151</v>
      </c>
      <c r="L3" s="11" t="s">
        <v>152</v>
      </c>
      <c r="M3" s="11" t="s">
        <v>153</v>
      </c>
      <c r="N3" s="11" t="s">
        <v>9</v>
      </c>
      <c r="O3" s="90" t="s">
        <v>916</v>
      </c>
      <c r="P3" s="11" t="s">
        <v>4</v>
      </c>
      <c r="Q3" s="11" t="s">
        <v>3</v>
      </c>
      <c r="R3" s="11" t="s">
        <v>5</v>
      </c>
      <c r="S3" s="11" t="s">
        <v>7</v>
      </c>
      <c r="T3" s="303" t="s">
        <v>643</v>
      </c>
      <c r="U3" s="11" t="s">
        <v>6</v>
      </c>
      <c r="V3" s="303" t="s">
        <v>644</v>
      </c>
      <c r="W3" s="11" t="s">
        <v>8</v>
      </c>
      <c r="X3" s="11" t="s">
        <v>1</v>
      </c>
      <c r="Y3" s="303" t="s">
        <v>645</v>
      </c>
      <c r="Z3" s="303" t="s">
        <v>646</v>
      </c>
      <c r="AA3" s="60" t="s">
        <v>235</v>
      </c>
      <c r="AB3" s="60" t="s">
        <v>234</v>
      </c>
      <c r="AC3" s="11" t="s">
        <v>154</v>
      </c>
      <c r="AD3" s="303" t="s">
        <v>647</v>
      </c>
      <c r="AE3" s="303" t="s">
        <v>155</v>
      </c>
      <c r="AF3" s="303" t="s">
        <v>156</v>
      </c>
      <c r="AG3" s="303" t="s">
        <v>157</v>
      </c>
      <c r="AH3" s="303" t="s">
        <v>158</v>
      </c>
      <c r="AI3" s="303" t="s">
        <v>159</v>
      </c>
      <c r="AJ3" s="303" t="s">
        <v>160</v>
      </c>
    </row>
    <row r="4" spans="1:36" s="633" customFormat="1" ht="21.75" customHeight="1" thickBot="1" x14ac:dyDescent="0.25">
      <c r="A4" s="627" t="s">
        <v>161</v>
      </c>
      <c r="B4" s="628" t="s">
        <v>167</v>
      </c>
      <c r="C4" s="628" t="s">
        <v>168</v>
      </c>
      <c r="D4" s="629" t="s">
        <v>12</v>
      </c>
      <c r="E4" s="630"/>
      <c r="F4" s="627" t="s">
        <v>11</v>
      </c>
      <c r="G4" s="627" t="s">
        <v>648</v>
      </c>
      <c r="H4" s="631"/>
      <c r="I4" s="631" t="s">
        <v>14</v>
      </c>
      <c r="J4" s="631" t="s">
        <v>14</v>
      </c>
      <c r="K4" s="631" t="s">
        <v>15</v>
      </c>
      <c r="L4" s="631" t="s">
        <v>15</v>
      </c>
      <c r="M4" s="631" t="s">
        <v>15</v>
      </c>
      <c r="N4" s="631" t="s">
        <v>15</v>
      </c>
      <c r="O4" s="631"/>
      <c r="P4" s="631" t="s">
        <v>15</v>
      </c>
      <c r="Q4" s="631" t="s">
        <v>15</v>
      </c>
      <c r="R4" s="631" t="s">
        <v>15</v>
      </c>
      <c r="S4" s="631" t="s">
        <v>15</v>
      </c>
      <c r="T4" s="631"/>
      <c r="U4" s="631" t="s">
        <v>15</v>
      </c>
      <c r="V4" s="632"/>
      <c r="W4" s="631" t="s">
        <v>15</v>
      </c>
      <c r="X4" s="631" t="s">
        <v>15</v>
      </c>
      <c r="Y4" s="631"/>
      <c r="Z4" s="631"/>
      <c r="AA4" s="631" t="s">
        <v>15</v>
      </c>
      <c r="AB4" s="631" t="s">
        <v>15</v>
      </c>
      <c r="AC4" s="631" t="s">
        <v>15</v>
      </c>
      <c r="AD4" s="631"/>
      <c r="AE4" s="631" t="s">
        <v>15</v>
      </c>
      <c r="AF4" s="631" t="s">
        <v>15</v>
      </c>
      <c r="AG4" s="631" t="s">
        <v>15</v>
      </c>
      <c r="AH4" s="632"/>
      <c r="AI4" s="631" t="s">
        <v>15</v>
      </c>
      <c r="AJ4" s="631" t="s">
        <v>15</v>
      </c>
    </row>
    <row r="5" spans="1:36" customFormat="1" ht="15.75" thickBot="1" x14ac:dyDescent="0.3">
      <c r="A5" s="90" t="s">
        <v>869</v>
      </c>
      <c r="B5" s="626" t="str">
        <f>VLOOKUP($D5,'Retail Rates'!$B$7:$D$38,2,FALSE)</f>
        <v>851</v>
      </c>
      <c r="C5" s="626" t="str">
        <f>VLOOKUP($D5,'Retail Rates'!$B$7:$D$38,3,FALSE)</f>
        <v>CGS</v>
      </c>
      <c r="D5" s="90" t="s">
        <v>26</v>
      </c>
      <c r="E5" s="90" t="s">
        <v>875</v>
      </c>
      <c r="F5" s="90" t="s">
        <v>17</v>
      </c>
      <c r="G5" s="90" t="s">
        <v>897</v>
      </c>
      <c r="H5" s="304">
        <v>1</v>
      </c>
      <c r="I5" s="93">
        <v>0</v>
      </c>
      <c r="J5" s="92"/>
      <c r="K5" s="93">
        <v>-35</v>
      </c>
      <c r="L5" s="92"/>
      <c r="M5" s="93">
        <v>0</v>
      </c>
      <c r="N5" s="92"/>
      <c r="O5" s="92"/>
      <c r="P5" s="93">
        <v>0</v>
      </c>
      <c r="Q5" s="93">
        <v>0</v>
      </c>
      <c r="R5" s="92"/>
      <c r="S5" s="92"/>
      <c r="T5" s="93">
        <v>-4.83</v>
      </c>
      <c r="U5" s="92"/>
      <c r="V5" s="92"/>
      <c r="W5" s="92"/>
      <c r="X5" s="93">
        <v>-39.83</v>
      </c>
      <c r="Y5" s="92"/>
      <c r="Z5" s="92"/>
      <c r="AA5" s="92"/>
      <c r="AB5" s="92"/>
      <c r="AC5" s="92"/>
      <c r="AD5" s="92"/>
      <c r="AE5" s="92"/>
      <c r="AF5" s="92"/>
      <c r="AG5" s="93">
        <v>-2.39</v>
      </c>
      <c r="AH5" s="92"/>
      <c r="AI5" s="93">
        <v>-42.22</v>
      </c>
      <c r="AJ5" s="93">
        <v>0</v>
      </c>
    </row>
    <row r="6" spans="1:36" customFormat="1" ht="15.75" thickBot="1" x14ac:dyDescent="0.3">
      <c r="A6" s="90" t="s">
        <v>869</v>
      </c>
      <c r="B6" s="626" t="str">
        <f>VLOOKUP($D6,'Retail Rates'!$B$7:$D$38,2,FALSE)</f>
        <v>851</v>
      </c>
      <c r="C6" s="626" t="str">
        <f>VLOOKUP($D6,'Retail Rates'!$B$7:$D$38,3,FALSE)</f>
        <v>CGS</v>
      </c>
      <c r="D6" s="90" t="s">
        <v>26</v>
      </c>
      <c r="E6" s="90" t="s">
        <v>875</v>
      </c>
      <c r="F6" s="90" t="s">
        <v>17</v>
      </c>
      <c r="G6" s="90" t="s">
        <v>898</v>
      </c>
      <c r="H6" s="305">
        <v>1</v>
      </c>
      <c r="I6" s="95">
        <v>0</v>
      </c>
      <c r="J6" s="94"/>
      <c r="K6" s="95">
        <v>-35</v>
      </c>
      <c r="L6" s="94"/>
      <c r="M6" s="95">
        <v>0</v>
      </c>
      <c r="N6" s="95">
        <v>0</v>
      </c>
      <c r="O6" s="94"/>
      <c r="P6" s="95">
        <v>0</v>
      </c>
      <c r="Q6" s="95">
        <v>0</v>
      </c>
      <c r="R6" s="94"/>
      <c r="S6" s="94"/>
      <c r="T6" s="95">
        <v>-4.83</v>
      </c>
      <c r="U6" s="95">
        <v>0</v>
      </c>
      <c r="V6" s="94"/>
      <c r="W6" s="94"/>
      <c r="X6" s="95">
        <v>-39.83</v>
      </c>
      <c r="Y6" s="94"/>
      <c r="Z6" s="94"/>
      <c r="AA6" s="94"/>
      <c r="AB6" s="94"/>
      <c r="AC6" s="94"/>
      <c r="AD6" s="94"/>
      <c r="AE6" s="94"/>
      <c r="AF6" s="94"/>
      <c r="AG6" s="95">
        <v>-2.39</v>
      </c>
      <c r="AH6" s="94"/>
      <c r="AI6" s="95">
        <v>-42.22</v>
      </c>
      <c r="AJ6" s="95">
        <v>0</v>
      </c>
    </row>
    <row r="7" spans="1:36" customFormat="1" ht="15.75" thickBot="1" x14ac:dyDescent="0.3">
      <c r="A7" s="90" t="s">
        <v>869</v>
      </c>
      <c r="B7" s="626" t="str">
        <f>VLOOKUP($D7,'Retail Rates'!$B$7:$D$38,2,FALSE)</f>
        <v>851</v>
      </c>
      <c r="C7" s="626" t="str">
        <f>VLOOKUP($D7,'Retail Rates'!$B$7:$D$38,3,FALSE)</f>
        <v>CGS</v>
      </c>
      <c r="D7" s="90" t="s">
        <v>26</v>
      </c>
      <c r="E7" s="90" t="s">
        <v>875</v>
      </c>
      <c r="F7" s="90" t="s">
        <v>17</v>
      </c>
      <c r="G7" s="90" t="s">
        <v>899</v>
      </c>
      <c r="H7" s="304">
        <v>1</v>
      </c>
      <c r="I7" s="93">
        <v>0</v>
      </c>
      <c r="J7" s="92"/>
      <c r="K7" s="93">
        <v>-35</v>
      </c>
      <c r="L7" s="92"/>
      <c r="M7" s="93">
        <v>0</v>
      </c>
      <c r="N7" s="92"/>
      <c r="O7" s="92"/>
      <c r="P7" s="93">
        <v>0</v>
      </c>
      <c r="Q7" s="93">
        <v>0</v>
      </c>
      <c r="R7" s="92"/>
      <c r="S7" s="92"/>
      <c r="T7" s="93">
        <v>-4.83</v>
      </c>
      <c r="U7" s="92"/>
      <c r="V7" s="92"/>
      <c r="W7" s="92"/>
      <c r="X7" s="93">
        <v>-39.83</v>
      </c>
      <c r="Y7" s="92"/>
      <c r="Z7" s="92"/>
      <c r="AA7" s="92"/>
      <c r="AB7" s="92"/>
      <c r="AC7" s="92"/>
      <c r="AD7" s="92"/>
      <c r="AE7" s="92"/>
      <c r="AF7" s="92"/>
      <c r="AG7" s="93">
        <v>-2.39</v>
      </c>
      <c r="AH7" s="92"/>
      <c r="AI7" s="93">
        <v>-42.22</v>
      </c>
      <c r="AJ7" s="93">
        <v>0</v>
      </c>
    </row>
    <row r="8" spans="1:36" customFormat="1" ht="15.75" thickBot="1" x14ac:dyDescent="0.3">
      <c r="A8" s="90" t="s">
        <v>869</v>
      </c>
      <c r="B8" s="626" t="str">
        <f>VLOOKUP($D8,'Retail Rates'!$B$7:$D$38,2,FALSE)</f>
        <v>851</v>
      </c>
      <c r="C8" s="626" t="str">
        <f>VLOOKUP($D8,'Retail Rates'!$B$7:$D$38,3,FALSE)</f>
        <v>CGS</v>
      </c>
      <c r="D8" s="90" t="s">
        <v>26</v>
      </c>
      <c r="E8" s="90" t="s">
        <v>875</v>
      </c>
      <c r="F8" s="90" t="s">
        <v>17</v>
      </c>
      <c r="G8" s="90" t="s">
        <v>900</v>
      </c>
      <c r="H8" s="305">
        <v>1</v>
      </c>
      <c r="I8" s="95">
        <v>0</v>
      </c>
      <c r="J8" s="94"/>
      <c r="K8" s="95">
        <v>-34.869999999999997</v>
      </c>
      <c r="L8" s="94"/>
      <c r="M8" s="95">
        <v>0</v>
      </c>
      <c r="N8" s="95">
        <v>-0.8</v>
      </c>
      <c r="O8" s="95">
        <v>0.13</v>
      </c>
      <c r="P8" s="95">
        <v>0</v>
      </c>
      <c r="Q8" s="95">
        <v>0</v>
      </c>
      <c r="R8" s="94"/>
      <c r="S8" s="94"/>
      <c r="T8" s="95">
        <v>-4.83</v>
      </c>
      <c r="U8" s="95">
        <v>0</v>
      </c>
      <c r="V8" s="94"/>
      <c r="W8" s="94"/>
      <c r="X8" s="95">
        <v>-39.700000000000003</v>
      </c>
      <c r="Y8" s="94"/>
      <c r="Z8" s="94"/>
      <c r="AA8" s="94"/>
      <c r="AB8" s="94"/>
      <c r="AC8" s="94"/>
      <c r="AD8" s="94"/>
      <c r="AE8" s="94"/>
      <c r="AF8" s="94"/>
      <c r="AG8" s="95">
        <v>-2.4300000000000002</v>
      </c>
      <c r="AH8" s="94"/>
      <c r="AI8" s="95">
        <v>-42.93</v>
      </c>
      <c r="AJ8" s="306">
        <v>-0.13</v>
      </c>
    </row>
    <row r="9" spans="1:36" customFormat="1" ht="15.75" thickBot="1" x14ac:dyDescent="0.3">
      <c r="A9" s="90" t="s">
        <v>869</v>
      </c>
      <c r="B9" s="626" t="str">
        <f>VLOOKUP($D9,'Retail Rates'!$B$7:$D$38,2,FALSE)</f>
        <v>851</v>
      </c>
      <c r="C9" s="626" t="str">
        <f>VLOOKUP($D9,'Retail Rates'!$B$7:$D$38,3,FALSE)</f>
        <v>CGS</v>
      </c>
      <c r="D9" s="90" t="s">
        <v>26</v>
      </c>
      <c r="E9" s="90" t="s">
        <v>875</v>
      </c>
      <c r="F9" s="90" t="s">
        <v>17</v>
      </c>
      <c r="G9" s="90" t="s">
        <v>901</v>
      </c>
      <c r="H9" s="304">
        <v>1</v>
      </c>
      <c r="I9" s="93">
        <v>0</v>
      </c>
      <c r="J9" s="92"/>
      <c r="K9" s="93">
        <v>-34.869999999999997</v>
      </c>
      <c r="L9" s="92"/>
      <c r="M9" s="93">
        <v>0</v>
      </c>
      <c r="N9" s="93">
        <v>-0.86</v>
      </c>
      <c r="O9" s="93">
        <v>0.13</v>
      </c>
      <c r="P9" s="93">
        <v>0</v>
      </c>
      <c r="Q9" s="93">
        <v>0</v>
      </c>
      <c r="R9" s="92"/>
      <c r="S9" s="92"/>
      <c r="T9" s="93">
        <v>-7.91</v>
      </c>
      <c r="U9" s="93">
        <v>0</v>
      </c>
      <c r="V9" s="92"/>
      <c r="W9" s="92"/>
      <c r="X9" s="93">
        <v>-42.78</v>
      </c>
      <c r="Y9" s="92"/>
      <c r="Z9" s="92"/>
      <c r="AA9" s="92"/>
      <c r="AB9" s="92"/>
      <c r="AC9" s="92"/>
      <c r="AD9" s="92"/>
      <c r="AE9" s="92"/>
      <c r="AF9" s="92"/>
      <c r="AG9" s="93">
        <v>-2.62</v>
      </c>
      <c r="AH9" s="92"/>
      <c r="AI9" s="93">
        <v>-46.26</v>
      </c>
      <c r="AJ9" s="306">
        <v>-0.13</v>
      </c>
    </row>
    <row r="10" spans="1:36" customFormat="1" ht="15.75" thickBot="1" x14ac:dyDescent="0.3">
      <c r="A10" s="90" t="s">
        <v>869</v>
      </c>
      <c r="B10" s="626" t="str">
        <f>VLOOKUP($D10,'Retail Rates'!$B$7:$D$38,2,FALSE)</f>
        <v>851</v>
      </c>
      <c r="C10" s="626" t="str">
        <f>VLOOKUP($D10,'Retail Rates'!$B$7:$D$38,3,FALSE)</f>
        <v>CGS</v>
      </c>
      <c r="D10" s="90" t="s">
        <v>26</v>
      </c>
      <c r="E10" s="90" t="s">
        <v>875</v>
      </c>
      <c r="F10" s="90" t="s">
        <v>17</v>
      </c>
      <c r="G10" s="90" t="s">
        <v>902</v>
      </c>
      <c r="H10" s="305">
        <v>1</v>
      </c>
      <c r="I10" s="95">
        <v>0</v>
      </c>
      <c r="J10" s="94"/>
      <c r="K10" s="95">
        <v>-34.869999999999997</v>
      </c>
      <c r="L10" s="94"/>
      <c r="M10" s="95">
        <v>0</v>
      </c>
      <c r="N10" s="95">
        <v>-0.93</v>
      </c>
      <c r="O10" s="95">
        <v>0.13</v>
      </c>
      <c r="P10" s="95">
        <v>0</v>
      </c>
      <c r="Q10" s="95">
        <v>0</v>
      </c>
      <c r="R10" s="94"/>
      <c r="S10" s="94"/>
      <c r="T10" s="95">
        <v>-11.37</v>
      </c>
      <c r="U10" s="95">
        <v>0</v>
      </c>
      <c r="V10" s="94"/>
      <c r="W10" s="94"/>
      <c r="X10" s="95">
        <v>-46.24</v>
      </c>
      <c r="Y10" s="94"/>
      <c r="Z10" s="94"/>
      <c r="AA10" s="94"/>
      <c r="AB10" s="94"/>
      <c r="AC10" s="94"/>
      <c r="AD10" s="94"/>
      <c r="AE10" s="94"/>
      <c r="AF10" s="94"/>
      <c r="AG10" s="95">
        <v>-2.83</v>
      </c>
      <c r="AH10" s="94"/>
      <c r="AI10" s="95">
        <v>-50</v>
      </c>
      <c r="AJ10" s="306">
        <v>-0.13</v>
      </c>
    </row>
    <row r="11" spans="1:36" customFormat="1" ht="15.75" thickBot="1" x14ac:dyDescent="0.3">
      <c r="A11" s="90" t="s">
        <v>869</v>
      </c>
      <c r="B11" s="626" t="str">
        <f>VLOOKUP($D11,'Retail Rates'!$B$7:$D$38,2,FALSE)</f>
        <v>851</v>
      </c>
      <c r="C11" s="626" t="str">
        <f>VLOOKUP($D11,'Retail Rates'!$B$7:$D$38,3,FALSE)</f>
        <v>CGS</v>
      </c>
      <c r="D11" s="90" t="s">
        <v>26</v>
      </c>
      <c r="E11" s="90" t="s">
        <v>875</v>
      </c>
      <c r="F11" s="90" t="s">
        <v>17</v>
      </c>
      <c r="G11" s="90" t="s">
        <v>903</v>
      </c>
      <c r="H11" s="304">
        <v>1</v>
      </c>
      <c r="I11" s="93">
        <v>0</v>
      </c>
      <c r="J11" s="92"/>
      <c r="K11" s="93">
        <v>-34.869999999999997</v>
      </c>
      <c r="L11" s="92"/>
      <c r="M11" s="93">
        <v>0</v>
      </c>
      <c r="N11" s="93">
        <v>-0.93</v>
      </c>
      <c r="O11" s="93">
        <v>0.13</v>
      </c>
      <c r="P11" s="93">
        <v>0</v>
      </c>
      <c r="Q11" s="93">
        <v>0</v>
      </c>
      <c r="R11" s="92"/>
      <c r="S11" s="92"/>
      <c r="T11" s="93">
        <v>-11.37</v>
      </c>
      <c r="U11" s="93">
        <v>0</v>
      </c>
      <c r="V11" s="92"/>
      <c r="W11" s="92"/>
      <c r="X11" s="93">
        <v>-46.24</v>
      </c>
      <c r="Y11" s="92"/>
      <c r="Z11" s="92"/>
      <c r="AA11" s="92"/>
      <c r="AB11" s="92"/>
      <c r="AC11" s="92"/>
      <c r="AD11" s="92"/>
      <c r="AE11" s="92"/>
      <c r="AF11" s="92"/>
      <c r="AG11" s="93">
        <v>-2.83</v>
      </c>
      <c r="AH11" s="92"/>
      <c r="AI11" s="93">
        <v>-50</v>
      </c>
      <c r="AJ11" s="306">
        <v>-0.13</v>
      </c>
    </row>
    <row r="12" spans="1:36" customFormat="1" ht="15.75" thickBot="1" x14ac:dyDescent="0.3">
      <c r="A12" s="90" t="s">
        <v>869</v>
      </c>
      <c r="B12" s="626" t="str">
        <f>VLOOKUP($D12,'Retail Rates'!$B$7:$D$38,2,FALSE)</f>
        <v>851</v>
      </c>
      <c r="C12" s="626" t="str">
        <f>VLOOKUP($D12,'Retail Rates'!$B$7:$D$38,3,FALSE)</f>
        <v>CGS</v>
      </c>
      <c r="D12" s="90" t="s">
        <v>26</v>
      </c>
      <c r="E12" s="90" t="s">
        <v>875</v>
      </c>
      <c r="F12" s="90" t="s">
        <v>17</v>
      </c>
      <c r="G12" s="90" t="s">
        <v>904</v>
      </c>
      <c r="H12" s="305">
        <v>2</v>
      </c>
      <c r="I12" s="95">
        <v>0</v>
      </c>
      <c r="J12" s="94"/>
      <c r="K12" s="95">
        <v>-34.869999999999997</v>
      </c>
      <c r="L12" s="94"/>
      <c r="M12" s="95">
        <v>0</v>
      </c>
      <c r="N12" s="95">
        <v>-0.93</v>
      </c>
      <c r="O12" s="95">
        <v>0.13</v>
      </c>
      <c r="P12" s="95">
        <v>0</v>
      </c>
      <c r="Q12" s="95">
        <v>0</v>
      </c>
      <c r="R12" s="95">
        <v>-0.09</v>
      </c>
      <c r="S12" s="94"/>
      <c r="T12" s="95">
        <v>-11.37</v>
      </c>
      <c r="U12" s="95">
        <v>0</v>
      </c>
      <c r="V12" s="94"/>
      <c r="W12" s="94"/>
      <c r="X12" s="95">
        <v>-46.33</v>
      </c>
      <c r="Y12" s="94"/>
      <c r="Z12" s="94"/>
      <c r="AA12" s="94"/>
      <c r="AB12" s="94"/>
      <c r="AC12" s="94"/>
      <c r="AD12" s="94"/>
      <c r="AE12" s="94"/>
      <c r="AF12" s="94"/>
      <c r="AG12" s="95">
        <v>-2.83</v>
      </c>
      <c r="AH12" s="94"/>
      <c r="AI12" s="95">
        <v>-50.09</v>
      </c>
      <c r="AJ12" s="306">
        <v>-0.13</v>
      </c>
    </row>
    <row r="13" spans="1:36" customFormat="1" ht="15.75" thickBot="1" x14ac:dyDescent="0.3">
      <c r="A13" s="90" t="s">
        <v>869</v>
      </c>
      <c r="B13" s="626" t="str">
        <f>VLOOKUP($D13,'Retail Rates'!$B$7:$D$38,2,FALSE)</f>
        <v>851</v>
      </c>
      <c r="C13" s="626" t="str">
        <f>VLOOKUP($D13,'Retail Rates'!$B$7:$D$38,3,FALSE)</f>
        <v>CGS</v>
      </c>
      <c r="D13" s="90" t="s">
        <v>26</v>
      </c>
      <c r="E13" s="90" t="s">
        <v>875</v>
      </c>
      <c r="F13" s="90" t="s">
        <v>17</v>
      </c>
      <c r="G13" s="90" t="s">
        <v>905</v>
      </c>
      <c r="H13" s="304">
        <v>4</v>
      </c>
      <c r="I13" s="93">
        <v>-1</v>
      </c>
      <c r="J13" s="92"/>
      <c r="K13" s="93">
        <v>-15.17</v>
      </c>
      <c r="L13" s="92"/>
      <c r="M13" s="93">
        <v>-0.21</v>
      </c>
      <c r="N13" s="93">
        <v>-0.43</v>
      </c>
      <c r="O13" s="93">
        <v>0</v>
      </c>
      <c r="P13" s="93">
        <v>-0.34</v>
      </c>
      <c r="Q13" s="93">
        <v>0</v>
      </c>
      <c r="R13" s="92"/>
      <c r="S13" s="92"/>
      <c r="T13" s="93">
        <v>-5.94</v>
      </c>
      <c r="U13" s="93">
        <v>0</v>
      </c>
      <c r="V13" s="92"/>
      <c r="W13" s="92"/>
      <c r="X13" s="93">
        <v>-21.66</v>
      </c>
      <c r="Y13" s="92"/>
      <c r="Z13" s="92"/>
      <c r="AA13" s="92"/>
      <c r="AB13" s="92"/>
      <c r="AC13" s="92"/>
      <c r="AD13" s="92"/>
      <c r="AE13" s="92"/>
      <c r="AF13" s="92"/>
      <c r="AG13" s="93">
        <v>-1.33</v>
      </c>
      <c r="AH13" s="92"/>
      <c r="AI13" s="93">
        <v>-23.42</v>
      </c>
      <c r="AJ13" s="93">
        <v>0</v>
      </c>
    </row>
    <row r="14" spans="1:36" customFormat="1" ht="15.75" thickBot="1" x14ac:dyDescent="0.3">
      <c r="A14" s="90" t="s">
        <v>869</v>
      </c>
      <c r="B14" s="626" t="str">
        <f>VLOOKUP($D14,'Retail Rates'!$B$7:$D$38,2,FALSE)</f>
        <v>851</v>
      </c>
      <c r="C14" s="626" t="str">
        <f>VLOOKUP($D14,'Retail Rates'!$B$7:$D$38,3,FALSE)</f>
        <v>CGS</v>
      </c>
      <c r="D14" s="90" t="s">
        <v>26</v>
      </c>
      <c r="E14" s="90" t="s">
        <v>875</v>
      </c>
      <c r="F14" s="90" t="s">
        <v>17</v>
      </c>
      <c r="G14" s="90" t="s">
        <v>906</v>
      </c>
      <c r="H14" s="305">
        <v>3</v>
      </c>
      <c r="I14" s="95">
        <v>1</v>
      </c>
      <c r="J14" s="94"/>
      <c r="K14" s="95">
        <v>0</v>
      </c>
      <c r="L14" s="94"/>
      <c r="M14" s="95">
        <v>0.21</v>
      </c>
      <c r="N14" s="95">
        <v>0.01</v>
      </c>
      <c r="O14" s="95">
        <v>0</v>
      </c>
      <c r="P14" s="95">
        <v>0.42</v>
      </c>
      <c r="Q14" s="95">
        <v>0</v>
      </c>
      <c r="R14" s="94"/>
      <c r="S14" s="94"/>
      <c r="T14" s="95">
        <v>0</v>
      </c>
      <c r="U14" s="95">
        <v>0</v>
      </c>
      <c r="V14" s="94"/>
      <c r="W14" s="94"/>
      <c r="X14" s="95">
        <v>0.63</v>
      </c>
      <c r="Y14" s="94"/>
      <c r="Z14" s="94"/>
      <c r="AA14" s="94"/>
      <c r="AB14" s="94"/>
      <c r="AC14" s="94"/>
      <c r="AD14" s="94"/>
      <c r="AE14" s="94"/>
      <c r="AF14" s="94"/>
      <c r="AG14" s="95">
        <v>0.04</v>
      </c>
      <c r="AH14" s="94"/>
      <c r="AI14" s="95">
        <v>0.68</v>
      </c>
      <c r="AJ14" s="95">
        <v>0</v>
      </c>
    </row>
    <row r="15" spans="1:36" customFormat="1" ht="15.75" thickBot="1" x14ac:dyDescent="0.3">
      <c r="A15" s="90" t="s">
        <v>869</v>
      </c>
      <c r="B15" s="626" t="str">
        <f>VLOOKUP($D15,'Retail Rates'!$B$7:$D$38,2,FALSE)</f>
        <v>851</v>
      </c>
      <c r="C15" s="626" t="str">
        <f>VLOOKUP($D15,'Retail Rates'!$B$7:$D$38,3,FALSE)</f>
        <v>CGS</v>
      </c>
      <c r="D15" s="90" t="s">
        <v>26</v>
      </c>
      <c r="E15" s="90" t="s">
        <v>875</v>
      </c>
      <c r="F15" s="90" t="s">
        <v>17</v>
      </c>
      <c r="G15" s="90" t="s">
        <v>907</v>
      </c>
      <c r="H15" s="304">
        <v>4</v>
      </c>
      <c r="I15" s="93">
        <v>-1</v>
      </c>
      <c r="J15" s="92"/>
      <c r="K15" s="93">
        <v>-19.25</v>
      </c>
      <c r="L15" s="92"/>
      <c r="M15" s="93">
        <v>-0.21</v>
      </c>
      <c r="N15" s="93">
        <v>-0.56000000000000005</v>
      </c>
      <c r="O15" s="93">
        <v>0</v>
      </c>
      <c r="P15" s="93">
        <v>-0.41</v>
      </c>
      <c r="Q15" s="93">
        <v>-0.01</v>
      </c>
      <c r="R15" s="92"/>
      <c r="S15" s="92"/>
      <c r="T15" s="93">
        <v>-7.9</v>
      </c>
      <c r="U15" s="93">
        <v>0</v>
      </c>
      <c r="V15" s="92"/>
      <c r="W15" s="92"/>
      <c r="X15" s="93">
        <v>-27.78</v>
      </c>
      <c r="Y15" s="92"/>
      <c r="Z15" s="92"/>
      <c r="AA15" s="92"/>
      <c r="AB15" s="92"/>
      <c r="AC15" s="92"/>
      <c r="AD15" s="92"/>
      <c r="AE15" s="92"/>
      <c r="AF15" s="92"/>
      <c r="AG15" s="93">
        <v>-1.7</v>
      </c>
      <c r="AH15" s="92"/>
      <c r="AI15" s="93">
        <v>-30.04</v>
      </c>
      <c r="AJ15" s="93">
        <v>0</v>
      </c>
    </row>
    <row r="16" spans="1:36" customFormat="1" ht="15.75" thickBot="1" x14ac:dyDescent="0.3">
      <c r="A16" s="90" t="s">
        <v>869</v>
      </c>
      <c r="B16" s="626" t="str">
        <f>VLOOKUP($D16,'Retail Rates'!$B$7:$D$38,2,FALSE)</f>
        <v>851</v>
      </c>
      <c r="C16" s="626" t="str">
        <f>VLOOKUP($D16,'Retail Rates'!$B$7:$D$38,3,FALSE)</f>
        <v>CGS</v>
      </c>
      <c r="D16" s="90" t="s">
        <v>26</v>
      </c>
      <c r="E16" s="90" t="s">
        <v>875</v>
      </c>
      <c r="F16" s="90" t="s">
        <v>17</v>
      </c>
      <c r="G16" s="90" t="s">
        <v>908</v>
      </c>
      <c r="H16" s="305">
        <v>4</v>
      </c>
      <c r="I16" s="95">
        <v>-1</v>
      </c>
      <c r="J16" s="94"/>
      <c r="K16" s="95">
        <v>-40</v>
      </c>
      <c r="L16" s="94"/>
      <c r="M16" s="95">
        <v>-0.22</v>
      </c>
      <c r="N16" s="95">
        <v>-1.1499999999999999</v>
      </c>
      <c r="O16" s="95">
        <v>0</v>
      </c>
      <c r="P16" s="95">
        <v>-0.3</v>
      </c>
      <c r="Q16" s="95">
        <v>0</v>
      </c>
      <c r="R16" s="94"/>
      <c r="S16" s="94"/>
      <c r="T16" s="95">
        <v>-16.920000000000002</v>
      </c>
      <c r="U16" s="95">
        <v>0</v>
      </c>
      <c r="V16" s="94"/>
      <c r="W16" s="94"/>
      <c r="X16" s="95">
        <v>-57.44</v>
      </c>
      <c r="Y16" s="94"/>
      <c r="Z16" s="94"/>
      <c r="AA16" s="94"/>
      <c r="AB16" s="94"/>
      <c r="AC16" s="94"/>
      <c r="AD16" s="94"/>
      <c r="AE16" s="94"/>
      <c r="AF16" s="94"/>
      <c r="AG16" s="95">
        <v>-3.51</v>
      </c>
      <c r="AH16" s="94"/>
      <c r="AI16" s="95">
        <v>-62.1</v>
      </c>
      <c r="AJ16" s="95">
        <v>0</v>
      </c>
    </row>
    <row r="17" spans="1:36" customFormat="1" ht="15.75" thickBot="1" x14ac:dyDescent="0.3">
      <c r="A17" s="90" t="s">
        <v>869</v>
      </c>
      <c r="B17" s="626" t="str">
        <f>VLOOKUP($D17,'Retail Rates'!$B$7:$D$38,2,FALSE)</f>
        <v>851</v>
      </c>
      <c r="C17" s="626" t="str">
        <f>VLOOKUP($D17,'Retail Rates'!$B$7:$D$38,3,FALSE)</f>
        <v>CGS</v>
      </c>
      <c r="D17" s="90" t="s">
        <v>26</v>
      </c>
      <c r="E17" s="90" t="s">
        <v>875</v>
      </c>
      <c r="F17" s="90" t="s">
        <v>17</v>
      </c>
      <c r="G17" s="90" t="s">
        <v>909</v>
      </c>
      <c r="H17" s="304">
        <v>4</v>
      </c>
      <c r="I17" s="93">
        <v>-1</v>
      </c>
      <c r="J17" s="92"/>
      <c r="K17" s="93">
        <v>-40</v>
      </c>
      <c r="L17" s="92"/>
      <c r="M17" s="93">
        <v>-0.22</v>
      </c>
      <c r="N17" s="93">
        <v>-1.1499999999999999</v>
      </c>
      <c r="O17" s="93">
        <v>0</v>
      </c>
      <c r="P17" s="93">
        <v>-0.28999999999999998</v>
      </c>
      <c r="Q17" s="93">
        <v>0</v>
      </c>
      <c r="R17" s="92"/>
      <c r="S17" s="92"/>
      <c r="T17" s="93">
        <v>-16.920000000000002</v>
      </c>
      <c r="U17" s="93">
        <v>0</v>
      </c>
      <c r="V17" s="92"/>
      <c r="W17" s="92"/>
      <c r="X17" s="93">
        <v>-57.43</v>
      </c>
      <c r="Y17" s="92"/>
      <c r="Z17" s="92"/>
      <c r="AA17" s="92"/>
      <c r="AB17" s="92"/>
      <c r="AC17" s="92"/>
      <c r="AD17" s="92"/>
      <c r="AE17" s="92"/>
      <c r="AF17" s="92"/>
      <c r="AG17" s="93">
        <v>-3.51</v>
      </c>
      <c r="AH17" s="92"/>
      <c r="AI17" s="93">
        <v>-62.09</v>
      </c>
      <c r="AJ17" s="93">
        <v>0</v>
      </c>
    </row>
    <row r="18" spans="1:36" customFormat="1" ht="15.75" thickBot="1" x14ac:dyDescent="0.3">
      <c r="A18" s="90" t="s">
        <v>869</v>
      </c>
      <c r="B18" s="626" t="str">
        <f>VLOOKUP($D18,'Retail Rates'!$B$7:$D$38,2,FALSE)</f>
        <v>851</v>
      </c>
      <c r="C18" s="626" t="str">
        <f>VLOOKUP($D18,'Retail Rates'!$B$7:$D$38,3,FALSE)</f>
        <v>CGS</v>
      </c>
      <c r="D18" s="90" t="s">
        <v>26</v>
      </c>
      <c r="E18" s="90" t="s">
        <v>875</v>
      </c>
      <c r="F18" s="90" t="s">
        <v>17</v>
      </c>
      <c r="G18" s="90" t="s">
        <v>910</v>
      </c>
      <c r="H18" s="305">
        <v>4</v>
      </c>
      <c r="I18" s="95">
        <v>-1</v>
      </c>
      <c r="J18" s="94"/>
      <c r="K18" s="95">
        <v>-40</v>
      </c>
      <c r="L18" s="94"/>
      <c r="M18" s="95">
        <v>-0.21</v>
      </c>
      <c r="N18" s="95">
        <v>-1.1499999999999999</v>
      </c>
      <c r="O18" s="95">
        <v>0</v>
      </c>
      <c r="P18" s="95">
        <v>-0.3</v>
      </c>
      <c r="Q18" s="95">
        <v>0</v>
      </c>
      <c r="R18" s="94"/>
      <c r="S18" s="94"/>
      <c r="T18" s="95">
        <v>-16.920000000000002</v>
      </c>
      <c r="U18" s="95">
        <v>0</v>
      </c>
      <c r="V18" s="94"/>
      <c r="W18" s="94"/>
      <c r="X18" s="95">
        <v>-57.43</v>
      </c>
      <c r="Y18" s="94"/>
      <c r="Z18" s="94"/>
      <c r="AA18" s="94"/>
      <c r="AB18" s="94"/>
      <c r="AC18" s="94"/>
      <c r="AD18" s="94"/>
      <c r="AE18" s="94"/>
      <c r="AF18" s="94"/>
      <c r="AG18" s="95">
        <v>-3.51</v>
      </c>
      <c r="AH18" s="94"/>
      <c r="AI18" s="95">
        <v>-62.09</v>
      </c>
      <c r="AJ18" s="95">
        <v>0</v>
      </c>
    </row>
    <row r="19" spans="1:36" customFormat="1" ht="15.75" thickBot="1" x14ac:dyDescent="0.3">
      <c r="A19" s="90" t="s">
        <v>869</v>
      </c>
      <c r="B19" s="626" t="str">
        <f>VLOOKUP($D19,'Retail Rates'!$B$7:$D$38,2,FALSE)</f>
        <v>851</v>
      </c>
      <c r="C19" s="626" t="str">
        <f>VLOOKUP($D19,'Retail Rates'!$B$7:$D$38,3,FALSE)</f>
        <v>CGS</v>
      </c>
      <c r="D19" s="90" t="s">
        <v>26</v>
      </c>
      <c r="E19" s="90" t="s">
        <v>875</v>
      </c>
      <c r="F19" s="90" t="s">
        <v>17</v>
      </c>
      <c r="G19" s="90" t="s">
        <v>911</v>
      </c>
      <c r="H19" s="304">
        <v>5</v>
      </c>
      <c r="I19" s="93">
        <v>-3</v>
      </c>
      <c r="J19" s="92"/>
      <c r="K19" s="93">
        <v>0</v>
      </c>
      <c r="L19" s="92"/>
      <c r="M19" s="93">
        <v>-0.64</v>
      </c>
      <c r="N19" s="93">
        <v>-0.03</v>
      </c>
      <c r="O19" s="93">
        <v>0</v>
      </c>
      <c r="P19" s="93">
        <v>-1.02</v>
      </c>
      <c r="Q19" s="93">
        <v>0</v>
      </c>
      <c r="R19" s="93">
        <v>0.26</v>
      </c>
      <c r="S19" s="92"/>
      <c r="T19" s="93">
        <v>0</v>
      </c>
      <c r="U19" s="93">
        <v>0</v>
      </c>
      <c r="V19" s="92"/>
      <c r="W19" s="92"/>
      <c r="X19" s="93">
        <v>-1.4</v>
      </c>
      <c r="Y19" s="92"/>
      <c r="Z19" s="92"/>
      <c r="AA19" s="92"/>
      <c r="AB19" s="92"/>
      <c r="AC19" s="92"/>
      <c r="AD19" s="92"/>
      <c r="AE19" s="92"/>
      <c r="AF19" s="92"/>
      <c r="AG19" s="93">
        <v>-0.09</v>
      </c>
      <c r="AH19" s="92"/>
      <c r="AI19" s="93">
        <v>-1.52</v>
      </c>
      <c r="AJ19" s="93">
        <v>0</v>
      </c>
    </row>
    <row r="20" spans="1:36" customFormat="1" ht="15.75" thickBot="1" x14ac:dyDescent="0.3">
      <c r="A20" s="90" t="s">
        <v>869</v>
      </c>
      <c r="B20" s="626" t="str">
        <f>VLOOKUP($D20,'Retail Rates'!$B$7:$D$38,2,FALSE)</f>
        <v>851</v>
      </c>
      <c r="C20" s="626" t="str">
        <f>VLOOKUP($D20,'Retail Rates'!$B$7:$D$38,3,FALSE)</f>
        <v>CGS</v>
      </c>
      <c r="D20" s="90" t="s">
        <v>26</v>
      </c>
      <c r="E20" s="90" t="s">
        <v>875</v>
      </c>
      <c r="F20" s="90" t="s">
        <v>17</v>
      </c>
      <c r="G20" s="90" t="s">
        <v>912</v>
      </c>
      <c r="H20" s="305">
        <v>13</v>
      </c>
      <c r="I20" s="95">
        <v>-9510</v>
      </c>
      <c r="J20" s="94"/>
      <c r="K20" s="95">
        <v>-62.67</v>
      </c>
      <c r="L20" s="94"/>
      <c r="M20" s="95">
        <v>-2045.04</v>
      </c>
      <c r="N20" s="95">
        <v>-134.08000000000001</v>
      </c>
      <c r="O20" s="95">
        <v>0</v>
      </c>
      <c r="P20" s="95">
        <v>-3239.9</v>
      </c>
      <c r="Q20" s="95">
        <v>-5.42</v>
      </c>
      <c r="R20" s="95">
        <v>-1243.03</v>
      </c>
      <c r="S20" s="94"/>
      <c r="T20" s="95">
        <v>-26.51</v>
      </c>
      <c r="U20" s="95">
        <v>0</v>
      </c>
      <c r="V20" s="94"/>
      <c r="W20" s="94"/>
      <c r="X20" s="95">
        <v>-6622.57</v>
      </c>
      <c r="Y20" s="94"/>
      <c r="Z20" s="94"/>
      <c r="AA20" s="94"/>
      <c r="AB20" s="94"/>
      <c r="AC20" s="94"/>
      <c r="AD20" s="94"/>
      <c r="AE20" s="94"/>
      <c r="AF20" s="94"/>
      <c r="AG20" s="95">
        <v>-402.87</v>
      </c>
      <c r="AH20" s="94"/>
      <c r="AI20" s="95">
        <v>-7159.52</v>
      </c>
      <c r="AJ20" s="95">
        <v>0</v>
      </c>
    </row>
    <row r="21" spans="1:36" customFormat="1" ht="15.75" thickBot="1" x14ac:dyDescent="0.3">
      <c r="A21" s="90" t="s">
        <v>869</v>
      </c>
      <c r="B21" s="626" t="str">
        <f>VLOOKUP($D21,'Retail Rates'!$B$7:$D$38,2,FALSE)</f>
        <v>851</v>
      </c>
      <c r="C21" s="626" t="str">
        <f>VLOOKUP($D21,'Retail Rates'!$B$7:$D$38,3,FALSE)</f>
        <v>CGS</v>
      </c>
      <c r="D21" s="90" t="s">
        <v>26</v>
      </c>
      <c r="E21" s="90" t="s">
        <v>875</v>
      </c>
      <c r="F21" s="90" t="s">
        <v>17</v>
      </c>
      <c r="G21" s="90" t="s">
        <v>913</v>
      </c>
      <c r="H21" s="304">
        <v>33</v>
      </c>
      <c r="I21" s="93">
        <v>-12578</v>
      </c>
      <c r="J21" s="92"/>
      <c r="K21" s="93">
        <v>-152</v>
      </c>
      <c r="L21" s="92"/>
      <c r="M21" s="93">
        <v>-2704.79</v>
      </c>
      <c r="N21" s="93">
        <v>-42.45</v>
      </c>
      <c r="O21" s="93">
        <v>0</v>
      </c>
      <c r="P21" s="93">
        <v>-4285.13</v>
      </c>
      <c r="Q21" s="93">
        <v>-6.82</v>
      </c>
      <c r="R21" s="93">
        <v>-358.93</v>
      </c>
      <c r="S21" s="92"/>
      <c r="T21" s="93">
        <v>-64.56</v>
      </c>
      <c r="U21" s="93">
        <v>0</v>
      </c>
      <c r="V21" s="92"/>
      <c r="W21" s="92"/>
      <c r="X21" s="93">
        <v>-7572.23</v>
      </c>
      <c r="Y21" s="92"/>
      <c r="Z21" s="92"/>
      <c r="AA21" s="92"/>
      <c r="AB21" s="92"/>
      <c r="AC21" s="92"/>
      <c r="AD21" s="92"/>
      <c r="AE21" s="92"/>
      <c r="AF21" s="92"/>
      <c r="AG21" s="93">
        <v>-316</v>
      </c>
      <c r="AH21" s="92"/>
      <c r="AI21" s="93">
        <v>-7930.68</v>
      </c>
      <c r="AJ21" s="93">
        <v>0</v>
      </c>
    </row>
    <row r="22" spans="1:36" customFormat="1" ht="15.75" thickBot="1" x14ac:dyDescent="0.3">
      <c r="A22" s="90" t="s">
        <v>869</v>
      </c>
      <c r="B22" s="626" t="str">
        <f>VLOOKUP($D22,'Retail Rates'!$B$7:$D$38,2,FALSE)</f>
        <v>851</v>
      </c>
      <c r="C22" s="626" t="str">
        <f>VLOOKUP($D22,'Retail Rates'!$B$7:$D$38,3,FALSE)</f>
        <v>CGS</v>
      </c>
      <c r="D22" s="90" t="s">
        <v>26</v>
      </c>
      <c r="E22" s="90" t="s">
        <v>875</v>
      </c>
      <c r="F22" s="90" t="s">
        <v>17</v>
      </c>
      <c r="G22" s="90" t="s">
        <v>914</v>
      </c>
      <c r="H22" s="305">
        <v>873</v>
      </c>
      <c r="I22" s="95">
        <v>696892</v>
      </c>
      <c r="J22" s="94"/>
      <c r="K22" s="95">
        <v>28864.48</v>
      </c>
      <c r="L22" s="95">
        <v>5976</v>
      </c>
      <c r="M22" s="95">
        <v>149859.78</v>
      </c>
      <c r="N22" s="95">
        <v>7762.78</v>
      </c>
      <c r="O22" s="95">
        <v>0</v>
      </c>
      <c r="P22" s="95">
        <v>226107.87</v>
      </c>
      <c r="Q22" s="95">
        <v>376.18</v>
      </c>
      <c r="R22" s="95">
        <v>8782.5400000000009</v>
      </c>
      <c r="S22" s="94"/>
      <c r="T22" s="95">
        <v>19162.53</v>
      </c>
      <c r="U22" s="95">
        <v>0</v>
      </c>
      <c r="V22" s="94"/>
      <c r="W22" s="94"/>
      <c r="X22" s="95">
        <v>439129.38</v>
      </c>
      <c r="Y22" s="94"/>
      <c r="Z22" s="94"/>
      <c r="AA22" s="94"/>
      <c r="AB22" s="94"/>
      <c r="AC22" s="94"/>
      <c r="AD22" s="94"/>
      <c r="AE22" s="94"/>
      <c r="AF22" s="94"/>
      <c r="AG22" s="95">
        <v>15543.11</v>
      </c>
      <c r="AH22" s="94"/>
      <c r="AI22" s="95">
        <v>462435.27</v>
      </c>
      <c r="AJ22" s="95">
        <v>0</v>
      </c>
    </row>
    <row r="23" spans="1:36" customFormat="1" ht="15.75" thickBot="1" x14ac:dyDescent="0.3">
      <c r="A23" s="90" t="s">
        <v>869</v>
      </c>
      <c r="B23" s="626" t="str">
        <f>VLOOKUP($D23,'Retail Rates'!$B$7:$D$38,2,FALSE)</f>
        <v>851</v>
      </c>
      <c r="C23" s="626" t="str">
        <f>VLOOKUP($D23,'Retail Rates'!$B$7:$D$38,3,FALSE)</f>
        <v>CGS</v>
      </c>
      <c r="D23" s="90" t="s">
        <v>26</v>
      </c>
      <c r="E23" s="90" t="s">
        <v>875</v>
      </c>
      <c r="F23" s="90" t="s">
        <v>17</v>
      </c>
      <c r="G23" s="90" t="s">
        <v>915</v>
      </c>
      <c r="H23" s="304">
        <v>24110</v>
      </c>
      <c r="I23" s="93">
        <v>10467256</v>
      </c>
      <c r="J23" s="92"/>
      <c r="K23" s="93">
        <v>929358.39</v>
      </c>
      <c r="L23" s="93">
        <v>149976</v>
      </c>
      <c r="M23" s="93">
        <v>2250886.91</v>
      </c>
      <c r="N23" s="93">
        <v>103275.5</v>
      </c>
      <c r="O23" s="93">
        <v>0</v>
      </c>
      <c r="P23" s="93">
        <v>3385446.65</v>
      </c>
      <c r="Q23" s="93">
        <v>5651.87</v>
      </c>
      <c r="R23" s="93">
        <v>383669.91</v>
      </c>
      <c r="S23" s="92"/>
      <c r="T23" s="93">
        <v>622605.67000000004</v>
      </c>
      <c r="U23" s="93">
        <v>0</v>
      </c>
      <c r="V23" s="92"/>
      <c r="W23" s="92"/>
      <c r="X23" s="93">
        <v>7727595.4000000004</v>
      </c>
      <c r="Y23" s="92"/>
      <c r="Z23" s="92"/>
      <c r="AA23" s="92"/>
      <c r="AB23" s="92"/>
      <c r="AC23" s="92"/>
      <c r="AD23" s="92"/>
      <c r="AE23" s="92"/>
      <c r="AF23" s="92"/>
      <c r="AG23" s="93">
        <v>434784.77</v>
      </c>
      <c r="AH23" s="92"/>
      <c r="AI23" s="93">
        <v>8265655.6699999999</v>
      </c>
      <c r="AJ23" s="93">
        <v>0</v>
      </c>
    </row>
    <row r="24" spans="1:36" customFormat="1" ht="15.75" thickBot="1" x14ac:dyDescent="0.3">
      <c r="A24" s="90" t="s">
        <v>869</v>
      </c>
      <c r="B24" s="626" t="str">
        <f>VLOOKUP($D24,'Retail Rates'!$B$7:$D$38,2,FALSE)</f>
        <v>851</v>
      </c>
      <c r="C24" s="626" t="str">
        <f>VLOOKUP($D24,'Retail Rates'!$B$7:$D$38,3,FALSE)</f>
        <v>CGS</v>
      </c>
      <c r="D24" s="90" t="s">
        <v>26</v>
      </c>
      <c r="E24" s="90" t="s">
        <v>875</v>
      </c>
      <c r="F24" s="90" t="s">
        <v>20</v>
      </c>
      <c r="G24" s="90" t="s">
        <v>912</v>
      </c>
      <c r="H24" s="304">
        <v>1</v>
      </c>
      <c r="I24" s="93">
        <v>-399</v>
      </c>
      <c r="J24" s="92"/>
      <c r="K24" s="93">
        <v>0</v>
      </c>
      <c r="L24" s="92"/>
      <c r="M24" s="93">
        <v>-85.8</v>
      </c>
      <c r="N24" s="93">
        <v>-5.22</v>
      </c>
      <c r="O24" s="93">
        <v>0</v>
      </c>
      <c r="P24" s="93">
        <v>-135.93</v>
      </c>
      <c r="Q24" s="93">
        <v>-0.23</v>
      </c>
      <c r="R24" s="93">
        <v>-39.51</v>
      </c>
      <c r="S24" s="92"/>
      <c r="T24" s="93">
        <v>0</v>
      </c>
      <c r="U24" s="93">
        <v>0</v>
      </c>
      <c r="V24" s="92"/>
      <c r="W24" s="92"/>
      <c r="X24" s="93">
        <v>-261.47000000000003</v>
      </c>
      <c r="Y24" s="92"/>
      <c r="Z24" s="92"/>
      <c r="AA24" s="92"/>
      <c r="AB24" s="92"/>
      <c r="AC24" s="92"/>
      <c r="AD24" s="92"/>
      <c r="AE24" s="92"/>
      <c r="AF24" s="92"/>
      <c r="AG24" s="93">
        <v>0</v>
      </c>
      <c r="AH24" s="92"/>
      <c r="AI24" s="93">
        <v>-266.69</v>
      </c>
      <c r="AJ24" s="93">
        <v>0</v>
      </c>
    </row>
    <row r="25" spans="1:36" customFormat="1" ht="15.75" thickBot="1" x14ac:dyDescent="0.3">
      <c r="A25" s="90" t="s">
        <v>869</v>
      </c>
      <c r="B25" s="626" t="str">
        <f>VLOOKUP($D25,'Retail Rates'!$B$7:$D$38,2,FALSE)</f>
        <v>851</v>
      </c>
      <c r="C25" s="626" t="str">
        <f>VLOOKUP($D25,'Retail Rates'!$B$7:$D$38,3,FALSE)</f>
        <v>CGS</v>
      </c>
      <c r="D25" s="90" t="s">
        <v>26</v>
      </c>
      <c r="E25" s="90" t="s">
        <v>875</v>
      </c>
      <c r="F25" s="90" t="s">
        <v>20</v>
      </c>
      <c r="G25" s="90" t="s">
        <v>913</v>
      </c>
      <c r="H25" s="305">
        <v>2</v>
      </c>
      <c r="I25" s="95">
        <v>-524</v>
      </c>
      <c r="J25" s="94"/>
      <c r="K25" s="95">
        <v>40</v>
      </c>
      <c r="L25" s="94"/>
      <c r="M25" s="95">
        <v>-112.68</v>
      </c>
      <c r="N25" s="95">
        <v>-4.91</v>
      </c>
      <c r="O25" s="95">
        <v>0</v>
      </c>
      <c r="P25" s="95">
        <v>-178.51</v>
      </c>
      <c r="Q25" s="95">
        <v>-0.28999999999999998</v>
      </c>
      <c r="R25" s="95">
        <v>-11.54</v>
      </c>
      <c r="S25" s="94"/>
      <c r="T25" s="95">
        <v>17.510000000000002</v>
      </c>
      <c r="U25" s="95">
        <v>0</v>
      </c>
      <c r="V25" s="94"/>
      <c r="W25" s="94"/>
      <c r="X25" s="95">
        <v>-245.51</v>
      </c>
      <c r="Y25" s="94"/>
      <c r="Z25" s="94"/>
      <c r="AA25" s="94"/>
      <c r="AB25" s="94"/>
      <c r="AC25" s="94"/>
      <c r="AD25" s="94"/>
      <c r="AE25" s="94"/>
      <c r="AF25" s="94"/>
      <c r="AG25" s="95">
        <v>0</v>
      </c>
      <c r="AH25" s="94"/>
      <c r="AI25" s="95">
        <v>-250.42</v>
      </c>
      <c r="AJ25" s="95">
        <v>0</v>
      </c>
    </row>
    <row r="26" spans="1:36" customFormat="1" ht="15.75" thickBot="1" x14ac:dyDescent="0.3">
      <c r="A26" s="90" t="s">
        <v>869</v>
      </c>
      <c r="B26" s="626" t="str">
        <f>VLOOKUP($D26,'Retail Rates'!$B$7:$D$38,2,FALSE)</f>
        <v>851</v>
      </c>
      <c r="C26" s="626" t="str">
        <f>VLOOKUP($D26,'Retail Rates'!$B$7:$D$38,3,FALSE)</f>
        <v>CGS</v>
      </c>
      <c r="D26" s="90" t="s">
        <v>26</v>
      </c>
      <c r="E26" s="90" t="s">
        <v>875</v>
      </c>
      <c r="F26" s="90" t="s">
        <v>20</v>
      </c>
      <c r="G26" s="90" t="s">
        <v>914</v>
      </c>
      <c r="H26" s="304">
        <v>88</v>
      </c>
      <c r="I26" s="93">
        <v>149760</v>
      </c>
      <c r="J26" s="92"/>
      <c r="K26" s="93">
        <v>2480</v>
      </c>
      <c r="L26" s="93">
        <v>3780</v>
      </c>
      <c r="M26" s="93">
        <v>32204.400000000001</v>
      </c>
      <c r="N26" s="93">
        <v>1578.13</v>
      </c>
      <c r="O26" s="93">
        <v>0</v>
      </c>
      <c r="P26" s="93">
        <v>48895.76</v>
      </c>
      <c r="Q26" s="93">
        <v>80.849999999999994</v>
      </c>
      <c r="R26" s="93">
        <v>1755.69</v>
      </c>
      <c r="S26" s="92"/>
      <c r="T26" s="93">
        <v>2064.77</v>
      </c>
      <c r="U26" s="93">
        <v>0</v>
      </c>
      <c r="V26" s="92"/>
      <c r="W26" s="92"/>
      <c r="X26" s="93">
        <v>91261.47</v>
      </c>
      <c r="Y26" s="92"/>
      <c r="Z26" s="92"/>
      <c r="AA26" s="92"/>
      <c r="AB26" s="92"/>
      <c r="AC26" s="92"/>
      <c r="AD26" s="92"/>
      <c r="AE26" s="92"/>
      <c r="AF26" s="92"/>
      <c r="AG26" s="93">
        <v>160.44999999999999</v>
      </c>
      <c r="AH26" s="92"/>
      <c r="AI26" s="93">
        <v>93000.05</v>
      </c>
      <c r="AJ26" s="93">
        <v>0</v>
      </c>
    </row>
    <row r="27" spans="1:36" customFormat="1" ht="15.75" thickBot="1" x14ac:dyDescent="0.3">
      <c r="A27" s="90" t="s">
        <v>869</v>
      </c>
      <c r="B27" s="626" t="str">
        <f>VLOOKUP($D27,'Retail Rates'!$B$7:$D$38,2,FALSE)</f>
        <v>851</v>
      </c>
      <c r="C27" s="626" t="str">
        <f>VLOOKUP($D27,'Retail Rates'!$B$7:$D$38,3,FALSE)</f>
        <v>CGS</v>
      </c>
      <c r="D27" s="90" t="s">
        <v>26</v>
      </c>
      <c r="E27" s="90" t="s">
        <v>875</v>
      </c>
      <c r="F27" s="90" t="s">
        <v>20</v>
      </c>
      <c r="G27" s="90" t="s">
        <v>915</v>
      </c>
      <c r="H27" s="305">
        <v>1077</v>
      </c>
      <c r="I27" s="95">
        <v>1526294</v>
      </c>
      <c r="J27" s="94"/>
      <c r="K27" s="95">
        <v>33018.67</v>
      </c>
      <c r="L27" s="95">
        <v>45756</v>
      </c>
      <c r="M27" s="95">
        <v>328214.51</v>
      </c>
      <c r="N27" s="95">
        <v>14536.59</v>
      </c>
      <c r="O27" s="95">
        <v>0</v>
      </c>
      <c r="P27" s="95">
        <v>493649.23</v>
      </c>
      <c r="Q27" s="95">
        <v>824.14</v>
      </c>
      <c r="R27" s="95">
        <v>47424.6</v>
      </c>
      <c r="S27" s="94"/>
      <c r="T27" s="95">
        <v>27930.97</v>
      </c>
      <c r="U27" s="95">
        <v>0</v>
      </c>
      <c r="V27" s="94"/>
      <c r="W27" s="94"/>
      <c r="X27" s="95">
        <v>976818.12</v>
      </c>
      <c r="Y27" s="94"/>
      <c r="Z27" s="94"/>
      <c r="AA27" s="94"/>
      <c r="AB27" s="94"/>
      <c r="AC27" s="94"/>
      <c r="AD27" s="94"/>
      <c r="AE27" s="94"/>
      <c r="AF27" s="94"/>
      <c r="AG27" s="95">
        <v>5140.96</v>
      </c>
      <c r="AH27" s="94"/>
      <c r="AI27" s="95">
        <v>996495.67</v>
      </c>
      <c r="AJ27" s="95">
        <v>0</v>
      </c>
    </row>
    <row r="28" spans="1:36" customFormat="1" ht="15.75" thickBot="1" x14ac:dyDescent="0.3">
      <c r="A28" s="90" t="s">
        <v>869</v>
      </c>
      <c r="B28" s="626" t="str">
        <f>VLOOKUP($D28,'Retail Rates'!$B$7:$D$38,2,FALSE)</f>
        <v>851</v>
      </c>
      <c r="C28" s="626" t="str">
        <f>VLOOKUP($D28,'Retail Rates'!$B$7:$D$38,3,FALSE)</f>
        <v>CGS</v>
      </c>
      <c r="D28" s="90" t="s">
        <v>26</v>
      </c>
      <c r="E28" s="90" t="s">
        <v>875</v>
      </c>
      <c r="F28" s="90" t="s">
        <v>28</v>
      </c>
      <c r="G28" s="90" t="s">
        <v>915</v>
      </c>
      <c r="H28" s="305">
        <v>11</v>
      </c>
      <c r="I28" s="95">
        <v>3092</v>
      </c>
      <c r="J28" s="94"/>
      <c r="K28" s="95">
        <v>440</v>
      </c>
      <c r="L28" s="94"/>
      <c r="M28" s="95">
        <v>664.92</v>
      </c>
      <c r="N28" s="95">
        <v>19.02</v>
      </c>
      <c r="O28" s="95">
        <v>0</v>
      </c>
      <c r="P28" s="95">
        <v>1000.06</v>
      </c>
      <c r="Q28" s="95">
        <v>1.68</v>
      </c>
      <c r="R28" s="95">
        <v>76.38</v>
      </c>
      <c r="S28" s="94"/>
      <c r="T28" s="95">
        <v>284.57</v>
      </c>
      <c r="U28" s="95">
        <v>0</v>
      </c>
      <c r="V28" s="94"/>
      <c r="W28" s="94"/>
      <c r="X28" s="95">
        <v>2467.61</v>
      </c>
      <c r="Y28" s="94"/>
      <c r="Z28" s="94"/>
      <c r="AA28" s="94"/>
      <c r="AB28" s="94"/>
      <c r="AC28" s="94"/>
      <c r="AD28" s="94"/>
      <c r="AE28" s="94"/>
      <c r="AF28" s="94"/>
      <c r="AG28" s="95">
        <v>13.75</v>
      </c>
      <c r="AH28" s="94"/>
      <c r="AI28" s="95">
        <v>2500.38</v>
      </c>
      <c r="AJ28" s="95">
        <v>0</v>
      </c>
    </row>
    <row r="29" spans="1:36" customFormat="1" ht="15.75" thickBot="1" x14ac:dyDescent="0.3">
      <c r="A29" s="90" t="s">
        <v>869</v>
      </c>
      <c r="B29" s="626" t="str">
        <f>VLOOKUP($D29,'Retail Rates'!$B$7:$D$38,2,FALSE)</f>
        <v>851</v>
      </c>
      <c r="C29" s="626" t="str">
        <f>VLOOKUP($D29,'Retail Rates'!$B$7:$D$38,3,FALSE)</f>
        <v>CGS</v>
      </c>
      <c r="D29" s="90" t="s">
        <v>707</v>
      </c>
      <c r="E29" s="90" t="s">
        <v>876</v>
      </c>
      <c r="F29" s="90" t="s">
        <v>17</v>
      </c>
      <c r="G29" s="90" t="s">
        <v>915</v>
      </c>
      <c r="H29" s="305">
        <v>1</v>
      </c>
      <c r="I29" s="95">
        <v>260</v>
      </c>
      <c r="J29" s="94"/>
      <c r="K29" s="95">
        <v>40</v>
      </c>
      <c r="L29" s="94"/>
      <c r="M29" s="95">
        <v>55.91</v>
      </c>
      <c r="N29" s="95">
        <v>4.13</v>
      </c>
      <c r="O29" s="95">
        <v>0</v>
      </c>
      <c r="P29" s="95">
        <v>84.09</v>
      </c>
      <c r="Q29" s="95">
        <v>0.14000000000000001</v>
      </c>
      <c r="R29" s="95">
        <v>0.48</v>
      </c>
      <c r="S29" s="94"/>
      <c r="T29" s="95">
        <v>25.87</v>
      </c>
      <c r="U29" s="94"/>
      <c r="V29" s="94"/>
      <c r="W29" s="94"/>
      <c r="X29" s="95">
        <v>206.49</v>
      </c>
      <c r="Y29" s="94"/>
      <c r="Z29" s="94"/>
      <c r="AA29" s="94"/>
      <c r="AB29" s="94"/>
      <c r="AC29" s="94"/>
      <c r="AD29" s="94"/>
      <c r="AE29" s="94"/>
      <c r="AF29" s="94"/>
      <c r="AG29" s="95">
        <v>12.64</v>
      </c>
      <c r="AH29" s="94"/>
      <c r="AI29" s="95">
        <v>223.26</v>
      </c>
      <c r="AJ29" s="95">
        <v>0</v>
      </c>
    </row>
    <row r="30" spans="1:36" customFormat="1" ht="15.75" thickBot="1" x14ac:dyDescent="0.3">
      <c r="A30" s="90" t="s">
        <v>869</v>
      </c>
      <c r="B30" s="626" t="str">
        <f>VLOOKUP($D30,'Retail Rates'!$B$7:$D$38,2,FALSE)</f>
        <v>865</v>
      </c>
      <c r="C30" s="626" t="str">
        <f>VLOOKUP($D30,'Retail Rates'!$B$7:$D$38,3,FALSE)</f>
        <v>AAGS-C</v>
      </c>
      <c r="D30" s="90" t="s">
        <v>18</v>
      </c>
      <c r="E30" s="90" t="s">
        <v>453</v>
      </c>
      <c r="F30" s="90" t="s">
        <v>17</v>
      </c>
      <c r="G30" s="90" t="s">
        <v>915</v>
      </c>
      <c r="H30" s="304">
        <v>1</v>
      </c>
      <c r="I30" s="93">
        <v>31905</v>
      </c>
      <c r="J30" s="92"/>
      <c r="K30" s="93">
        <v>400</v>
      </c>
      <c r="L30" s="92"/>
      <c r="M30" s="93">
        <v>2236.2199999999998</v>
      </c>
      <c r="N30" s="93">
        <v>313.22000000000003</v>
      </c>
      <c r="O30" s="93">
        <v>0</v>
      </c>
      <c r="P30" s="93">
        <v>10319.030000000001</v>
      </c>
      <c r="Q30" s="93">
        <v>17.23</v>
      </c>
      <c r="R30" s="92"/>
      <c r="S30" s="92"/>
      <c r="T30" s="93">
        <v>2688.31</v>
      </c>
      <c r="U30" s="93">
        <v>0</v>
      </c>
      <c r="V30" s="92"/>
      <c r="W30" s="92"/>
      <c r="X30" s="93">
        <v>15660.79</v>
      </c>
      <c r="Y30" s="92"/>
      <c r="Z30" s="92"/>
      <c r="AA30" s="92"/>
      <c r="AB30" s="92"/>
      <c r="AC30" s="92"/>
      <c r="AD30" s="92"/>
      <c r="AE30" s="92"/>
      <c r="AF30" s="92"/>
      <c r="AG30" s="93">
        <v>958.44</v>
      </c>
      <c r="AH30" s="92"/>
      <c r="AI30" s="93">
        <v>16932.45</v>
      </c>
      <c r="AJ30" s="93">
        <v>0</v>
      </c>
    </row>
    <row r="31" spans="1:36" customFormat="1" ht="15.75" thickBot="1" x14ac:dyDescent="0.3">
      <c r="A31" s="90" t="s">
        <v>869</v>
      </c>
      <c r="B31" s="626" t="str">
        <f>VLOOKUP($D31,'Retail Rates'!$B$7:$D$38,2,FALSE)</f>
        <v>865</v>
      </c>
      <c r="C31" s="626" t="str">
        <f>VLOOKUP($D31,'Retail Rates'!$B$7:$D$38,3,FALSE)</f>
        <v>AAGS-C</v>
      </c>
      <c r="D31" s="90" t="s">
        <v>18</v>
      </c>
      <c r="E31" s="90" t="s">
        <v>453</v>
      </c>
      <c r="F31" s="90" t="s">
        <v>20</v>
      </c>
      <c r="G31" s="90" t="s">
        <v>915</v>
      </c>
      <c r="H31" s="305">
        <v>1</v>
      </c>
      <c r="I31" s="95">
        <v>27301</v>
      </c>
      <c r="J31" s="94"/>
      <c r="K31" s="95">
        <v>400</v>
      </c>
      <c r="L31" s="94"/>
      <c r="M31" s="95">
        <v>1913.53</v>
      </c>
      <c r="N31" s="95">
        <v>276.93</v>
      </c>
      <c r="O31" s="95">
        <v>0</v>
      </c>
      <c r="P31" s="95">
        <v>8829.9599999999991</v>
      </c>
      <c r="Q31" s="95">
        <v>14.74</v>
      </c>
      <c r="R31" s="94"/>
      <c r="S31" s="94"/>
      <c r="T31" s="95">
        <v>2688.31</v>
      </c>
      <c r="U31" s="95">
        <v>0</v>
      </c>
      <c r="V31" s="94"/>
      <c r="W31" s="94"/>
      <c r="X31" s="95">
        <v>13846.54</v>
      </c>
      <c r="Y31" s="94"/>
      <c r="Z31" s="94"/>
      <c r="AA31" s="94"/>
      <c r="AB31" s="94"/>
      <c r="AC31" s="94"/>
      <c r="AD31" s="94"/>
      <c r="AE31" s="94"/>
      <c r="AF31" s="94"/>
      <c r="AG31" s="95">
        <v>0</v>
      </c>
      <c r="AH31" s="94"/>
      <c r="AI31" s="95">
        <v>14123.47</v>
      </c>
      <c r="AJ31" s="95">
        <v>0</v>
      </c>
    </row>
    <row r="32" spans="1:36" customFormat="1" ht="15.75" thickBot="1" x14ac:dyDescent="0.3">
      <c r="A32" s="90" t="s">
        <v>869</v>
      </c>
      <c r="B32" s="626" t="str">
        <f>VLOOKUP($D32,'Retail Rates'!$B$7:$D$38,2,FALSE)</f>
        <v>875</v>
      </c>
      <c r="C32" s="626" t="str">
        <f>VLOOKUP($D32,'Retail Rates'!$B$7:$D$38,3,FALSE)</f>
        <v>DGGS-C</v>
      </c>
      <c r="D32" s="90" t="s">
        <v>68</v>
      </c>
      <c r="E32" s="90" t="s">
        <v>877</v>
      </c>
      <c r="F32" s="90" t="s">
        <v>17</v>
      </c>
      <c r="G32" s="90" t="s">
        <v>915</v>
      </c>
      <c r="H32" s="305">
        <v>1</v>
      </c>
      <c r="I32" s="95">
        <v>6</v>
      </c>
      <c r="J32" s="94"/>
      <c r="K32" s="95">
        <v>40</v>
      </c>
      <c r="L32" s="94"/>
      <c r="M32" s="95">
        <v>0.2</v>
      </c>
      <c r="N32" s="95">
        <v>11.72</v>
      </c>
      <c r="O32" s="95">
        <v>0</v>
      </c>
      <c r="P32" s="95">
        <v>1.94</v>
      </c>
      <c r="Q32" s="94"/>
      <c r="R32" s="94"/>
      <c r="S32" s="94"/>
      <c r="T32" s="95">
        <v>0</v>
      </c>
      <c r="U32" s="94"/>
      <c r="V32" s="94"/>
      <c r="W32" s="95">
        <v>544</v>
      </c>
      <c r="X32" s="95">
        <v>586.14</v>
      </c>
      <c r="Y32" s="94"/>
      <c r="Z32" s="94"/>
      <c r="AA32" s="94"/>
      <c r="AB32" s="94"/>
      <c r="AC32" s="94"/>
      <c r="AD32" s="94"/>
      <c r="AE32" s="94"/>
      <c r="AF32" s="94"/>
      <c r="AG32" s="95">
        <v>35.869999999999997</v>
      </c>
      <c r="AH32" s="94"/>
      <c r="AI32" s="95">
        <v>633.73</v>
      </c>
      <c r="AJ32" s="95">
        <v>0</v>
      </c>
    </row>
    <row r="33" spans="1:36" customFormat="1" ht="15.75" thickBot="1" x14ac:dyDescent="0.3">
      <c r="A33" s="90" t="s">
        <v>869</v>
      </c>
      <c r="B33" s="626" t="str">
        <f>VLOOKUP($D33,'Retail Rates'!$B$7:$D$38,2,FALSE)</f>
        <v>895</v>
      </c>
      <c r="C33" s="626" t="str">
        <f>VLOOKUP($D33,'Retail Rates'!$B$7:$D$38,3,FALSE)</f>
        <v>FT-C</v>
      </c>
      <c r="D33" s="90" t="s">
        <v>50</v>
      </c>
      <c r="E33" s="90" t="s">
        <v>881</v>
      </c>
      <c r="F33" s="90" t="s">
        <v>661</v>
      </c>
      <c r="G33" s="90" t="s">
        <v>914</v>
      </c>
      <c r="H33" s="304">
        <v>8</v>
      </c>
      <c r="I33" s="93">
        <v>531511</v>
      </c>
      <c r="J33" s="92"/>
      <c r="K33" s="92"/>
      <c r="L33" s="92"/>
      <c r="M33" s="92"/>
      <c r="N33" s="93">
        <v>311.18</v>
      </c>
      <c r="O33" s="93">
        <v>0</v>
      </c>
      <c r="P33" s="92"/>
      <c r="Q33" s="92"/>
      <c r="R33" s="92"/>
      <c r="S33" s="92"/>
      <c r="T33" s="92"/>
      <c r="U33" s="92"/>
      <c r="V33" s="92"/>
      <c r="W33" s="92"/>
      <c r="X33" s="92"/>
      <c r="Y33" s="93">
        <v>0</v>
      </c>
      <c r="Z33" s="92"/>
      <c r="AA33" s="93">
        <v>23152.59</v>
      </c>
      <c r="AB33" s="93">
        <v>0</v>
      </c>
      <c r="AC33" s="92"/>
      <c r="AD33" s="92"/>
      <c r="AE33" s="93">
        <v>4400</v>
      </c>
      <c r="AF33" s="93">
        <v>0</v>
      </c>
      <c r="AG33" s="93">
        <v>455.46</v>
      </c>
      <c r="AH33" s="92"/>
      <c r="AI33" s="93">
        <v>28319.23</v>
      </c>
      <c r="AJ33" s="93">
        <v>0</v>
      </c>
    </row>
    <row r="34" spans="1:36" customFormat="1" ht="15.75" thickBot="1" x14ac:dyDescent="0.3">
      <c r="A34" s="90" t="s">
        <v>869</v>
      </c>
      <c r="B34" s="626" t="str">
        <f>VLOOKUP($D34,'Retail Rates'!$B$7:$D$38,2,FALSE)</f>
        <v>895</v>
      </c>
      <c r="C34" s="626" t="str">
        <f>VLOOKUP($D34,'Retail Rates'!$B$7:$D$38,3,FALSE)</f>
        <v>FT-C</v>
      </c>
      <c r="D34" s="90" t="s">
        <v>50</v>
      </c>
      <c r="E34" s="90" t="s">
        <v>881</v>
      </c>
      <c r="F34" s="90" t="s">
        <v>662</v>
      </c>
      <c r="G34" s="90" t="s">
        <v>914</v>
      </c>
      <c r="H34" s="305">
        <v>2</v>
      </c>
      <c r="I34" s="95">
        <v>192417</v>
      </c>
      <c r="J34" s="94"/>
      <c r="K34" s="94"/>
      <c r="L34" s="94"/>
      <c r="M34" s="94"/>
      <c r="N34" s="95">
        <v>46.2</v>
      </c>
      <c r="O34" s="95">
        <v>0</v>
      </c>
      <c r="P34" s="94"/>
      <c r="Q34" s="94"/>
      <c r="R34" s="94"/>
      <c r="S34" s="94"/>
      <c r="T34" s="94"/>
      <c r="U34" s="94"/>
      <c r="V34" s="94"/>
      <c r="W34" s="94"/>
      <c r="X34" s="94"/>
      <c r="Y34" s="95">
        <v>23.88</v>
      </c>
      <c r="Z34" s="94"/>
      <c r="AA34" s="95">
        <v>8503.0300000000007</v>
      </c>
      <c r="AB34" s="95">
        <v>-161.41999999999999</v>
      </c>
      <c r="AC34" s="95">
        <v>10.18</v>
      </c>
      <c r="AD34" s="94"/>
      <c r="AE34" s="95">
        <v>1100</v>
      </c>
      <c r="AF34" s="95">
        <v>58.59</v>
      </c>
      <c r="AG34" s="95">
        <v>214.97</v>
      </c>
      <c r="AH34" s="94"/>
      <c r="AI34" s="95">
        <v>9736.84</v>
      </c>
      <c r="AJ34" s="306">
        <v>-58.59</v>
      </c>
    </row>
    <row r="35" spans="1:36" customFormat="1" ht="15.75" thickBot="1" x14ac:dyDescent="0.3">
      <c r="A35" s="90" t="s">
        <v>869</v>
      </c>
      <c r="B35" s="626" t="str">
        <f>VLOOKUP($D35,'Retail Rates'!$B$7:$D$38,2,FALSE)</f>
        <v>855</v>
      </c>
      <c r="C35" s="626" t="str">
        <f>VLOOKUP($D35,'Retail Rates'!$B$7:$D$38,3,FALSE)</f>
        <v>IGS Opt Out</v>
      </c>
      <c r="D35" s="90" t="s">
        <v>31</v>
      </c>
      <c r="E35" s="90" t="s">
        <v>880</v>
      </c>
      <c r="F35" s="90" t="s">
        <v>21</v>
      </c>
      <c r="G35" s="90" t="s">
        <v>903</v>
      </c>
      <c r="H35" s="305">
        <v>1</v>
      </c>
      <c r="I35" s="95">
        <v>-537</v>
      </c>
      <c r="J35" s="94"/>
      <c r="K35" s="95">
        <v>-34.869999999999997</v>
      </c>
      <c r="L35" s="94"/>
      <c r="M35" s="95">
        <v>-115.2</v>
      </c>
      <c r="N35" s="95">
        <v>-10.38</v>
      </c>
      <c r="O35" s="95">
        <v>0.13</v>
      </c>
      <c r="P35" s="95">
        <v>-268.24</v>
      </c>
      <c r="Q35" s="94"/>
      <c r="R35" s="94"/>
      <c r="S35" s="94"/>
      <c r="T35" s="95">
        <v>-100.59</v>
      </c>
      <c r="U35" s="94"/>
      <c r="V35" s="94"/>
      <c r="W35" s="94"/>
      <c r="X35" s="95">
        <v>-518.9</v>
      </c>
      <c r="Y35" s="94"/>
      <c r="Z35" s="94"/>
      <c r="AA35" s="94"/>
      <c r="AB35" s="94"/>
      <c r="AC35" s="94"/>
      <c r="AD35" s="94"/>
      <c r="AE35" s="94"/>
      <c r="AF35" s="94"/>
      <c r="AG35" s="95">
        <v>-31.76</v>
      </c>
      <c r="AH35" s="94"/>
      <c r="AI35" s="95">
        <v>-561.04</v>
      </c>
      <c r="AJ35" s="306">
        <v>-0.13</v>
      </c>
    </row>
    <row r="36" spans="1:36" customFormat="1" ht="15.75" thickBot="1" x14ac:dyDescent="0.3">
      <c r="A36" s="90" t="s">
        <v>869</v>
      </c>
      <c r="B36" s="626" t="str">
        <f>VLOOKUP($D36,'Retail Rates'!$B$7:$D$38,2,FALSE)</f>
        <v>855</v>
      </c>
      <c r="C36" s="626" t="str">
        <f>VLOOKUP($D36,'Retail Rates'!$B$7:$D$38,3,FALSE)</f>
        <v>IGS Opt Out</v>
      </c>
      <c r="D36" s="90" t="s">
        <v>31</v>
      </c>
      <c r="E36" s="90" t="s">
        <v>880</v>
      </c>
      <c r="F36" s="90" t="s">
        <v>21</v>
      </c>
      <c r="G36" s="90" t="s">
        <v>914</v>
      </c>
      <c r="H36" s="304">
        <v>4</v>
      </c>
      <c r="I36" s="93">
        <v>46870</v>
      </c>
      <c r="J36" s="92"/>
      <c r="K36" s="93">
        <v>5.33</v>
      </c>
      <c r="L36" s="93">
        <v>540.01</v>
      </c>
      <c r="M36" s="93">
        <v>10676.52</v>
      </c>
      <c r="N36" s="93">
        <v>477.79</v>
      </c>
      <c r="O36" s="93">
        <v>0</v>
      </c>
      <c r="P36" s="93">
        <v>15269.49</v>
      </c>
      <c r="Q36" s="92"/>
      <c r="R36" s="92"/>
      <c r="S36" s="92"/>
      <c r="T36" s="93">
        <v>764.62</v>
      </c>
      <c r="U36" s="92"/>
      <c r="V36" s="92"/>
      <c r="W36" s="92"/>
      <c r="X36" s="93">
        <v>27255.97</v>
      </c>
      <c r="Y36" s="92"/>
      <c r="Z36" s="92"/>
      <c r="AA36" s="92"/>
      <c r="AB36" s="92"/>
      <c r="AC36" s="92"/>
      <c r="AD36" s="92"/>
      <c r="AE36" s="92"/>
      <c r="AF36" s="92"/>
      <c r="AG36" s="93">
        <v>1664.02</v>
      </c>
      <c r="AH36" s="92"/>
      <c r="AI36" s="93">
        <v>29397.78</v>
      </c>
      <c r="AJ36" s="93">
        <v>0</v>
      </c>
    </row>
    <row r="37" spans="1:36" customFormat="1" ht="15.75" thickBot="1" x14ac:dyDescent="0.3">
      <c r="A37" s="90" t="s">
        <v>869</v>
      </c>
      <c r="B37" s="626" t="str">
        <f>VLOOKUP($D37,'Retail Rates'!$B$7:$D$38,2,FALSE)</f>
        <v>855</v>
      </c>
      <c r="C37" s="626" t="str">
        <f>VLOOKUP($D37,'Retail Rates'!$B$7:$D$38,3,FALSE)</f>
        <v>IGS Opt Out</v>
      </c>
      <c r="D37" s="90" t="s">
        <v>31</v>
      </c>
      <c r="E37" s="90" t="s">
        <v>880</v>
      </c>
      <c r="F37" s="90" t="s">
        <v>21</v>
      </c>
      <c r="G37" s="90" t="s">
        <v>915</v>
      </c>
      <c r="H37" s="305">
        <v>223</v>
      </c>
      <c r="I37" s="95">
        <v>1057148</v>
      </c>
      <c r="J37" s="94"/>
      <c r="K37" s="95">
        <v>4520</v>
      </c>
      <c r="L37" s="95">
        <v>19800</v>
      </c>
      <c r="M37" s="95">
        <v>240807.79</v>
      </c>
      <c r="N37" s="95">
        <v>9715.25</v>
      </c>
      <c r="O37" s="95">
        <v>0</v>
      </c>
      <c r="P37" s="95">
        <v>341913.37</v>
      </c>
      <c r="Q37" s="94"/>
      <c r="R37" s="94"/>
      <c r="S37" s="94"/>
      <c r="T37" s="95">
        <v>54652.84</v>
      </c>
      <c r="U37" s="94"/>
      <c r="V37" s="94"/>
      <c r="W37" s="94"/>
      <c r="X37" s="95">
        <v>661694</v>
      </c>
      <c r="Y37" s="94"/>
      <c r="Z37" s="94"/>
      <c r="AA37" s="94"/>
      <c r="AB37" s="94"/>
      <c r="AC37" s="94"/>
      <c r="AD37" s="94"/>
      <c r="AE37" s="94"/>
      <c r="AF37" s="94"/>
      <c r="AG37" s="95">
        <v>38892.239999999998</v>
      </c>
      <c r="AH37" s="94"/>
      <c r="AI37" s="95">
        <v>710301.49</v>
      </c>
      <c r="AJ37" s="95">
        <v>0</v>
      </c>
    </row>
    <row r="38" spans="1:36" customFormat="1" ht="15.75" thickBot="1" x14ac:dyDescent="0.3">
      <c r="A38" s="90" t="s">
        <v>869</v>
      </c>
      <c r="B38" s="626" t="str">
        <f>VLOOKUP($D38,'Retail Rates'!$B$7:$D$38,2,FALSE)</f>
        <v>855</v>
      </c>
      <c r="C38" s="626" t="str">
        <f>VLOOKUP($D38,'Retail Rates'!$B$7:$D$38,3,FALSE)</f>
        <v>IGS Opt Out</v>
      </c>
      <c r="D38" s="90" t="s">
        <v>31</v>
      </c>
      <c r="E38" s="90" t="s">
        <v>880</v>
      </c>
      <c r="F38" s="90" t="s">
        <v>17</v>
      </c>
      <c r="G38" s="90" t="s">
        <v>903</v>
      </c>
      <c r="H38" s="305">
        <v>1</v>
      </c>
      <c r="I38" s="95">
        <v>537</v>
      </c>
      <c r="J38" s="94"/>
      <c r="K38" s="95">
        <v>34.869999999999997</v>
      </c>
      <c r="L38" s="94"/>
      <c r="M38" s="95">
        <v>115.2</v>
      </c>
      <c r="N38" s="95">
        <v>10.38</v>
      </c>
      <c r="O38" s="95">
        <v>-0.13</v>
      </c>
      <c r="P38" s="95">
        <v>268.24</v>
      </c>
      <c r="Q38" s="94"/>
      <c r="R38" s="94"/>
      <c r="S38" s="94"/>
      <c r="T38" s="95">
        <v>100.59</v>
      </c>
      <c r="U38" s="94"/>
      <c r="V38" s="94"/>
      <c r="W38" s="94"/>
      <c r="X38" s="95">
        <v>518.9</v>
      </c>
      <c r="Y38" s="94"/>
      <c r="Z38" s="94"/>
      <c r="AA38" s="94"/>
      <c r="AB38" s="94"/>
      <c r="AC38" s="94"/>
      <c r="AD38" s="94"/>
      <c r="AE38" s="94"/>
      <c r="AF38" s="94"/>
      <c r="AG38" s="95">
        <v>31.76</v>
      </c>
      <c r="AH38" s="94"/>
      <c r="AI38" s="95">
        <v>561.04</v>
      </c>
      <c r="AJ38" s="306">
        <v>0.13</v>
      </c>
    </row>
    <row r="39" spans="1:36" customFormat="1" ht="15.75" thickBot="1" x14ac:dyDescent="0.3">
      <c r="A39" s="90" t="s">
        <v>869</v>
      </c>
      <c r="B39" s="626" t="str">
        <f>VLOOKUP($D39,'Retail Rates'!$B$7:$D$38,2,FALSE)</f>
        <v>855</v>
      </c>
      <c r="C39" s="626" t="str">
        <f>VLOOKUP($D39,'Retail Rates'!$B$7:$D$38,3,FALSE)</f>
        <v>IGS Opt Out</v>
      </c>
      <c r="D39" s="90" t="s">
        <v>31</v>
      </c>
      <c r="E39" s="90" t="s">
        <v>880</v>
      </c>
      <c r="F39" s="90" t="s">
        <v>17</v>
      </c>
      <c r="G39" s="90" t="s">
        <v>915</v>
      </c>
      <c r="H39" s="304">
        <v>21</v>
      </c>
      <c r="I39" s="93">
        <v>49199</v>
      </c>
      <c r="J39" s="92"/>
      <c r="K39" s="93">
        <v>640</v>
      </c>
      <c r="L39" s="93">
        <v>900</v>
      </c>
      <c r="M39" s="93">
        <v>11207.05</v>
      </c>
      <c r="N39" s="93">
        <v>631.47</v>
      </c>
      <c r="O39" s="93">
        <v>0</v>
      </c>
      <c r="P39" s="93">
        <v>15912.43</v>
      </c>
      <c r="Q39" s="92"/>
      <c r="R39" s="92"/>
      <c r="S39" s="92"/>
      <c r="T39" s="93">
        <v>5146.68</v>
      </c>
      <c r="U39" s="92"/>
      <c r="V39" s="92"/>
      <c r="W39" s="92"/>
      <c r="X39" s="93">
        <v>33806.160000000003</v>
      </c>
      <c r="Y39" s="92"/>
      <c r="Z39" s="92"/>
      <c r="AA39" s="92"/>
      <c r="AB39" s="92"/>
      <c r="AC39" s="92"/>
      <c r="AD39" s="92"/>
      <c r="AE39" s="92"/>
      <c r="AF39" s="92"/>
      <c r="AG39" s="93">
        <v>1900.14</v>
      </c>
      <c r="AH39" s="92"/>
      <c r="AI39" s="93">
        <v>36337.769999999997</v>
      </c>
      <c r="AJ39" s="93">
        <v>0</v>
      </c>
    </row>
    <row r="40" spans="1:36" customFormat="1" ht="15.75" thickBot="1" x14ac:dyDescent="0.3">
      <c r="A40" s="90" t="s">
        <v>869</v>
      </c>
      <c r="B40" s="626" t="str">
        <f>VLOOKUP($D40,'Retail Rates'!$B$7:$D$38,2,FALSE)</f>
        <v>866</v>
      </c>
      <c r="C40" s="626" t="str">
        <f>VLOOKUP($D40,'Retail Rates'!$B$7:$D$38,3,FALSE)</f>
        <v>AAGS-I</v>
      </c>
      <c r="D40" s="90" t="s">
        <v>22</v>
      </c>
      <c r="E40" s="90" t="s">
        <v>874</v>
      </c>
      <c r="F40" s="90" t="s">
        <v>21</v>
      </c>
      <c r="G40" s="90" t="s">
        <v>914</v>
      </c>
      <c r="H40" s="305">
        <v>1</v>
      </c>
      <c r="I40" s="95">
        <v>16769</v>
      </c>
      <c r="J40" s="94"/>
      <c r="K40" s="95">
        <v>400</v>
      </c>
      <c r="L40" s="94"/>
      <c r="M40" s="95">
        <v>1175.3399999999999</v>
      </c>
      <c r="N40" s="95">
        <v>193.86</v>
      </c>
      <c r="O40" s="95">
        <v>0</v>
      </c>
      <c r="P40" s="95">
        <v>5429.33</v>
      </c>
      <c r="Q40" s="94"/>
      <c r="R40" s="94"/>
      <c r="S40" s="94"/>
      <c r="T40" s="95">
        <v>2688.31</v>
      </c>
      <c r="U40" s="95">
        <v>0</v>
      </c>
      <c r="V40" s="94"/>
      <c r="W40" s="94"/>
      <c r="X40" s="95">
        <v>9692.98</v>
      </c>
      <c r="Y40" s="94"/>
      <c r="Z40" s="94"/>
      <c r="AA40" s="94"/>
      <c r="AB40" s="94"/>
      <c r="AC40" s="94"/>
      <c r="AD40" s="94"/>
      <c r="AE40" s="94"/>
      <c r="AF40" s="94"/>
      <c r="AG40" s="95">
        <v>0</v>
      </c>
      <c r="AH40" s="94"/>
      <c r="AI40" s="95">
        <v>9886.84</v>
      </c>
      <c r="AJ40" s="95">
        <v>0</v>
      </c>
    </row>
    <row r="41" spans="1:36" customFormat="1" ht="15.75" thickBot="1" x14ac:dyDescent="0.3">
      <c r="A41" s="90" t="s">
        <v>869</v>
      </c>
      <c r="B41" s="626" t="str">
        <f>VLOOKUP($D41,'Retail Rates'!$B$7:$D$38,2,FALSE)</f>
        <v>866</v>
      </c>
      <c r="C41" s="626" t="str">
        <f>VLOOKUP($D41,'Retail Rates'!$B$7:$D$38,3,FALSE)</f>
        <v>AAGS-I</v>
      </c>
      <c r="D41" s="90" t="s">
        <v>22</v>
      </c>
      <c r="E41" s="90" t="s">
        <v>874</v>
      </c>
      <c r="F41" s="90" t="s">
        <v>21</v>
      </c>
      <c r="G41" s="90" t="s">
        <v>915</v>
      </c>
      <c r="H41" s="304">
        <v>2</v>
      </c>
      <c r="I41" s="93">
        <v>22308</v>
      </c>
      <c r="J41" s="92"/>
      <c r="K41" s="93">
        <v>800</v>
      </c>
      <c r="L41" s="92"/>
      <c r="M41" s="93">
        <v>1563.56</v>
      </c>
      <c r="N41" s="93">
        <v>236.99</v>
      </c>
      <c r="O41" s="93">
        <v>0</v>
      </c>
      <c r="P41" s="93">
        <v>7215.08</v>
      </c>
      <c r="Q41" s="92"/>
      <c r="R41" s="92"/>
      <c r="S41" s="92"/>
      <c r="T41" s="93">
        <v>5376.62</v>
      </c>
      <c r="U41" s="93">
        <v>0</v>
      </c>
      <c r="V41" s="92"/>
      <c r="W41" s="92"/>
      <c r="X41" s="93">
        <v>14955.26</v>
      </c>
      <c r="Y41" s="92"/>
      <c r="Z41" s="92"/>
      <c r="AA41" s="92"/>
      <c r="AB41" s="92"/>
      <c r="AC41" s="92"/>
      <c r="AD41" s="92"/>
      <c r="AE41" s="92"/>
      <c r="AF41" s="92"/>
      <c r="AG41" s="93">
        <v>0</v>
      </c>
      <c r="AH41" s="92"/>
      <c r="AI41" s="93">
        <v>15192.25</v>
      </c>
      <c r="AJ41" s="93">
        <v>0</v>
      </c>
    </row>
    <row r="42" spans="1:36" customFormat="1" ht="15.75" thickBot="1" x14ac:dyDescent="0.3">
      <c r="A42" s="90" t="s">
        <v>869</v>
      </c>
      <c r="B42" s="626" t="str">
        <f>VLOOKUP($D42,'Retail Rates'!$B$7:$D$38,2,FALSE)</f>
        <v>882</v>
      </c>
      <c r="C42" s="626" t="str">
        <f>VLOOKUP($D42,'Retail Rates'!$B$7:$D$38,3,FALSE)</f>
        <v>IGS-TS-2</v>
      </c>
      <c r="D42" s="90" t="s">
        <v>42</v>
      </c>
      <c r="E42" s="90" t="s">
        <v>884</v>
      </c>
      <c r="F42" s="90" t="s">
        <v>663</v>
      </c>
      <c r="G42" s="90" t="s">
        <v>914</v>
      </c>
      <c r="H42" s="304">
        <v>4</v>
      </c>
      <c r="I42" s="93">
        <v>64271</v>
      </c>
      <c r="J42" s="92"/>
      <c r="K42" s="92"/>
      <c r="L42" s="92"/>
      <c r="M42" s="92"/>
      <c r="N42" s="93">
        <v>391.78</v>
      </c>
      <c r="O42" s="93">
        <v>0</v>
      </c>
      <c r="P42" s="92"/>
      <c r="Q42" s="92"/>
      <c r="R42" s="92"/>
      <c r="S42" s="92"/>
      <c r="T42" s="93">
        <v>980.32</v>
      </c>
      <c r="U42" s="92"/>
      <c r="V42" s="92"/>
      <c r="W42" s="92"/>
      <c r="X42" s="93">
        <v>980.32</v>
      </c>
      <c r="Y42" s="92"/>
      <c r="Z42" s="93">
        <v>-994.51</v>
      </c>
      <c r="AA42" s="93">
        <v>20016.560000000001</v>
      </c>
      <c r="AB42" s="93">
        <v>720</v>
      </c>
      <c r="AC42" s="92"/>
      <c r="AD42" s="93">
        <v>0</v>
      </c>
      <c r="AE42" s="93">
        <v>2200</v>
      </c>
      <c r="AF42" s="92"/>
      <c r="AG42" s="93">
        <v>594.83000000000004</v>
      </c>
      <c r="AH42" s="92"/>
      <c r="AI42" s="93">
        <v>23908.98</v>
      </c>
      <c r="AJ42" s="93">
        <v>0</v>
      </c>
    </row>
    <row r="43" spans="1:36" customFormat="1" ht="15.75" thickBot="1" x14ac:dyDescent="0.3">
      <c r="A43" s="90" t="s">
        <v>869</v>
      </c>
      <c r="B43" s="626" t="str">
        <f>VLOOKUP($D43,'Retail Rates'!$B$7:$D$38,2,FALSE)</f>
        <v>882</v>
      </c>
      <c r="C43" s="626" t="str">
        <f>VLOOKUP($D43,'Retail Rates'!$B$7:$D$38,3,FALSE)</f>
        <v>IGS-TS-2</v>
      </c>
      <c r="D43" s="90" t="s">
        <v>42</v>
      </c>
      <c r="E43" s="90" t="s">
        <v>884</v>
      </c>
      <c r="F43" s="90" t="s">
        <v>662</v>
      </c>
      <c r="G43" s="90" t="s">
        <v>914</v>
      </c>
      <c r="H43" s="305">
        <v>1</v>
      </c>
      <c r="I43" s="95">
        <v>140689</v>
      </c>
      <c r="J43" s="94"/>
      <c r="K43" s="94"/>
      <c r="L43" s="94"/>
      <c r="M43" s="94"/>
      <c r="N43" s="95">
        <v>846.47</v>
      </c>
      <c r="O43" s="95">
        <v>0</v>
      </c>
      <c r="P43" s="94"/>
      <c r="Q43" s="94"/>
      <c r="R43" s="94"/>
      <c r="S43" s="94"/>
      <c r="T43" s="95">
        <v>245.08</v>
      </c>
      <c r="U43" s="94"/>
      <c r="V43" s="94"/>
      <c r="W43" s="94"/>
      <c r="X43" s="95">
        <v>245.08</v>
      </c>
      <c r="Y43" s="94"/>
      <c r="Z43" s="95">
        <v>-2467.69</v>
      </c>
      <c r="AA43" s="95">
        <v>43816.18</v>
      </c>
      <c r="AB43" s="95">
        <v>180</v>
      </c>
      <c r="AC43" s="94"/>
      <c r="AD43" s="95">
        <v>0</v>
      </c>
      <c r="AE43" s="95">
        <v>550</v>
      </c>
      <c r="AF43" s="94"/>
      <c r="AG43" s="95">
        <v>0</v>
      </c>
      <c r="AH43" s="94"/>
      <c r="AI43" s="95">
        <v>43170.04</v>
      </c>
      <c r="AJ43" s="95">
        <v>0</v>
      </c>
    </row>
    <row r="44" spans="1:36" customFormat="1" ht="15.75" thickBot="1" x14ac:dyDescent="0.3">
      <c r="A44" s="90" t="s">
        <v>869</v>
      </c>
      <c r="B44" s="626" t="str">
        <f>VLOOKUP($D44,'Retail Rates'!$B$7:$D$38,2,FALSE)</f>
        <v>882</v>
      </c>
      <c r="C44" s="626" t="str">
        <f>VLOOKUP($D44,'Retail Rates'!$B$7:$D$38,3,FALSE)</f>
        <v>IGS-TS-2-PM</v>
      </c>
      <c r="D44" s="90" t="s">
        <v>93</v>
      </c>
      <c r="E44" s="90" t="s">
        <v>719</v>
      </c>
      <c r="F44" s="90" t="s">
        <v>663</v>
      </c>
      <c r="G44" s="90" t="s">
        <v>914</v>
      </c>
      <c r="H44" s="305">
        <v>2</v>
      </c>
      <c r="I44" s="94"/>
      <c r="J44" s="94"/>
      <c r="K44" s="94"/>
      <c r="L44" s="94"/>
      <c r="M44" s="94"/>
      <c r="N44" s="95">
        <v>0</v>
      </c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5">
        <v>0</v>
      </c>
      <c r="AB44" s="95">
        <v>-492.19</v>
      </c>
      <c r="AC44" s="95">
        <v>3407.92</v>
      </c>
      <c r="AD44" s="94"/>
      <c r="AE44" s="95">
        <v>525</v>
      </c>
      <c r="AF44" s="95">
        <v>0</v>
      </c>
      <c r="AG44" s="95">
        <v>0</v>
      </c>
      <c r="AH44" s="94"/>
      <c r="AI44" s="95">
        <v>3440.73</v>
      </c>
      <c r="AJ44" s="95">
        <v>0</v>
      </c>
    </row>
    <row r="45" spans="1:36" customFormat="1" ht="15.75" thickBot="1" x14ac:dyDescent="0.3">
      <c r="A45" s="90" t="s">
        <v>869</v>
      </c>
      <c r="B45" s="626" t="str">
        <f>VLOOKUP($D45,'Retail Rates'!$B$7:$D$38,2,FALSE)</f>
        <v>892</v>
      </c>
      <c r="C45" s="626" t="str">
        <f>VLOOKUP($D45,'Retail Rates'!$B$7:$D$38,3,FALSE)</f>
        <v>AAGS-I-TS-2</v>
      </c>
      <c r="D45" s="90" t="s">
        <v>96</v>
      </c>
      <c r="E45" s="90" t="s">
        <v>883</v>
      </c>
      <c r="F45" s="90" t="s">
        <v>663</v>
      </c>
      <c r="G45" s="90" t="s">
        <v>914</v>
      </c>
      <c r="H45" s="304">
        <v>1</v>
      </c>
      <c r="I45" s="93">
        <v>107703</v>
      </c>
      <c r="J45" s="92"/>
      <c r="K45" s="92"/>
      <c r="L45" s="92"/>
      <c r="M45" s="92"/>
      <c r="N45" s="93">
        <v>0</v>
      </c>
      <c r="O45" s="92"/>
      <c r="P45" s="92"/>
      <c r="Q45" s="92"/>
      <c r="R45" s="92"/>
      <c r="S45" s="92"/>
      <c r="T45" s="93">
        <v>2688.31</v>
      </c>
      <c r="U45" s="92"/>
      <c r="V45" s="92"/>
      <c r="W45" s="92"/>
      <c r="X45" s="93">
        <v>2688.31</v>
      </c>
      <c r="Y45" s="92"/>
      <c r="Z45" s="93">
        <v>-98.01</v>
      </c>
      <c r="AA45" s="93">
        <v>16558.259999999998</v>
      </c>
      <c r="AB45" s="93">
        <v>400</v>
      </c>
      <c r="AC45" s="92"/>
      <c r="AD45" s="93">
        <v>0</v>
      </c>
      <c r="AE45" s="93">
        <v>550</v>
      </c>
      <c r="AF45" s="92"/>
      <c r="AG45" s="93">
        <v>0</v>
      </c>
      <c r="AH45" s="92"/>
      <c r="AI45" s="93">
        <v>20098.560000000001</v>
      </c>
      <c r="AJ45" s="93">
        <v>0</v>
      </c>
    </row>
    <row r="46" spans="1:36" customFormat="1" ht="15.75" thickBot="1" x14ac:dyDescent="0.3">
      <c r="A46" s="90" t="s">
        <v>869</v>
      </c>
      <c r="B46" s="626" t="str">
        <f>VLOOKUP($D46,'Retail Rates'!$B$7:$D$38,2,FALSE)</f>
        <v>892</v>
      </c>
      <c r="C46" s="626" t="str">
        <f>VLOOKUP($D46,'Retail Rates'!$B$7:$D$38,3,FALSE)</f>
        <v>AAGS-I-TS-2</v>
      </c>
      <c r="D46" s="90" t="s">
        <v>96</v>
      </c>
      <c r="E46" s="90" t="s">
        <v>883</v>
      </c>
      <c r="F46" s="90" t="s">
        <v>662</v>
      </c>
      <c r="G46" s="90" t="s">
        <v>914</v>
      </c>
      <c r="H46" s="305">
        <v>1</v>
      </c>
      <c r="I46" s="95">
        <v>130913</v>
      </c>
      <c r="J46" s="94"/>
      <c r="K46" s="94"/>
      <c r="L46" s="94"/>
      <c r="M46" s="94"/>
      <c r="N46" s="95">
        <v>429.37</v>
      </c>
      <c r="O46" s="95">
        <v>0</v>
      </c>
      <c r="P46" s="94"/>
      <c r="Q46" s="94"/>
      <c r="R46" s="94"/>
      <c r="S46" s="94"/>
      <c r="T46" s="95">
        <v>2688.31</v>
      </c>
      <c r="U46" s="94"/>
      <c r="V46" s="94"/>
      <c r="W46" s="94"/>
      <c r="X46" s="95">
        <v>2688.31</v>
      </c>
      <c r="Y46" s="94"/>
      <c r="Z46" s="95">
        <v>-2296.21</v>
      </c>
      <c r="AA46" s="95">
        <v>20126.560000000001</v>
      </c>
      <c r="AB46" s="95">
        <v>400</v>
      </c>
      <c r="AC46" s="94"/>
      <c r="AD46" s="95">
        <v>0</v>
      </c>
      <c r="AE46" s="95">
        <v>550</v>
      </c>
      <c r="AF46" s="94"/>
      <c r="AG46" s="95">
        <v>0</v>
      </c>
      <c r="AH46" s="94"/>
      <c r="AI46" s="95">
        <v>21898.03</v>
      </c>
      <c r="AJ46" s="95">
        <v>0</v>
      </c>
    </row>
    <row r="47" spans="1:36" customFormat="1" ht="15.75" thickBot="1" x14ac:dyDescent="0.3">
      <c r="A47" s="90" t="s">
        <v>869</v>
      </c>
      <c r="B47" s="626" t="str">
        <f>VLOOKUP($D47,'Retail Rates'!$B$7:$D$38,2,FALSE)</f>
        <v>896</v>
      </c>
      <c r="C47" s="626" t="str">
        <f>VLOOKUP($D47,'Retail Rates'!$B$7:$D$38,3,FALSE)</f>
        <v>FT-I</v>
      </c>
      <c r="D47" s="90" t="s">
        <v>52</v>
      </c>
      <c r="E47" s="90" t="s">
        <v>882</v>
      </c>
      <c r="F47" s="90" t="s">
        <v>663</v>
      </c>
      <c r="G47" s="90" t="s">
        <v>914</v>
      </c>
      <c r="H47" s="305">
        <v>63</v>
      </c>
      <c r="I47" s="95">
        <v>12282404</v>
      </c>
      <c r="J47" s="94"/>
      <c r="K47" s="94"/>
      <c r="L47" s="94"/>
      <c r="M47" s="94"/>
      <c r="N47" s="95">
        <v>9321.4500000000007</v>
      </c>
      <c r="O47" s="95">
        <v>0</v>
      </c>
      <c r="P47" s="94"/>
      <c r="Q47" s="94"/>
      <c r="R47" s="94"/>
      <c r="S47" s="94"/>
      <c r="T47" s="94"/>
      <c r="U47" s="94"/>
      <c r="V47" s="94"/>
      <c r="W47" s="94"/>
      <c r="X47" s="94"/>
      <c r="Y47" s="95">
        <v>1350.44</v>
      </c>
      <c r="Z47" s="95">
        <v>-110.9</v>
      </c>
      <c r="AA47" s="95">
        <v>535775.67000000004</v>
      </c>
      <c r="AB47" s="95">
        <v>-542.07000000000005</v>
      </c>
      <c r="AC47" s="95">
        <v>3053.42</v>
      </c>
      <c r="AD47" s="94"/>
      <c r="AE47" s="95">
        <v>34650</v>
      </c>
      <c r="AF47" s="95">
        <v>567.20000000000005</v>
      </c>
      <c r="AG47" s="95">
        <v>29263.759999999998</v>
      </c>
      <c r="AH47" s="94"/>
      <c r="AI47" s="95">
        <v>612761.77</v>
      </c>
      <c r="AJ47" s="306">
        <v>-567.20000000000005</v>
      </c>
    </row>
    <row r="48" spans="1:36" customFormat="1" ht="15.75" thickBot="1" x14ac:dyDescent="0.3">
      <c r="A48" s="90" t="s">
        <v>869</v>
      </c>
      <c r="B48" s="626" t="str">
        <f>VLOOKUP($D48,'Retail Rates'!$B$7:$D$38,2,FALSE)</f>
        <v>896</v>
      </c>
      <c r="C48" s="626" t="str">
        <f>VLOOKUP($D48,'Retail Rates'!$B$7:$D$38,3,FALSE)</f>
        <v>FT-I</v>
      </c>
      <c r="D48" s="90" t="s">
        <v>52</v>
      </c>
      <c r="E48" s="90" t="s">
        <v>882</v>
      </c>
      <c r="F48" s="90" t="s">
        <v>662</v>
      </c>
      <c r="G48" s="90" t="s">
        <v>914</v>
      </c>
      <c r="H48" s="304">
        <v>1</v>
      </c>
      <c r="I48" s="93">
        <v>251813</v>
      </c>
      <c r="J48" s="92"/>
      <c r="K48" s="92"/>
      <c r="L48" s="92"/>
      <c r="M48" s="92"/>
      <c r="N48" s="93">
        <v>227.66</v>
      </c>
      <c r="O48" s="93">
        <v>0</v>
      </c>
      <c r="P48" s="92"/>
      <c r="Q48" s="92"/>
      <c r="R48" s="92"/>
      <c r="S48" s="92"/>
      <c r="T48" s="92"/>
      <c r="U48" s="92"/>
      <c r="V48" s="92"/>
      <c r="W48" s="92"/>
      <c r="X48" s="92"/>
      <c r="Y48" s="93">
        <v>0</v>
      </c>
      <c r="Z48" s="92"/>
      <c r="AA48" s="93">
        <v>10833</v>
      </c>
      <c r="AB48" s="93">
        <v>0</v>
      </c>
      <c r="AC48" s="92"/>
      <c r="AD48" s="92"/>
      <c r="AE48" s="93">
        <v>550</v>
      </c>
      <c r="AF48" s="93">
        <v>0</v>
      </c>
      <c r="AG48" s="93">
        <v>0</v>
      </c>
      <c r="AH48" s="92"/>
      <c r="AI48" s="93">
        <v>11610.66</v>
      </c>
      <c r="AJ48" s="93">
        <v>0</v>
      </c>
    </row>
    <row r="49" spans="1:36" customFormat="1" ht="15.75" thickBot="1" x14ac:dyDescent="0.3">
      <c r="A49" s="90" t="s">
        <v>869</v>
      </c>
      <c r="B49" s="626" t="str">
        <f>VLOOKUP($D49,'Retail Rates'!$B$7:$D$38,2,FALSE)</f>
        <v>896</v>
      </c>
      <c r="C49" s="626" t="str">
        <f>VLOOKUP($D49,'Retail Rates'!$B$7:$D$38,3,FALSE)</f>
        <v>FT-I-PM</v>
      </c>
      <c r="D49" s="90" t="s">
        <v>54</v>
      </c>
      <c r="E49" s="90" t="s">
        <v>55</v>
      </c>
      <c r="F49" s="90" t="s">
        <v>663</v>
      </c>
      <c r="G49" s="90" t="s">
        <v>914</v>
      </c>
      <c r="H49" s="304">
        <v>5</v>
      </c>
      <c r="I49" s="92"/>
      <c r="J49" s="92"/>
      <c r="K49" s="92"/>
      <c r="L49" s="92"/>
      <c r="M49" s="92"/>
      <c r="N49" s="93">
        <v>0</v>
      </c>
      <c r="O49" s="93">
        <v>0</v>
      </c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3">
        <v>89835.89</v>
      </c>
      <c r="AB49" s="93">
        <v>-78071.990000000005</v>
      </c>
      <c r="AC49" s="93">
        <v>-12357.45</v>
      </c>
      <c r="AD49" s="92"/>
      <c r="AE49" s="93">
        <v>5325</v>
      </c>
      <c r="AF49" s="93">
        <v>26934.48</v>
      </c>
      <c r="AG49" s="93">
        <v>1893.04</v>
      </c>
      <c r="AH49" s="92"/>
      <c r="AI49" s="93">
        <v>6624.49</v>
      </c>
      <c r="AJ49" s="306">
        <v>-26934.48</v>
      </c>
    </row>
    <row r="50" spans="1:36" customFormat="1" ht="15.75" thickBot="1" x14ac:dyDescent="0.3">
      <c r="A50" s="90" t="s">
        <v>869</v>
      </c>
      <c r="B50" s="626" t="str">
        <f>VLOOKUP($D50,'Retail Rates'!$B$7:$D$38,2,FALSE)</f>
        <v>996</v>
      </c>
      <c r="C50" s="626" t="str">
        <f>VLOOKUP($D50,'Retail Rates'!$B$7:$D$38,3,FALSE)</f>
        <v>SPC-LGE</v>
      </c>
      <c r="D50" s="90" t="s">
        <v>45</v>
      </c>
      <c r="E50" s="90" t="s">
        <v>46</v>
      </c>
      <c r="F50" s="90" t="s">
        <v>165</v>
      </c>
      <c r="G50" s="90" t="s">
        <v>915</v>
      </c>
      <c r="H50" s="305">
        <v>1</v>
      </c>
      <c r="I50" s="95">
        <v>496149</v>
      </c>
      <c r="J50" s="94"/>
      <c r="K50" s="95">
        <v>180</v>
      </c>
      <c r="L50" s="94"/>
      <c r="M50" s="95">
        <v>16516.8</v>
      </c>
      <c r="N50" s="95">
        <v>7278.5</v>
      </c>
      <c r="O50" s="95">
        <v>0</v>
      </c>
      <c r="P50" s="95">
        <v>160469.47</v>
      </c>
      <c r="Q50" s="94"/>
      <c r="R50" s="94"/>
      <c r="S50" s="94"/>
      <c r="T50" s="95">
        <v>245.08</v>
      </c>
      <c r="U50" s="94"/>
      <c r="V50" s="94"/>
      <c r="W50" s="95">
        <v>186513.62</v>
      </c>
      <c r="X50" s="95">
        <v>363924.97</v>
      </c>
      <c r="Y50" s="94"/>
      <c r="Z50" s="94"/>
      <c r="AA50" s="94"/>
      <c r="AB50" s="94"/>
      <c r="AC50" s="94"/>
      <c r="AD50" s="94"/>
      <c r="AE50" s="94"/>
      <c r="AF50" s="94"/>
      <c r="AG50" s="95">
        <v>0</v>
      </c>
      <c r="AH50" s="94"/>
      <c r="AI50" s="95">
        <v>371203.47</v>
      </c>
      <c r="AJ50" s="95">
        <v>0</v>
      </c>
    </row>
    <row r="51" spans="1:36" customFormat="1" ht="15.75" thickBot="1" x14ac:dyDescent="0.3">
      <c r="A51" s="90" t="s">
        <v>869</v>
      </c>
      <c r="B51" s="626" t="str">
        <f>VLOOKUP($D51,'Retail Rates'!$B$7:$D$38,2,FALSE)</f>
        <v>997</v>
      </c>
      <c r="C51" s="626" t="str">
        <f>VLOOKUP($D51,'Retail Rates'!$B$7:$D$38,3,FALSE)</f>
        <v>SPC-P</v>
      </c>
      <c r="D51" s="90" t="s">
        <v>57</v>
      </c>
      <c r="E51" s="90" t="s">
        <v>58</v>
      </c>
      <c r="F51" s="90" t="s">
        <v>664</v>
      </c>
      <c r="G51" s="90" t="s">
        <v>914</v>
      </c>
      <c r="H51" s="304">
        <v>1</v>
      </c>
      <c r="I51" s="93">
        <v>96290</v>
      </c>
      <c r="J51" s="92"/>
      <c r="K51" s="92"/>
      <c r="L51" s="92"/>
      <c r="M51" s="92"/>
      <c r="N51" s="93">
        <v>2149.46</v>
      </c>
      <c r="O51" s="93">
        <v>0</v>
      </c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3">
        <v>107818.13</v>
      </c>
      <c r="AB51" s="93">
        <v>-345.25</v>
      </c>
      <c r="AC51" s="93">
        <v>0</v>
      </c>
      <c r="AD51" s="92"/>
      <c r="AE51" s="92"/>
      <c r="AF51" s="93">
        <v>94.75</v>
      </c>
      <c r="AG51" s="93">
        <v>0</v>
      </c>
      <c r="AH51" s="92"/>
      <c r="AI51" s="93">
        <v>109622.34</v>
      </c>
      <c r="AJ51" s="306">
        <v>-94.75</v>
      </c>
    </row>
    <row r="52" spans="1:36" customFormat="1" ht="15.75" thickBot="1" x14ac:dyDescent="0.3">
      <c r="A52" s="90" t="s">
        <v>869</v>
      </c>
      <c r="B52" s="626" t="str">
        <f>VLOOKUP($D52,'Retail Rates'!$B$7:$D$38,2,FALSE)</f>
        <v>811</v>
      </c>
      <c r="C52" s="626" t="str">
        <f>VLOOKUP($D52,'Retail Rates'!$B$7:$D$38,3,FALSE)</f>
        <v>RGS</v>
      </c>
      <c r="D52" s="90" t="s">
        <v>35</v>
      </c>
      <c r="E52" s="90" t="s">
        <v>36</v>
      </c>
      <c r="F52" s="90" t="s">
        <v>17</v>
      </c>
      <c r="G52" s="90" t="s">
        <v>914</v>
      </c>
      <c r="H52" s="305">
        <v>1</v>
      </c>
      <c r="I52" s="95">
        <v>0</v>
      </c>
      <c r="J52" s="94"/>
      <c r="K52" s="95">
        <v>13.5</v>
      </c>
      <c r="L52" s="94"/>
      <c r="M52" s="95">
        <v>0</v>
      </c>
      <c r="N52" s="95">
        <v>0.37</v>
      </c>
      <c r="O52" s="95">
        <v>0</v>
      </c>
      <c r="P52" s="95">
        <v>0</v>
      </c>
      <c r="Q52" s="95">
        <v>0</v>
      </c>
      <c r="R52" s="94"/>
      <c r="S52" s="95">
        <v>0.25</v>
      </c>
      <c r="T52" s="95">
        <v>4.8499999999999996</v>
      </c>
      <c r="U52" s="95">
        <v>0</v>
      </c>
      <c r="V52" s="94"/>
      <c r="W52" s="94"/>
      <c r="X52" s="95">
        <v>18.350000000000001</v>
      </c>
      <c r="Y52" s="94"/>
      <c r="Z52" s="94"/>
      <c r="AA52" s="94"/>
      <c r="AB52" s="94"/>
      <c r="AC52" s="94"/>
      <c r="AD52" s="94"/>
      <c r="AE52" s="94"/>
      <c r="AF52" s="94"/>
      <c r="AG52" s="95">
        <v>1.1200000000000001</v>
      </c>
      <c r="AH52" s="94"/>
      <c r="AI52" s="95">
        <v>20.09</v>
      </c>
      <c r="AJ52" s="95">
        <v>0</v>
      </c>
    </row>
    <row r="53" spans="1:36" customFormat="1" ht="15.75" thickBot="1" x14ac:dyDescent="0.3">
      <c r="A53" s="90" t="s">
        <v>869</v>
      </c>
      <c r="B53" s="626" t="str">
        <f>VLOOKUP($D53,'Retail Rates'!$B$7:$D$38,2,FALSE)</f>
        <v>811</v>
      </c>
      <c r="C53" s="626" t="str">
        <f>VLOOKUP($D53,'Retail Rates'!$B$7:$D$38,3,FALSE)</f>
        <v>RGS</v>
      </c>
      <c r="D53" s="90" t="s">
        <v>35</v>
      </c>
      <c r="E53" s="90" t="s">
        <v>36</v>
      </c>
      <c r="F53" s="90" t="s">
        <v>17</v>
      </c>
      <c r="G53" s="90" t="s">
        <v>915</v>
      </c>
      <c r="H53" s="304">
        <v>12</v>
      </c>
      <c r="I53" s="93">
        <v>738</v>
      </c>
      <c r="J53" s="92"/>
      <c r="K53" s="93">
        <v>162</v>
      </c>
      <c r="L53" s="92"/>
      <c r="M53" s="93">
        <v>211.75</v>
      </c>
      <c r="N53" s="93">
        <v>12.65</v>
      </c>
      <c r="O53" s="93">
        <v>0</v>
      </c>
      <c r="P53" s="93">
        <v>238.68</v>
      </c>
      <c r="Q53" s="93">
        <v>6.68</v>
      </c>
      <c r="R53" s="93">
        <v>68.989999999999995</v>
      </c>
      <c r="S53" s="93">
        <v>3</v>
      </c>
      <c r="T53" s="93">
        <v>58.2</v>
      </c>
      <c r="U53" s="93">
        <v>0</v>
      </c>
      <c r="V53" s="92"/>
      <c r="W53" s="92"/>
      <c r="X53" s="93">
        <v>746.3</v>
      </c>
      <c r="Y53" s="92"/>
      <c r="Z53" s="92"/>
      <c r="AA53" s="92"/>
      <c r="AB53" s="92"/>
      <c r="AC53" s="92"/>
      <c r="AD53" s="92"/>
      <c r="AE53" s="92"/>
      <c r="AF53" s="92"/>
      <c r="AG53" s="93">
        <v>43.38</v>
      </c>
      <c r="AH53" s="92"/>
      <c r="AI53" s="93">
        <v>805.33</v>
      </c>
      <c r="AJ53" s="93">
        <v>0</v>
      </c>
    </row>
    <row r="54" spans="1:36" customFormat="1" ht="15.75" thickBot="1" x14ac:dyDescent="0.3">
      <c r="A54" s="90" t="s">
        <v>869</v>
      </c>
      <c r="B54" s="626" t="str">
        <f>VLOOKUP($D54,'Retail Rates'!$B$7:$D$38,2,FALSE)</f>
        <v>811</v>
      </c>
      <c r="C54" s="626" t="str">
        <f>VLOOKUP($D54,'Retail Rates'!$B$7:$D$38,3,FALSE)</f>
        <v>RGS</v>
      </c>
      <c r="D54" s="90" t="s">
        <v>35</v>
      </c>
      <c r="E54" s="90" t="s">
        <v>36</v>
      </c>
      <c r="F54" s="90" t="s">
        <v>20</v>
      </c>
      <c r="G54" s="90" t="s">
        <v>914</v>
      </c>
      <c r="H54" s="304">
        <v>2</v>
      </c>
      <c r="I54" s="93">
        <v>-649</v>
      </c>
      <c r="J54" s="92"/>
      <c r="K54" s="93">
        <v>13.5</v>
      </c>
      <c r="L54" s="92"/>
      <c r="M54" s="93">
        <v>-186.22</v>
      </c>
      <c r="N54" s="93">
        <v>-7.52</v>
      </c>
      <c r="O54" s="93">
        <v>0</v>
      </c>
      <c r="P54" s="93">
        <v>-215.83</v>
      </c>
      <c r="Q54" s="93">
        <v>-5.89</v>
      </c>
      <c r="R54" s="93">
        <v>13.52</v>
      </c>
      <c r="S54" s="93">
        <v>0.25</v>
      </c>
      <c r="T54" s="93">
        <v>4.6500000000000004</v>
      </c>
      <c r="U54" s="93">
        <v>0</v>
      </c>
      <c r="V54" s="92"/>
      <c r="W54" s="92"/>
      <c r="X54" s="93">
        <v>-376.27</v>
      </c>
      <c r="Y54" s="92"/>
      <c r="Z54" s="92"/>
      <c r="AA54" s="92"/>
      <c r="AB54" s="92"/>
      <c r="AC54" s="92"/>
      <c r="AD54" s="92"/>
      <c r="AE54" s="92"/>
      <c r="AF54" s="92"/>
      <c r="AG54" s="93">
        <v>0</v>
      </c>
      <c r="AH54" s="92"/>
      <c r="AI54" s="93">
        <v>-383.54</v>
      </c>
      <c r="AJ54" s="93">
        <v>0</v>
      </c>
    </row>
    <row r="55" spans="1:36" customFormat="1" ht="15.75" thickBot="1" x14ac:dyDescent="0.3">
      <c r="A55" s="90" t="s">
        <v>869</v>
      </c>
      <c r="B55" s="626" t="str">
        <f>VLOOKUP($D55,'Retail Rates'!$B$7:$D$38,2,FALSE)</f>
        <v>811</v>
      </c>
      <c r="C55" s="626" t="str">
        <f>VLOOKUP($D55,'Retail Rates'!$B$7:$D$38,3,FALSE)</f>
        <v>RGS</v>
      </c>
      <c r="D55" s="90" t="s">
        <v>35</v>
      </c>
      <c r="E55" s="90" t="s">
        <v>36</v>
      </c>
      <c r="F55" s="90" t="s">
        <v>20</v>
      </c>
      <c r="G55" s="90" t="s">
        <v>915</v>
      </c>
      <c r="H55" s="305">
        <v>62</v>
      </c>
      <c r="I55" s="95">
        <v>4653</v>
      </c>
      <c r="J55" s="94"/>
      <c r="K55" s="95">
        <v>856.8</v>
      </c>
      <c r="L55" s="94"/>
      <c r="M55" s="95">
        <v>1335.07</v>
      </c>
      <c r="N55" s="95">
        <v>56.58</v>
      </c>
      <c r="O55" s="95">
        <v>0</v>
      </c>
      <c r="P55" s="95">
        <v>1504.94</v>
      </c>
      <c r="Q55" s="95">
        <v>42.18</v>
      </c>
      <c r="R55" s="95">
        <v>410.77</v>
      </c>
      <c r="S55" s="95">
        <v>16.25</v>
      </c>
      <c r="T55" s="95">
        <v>307.82</v>
      </c>
      <c r="U55" s="95">
        <v>0</v>
      </c>
      <c r="V55" s="94"/>
      <c r="W55" s="94"/>
      <c r="X55" s="95">
        <v>4457.58</v>
      </c>
      <c r="Y55" s="94"/>
      <c r="Z55" s="94"/>
      <c r="AA55" s="94"/>
      <c r="AB55" s="94"/>
      <c r="AC55" s="94"/>
      <c r="AD55" s="94"/>
      <c r="AE55" s="94"/>
      <c r="AF55" s="94"/>
      <c r="AG55" s="95">
        <v>17.010000000000002</v>
      </c>
      <c r="AH55" s="94"/>
      <c r="AI55" s="95">
        <v>4547.42</v>
      </c>
      <c r="AJ55" s="95">
        <v>0</v>
      </c>
    </row>
    <row r="56" spans="1:36" customFormat="1" ht="15.75" thickBot="1" x14ac:dyDescent="0.3">
      <c r="A56" s="90" t="s">
        <v>869</v>
      </c>
      <c r="B56" s="626" t="str">
        <f>VLOOKUP($D56,'Retail Rates'!$B$7:$D$38,2,FALSE)</f>
        <v>811</v>
      </c>
      <c r="C56" s="626" t="str">
        <f>VLOOKUP($D56,'Retail Rates'!$B$7:$D$38,3,FALSE)</f>
        <v>RGS</v>
      </c>
      <c r="D56" s="90" t="s">
        <v>35</v>
      </c>
      <c r="E56" s="90" t="s">
        <v>36</v>
      </c>
      <c r="F56" s="90" t="s">
        <v>28</v>
      </c>
      <c r="G56" s="90" t="s">
        <v>713</v>
      </c>
      <c r="H56" s="305">
        <v>1</v>
      </c>
      <c r="I56" s="95">
        <v>0</v>
      </c>
      <c r="J56" s="94"/>
      <c r="K56" s="95">
        <v>-1.35</v>
      </c>
      <c r="L56" s="94"/>
      <c r="M56" s="95">
        <v>0</v>
      </c>
      <c r="N56" s="95">
        <v>0</v>
      </c>
      <c r="O56" s="94"/>
      <c r="P56" s="95">
        <v>0</v>
      </c>
      <c r="Q56" s="95">
        <v>0</v>
      </c>
      <c r="R56" s="94"/>
      <c r="S56" s="95">
        <v>-0.25</v>
      </c>
      <c r="T56" s="95">
        <v>-0.23</v>
      </c>
      <c r="U56" s="95">
        <v>0</v>
      </c>
      <c r="V56" s="94"/>
      <c r="W56" s="94"/>
      <c r="X56" s="95">
        <v>-1.58</v>
      </c>
      <c r="Y56" s="94"/>
      <c r="Z56" s="94"/>
      <c r="AA56" s="94"/>
      <c r="AB56" s="94"/>
      <c r="AC56" s="94"/>
      <c r="AD56" s="94"/>
      <c r="AE56" s="94"/>
      <c r="AF56" s="94"/>
      <c r="AG56" s="95">
        <v>0</v>
      </c>
      <c r="AH56" s="94"/>
      <c r="AI56" s="95">
        <v>-1.83</v>
      </c>
      <c r="AJ56" s="95">
        <v>0</v>
      </c>
    </row>
    <row r="57" spans="1:36" customFormat="1" ht="15.75" thickBot="1" x14ac:dyDescent="0.3">
      <c r="A57" s="90" t="s">
        <v>869</v>
      </c>
      <c r="B57" s="626" t="str">
        <f>VLOOKUP($D57,'Retail Rates'!$B$7:$D$38,2,FALSE)</f>
        <v>811</v>
      </c>
      <c r="C57" s="626" t="str">
        <f>VLOOKUP($D57,'Retail Rates'!$B$7:$D$38,3,FALSE)</f>
        <v>RGS</v>
      </c>
      <c r="D57" s="90" t="s">
        <v>35</v>
      </c>
      <c r="E57" s="90" t="s">
        <v>36</v>
      </c>
      <c r="F57" s="90" t="s">
        <v>28</v>
      </c>
      <c r="G57" s="90" t="s">
        <v>714</v>
      </c>
      <c r="H57" s="304">
        <v>1</v>
      </c>
      <c r="I57" s="93">
        <v>0</v>
      </c>
      <c r="J57" s="92"/>
      <c r="K57" s="93">
        <v>-13.5</v>
      </c>
      <c r="L57" s="92"/>
      <c r="M57" s="93">
        <v>0</v>
      </c>
      <c r="N57" s="93">
        <v>0</v>
      </c>
      <c r="O57" s="92"/>
      <c r="P57" s="93">
        <v>0</v>
      </c>
      <c r="Q57" s="93">
        <v>0</v>
      </c>
      <c r="R57" s="92"/>
      <c r="S57" s="93">
        <v>-0.25</v>
      </c>
      <c r="T57" s="93">
        <v>-2.27</v>
      </c>
      <c r="U57" s="93">
        <v>0</v>
      </c>
      <c r="V57" s="92"/>
      <c r="W57" s="92"/>
      <c r="X57" s="93">
        <v>-15.77</v>
      </c>
      <c r="Y57" s="92"/>
      <c r="Z57" s="92"/>
      <c r="AA57" s="92"/>
      <c r="AB57" s="92"/>
      <c r="AC57" s="92"/>
      <c r="AD57" s="92"/>
      <c r="AE57" s="92"/>
      <c r="AF57" s="92"/>
      <c r="AG57" s="93">
        <v>0</v>
      </c>
      <c r="AH57" s="92"/>
      <c r="AI57" s="93">
        <v>-16.02</v>
      </c>
      <c r="AJ57" s="93">
        <v>0</v>
      </c>
    </row>
    <row r="58" spans="1:36" customFormat="1" ht="15.75" thickBot="1" x14ac:dyDescent="0.3">
      <c r="A58" s="90" t="s">
        <v>869</v>
      </c>
      <c r="B58" s="626" t="str">
        <f>VLOOKUP($D58,'Retail Rates'!$B$7:$D$38,2,FALSE)</f>
        <v>811</v>
      </c>
      <c r="C58" s="626" t="str">
        <f>VLOOKUP($D58,'Retail Rates'!$B$7:$D$38,3,FALSE)</f>
        <v>RGS</v>
      </c>
      <c r="D58" s="90" t="s">
        <v>35</v>
      </c>
      <c r="E58" s="90" t="s">
        <v>36</v>
      </c>
      <c r="F58" s="90" t="s">
        <v>28</v>
      </c>
      <c r="G58" s="90" t="s">
        <v>721</v>
      </c>
      <c r="H58" s="305">
        <v>1</v>
      </c>
      <c r="I58" s="95">
        <v>0</v>
      </c>
      <c r="J58" s="94"/>
      <c r="K58" s="95">
        <v>-13.5</v>
      </c>
      <c r="L58" s="94"/>
      <c r="M58" s="95">
        <v>0</v>
      </c>
      <c r="N58" s="95">
        <v>0</v>
      </c>
      <c r="O58" s="94"/>
      <c r="P58" s="95">
        <v>0</v>
      </c>
      <c r="Q58" s="95">
        <v>0</v>
      </c>
      <c r="R58" s="94"/>
      <c r="S58" s="95">
        <v>-0.25</v>
      </c>
      <c r="T58" s="95">
        <v>-2.27</v>
      </c>
      <c r="U58" s="95">
        <v>0</v>
      </c>
      <c r="V58" s="94"/>
      <c r="W58" s="94"/>
      <c r="X58" s="95">
        <v>-15.77</v>
      </c>
      <c r="Y58" s="94"/>
      <c r="Z58" s="94"/>
      <c r="AA58" s="94"/>
      <c r="AB58" s="94"/>
      <c r="AC58" s="94"/>
      <c r="AD58" s="94"/>
      <c r="AE58" s="94"/>
      <c r="AF58" s="94"/>
      <c r="AG58" s="95">
        <v>0</v>
      </c>
      <c r="AH58" s="94"/>
      <c r="AI58" s="95">
        <v>-16.02</v>
      </c>
      <c r="AJ58" s="95">
        <v>0</v>
      </c>
    </row>
    <row r="59" spans="1:36" customFormat="1" ht="15.75" thickBot="1" x14ac:dyDescent="0.3">
      <c r="A59" s="90" t="s">
        <v>869</v>
      </c>
      <c r="B59" s="626" t="str">
        <f>VLOOKUP($D59,'Retail Rates'!$B$7:$D$38,2,FALSE)</f>
        <v>811</v>
      </c>
      <c r="C59" s="626" t="str">
        <f>VLOOKUP($D59,'Retail Rates'!$B$7:$D$38,3,FALSE)</f>
        <v>RGS</v>
      </c>
      <c r="D59" s="90" t="s">
        <v>35</v>
      </c>
      <c r="E59" s="90" t="s">
        <v>36</v>
      </c>
      <c r="F59" s="90" t="s">
        <v>28</v>
      </c>
      <c r="G59" s="90" t="s">
        <v>722</v>
      </c>
      <c r="H59" s="304">
        <v>1</v>
      </c>
      <c r="I59" s="93">
        <v>0</v>
      </c>
      <c r="J59" s="92"/>
      <c r="K59" s="93">
        <v>-13.5</v>
      </c>
      <c r="L59" s="92"/>
      <c r="M59" s="93">
        <v>0</v>
      </c>
      <c r="N59" s="93">
        <v>0</v>
      </c>
      <c r="O59" s="92"/>
      <c r="P59" s="93">
        <v>0</v>
      </c>
      <c r="Q59" s="93">
        <v>0</v>
      </c>
      <c r="R59" s="92"/>
      <c r="S59" s="93">
        <v>-0.25</v>
      </c>
      <c r="T59" s="93">
        <v>-2.27</v>
      </c>
      <c r="U59" s="93">
        <v>0</v>
      </c>
      <c r="V59" s="92"/>
      <c r="W59" s="92"/>
      <c r="X59" s="93">
        <v>-15.77</v>
      </c>
      <c r="Y59" s="92"/>
      <c r="Z59" s="92"/>
      <c r="AA59" s="92"/>
      <c r="AB59" s="92"/>
      <c r="AC59" s="92"/>
      <c r="AD59" s="92"/>
      <c r="AE59" s="92"/>
      <c r="AF59" s="92"/>
      <c r="AG59" s="93">
        <v>0</v>
      </c>
      <c r="AH59" s="92"/>
      <c r="AI59" s="93">
        <v>-16.02</v>
      </c>
      <c r="AJ59" s="93">
        <v>0</v>
      </c>
    </row>
    <row r="60" spans="1:36" customFormat="1" ht="15.75" thickBot="1" x14ac:dyDescent="0.3">
      <c r="A60" s="90" t="s">
        <v>869</v>
      </c>
      <c r="B60" s="626" t="str">
        <f>VLOOKUP($D60,'Retail Rates'!$B$7:$D$38,2,FALSE)</f>
        <v>811</v>
      </c>
      <c r="C60" s="626" t="str">
        <f>VLOOKUP($D60,'Retail Rates'!$B$7:$D$38,3,FALSE)</f>
        <v>RGS</v>
      </c>
      <c r="D60" s="90" t="s">
        <v>35</v>
      </c>
      <c r="E60" s="90" t="s">
        <v>36</v>
      </c>
      <c r="F60" s="90" t="s">
        <v>28</v>
      </c>
      <c r="G60" s="90" t="s">
        <v>723</v>
      </c>
      <c r="H60" s="305">
        <v>1</v>
      </c>
      <c r="I60" s="95">
        <v>0</v>
      </c>
      <c r="J60" s="94"/>
      <c r="K60" s="95">
        <v>-13.5</v>
      </c>
      <c r="L60" s="94"/>
      <c r="M60" s="95">
        <v>0</v>
      </c>
      <c r="N60" s="95">
        <v>0</v>
      </c>
      <c r="O60" s="94"/>
      <c r="P60" s="95">
        <v>0</v>
      </c>
      <c r="Q60" s="95">
        <v>0</v>
      </c>
      <c r="R60" s="94"/>
      <c r="S60" s="95">
        <v>-0.25</v>
      </c>
      <c r="T60" s="95">
        <v>-2.27</v>
      </c>
      <c r="U60" s="95">
        <v>0</v>
      </c>
      <c r="V60" s="94"/>
      <c r="W60" s="94"/>
      <c r="X60" s="95">
        <v>-15.77</v>
      </c>
      <c r="Y60" s="94"/>
      <c r="Z60" s="94"/>
      <c r="AA60" s="94"/>
      <c r="AB60" s="94"/>
      <c r="AC60" s="94"/>
      <c r="AD60" s="94"/>
      <c r="AE60" s="94"/>
      <c r="AF60" s="94"/>
      <c r="AG60" s="95">
        <v>0</v>
      </c>
      <c r="AH60" s="94"/>
      <c r="AI60" s="95">
        <v>-16.02</v>
      </c>
      <c r="AJ60" s="95">
        <v>0</v>
      </c>
    </row>
    <row r="61" spans="1:36" customFormat="1" ht="15.75" thickBot="1" x14ac:dyDescent="0.3">
      <c r="A61" s="90" t="s">
        <v>869</v>
      </c>
      <c r="B61" s="626" t="str">
        <f>VLOOKUP($D61,'Retail Rates'!$B$7:$D$38,2,FALSE)</f>
        <v>811</v>
      </c>
      <c r="C61" s="626" t="str">
        <f>VLOOKUP($D61,'Retail Rates'!$B$7:$D$38,3,FALSE)</f>
        <v>RGS</v>
      </c>
      <c r="D61" s="90" t="s">
        <v>35</v>
      </c>
      <c r="E61" s="90" t="s">
        <v>36</v>
      </c>
      <c r="F61" s="90" t="s">
        <v>28</v>
      </c>
      <c r="G61" s="90" t="s">
        <v>724</v>
      </c>
      <c r="H61" s="304">
        <v>1</v>
      </c>
      <c r="I61" s="93">
        <v>0</v>
      </c>
      <c r="J61" s="92"/>
      <c r="K61" s="93">
        <v>-13.5</v>
      </c>
      <c r="L61" s="92"/>
      <c r="M61" s="93">
        <v>0</v>
      </c>
      <c r="N61" s="93">
        <v>0</v>
      </c>
      <c r="O61" s="92"/>
      <c r="P61" s="93">
        <v>0</v>
      </c>
      <c r="Q61" s="93">
        <v>0</v>
      </c>
      <c r="R61" s="92"/>
      <c r="S61" s="93">
        <v>-0.25</v>
      </c>
      <c r="T61" s="93">
        <v>-2.27</v>
      </c>
      <c r="U61" s="93">
        <v>0</v>
      </c>
      <c r="V61" s="92"/>
      <c r="W61" s="92"/>
      <c r="X61" s="93">
        <v>-15.77</v>
      </c>
      <c r="Y61" s="92"/>
      <c r="Z61" s="92"/>
      <c r="AA61" s="92"/>
      <c r="AB61" s="92"/>
      <c r="AC61" s="92"/>
      <c r="AD61" s="92"/>
      <c r="AE61" s="92"/>
      <c r="AF61" s="92"/>
      <c r="AG61" s="93">
        <v>0</v>
      </c>
      <c r="AH61" s="92"/>
      <c r="AI61" s="93">
        <v>-16.02</v>
      </c>
      <c r="AJ61" s="93">
        <v>0</v>
      </c>
    </row>
    <row r="62" spans="1:36" customFormat="1" ht="15.75" thickBot="1" x14ac:dyDescent="0.3">
      <c r="A62" s="90" t="s">
        <v>869</v>
      </c>
      <c r="B62" s="626" t="str">
        <f>VLOOKUP($D62,'Retail Rates'!$B$7:$D$38,2,FALSE)</f>
        <v>811</v>
      </c>
      <c r="C62" s="626" t="str">
        <f>VLOOKUP($D62,'Retail Rates'!$B$7:$D$38,3,FALSE)</f>
        <v>RGS</v>
      </c>
      <c r="D62" s="90" t="s">
        <v>35</v>
      </c>
      <c r="E62" s="90" t="s">
        <v>36</v>
      </c>
      <c r="F62" s="90" t="s">
        <v>28</v>
      </c>
      <c r="G62" s="90" t="s">
        <v>725</v>
      </c>
      <c r="H62" s="305">
        <v>1</v>
      </c>
      <c r="I62" s="95">
        <v>0</v>
      </c>
      <c r="J62" s="94"/>
      <c r="K62" s="95">
        <v>-13.5</v>
      </c>
      <c r="L62" s="94"/>
      <c r="M62" s="95">
        <v>0</v>
      </c>
      <c r="N62" s="95">
        <v>0</v>
      </c>
      <c r="O62" s="94"/>
      <c r="P62" s="95">
        <v>0</v>
      </c>
      <c r="Q62" s="95">
        <v>0</v>
      </c>
      <c r="R62" s="94"/>
      <c r="S62" s="95">
        <v>-0.25</v>
      </c>
      <c r="T62" s="95">
        <v>-2.27</v>
      </c>
      <c r="U62" s="95">
        <v>0</v>
      </c>
      <c r="V62" s="94"/>
      <c r="W62" s="94"/>
      <c r="X62" s="95">
        <v>-15.77</v>
      </c>
      <c r="Y62" s="94"/>
      <c r="Z62" s="94"/>
      <c r="AA62" s="94"/>
      <c r="AB62" s="94"/>
      <c r="AC62" s="94"/>
      <c r="AD62" s="94"/>
      <c r="AE62" s="94"/>
      <c r="AF62" s="94"/>
      <c r="AG62" s="95">
        <v>0</v>
      </c>
      <c r="AH62" s="94"/>
      <c r="AI62" s="95">
        <v>-16.02</v>
      </c>
      <c r="AJ62" s="95">
        <v>0</v>
      </c>
    </row>
    <row r="63" spans="1:36" customFormat="1" ht="15.75" thickBot="1" x14ac:dyDescent="0.3">
      <c r="A63" s="90" t="s">
        <v>869</v>
      </c>
      <c r="B63" s="626" t="str">
        <f>VLOOKUP($D63,'Retail Rates'!$B$7:$D$38,2,FALSE)</f>
        <v>811</v>
      </c>
      <c r="C63" s="626" t="str">
        <f>VLOOKUP($D63,'Retail Rates'!$B$7:$D$38,3,FALSE)</f>
        <v>RGS</v>
      </c>
      <c r="D63" s="90" t="s">
        <v>35</v>
      </c>
      <c r="E63" s="90" t="s">
        <v>36</v>
      </c>
      <c r="F63" s="90" t="s">
        <v>28</v>
      </c>
      <c r="G63" s="90" t="s">
        <v>758</v>
      </c>
      <c r="H63" s="304">
        <v>1</v>
      </c>
      <c r="I63" s="93">
        <v>0</v>
      </c>
      <c r="J63" s="92"/>
      <c r="K63" s="93">
        <v>-13.5</v>
      </c>
      <c r="L63" s="92"/>
      <c r="M63" s="93">
        <v>0</v>
      </c>
      <c r="N63" s="93">
        <v>0</v>
      </c>
      <c r="O63" s="92"/>
      <c r="P63" s="93">
        <v>0</v>
      </c>
      <c r="Q63" s="93">
        <v>0</v>
      </c>
      <c r="R63" s="92"/>
      <c r="S63" s="93">
        <v>-0.25</v>
      </c>
      <c r="T63" s="93">
        <v>-2.2999999999999998</v>
      </c>
      <c r="U63" s="93">
        <v>0</v>
      </c>
      <c r="V63" s="92"/>
      <c r="W63" s="92"/>
      <c r="X63" s="93">
        <v>-15.8</v>
      </c>
      <c r="Y63" s="92"/>
      <c r="Z63" s="92"/>
      <c r="AA63" s="92"/>
      <c r="AB63" s="92"/>
      <c r="AC63" s="92"/>
      <c r="AD63" s="92"/>
      <c r="AE63" s="92"/>
      <c r="AF63" s="92"/>
      <c r="AG63" s="93">
        <v>0</v>
      </c>
      <c r="AH63" s="92"/>
      <c r="AI63" s="93">
        <v>-16.05</v>
      </c>
      <c r="AJ63" s="93">
        <v>0</v>
      </c>
    </row>
    <row r="64" spans="1:36" customFormat="1" ht="15.75" thickBot="1" x14ac:dyDescent="0.3">
      <c r="A64" s="90" t="s">
        <v>869</v>
      </c>
      <c r="B64" s="626" t="str">
        <f>VLOOKUP($D64,'Retail Rates'!$B$7:$D$38,2,FALSE)</f>
        <v>811</v>
      </c>
      <c r="C64" s="626" t="str">
        <f>VLOOKUP($D64,'Retail Rates'!$B$7:$D$38,3,FALSE)</f>
        <v>RGS</v>
      </c>
      <c r="D64" s="90" t="s">
        <v>35</v>
      </c>
      <c r="E64" s="90" t="s">
        <v>36</v>
      </c>
      <c r="F64" s="90" t="s">
        <v>28</v>
      </c>
      <c r="G64" s="90" t="s">
        <v>759</v>
      </c>
      <c r="H64" s="305">
        <v>1</v>
      </c>
      <c r="I64" s="95">
        <v>0</v>
      </c>
      <c r="J64" s="94"/>
      <c r="K64" s="95">
        <v>-13.5</v>
      </c>
      <c r="L64" s="94"/>
      <c r="M64" s="95">
        <v>0</v>
      </c>
      <c r="N64" s="95">
        <v>0</v>
      </c>
      <c r="O64" s="94"/>
      <c r="P64" s="95">
        <v>0</v>
      </c>
      <c r="Q64" s="95">
        <v>0</v>
      </c>
      <c r="R64" s="94"/>
      <c r="S64" s="95">
        <v>-0.25</v>
      </c>
      <c r="T64" s="95">
        <v>-2.35</v>
      </c>
      <c r="U64" s="95">
        <v>0</v>
      </c>
      <c r="V64" s="94"/>
      <c r="W64" s="94"/>
      <c r="X64" s="95">
        <v>-15.85</v>
      </c>
      <c r="Y64" s="94"/>
      <c r="Z64" s="94"/>
      <c r="AA64" s="94"/>
      <c r="AB64" s="94"/>
      <c r="AC64" s="94"/>
      <c r="AD64" s="94"/>
      <c r="AE64" s="94"/>
      <c r="AF64" s="94"/>
      <c r="AG64" s="95">
        <v>0</v>
      </c>
      <c r="AH64" s="94"/>
      <c r="AI64" s="95">
        <v>-16.100000000000001</v>
      </c>
      <c r="AJ64" s="95">
        <v>0</v>
      </c>
    </row>
    <row r="65" spans="1:36" customFormat="1" ht="15.75" thickBot="1" x14ac:dyDescent="0.3">
      <c r="A65" s="90" t="s">
        <v>869</v>
      </c>
      <c r="B65" s="626" t="str">
        <f>VLOOKUP($D65,'Retail Rates'!$B$7:$D$38,2,FALSE)</f>
        <v>811</v>
      </c>
      <c r="C65" s="626" t="str">
        <f>VLOOKUP($D65,'Retail Rates'!$B$7:$D$38,3,FALSE)</f>
        <v>RGS</v>
      </c>
      <c r="D65" s="90" t="s">
        <v>35</v>
      </c>
      <c r="E65" s="90" t="s">
        <v>36</v>
      </c>
      <c r="F65" s="90" t="s">
        <v>28</v>
      </c>
      <c r="G65" s="90" t="s">
        <v>760</v>
      </c>
      <c r="H65" s="304">
        <v>1</v>
      </c>
      <c r="I65" s="93">
        <v>0</v>
      </c>
      <c r="J65" s="92"/>
      <c r="K65" s="93">
        <v>-13.5</v>
      </c>
      <c r="L65" s="92"/>
      <c r="M65" s="93">
        <v>0</v>
      </c>
      <c r="N65" s="93">
        <v>0</v>
      </c>
      <c r="O65" s="92"/>
      <c r="P65" s="93">
        <v>0</v>
      </c>
      <c r="Q65" s="93">
        <v>0</v>
      </c>
      <c r="R65" s="92"/>
      <c r="S65" s="93">
        <v>-0.25</v>
      </c>
      <c r="T65" s="93">
        <v>-2.35</v>
      </c>
      <c r="U65" s="93">
        <v>0</v>
      </c>
      <c r="V65" s="92"/>
      <c r="W65" s="92"/>
      <c r="X65" s="93">
        <v>-15.85</v>
      </c>
      <c r="Y65" s="92"/>
      <c r="Z65" s="92"/>
      <c r="AA65" s="92"/>
      <c r="AB65" s="92"/>
      <c r="AC65" s="92"/>
      <c r="AD65" s="92"/>
      <c r="AE65" s="92"/>
      <c r="AF65" s="92"/>
      <c r="AG65" s="93">
        <v>0</v>
      </c>
      <c r="AH65" s="92"/>
      <c r="AI65" s="93">
        <v>-16.100000000000001</v>
      </c>
      <c r="AJ65" s="93">
        <v>0</v>
      </c>
    </row>
    <row r="66" spans="1:36" customFormat="1" ht="15.75" thickBot="1" x14ac:dyDescent="0.3">
      <c r="A66" s="90" t="s">
        <v>869</v>
      </c>
      <c r="B66" s="626" t="str">
        <f>VLOOKUP($D66,'Retail Rates'!$B$7:$D$38,2,FALSE)</f>
        <v>811</v>
      </c>
      <c r="C66" s="626" t="str">
        <f>VLOOKUP($D66,'Retail Rates'!$B$7:$D$38,3,FALSE)</f>
        <v>RGS</v>
      </c>
      <c r="D66" s="90" t="s">
        <v>35</v>
      </c>
      <c r="E66" s="90" t="s">
        <v>36</v>
      </c>
      <c r="F66" s="90" t="s">
        <v>28</v>
      </c>
      <c r="G66" s="90" t="s">
        <v>768</v>
      </c>
      <c r="H66" s="305">
        <v>1</v>
      </c>
      <c r="I66" s="95">
        <v>0</v>
      </c>
      <c r="J66" s="94"/>
      <c r="K66" s="95">
        <v>-13.5</v>
      </c>
      <c r="L66" s="94"/>
      <c r="M66" s="95">
        <v>0</v>
      </c>
      <c r="N66" s="95">
        <v>0</v>
      </c>
      <c r="O66" s="94"/>
      <c r="P66" s="95">
        <v>0</v>
      </c>
      <c r="Q66" s="95">
        <v>0</v>
      </c>
      <c r="R66" s="94"/>
      <c r="S66" s="95">
        <v>-0.25</v>
      </c>
      <c r="T66" s="95">
        <v>-2.35</v>
      </c>
      <c r="U66" s="95">
        <v>0</v>
      </c>
      <c r="V66" s="94"/>
      <c r="W66" s="94"/>
      <c r="X66" s="95">
        <v>-15.85</v>
      </c>
      <c r="Y66" s="94"/>
      <c r="Z66" s="94"/>
      <c r="AA66" s="94"/>
      <c r="AB66" s="94"/>
      <c r="AC66" s="94"/>
      <c r="AD66" s="94"/>
      <c r="AE66" s="94"/>
      <c r="AF66" s="94"/>
      <c r="AG66" s="95">
        <v>0</v>
      </c>
      <c r="AH66" s="94"/>
      <c r="AI66" s="95">
        <v>-16.100000000000001</v>
      </c>
      <c r="AJ66" s="95">
        <v>0</v>
      </c>
    </row>
    <row r="67" spans="1:36" customFormat="1" ht="15.75" thickBot="1" x14ac:dyDescent="0.3">
      <c r="A67" s="90" t="s">
        <v>869</v>
      </c>
      <c r="B67" s="626" t="str">
        <f>VLOOKUP($D67,'Retail Rates'!$B$7:$D$38,2,FALSE)</f>
        <v>811</v>
      </c>
      <c r="C67" s="626" t="str">
        <f>VLOOKUP($D67,'Retail Rates'!$B$7:$D$38,3,FALSE)</f>
        <v>RGS</v>
      </c>
      <c r="D67" s="90" t="s">
        <v>35</v>
      </c>
      <c r="E67" s="90" t="s">
        <v>36</v>
      </c>
      <c r="F67" s="90" t="s">
        <v>28</v>
      </c>
      <c r="G67" s="90" t="s">
        <v>769</v>
      </c>
      <c r="H67" s="304">
        <v>1</v>
      </c>
      <c r="I67" s="93">
        <v>0</v>
      </c>
      <c r="J67" s="92"/>
      <c r="K67" s="93">
        <v>-13.5</v>
      </c>
      <c r="L67" s="92"/>
      <c r="M67" s="93">
        <v>0</v>
      </c>
      <c r="N67" s="93">
        <v>0</v>
      </c>
      <c r="O67" s="92"/>
      <c r="P67" s="93">
        <v>0</v>
      </c>
      <c r="Q67" s="93">
        <v>0</v>
      </c>
      <c r="R67" s="92"/>
      <c r="S67" s="93">
        <v>-0.25</v>
      </c>
      <c r="T67" s="93">
        <v>-1.91</v>
      </c>
      <c r="U67" s="93">
        <v>0</v>
      </c>
      <c r="V67" s="92"/>
      <c r="W67" s="92"/>
      <c r="X67" s="93">
        <v>-15.41</v>
      </c>
      <c r="Y67" s="92"/>
      <c r="Z67" s="92"/>
      <c r="AA67" s="92"/>
      <c r="AB67" s="92"/>
      <c r="AC67" s="92"/>
      <c r="AD67" s="92"/>
      <c r="AE67" s="92"/>
      <c r="AF67" s="92"/>
      <c r="AG67" s="93">
        <v>0</v>
      </c>
      <c r="AH67" s="92"/>
      <c r="AI67" s="93">
        <v>-15.66</v>
      </c>
      <c r="AJ67" s="93">
        <v>0</v>
      </c>
    </row>
    <row r="68" spans="1:36" customFormat="1" ht="15.75" thickBot="1" x14ac:dyDescent="0.3">
      <c r="A68" s="90" t="s">
        <v>869</v>
      </c>
      <c r="B68" s="626" t="str">
        <f>VLOOKUP($D68,'Retail Rates'!$B$7:$D$38,2,FALSE)</f>
        <v>811</v>
      </c>
      <c r="C68" s="626" t="str">
        <f>VLOOKUP($D68,'Retail Rates'!$B$7:$D$38,3,FALSE)</f>
        <v>RGS</v>
      </c>
      <c r="D68" s="90" t="s">
        <v>35</v>
      </c>
      <c r="E68" s="90" t="s">
        <v>36</v>
      </c>
      <c r="F68" s="90" t="s">
        <v>28</v>
      </c>
      <c r="G68" s="90" t="s">
        <v>771</v>
      </c>
      <c r="H68" s="305">
        <v>1</v>
      </c>
      <c r="I68" s="95">
        <v>0</v>
      </c>
      <c r="J68" s="94"/>
      <c r="K68" s="95">
        <v>-13.5</v>
      </c>
      <c r="L68" s="94"/>
      <c r="M68" s="95">
        <v>0</v>
      </c>
      <c r="N68" s="95">
        <v>0</v>
      </c>
      <c r="O68" s="94"/>
      <c r="P68" s="95">
        <v>0</v>
      </c>
      <c r="Q68" s="95">
        <v>0</v>
      </c>
      <c r="R68" s="94"/>
      <c r="S68" s="95">
        <v>-0.25</v>
      </c>
      <c r="T68" s="95">
        <v>-1.08</v>
      </c>
      <c r="U68" s="95">
        <v>0</v>
      </c>
      <c r="V68" s="94"/>
      <c r="W68" s="94"/>
      <c r="X68" s="95">
        <v>-14.58</v>
      </c>
      <c r="Y68" s="94"/>
      <c r="Z68" s="94"/>
      <c r="AA68" s="94"/>
      <c r="AB68" s="94"/>
      <c r="AC68" s="94"/>
      <c r="AD68" s="94"/>
      <c r="AE68" s="94"/>
      <c r="AF68" s="94"/>
      <c r="AG68" s="95">
        <v>0</v>
      </c>
      <c r="AH68" s="94"/>
      <c r="AI68" s="95">
        <v>-14.83</v>
      </c>
      <c r="AJ68" s="95">
        <v>0</v>
      </c>
    </row>
    <row r="69" spans="1:36" customFormat="1" ht="15.75" thickBot="1" x14ac:dyDescent="0.3">
      <c r="A69" s="90" t="s">
        <v>869</v>
      </c>
      <c r="B69" s="626" t="str">
        <f>VLOOKUP($D69,'Retail Rates'!$B$7:$D$38,2,FALSE)</f>
        <v>811</v>
      </c>
      <c r="C69" s="626" t="str">
        <f>VLOOKUP($D69,'Retail Rates'!$B$7:$D$38,3,FALSE)</f>
        <v>RGS</v>
      </c>
      <c r="D69" s="90" t="s">
        <v>35</v>
      </c>
      <c r="E69" s="90" t="s">
        <v>36</v>
      </c>
      <c r="F69" s="90" t="s">
        <v>28</v>
      </c>
      <c r="G69" s="90" t="s">
        <v>783</v>
      </c>
      <c r="H69" s="304">
        <v>1</v>
      </c>
      <c r="I69" s="93">
        <v>0</v>
      </c>
      <c r="J69" s="92"/>
      <c r="K69" s="93">
        <v>-13.5</v>
      </c>
      <c r="L69" s="92"/>
      <c r="M69" s="93">
        <v>0</v>
      </c>
      <c r="N69" s="92"/>
      <c r="O69" s="92"/>
      <c r="P69" s="93">
        <v>0</v>
      </c>
      <c r="Q69" s="93">
        <v>0</v>
      </c>
      <c r="R69" s="92"/>
      <c r="S69" s="93">
        <v>-0.25</v>
      </c>
      <c r="T69" s="93">
        <v>-1.08</v>
      </c>
      <c r="U69" s="92"/>
      <c r="V69" s="92"/>
      <c r="W69" s="92"/>
      <c r="X69" s="93">
        <v>-14.58</v>
      </c>
      <c r="Y69" s="92"/>
      <c r="Z69" s="92"/>
      <c r="AA69" s="92"/>
      <c r="AB69" s="92"/>
      <c r="AC69" s="92"/>
      <c r="AD69" s="92"/>
      <c r="AE69" s="92"/>
      <c r="AF69" s="92"/>
      <c r="AG69" s="93">
        <v>0</v>
      </c>
      <c r="AH69" s="92"/>
      <c r="AI69" s="93">
        <v>-14.83</v>
      </c>
      <c r="AJ69" s="93">
        <v>0</v>
      </c>
    </row>
    <row r="70" spans="1:36" customFormat="1" ht="15.75" thickBot="1" x14ac:dyDescent="0.3">
      <c r="A70" s="90" t="s">
        <v>869</v>
      </c>
      <c r="B70" s="626" t="str">
        <f>VLOOKUP($D70,'Retail Rates'!$B$7:$D$38,2,FALSE)</f>
        <v>811</v>
      </c>
      <c r="C70" s="626" t="str">
        <f>VLOOKUP($D70,'Retail Rates'!$B$7:$D$38,3,FALSE)</f>
        <v>RGS</v>
      </c>
      <c r="D70" s="90" t="s">
        <v>35</v>
      </c>
      <c r="E70" s="90" t="s">
        <v>36</v>
      </c>
      <c r="F70" s="90" t="s">
        <v>28</v>
      </c>
      <c r="G70" s="90" t="s">
        <v>798</v>
      </c>
      <c r="H70" s="305">
        <v>1</v>
      </c>
      <c r="I70" s="95">
        <v>0</v>
      </c>
      <c r="J70" s="94"/>
      <c r="K70" s="95">
        <v>-13.5</v>
      </c>
      <c r="L70" s="94"/>
      <c r="M70" s="95">
        <v>0</v>
      </c>
      <c r="N70" s="95">
        <v>0</v>
      </c>
      <c r="O70" s="94"/>
      <c r="P70" s="95">
        <v>0</v>
      </c>
      <c r="Q70" s="95">
        <v>0</v>
      </c>
      <c r="R70" s="94"/>
      <c r="S70" s="95">
        <v>-0.25</v>
      </c>
      <c r="T70" s="95">
        <v>-1.08</v>
      </c>
      <c r="U70" s="95">
        <v>0</v>
      </c>
      <c r="V70" s="94"/>
      <c r="W70" s="94"/>
      <c r="X70" s="95">
        <v>-14.58</v>
      </c>
      <c r="Y70" s="94"/>
      <c r="Z70" s="94"/>
      <c r="AA70" s="94"/>
      <c r="AB70" s="94"/>
      <c r="AC70" s="94"/>
      <c r="AD70" s="94"/>
      <c r="AE70" s="94"/>
      <c r="AF70" s="94"/>
      <c r="AG70" s="95">
        <v>0</v>
      </c>
      <c r="AH70" s="94"/>
      <c r="AI70" s="95">
        <v>-14.83</v>
      </c>
      <c r="AJ70" s="95">
        <v>0</v>
      </c>
    </row>
    <row r="71" spans="1:36" customFormat="1" ht="15.75" thickBot="1" x14ac:dyDescent="0.3">
      <c r="A71" s="90" t="s">
        <v>869</v>
      </c>
      <c r="B71" s="626" t="str">
        <f>VLOOKUP($D71,'Retail Rates'!$B$7:$D$38,2,FALSE)</f>
        <v>811</v>
      </c>
      <c r="C71" s="626" t="str">
        <f>VLOOKUP($D71,'Retail Rates'!$B$7:$D$38,3,FALSE)</f>
        <v>RGS</v>
      </c>
      <c r="D71" s="90" t="s">
        <v>35</v>
      </c>
      <c r="E71" s="90" t="s">
        <v>36</v>
      </c>
      <c r="F71" s="90" t="s">
        <v>28</v>
      </c>
      <c r="G71" s="90" t="s">
        <v>897</v>
      </c>
      <c r="H71" s="304">
        <v>1</v>
      </c>
      <c r="I71" s="93">
        <v>0</v>
      </c>
      <c r="J71" s="92"/>
      <c r="K71" s="93">
        <v>-13.5</v>
      </c>
      <c r="L71" s="92"/>
      <c r="M71" s="93">
        <v>0</v>
      </c>
      <c r="N71" s="93">
        <v>0</v>
      </c>
      <c r="O71" s="92"/>
      <c r="P71" s="93">
        <v>0</v>
      </c>
      <c r="Q71" s="93">
        <v>0</v>
      </c>
      <c r="R71" s="92"/>
      <c r="S71" s="93">
        <v>-0.25</v>
      </c>
      <c r="T71" s="93">
        <v>-1.08</v>
      </c>
      <c r="U71" s="93">
        <v>0</v>
      </c>
      <c r="V71" s="92"/>
      <c r="W71" s="92"/>
      <c r="X71" s="93">
        <v>-14.58</v>
      </c>
      <c r="Y71" s="92"/>
      <c r="Z71" s="92"/>
      <c r="AA71" s="92"/>
      <c r="AB71" s="92"/>
      <c r="AC71" s="92"/>
      <c r="AD71" s="92"/>
      <c r="AE71" s="92"/>
      <c r="AF71" s="92"/>
      <c r="AG71" s="93">
        <v>0</v>
      </c>
      <c r="AH71" s="92"/>
      <c r="AI71" s="93">
        <v>-14.83</v>
      </c>
      <c r="AJ71" s="93">
        <v>0</v>
      </c>
    </row>
    <row r="72" spans="1:36" customFormat="1" ht="15.75" thickBot="1" x14ac:dyDescent="0.3">
      <c r="A72" s="90" t="s">
        <v>869</v>
      </c>
      <c r="B72" s="626" t="str">
        <f>VLOOKUP($D72,'Retail Rates'!$B$7:$D$38,2,FALSE)</f>
        <v>811</v>
      </c>
      <c r="C72" s="626" t="str">
        <f>VLOOKUP($D72,'Retail Rates'!$B$7:$D$38,3,FALSE)</f>
        <v>RGS</v>
      </c>
      <c r="D72" s="90" t="s">
        <v>35</v>
      </c>
      <c r="E72" s="90" t="s">
        <v>36</v>
      </c>
      <c r="F72" s="90" t="s">
        <v>28</v>
      </c>
      <c r="G72" s="90" t="s">
        <v>898</v>
      </c>
      <c r="H72" s="305">
        <v>1</v>
      </c>
      <c r="I72" s="95">
        <v>0</v>
      </c>
      <c r="J72" s="94"/>
      <c r="K72" s="95">
        <v>-13.5</v>
      </c>
      <c r="L72" s="94"/>
      <c r="M72" s="95">
        <v>0</v>
      </c>
      <c r="N72" s="95">
        <v>0</v>
      </c>
      <c r="O72" s="94"/>
      <c r="P72" s="95">
        <v>0</v>
      </c>
      <c r="Q72" s="95">
        <v>0</v>
      </c>
      <c r="R72" s="94"/>
      <c r="S72" s="95">
        <v>-0.25</v>
      </c>
      <c r="T72" s="95">
        <v>-1.08</v>
      </c>
      <c r="U72" s="95">
        <v>0</v>
      </c>
      <c r="V72" s="94"/>
      <c r="W72" s="94"/>
      <c r="X72" s="95">
        <v>-14.58</v>
      </c>
      <c r="Y72" s="94"/>
      <c r="Z72" s="94"/>
      <c r="AA72" s="94"/>
      <c r="AB72" s="94"/>
      <c r="AC72" s="94"/>
      <c r="AD72" s="94"/>
      <c r="AE72" s="94"/>
      <c r="AF72" s="94"/>
      <c r="AG72" s="95">
        <v>0</v>
      </c>
      <c r="AH72" s="94"/>
      <c r="AI72" s="95">
        <v>-14.83</v>
      </c>
      <c r="AJ72" s="95">
        <v>0</v>
      </c>
    </row>
    <row r="73" spans="1:36" customFormat="1" ht="15.75" thickBot="1" x14ac:dyDescent="0.3">
      <c r="A73" s="90" t="s">
        <v>869</v>
      </c>
      <c r="B73" s="626" t="str">
        <f>VLOOKUP($D73,'Retail Rates'!$B$7:$D$38,2,FALSE)</f>
        <v>811</v>
      </c>
      <c r="C73" s="626" t="str">
        <f>VLOOKUP($D73,'Retail Rates'!$B$7:$D$38,3,FALSE)</f>
        <v>RGS</v>
      </c>
      <c r="D73" s="90" t="s">
        <v>35</v>
      </c>
      <c r="E73" s="90" t="s">
        <v>36</v>
      </c>
      <c r="F73" s="90" t="s">
        <v>28</v>
      </c>
      <c r="G73" s="90" t="s">
        <v>899</v>
      </c>
      <c r="H73" s="304">
        <v>1</v>
      </c>
      <c r="I73" s="93">
        <v>0</v>
      </c>
      <c r="J73" s="92"/>
      <c r="K73" s="93">
        <v>-13.5</v>
      </c>
      <c r="L73" s="92"/>
      <c r="M73" s="93">
        <v>0</v>
      </c>
      <c r="N73" s="93">
        <v>0</v>
      </c>
      <c r="O73" s="92"/>
      <c r="P73" s="93">
        <v>0</v>
      </c>
      <c r="Q73" s="93">
        <v>0</v>
      </c>
      <c r="R73" s="92"/>
      <c r="S73" s="93">
        <v>-0.25</v>
      </c>
      <c r="T73" s="93">
        <v>-1.08</v>
      </c>
      <c r="U73" s="93">
        <v>0</v>
      </c>
      <c r="V73" s="92"/>
      <c r="W73" s="92"/>
      <c r="X73" s="93">
        <v>-14.58</v>
      </c>
      <c r="Y73" s="92"/>
      <c r="Z73" s="92"/>
      <c r="AA73" s="92"/>
      <c r="AB73" s="92"/>
      <c r="AC73" s="92"/>
      <c r="AD73" s="92"/>
      <c r="AE73" s="92"/>
      <c r="AF73" s="92"/>
      <c r="AG73" s="93">
        <v>0</v>
      </c>
      <c r="AH73" s="92"/>
      <c r="AI73" s="93">
        <v>-14.83</v>
      </c>
      <c r="AJ73" s="93">
        <v>0</v>
      </c>
    </row>
    <row r="74" spans="1:36" customFormat="1" ht="15.75" thickBot="1" x14ac:dyDescent="0.3">
      <c r="A74" s="90" t="s">
        <v>869</v>
      </c>
      <c r="B74" s="626" t="str">
        <f>VLOOKUP($D74,'Retail Rates'!$B$7:$D$38,2,FALSE)</f>
        <v>811</v>
      </c>
      <c r="C74" s="626" t="str">
        <f>VLOOKUP($D74,'Retail Rates'!$B$7:$D$38,3,FALSE)</f>
        <v>RGS</v>
      </c>
      <c r="D74" s="90" t="s">
        <v>35</v>
      </c>
      <c r="E74" s="90" t="s">
        <v>36</v>
      </c>
      <c r="F74" s="90" t="s">
        <v>28</v>
      </c>
      <c r="G74" s="90" t="s">
        <v>900</v>
      </c>
      <c r="H74" s="305">
        <v>1</v>
      </c>
      <c r="I74" s="95">
        <v>0</v>
      </c>
      <c r="J74" s="94"/>
      <c r="K74" s="95">
        <v>-13.37</v>
      </c>
      <c r="L74" s="94"/>
      <c r="M74" s="95">
        <v>0</v>
      </c>
      <c r="N74" s="95">
        <v>-0.3</v>
      </c>
      <c r="O74" s="95">
        <v>0.13</v>
      </c>
      <c r="P74" s="95">
        <v>0</v>
      </c>
      <c r="Q74" s="95">
        <v>0</v>
      </c>
      <c r="R74" s="94"/>
      <c r="S74" s="95">
        <v>-0.25</v>
      </c>
      <c r="T74" s="95">
        <v>-1.08</v>
      </c>
      <c r="U74" s="95">
        <v>0</v>
      </c>
      <c r="V74" s="94"/>
      <c r="W74" s="94"/>
      <c r="X74" s="95">
        <v>-14.45</v>
      </c>
      <c r="Y74" s="94"/>
      <c r="Z74" s="94"/>
      <c r="AA74" s="94"/>
      <c r="AB74" s="94"/>
      <c r="AC74" s="94"/>
      <c r="AD74" s="94"/>
      <c r="AE74" s="94"/>
      <c r="AF74" s="94"/>
      <c r="AG74" s="95">
        <v>0</v>
      </c>
      <c r="AH74" s="94"/>
      <c r="AI74" s="95">
        <v>-15</v>
      </c>
      <c r="AJ74" s="306">
        <v>-0.13</v>
      </c>
    </row>
    <row r="75" spans="1:36" customFormat="1" ht="15.75" thickBot="1" x14ac:dyDescent="0.3">
      <c r="A75" s="90" t="s">
        <v>869</v>
      </c>
      <c r="B75" s="626" t="str">
        <f>VLOOKUP($D75,'Retail Rates'!$B$7:$D$38,2,FALSE)</f>
        <v>811</v>
      </c>
      <c r="C75" s="626" t="str">
        <f>VLOOKUP($D75,'Retail Rates'!$B$7:$D$38,3,FALSE)</f>
        <v>RGS</v>
      </c>
      <c r="D75" s="90" t="s">
        <v>35</v>
      </c>
      <c r="E75" s="90" t="s">
        <v>36</v>
      </c>
      <c r="F75" s="90" t="s">
        <v>28</v>
      </c>
      <c r="G75" s="90" t="s">
        <v>901</v>
      </c>
      <c r="H75" s="304">
        <v>2</v>
      </c>
      <c r="I75" s="93">
        <v>-7</v>
      </c>
      <c r="J75" s="92"/>
      <c r="K75" s="93">
        <v>-13.37</v>
      </c>
      <c r="L75" s="92"/>
      <c r="M75" s="93">
        <v>-1.85</v>
      </c>
      <c r="N75" s="93">
        <v>-0.45</v>
      </c>
      <c r="O75" s="93">
        <v>0.13</v>
      </c>
      <c r="P75" s="93">
        <v>-3.93</v>
      </c>
      <c r="Q75" s="93">
        <v>-0.12</v>
      </c>
      <c r="R75" s="93">
        <v>-1.59</v>
      </c>
      <c r="S75" s="93">
        <v>-0.25</v>
      </c>
      <c r="T75" s="93">
        <v>-1.65</v>
      </c>
      <c r="U75" s="93">
        <v>0</v>
      </c>
      <c r="V75" s="92"/>
      <c r="W75" s="92"/>
      <c r="X75" s="93">
        <v>-22.51</v>
      </c>
      <c r="Y75" s="92"/>
      <c r="Z75" s="92"/>
      <c r="AA75" s="92"/>
      <c r="AB75" s="92"/>
      <c r="AC75" s="92"/>
      <c r="AD75" s="92"/>
      <c r="AE75" s="92"/>
      <c r="AF75" s="92"/>
      <c r="AG75" s="93">
        <v>0</v>
      </c>
      <c r="AH75" s="92"/>
      <c r="AI75" s="93">
        <v>-23.21</v>
      </c>
      <c r="AJ75" s="306">
        <v>-0.13</v>
      </c>
    </row>
    <row r="76" spans="1:36" customFormat="1" ht="15.75" thickBot="1" x14ac:dyDescent="0.3">
      <c r="A76" s="90" t="s">
        <v>869</v>
      </c>
      <c r="B76" s="626" t="str">
        <f>VLOOKUP($D76,'Retail Rates'!$B$7:$D$38,2,FALSE)</f>
        <v>811</v>
      </c>
      <c r="C76" s="626" t="str">
        <f>VLOOKUP($D76,'Retail Rates'!$B$7:$D$38,3,FALSE)</f>
        <v>RGS</v>
      </c>
      <c r="D76" s="90" t="s">
        <v>35</v>
      </c>
      <c r="E76" s="90" t="s">
        <v>36</v>
      </c>
      <c r="F76" s="90" t="s">
        <v>28</v>
      </c>
      <c r="G76" s="90" t="s">
        <v>902</v>
      </c>
      <c r="H76" s="305">
        <v>2</v>
      </c>
      <c r="I76" s="95">
        <v>-7</v>
      </c>
      <c r="J76" s="94"/>
      <c r="K76" s="95">
        <v>-13.37</v>
      </c>
      <c r="L76" s="94"/>
      <c r="M76" s="95">
        <v>-1.85</v>
      </c>
      <c r="N76" s="95">
        <v>-0.43</v>
      </c>
      <c r="O76" s="95">
        <v>0.13</v>
      </c>
      <c r="P76" s="95">
        <v>-3.75</v>
      </c>
      <c r="Q76" s="95">
        <v>-0.13</v>
      </c>
      <c r="R76" s="95">
        <v>-0.12</v>
      </c>
      <c r="S76" s="95">
        <v>-0.25</v>
      </c>
      <c r="T76" s="95">
        <v>-2.5299999999999998</v>
      </c>
      <c r="U76" s="95">
        <v>0</v>
      </c>
      <c r="V76" s="94"/>
      <c r="W76" s="94"/>
      <c r="X76" s="95">
        <v>-21.75</v>
      </c>
      <c r="Y76" s="94"/>
      <c r="Z76" s="94"/>
      <c r="AA76" s="94"/>
      <c r="AB76" s="94"/>
      <c r="AC76" s="94"/>
      <c r="AD76" s="94"/>
      <c r="AE76" s="94"/>
      <c r="AF76" s="94"/>
      <c r="AG76" s="95">
        <v>0</v>
      </c>
      <c r="AH76" s="94"/>
      <c r="AI76" s="95">
        <v>-22.43</v>
      </c>
      <c r="AJ76" s="306">
        <v>-0.13</v>
      </c>
    </row>
    <row r="77" spans="1:36" customFormat="1" ht="15.75" thickBot="1" x14ac:dyDescent="0.3">
      <c r="A77" s="90" t="s">
        <v>869</v>
      </c>
      <c r="B77" s="626" t="str">
        <f>VLOOKUP($D77,'Retail Rates'!$B$7:$D$38,2,FALSE)</f>
        <v>811</v>
      </c>
      <c r="C77" s="626" t="str">
        <f>VLOOKUP($D77,'Retail Rates'!$B$7:$D$38,3,FALSE)</f>
        <v>RGS</v>
      </c>
      <c r="D77" s="90" t="s">
        <v>35</v>
      </c>
      <c r="E77" s="90" t="s">
        <v>36</v>
      </c>
      <c r="F77" s="90" t="s">
        <v>28</v>
      </c>
      <c r="G77" s="90" t="s">
        <v>903</v>
      </c>
      <c r="H77" s="304">
        <v>2</v>
      </c>
      <c r="I77" s="93">
        <v>-9</v>
      </c>
      <c r="J77" s="92"/>
      <c r="K77" s="93">
        <v>-13.37</v>
      </c>
      <c r="L77" s="92"/>
      <c r="M77" s="93">
        <v>-2.38</v>
      </c>
      <c r="N77" s="93">
        <v>-0.45</v>
      </c>
      <c r="O77" s="93">
        <v>0.13</v>
      </c>
      <c r="P77" s="93">
        <v>-4.49</v>
      </c>
      <c r="Q77" s="93">
        <v>-0.18</v>
      </c>
      <c r="R77" s="93">
        <v>0.5</v>
      </c>
      <c r="S77" s="93">
        <v>-0.25</v>
      </c>
      <c r="T77" s="93">
        <v>-2.5299999999999998</v>
      </c>
      <c r="U77" s="93">
        <v>0</v>
      </c>
      <c r="V77" s="92"/>
      <c r="W77" s="92"/>
      <c r="X77" s="93">
        <v>-22.45</v>
      </c>
      <c r="Y77" s="92"/>
      <c r="Z77" s="92"/>
      <c r="AA77" s="92"/>
      <c r="AB77" s="92"/>
      <c r="AC77" s="92"/>
      <c r="AD77" s="92"/>
      <c r="AE77" s="92"/>
      <c r="AF77" s="92"/>
      <c r="AG77" s="93">
        <v>0</v>
      </c>
      <c r="AH77" s="92"/>
      <c r="AI77" s="93">
        <v>-23.15</v>
      </c>
      <c r="AJ77" s="306">
        <v>-0.13</v>
      </c>
    </row>
    <row r="78" spans="1:36" customFormat="1" ht="15.75" thickBot="1" x14ac:dyDescent="0.3">
      <c r="A78" s="90" t="s">
        <v>869</v>
      </c>
      <c r="B78" s="626" t="str">
        <f>VLOOKUP($D78,'Retail Rates'!$B$7:$D$38,2,FALSE)</f>
        <v>811</v>
      </c>
      <c r="C78" s="626" t="str">
        <f>VLOOKUP($D78,'Retail Rates'!$B$7:$D$38,3,FALSE)</f>
        <v>RGS</v>
      </c>
      <c r="D78" s="90" t="s">
        <v>35</v>
      </c>
      <c r="E78" s="90" t="s">
        <v>36</v>
      </c>
      <c r="F78" s="90" t="s">
        <v>28</v>
      </c>
      <c r="G78" s="90" t="s">
        <v>904</v>
      </c>
      <c r="H78" s="305">
        <v>7</v>
      </c>
      <c r="I78" s="95">
        <v>143</v>
      </c>
      <c r="J78" s="94"/>
      <c r="K78" s="95">
        <v>-13.37</v>
      </c>
      <c r="L78" s="94"/>
      <c r="M78" s="95">
        <v>37.770000000000003</v>
      </c>
      <c r="N78" s="95">
        <v>0.76</v>
      </c>
      <c r="O78" s="95">
        <v>0.13</v>
      </c>
      <c r="P78" s="95">
        <v>71.430000000000007</v>
      </c>
      <c r="Q78" s="95">
        <v>1.88</v>
      </c>
      <c r="R78" s="95">
        <v>7.58</v>
      </c>
      <c r="S78" s="95">
        <v>-0.25</v>
      </c>
      <c r="T78" s="95">
        <v>-2.5299999999999998</v>
      </c>
      <c r="U78" s="95">
        <v>0</v>
      </c>
      <c r="V78" s="94"/>
      <c r="W78" s="94"/>
      <c r="X78" s="95">
        <v>102.76</v>
      </c>
      <c r="Y78" s="94"/>
      <c r="Z78" s="94"/>
      <c r="AA78" s="94"/>
      <c r="AB78" s="94"/>
      <c r="AC78" s="94"/>
      <c r="AD78" s="94"/>
      <c r="AE78" s="94"/>
      <c r="AF78" s="94"/>
      <c r="AG78" s="95">
        <v>0.76</v>
      </c>
      <c r="AH78" s="94"/>
      <c r="AI78" s="95">
        <v>104.03</v>
      </c>
      <c r="AJ78" s="306">
        <v>-0.13</v>
      </c>
    </row>
    <row r="79" spans="1:36" customFormat="1" ht="15.75" thickBot="1" x14ac:dyDescent="0.3">
      <c r="A79" s="90" t="s">
        <v>869</v>
      </c>
      <c r="B79" s="626" t="str">
        <f>VLOOKUP($D79,'Retail Rates'!$B$7:$D$38,2,FALSE)</f>
        <v>811</v>
      </c>
      <c r="C79" s="626" t="str">
        <f>VLOOKUP($D79,'Retail Rates'!$B$7:$D$38,3,FALSE)</f>
        <v>RGS</v>
      </c>
      <c r="D79" s="90" t="s">
        <v>35</v>
      </c>
      <c r="E79" s="90" t="s">
        <v>36</v>
      </c>
      <c r="F79" s="90" t="s">
        <v>28</v>
      </c>
      <c r="G79" s="90" t="s">
        <v>905</v>
      </c>
      <c r="H79" s="304">
        <v>10</v>
      </c>
      <c r="I79" s="93">
        <v>107</v>
      </c>
      <c r="J79" s="92"/>
      <c r="K79" s="93">
        <v>-13.37</v>
      </c>
      <c r="L79" s="92"/>
      <c r="M79" s="93">
        <v>28.26</v>
      </c>
      <c r="N79" s="93">
        <v>0.89</v>
      </c>
      <c r="O79" s="93">
        <v>0.13</v>
      </c>
      <c r="P79" s="93">
        <v>47.19</v>
      </c>
      <c r="Q79" s="93">
        <v>1.38</v>
      </c>
      <c r="R79" s="92"/>
      <c r="S79" s="93">
        <v>-0.25</v>
      </c>
      <c r="T79" s="93">
        <v>-2.93</v>
      </c>
      <c r="U79" s="93">
        <v>0</v>
      </c>
      <c r="V79" s="92"/>
      <c r="W79" s="92"/>
      <c r="X79" s="93">
        <v>60.53</v>
      </c>
      <c r="Y79" s="92"/>
      <c r="Z79" s="92"/>
      <c r="AA79" s="92"/>
      <c r="AB79" s="92"/>
      <c r="AC79" s="92"/>
      <c r="AD79" s="92"/>
      <c r="AE79" s="92"/>
      <c r="AF79" s="92"/>
      <c r="AG79" s="93">
        <v>0.16</v>
      </c>
      <c r="AH79" s="92"/>
      <c r="AI79" s="93">
        <v>61.33</v>
      </c>
      <c r="AJ79" s="306">
        <v>-0.13</v>
      </c>
    </row>
    <row r="80" spans="1:36" customFormat="1" ht="15.75" thickBot="1" x14ac:dyDescent="0.3">
      <c r="A80" s="90" t="s">
        <v>869</v>
      </c>
      <c r="B80" s="626" t="str">
        <f>VLOOKUP($D80,'Retail Rates'!$B$7:$D$38,2,FALSE)</f>
        <v>811</v>
      </c>
      <c r="C80" s="626" t="str">
        <f>VLOOKUP($D80,'Retail Rates'!$B$7:$D$38,3,FALSE)</f>
        <v>RGS</v>
      </c>
      <c r="D80" s="90" t="s">
        <v>35</v>
      </c>
      <c r="E80" s="90" t="s">
        <v>36</v>
      </c>
      <c r="F80" s="90" t="s">
        <v>28</v>
      </c>
      <c r="G80" s="90" t="s">
        <v>906</v>
      </c>
      <c r="H80" s="305">
        <v>11</v>
      </c>
      <c r="I80" s="95">
        <v>96</v>
      </c>
      <c r="J80" s="94"/>
      <c r="K80" s="95">
        <v>-13.37</v>
      </c>
      <c r="L80" s="94"/>
      <c r="M80" s="95">
        <v>25.35</v>
      </c>
      <c r="N80" s="95">
        <v>0.88</v>
      </c>
      <c r="O80" s="95">
        <v>0.13</v>
      </c>
      <c r="P80" s="95">
        <v>39.94</v>
      </c>
      <c r="Q80" s="95">
        <v>1.26</v>
      </c>
      <c r="R80" s="94"/>
      <c r="S80" s="95">
        <v>-0.25</v>
      </c>
      <c r="T80" s="95">
        <v>-3.77</v>
      </c>
      <c r="U80" s="95">
        <v>0</v>
      </c>
      <c r="V80" s="94"/>
      <c r="W80" s="94"/>
      <c r="X80" s="95">
        <v>49.41</v>
      </c>
      <c r="Y80" s="94"/>
      <c r="Z80" s="94"/>
      <c r="AA80" s="94"/>
      <c r="AB80" s="94"/>
      <c r="AC80" s="94"/>
      <c r="AD80" s="94"/>
      <c r="AE80" s="94"/>
      <c r="AF80" s="94"/>
      <c r="AG80" s="95">
        <v>0.02</v>
      </c>
      <c r="AH80" s="94"/>
      <c r="AI80" s="95">
        <v>50.06</v>
      </c>
      <c r="AJ80" s="306">
        <v>-0.13</v>
      </c>
    </row>
    <row r="81" spans="1:36" customFormat="1" ht="15.75" thickBot="1" x14ac:dyDescent="0.3">
      <c r="A81" s="90" t="s">
        <v>869</v>
      </c>
      <c r="B81" s="626" t="str">
        <f>VLOOKUP($D81,'Retail Rates'!$B$7:$D$38,2,FALSE)</f>
        <v>811</v>
      </c>
      <c r="C81" s="626" t="str">
        <f>VLOOKUP($D81,'Retail Rates'!$B$7:$D$38,3,FALSE)</f>
        <v>RGS</v>
      </c>
      <c r="D81" s="90" t="s">
        <v>35</v>
      </c>
      <c r="E81" s="90" t="s">
        <v>36</v>
      </c>
      <c r="F81" s="90" t="s">
        <v>28</v>
      </c>
      <c r="G81" s="90" t="s">
        <v>907</v>
      </c>
      <c r="H81" s="304">
        <v>8</v>
      </c>
      <c r="I81" s="93">
        <v>67</v>
      </c>
      <c r="J81" s="92"/>
      <c r="K81" s="93">
        <v>-13.5</v>
      </c>
      <c r="L81" s="92"/>
      <c r="M81" s="93">
        <v>18.77</v>
      </c>
      <c r="N81" s="93">
        <v>0.56999999999999995</v>
      </c>
      <c r="O81" s="93">
        <v>0</v>
      </c>
      <c r="P81" s="93">
        <v>27.89</v>
      </c>
      <c r="Q81" s="93">
        <v>0.56000000000000005</v>
      </c>
      <c r="R81" s="92"/>
      <c r="S81" s="93">
        <v>-0.25</v>
      </c>
      <c r="T81" s="93">
        <v>-3.77</v>
      </c>
      <c r="U81" s="93">
        <v>0</v>
      </c>
      <c r="V81" s="92"/>
      <c r="W81" s="92"/>
      <c r="X81" s="93">
        <v>29.95</v>
      </c>
      <c r="Y81" s="92"/>
      <c r="Z81" s="92"/>
      <c r="AA81" s="92"/>
      <c r="AB81" s="92"/>
      <c r="AC81" s="92"/>
      <c r="AD81" s="92"/>
      <c r="AE81" s="92"/>
      <c r="AF81" s="92"/>
      <c r="AG81" s="93">
        <v>0</v>
      </c>
      <c r="AH81" s="92"/>
      <c r="AI81" s="93">
        <v>30.27</v>
      </c>
      <c r="AJ81" s="93">
        <v>0</v>
      </c>
    </row>
    <row r="82" spans="1:36" customFormat="1" ht="15.75" thickBot="1" x14ac:dyDescent="0.3">
      <c r="A82" s="90" t="s">
        <v>869</v>
      </c>
      <c r="B82" s="626" t="str">
        <f>VLOOKUP($D82,'Retail Rates'!$B$7:$D$38,2,FALSE)</f>
        <v>811</v>
      </c>
      <c r="C82" s="626" t="str">
        <f>VLOOKUP($D82,'Retail Rates'!$B$7:$D$38,3,FALSE)</f>
        <v>RGS</v>
      </c>
      <c r="D82" s="90" t="s">
        <v>35</v>
      </c>
      <c r="E82" s="90" t="s">
        <v>36</v>
      </c>
      <c r="F82" s="90" t="s">
        <v>28</v>
      </c>
      <c r="G82" s="90" t="s">
        <v>908</v>
      </c>
      <c r="H82" s="305">
        <v>11</v>
      </c>
      <c r="I82" s="95">
        <v>93</v>
      </c>
      <c r="J82" s="94"/>
      <c r="K82" s="95">
        <v>-13.05</v>
      </c>
      <c r="L82" s="94"/>
      <c r="M82" s="95">
        <v>26.7</v>
      </c>
      <c r="N82" s="95">
        <v>0.73</v>
      </c>
      <c r="O82" s="95">
        <v>0</v>
      </c>
      <c r="P82" s="95">
        <v>31.72</v>
      </c>
      <c r="Q82" s="95">
        <v>0.78</v>
      </c>
      <c r="R82" s="94"/>
      <c r="S82" s="95">
        <v>0</v>
      </c>
      <c r="T82" s="95">
        <v>-3.64</v>
      </c>
      <c r="U82" s="95">
        <v>0</v>
      </c>
      <c r="V82" s="94"/>
      <c r="W82" s="94"/>
      <c r="X82" s="95">
        <v>42.51</v>
      </c>
      <c r="Y82" s="94"/>
      <c r="Z82" s="94"/>
      <c r="AA82" s="94"/>
      <c r="AB82" s="94"/>
      <c r="AC82" s="94"/>
      <c r="AD82" s="94"/>
      <c r="AE82" s="94"/>
      <c r="AF82" s="94"/>
      <c r="AG82" s="95">
        <v>0.26</v>
      </c>
      <c r="AH82" s="94"/>
      <c r="AI82" s="95">
        <v>43.5</v>
      </c>
      <c r="AJ82" s="95">
        <v>0</v>
      </c>
    </row>
    <row r="83" spans="1:36" customFormat="1" ht="15.75" thickBot="1" x14ac:dyDescent="0.3">
      <c r="A83" s="90" t="s">
        <v>869</v>
      </c>
      <c r="B83" s="626" t="str">
        <f>VLOOKUP($D83,'Retail Rates'!$B$7:$D$38,2,FALSE)</f>
        <v>811</v>
      </c>
      <c r="C83" s="626" t="str">
        <f>VLOOKUP($D83,'Retail Rates'!$B$7:$D$38,3,FALSE)</f>
        <v>RGS</v>
      </c>
      <c r="D83" s="90" t="s">
        <v>35</v>
      </c>
      <c r="E83" s="90" t="s">
        <v>36</v>
      </c>
      <c r="F83" s="90" t="s">
        <v>28</v>
      </c>
      <c r="G83" s="90" t="s">
        <v>909</v>
      </c>
      <c r="H83" s="304">
        <v>13</v>
      </c>
      <c r="I83" s="93">
        <v>98</v>
      </c>
      <c r="J83" s="92"/>
      <c r="K83" s="93">
        <v>-13.5</v>
      </c>
      <c r="L83" s="92"/>
      <c r="M83" s="93">
        <v>28.11</v>
      </c>
      <c r="N83" s="93">
        <v>0.68</v>
      </c>
      <c r="O83" s="93">
        <v>0</v>
      </c>
      <c r="P83" s="93">
        <v>29.2</v>
      </c>
      <c r="Q83" s="93">
        <v>0.85</v>
      </c>
      <c r="R83" s="92"/>
      <c r="S83" s="93">
        <v>-0.25</v>
      </c>
      <c r="T83" s="93">
        <v>-3.77</v>
      </c>
      <c r="U83" s="93">
        <v>0</v>
      </c>
      <c r="V83" s="92"/>
      <c r="W83" s="92"/>
      <c r="X83" s="93">
        <v>40.89</v>
      </c>
      <c r="Y83" s="92"/>
      <c r="Z83" s="92"/>
      <c r="AA83" s="92"/>
      <c r="AB83" s="92"/>
      <c r="AC83" s="92"/>
      <c r="AD83" s="92"/>
      <c r="AE83" s="92"/>
      <c r="AF83" s="92"/>
      <c r="AG83" s="93">
        <v>0.25</v>
      </c>
      <c r="AH83" s="92"/>
      <c r="AI83" s="93">
        <v>41.57</v>
      </c>
      <c r="AJ83" s="93">
        <v>0</v>
      </c>
    </row>
    <row r="84" spans="1:36" customFormat="1" ht="15.75" thickBot="1" x14ac:dyDescent="0.3">
      <c r="A84" s="90" t="s">
        <v>869</v>
      </c>
      <c r="B84" s="626" t="str">
        <f>VLOOKUP($D84,'Retail Rates'!$B$7:$D$38,2,FALSE)</f>
        <v>811</v>
      </c>
      <c r="C84" s="626" t="str">
        <f>VLOOKUP($D84,'Retail Rates'!$B$7:$D$38,3,FALSE)</f>
        <v>RGS</v>
      </c>
      <c r="D84" s="90" t="s">
        <v>35</v>
      </c>
      <c r="E84" s="90" t="s">
        <v>36</v>
      </c>
      <c r="F84" s="90" t="s">
        <v>28</v>
      </c>
      <c r="G84" s="90" t="s">
        <v>910</v>
      </c>
      <c r="H84" s="305">
        <v>14</v>
      </c>
      <c r="I84" s="95">
        <v>196</v>
      </c>
      <c r="J84" s="94"/>
      <c r="K84" s="95">
        <v>-13.5</v>
      </c>
      <c r="L84" s="94"/>
      <c r="M84" s="95">
        <v>56.23</v>
      </c>
      <c r="N84" s="95">
        <v>1.57</v>
      </c>
      <c r="O84" s="95">
        <v>0</v>
      </c>
      <c r="P84" s="95">
        <v>58.41</v>
      </c>
      <c r="Q84" s="95">
        <v>1.64</v>
      </c>
      <c r="R84" s="94"/>
      <c r="S84" s="95">
        <v>-0.25</v>
      </c>
      <c r="T84" s="95">
        <v>-3.77</v>
      </c>
      <c r="U84" s="95">
        <v>0</v>
      </c>
      <c r="V84" s="94"/>
      <c r="W84" s="94"/>
      <c r="X84" s="95">
        <v>99.01</v>
      </c>
      <c r="Y84" s="94"/>
      <c r="Z84" s="94"/>
      <c r="AA84" s="94"/>
      <c r="AB84" s="94"/>
      <c r="AC84" s="94"/>
      <c r="AD84" s="94"/>
      <c r="AE84" s="94"/>
      <c r="AF84" s="94"/>
      <c r="AG84" s="95">
        <v>1.05</v>
      </c>
      <c r="AH84" s="94"/>
      <c r="AI84" s="95">
        <v>101.38</v>
      </c>
      <c r="AJ84" s="95">
        <v>0</v>
      </c>
    </row>
    <row r="85" spans="1:36" customFormat="1" ht="15.75" thickBot="1" x14ac:dyDescent="0.3">
      <c r="A85" s="90" t="s">
        <v>869</v>
      </c>
      <c r="B85" s="626" t="str">
        <f>VLOOKUP($D85,'Retail Rates'!$B$7:$D$38,2,FALSE)</f>
        <v>811</v>
      </c>
      <c r="C85" s="626" t="str">
        <f>VLOOKUP($D85,'Retail Rates'!$B$7:$D$38,3,FALSE)</f>
        <v>RGS</v>
      </c>
      <c r="D85" s="90" t="s">
        <v>35</v>
      </c>
      <c r="E85" s="90" t="s">
        <v>36</v>
      </c>
      <c r="F85" s="90" t="s">
        <v>28</v>
      </c>
      <c r="G85" s="90" t="s">
        <v>911</v>
      </c>
      <c r="H85" s="304">
        <v>34</v>
      </c>
      <c r="I85" s="93">
        <v>896</v>
      </c>
      <c r="J85" s="92"/>
      <c r="K85" s="93">
        <v>5.68</v>
      </c>
      <c r="L85" s="92"/>
      <c r="M85" s="93">
        <v>257.10000000000002</v>
      </c>
      <c r="N85" s="93">
        <v>11.59</v>
      </c>
      <c r="O85" s="93">
        <v>0</v>
      </c>
      <c r="P85" s="93">
        <v>286.16000000000003</v>
      </c>
      <c r="Q85" s="93">
        <v>7.49</v>
      </c>
      <c r="R85" s="93">
        <v>112.15</v>
      </c>
      <c r="S85" s="93">
        <v>0</v>
      </c>
      <c r="T85" s="93">
        <v>1.59</v>
      </c>
      <c r="U85" s="93">
        <v>0</v>
      </c>
      <c r="V85" s="92"/>
      <c r="W85" s="92"/>
      <c r="X85" s="93">
        <v>670.17</v>
      </c>
      <c r="Y85" s="92"/>
      <c r="Z85" s="92"/>
      <c r="AA85" s="92"/>
      <c r="AB85" s="92"/>
      <c r="AC85" s="92"/>
      <c r="AD85" s="92"/>
      <c r="AE85" s="92"/>
      <c r="AF85" s="92"/>
      <c r="AG85" s="93">
        <v>5.07</v>
      </c>
      <c r="AH85" s="92"/>
      <c r="AI85" s="93">
        <v>686.83</v>
      </c>
      <c r="AJ85" s="93">
        <v>0</v>
      </c>
    </row>
    <row r="86" spans="1:36" customFormat="1" ht="15.75" thickBot="1" x14ac:dyDescent="0.3">
      <c r="A86" s="90" t="s">
        <v>869</v>
      </c>
      <c r="B86" s="626" t="str">
        <f>VLOOKUP($D86,'Retail Rates'!$B$7:$D$38,2,FALSE)</f>
        <v>811</v>
      </c>
      <c r="C86" s="626" t="str">
        <f>VLOOKUP($D86,'Retail Rates'!$B$7:$D$38,3,FALSE)</f>
        <v>RGS</v>
      </c>
      <c r="D86" s="90" t="s">
        <v>35</v>
      </c>
      <c r="E86" s="90" t="s">
        <v>36</v>
      </c>
      <c r="F86" s="90" t="s">
        <v>28</v>
      </c>
      <c r="G86" s="90" t="s">
        <v>912</v>
      </c>
      <c r="H86" s="305">
        <v>65</v>
      </c>
      <c r="I86" s="95">
        <v>2774</v>
      </c>
      <c r="J86" s="94"/>
      <c r="K86" s="95">
        <v>-14.4</v>
      </c>
      <c r="L86" s="94"/>
      <c r="M86" s="95">
        <v>795.92</v>
      </c>
      <c r="N86" s="95">
        <v>37.03</v>
      </c>
      <c r="O86" s="95">
        <v>0</v>
      </c>
      <c r="P86" s="95">
        <v>944.86</v>
      </c>
      <c r="Q86" s="95">
        <v>23.25</v>
      </c>
      <c r="R86" s="95">
        <v>489.66</v>
      </c>
      <c r="S86" s="95">
        <v>0</v>
      </c>
      <c r="T86" s="95">
        <v>-4.03</v>
      </c>
      <c r="U86" s="95">
        <v>0</v>
      </c>
      <c r="V86" s="94"/>
      <c r="W86" s="94"/>
      <c r="X86" s="95">
        <v>2235.2600000000002</v>
      </c>
      <c r="Y86" s="94"/>
      <c r="Z86" s="94"/>
      <c r="AA86" s="94"/>
      <c r="AB86" s="94"/>
      <c r="AC86" s="94"/>
      <c r="AD86" s="94"/>
      <c r="AE86" s="94"/>
      <c r="AF86" s="94"/>
      <c r="AG86" s="95">
        <v>6.04</v>
      </c>
      <c r="AH86" s="94"/>
      <c r="AI86" s="95">
        <v>2278.33</v>
      </c>
      <c r="AJ86" s="95">
        <v>0</v>
      </c>
    </row>
    <row r="87" spans="1:36" customFormat="1" ht="15.75" thickBot="1" x14ac:dyDescent="0.3">
      <c r="A87" s="90" t="s">
        <v>869</v>
      </c>
      <c r="B87" s="626" t="str">
        <f>VLOOKUP($D87,'Retail Rates'!$B$7:$D$38,2,FALSE)</f>
        <v>811</v>
      </c>
      <c r="C87" s="626" t="str">
        <f>VLOOKUP($D87,'Retail Rates'!$B$7:$D$38,3,FALSE)</f>
        <v>RGS</v>
      </c>
      <c r="D87" s="90" t="s">
        <v>35</v>
      </c>
      <c r="E87" s="90" t="s">
        <v>36</v>
      </c>
      <c r="F87" s="90" t="s">
        <v>28</v>
      </c>
      <c r="G87" s="90" t="s">
        <v>913</v>
      </c>
      <c r="H87" s="304">
        <v>202</v>
      </c>
      <c r="I87" s="93">
        <v>764</v>
      </c>
      <c r="J87" s="92"/>
      <c r="K87" s="93">
        <v>84.15</v>
      </c>
      <c r="L87" s="92"/>
      <c r="M87" s="93">
        <v>219.19</v>
      </c>
      <c r="N87" s="93">
        <v>3.63</v>
      </c>
      <c r="O87" s="93">
        <v>0</v>
      </c>
      <c r="P87" s="93">
        <v>263.7</v>
      </c>
      <c r="Q87" s="93">
        <v>6.84</v>
      </c>
      <c r="R87" s="93">
        <v>539.66</v>
      </c>
      <c r="S87" s="93">
        <v>1.5</v>
      </c>
      <c r="T87" s="93">
        <v>24.4</v>
      </c>
      <c r="U87" s="93">
        <v>0</v>
      </c>
      <c r="V87" s="92"/>
      <c r="W87" s="92"/>
      <c r="X87" s="93">
        <v>1137.94</v>
      </c>
      <c r="Y87" s="92"/>
      <c r="Z87" s="92"/>
      <c r="AA87" s="92"/>
      <c r="AB87" s="92"/>
      <c r="AC87" s="92"/>
      <c r="AD87" s="92"/>
      <c r="AE87" s="92"/>
      <c r="AF87" s="92"/>
      <c r="AG87" s="93">
        <v>24.78</v>
      </c>
      <c r="AH87" s="92"/>
      <c r="AI87" s="93">
        <v>1167.8499999999999</v>
      </c>
      <c r="AJ87" s="93">
        <v>0</v>
      </c>
    </row>
    <row r="88" spans="1:36" customFormat="1" ht="15.75" thickBot="1" x14ac:dyDescent="0.3">
      <c r="A88" s="90" t="s">
        <v>869</v>
      </c>
      <c r="B88" s="626" t="str">
        <f>VLOOKUP($D88,'Retail Rates'!$B$7:$D$38,2,FALSE)</f>
        <v>811</v>
      </c>
      <c r="C88" s="626" t="str">
        <f>VLOOKUP($D88,'Retail Rates'!$B$7:$D$38,3,FALSE)</f>
        <v>RGS</v>
      </c>
      <c r="D88" s="90" t="s">
        <v>35</v>
      </c>
      <c r="E88" s="90" t="s">
        <v>36</v>
      </c>
      <c r="F88" s="90" t="s">
        <v>28</v>
      </c>
      <c r="G88" s="90" t="s">
        <v>914</v>
      </c>
      <c r="H88" s="305">
        <v>7856</v>
      </c>
      <c r="I88" s="95">
        <v>603660</v>
      </c>
      <c r="J88" s="94"/>
      <c r="K88" s="95">
        <v>92948.71</v>
      </c>
      <c r="L88" s="94"/>
      <c r="M88" s="95">
        <v>173208.18</v>
      </c>
      <c r="N88" s="95">
        <v>9461.91</v>
      </c>
      <c r="O88" s="95">
        <v>0</v>
      </c>
      <c r="P88" s="95">
        <v>194979.76</v>
      </c>
      <c r="Q88" s="95">
        <v>5474.97</v>
      </c>
      <c r="R88" s="95">
        <v>2189.62</v>
      </c>
      <c r="S88" s="95">
        <v>1738.5</v>
      </c>
      <c r="T88" s="95">
        <v>33367.279999999999</v>
      </c>
      <c r="U88" s="95">
        <v>0</v>
      </c>
      <c r="V88" s="94"/>
      <c r="W88" s="94"/>
      <c r="X88" s="95">
        <v>502168.52</v>
      </c>
      <c r="Y88" s="94"/>
      <c r="Z88" s="94"/>
      <c r="AA88" s="94"/>
      <c r="AB88" s="94"/>
      <c r="AC88" s="94"/>
      <c r="AD88" s="94"/>
      <c r="AE88" s="94"/>
      <c r="AF88" s="94"/>
      <c r="AG88" s="95">
        <v>-142.28</v>
      </c>
      <c r="AH88" s="94"/>
      <c r="AI88" s="95">
        <v>513226.65</v>
      </c>
      <c r="AJ88" s="95">
        <v>0</v>
      </c>
    </row>
    <row r="89" spans="1:36" customFormat="1" ht="15.75" thickBot="1" x14ac:dyDescent="0.3">
      <c r="A89" s="90" t="s">
        <v>869</v>
      </c>
      <c r="B89" s="626" t="str">
        <f>VLOOKUP($D89,'Retail Rates'!$B$7:$D$38,2,FALSE)</f>
        <v>811</v>
      </c>
      <c r="C89" s="626" t="str">
        <f>VLOOKUP($D89,'Retail Rates'!$B$7:$D$38,3,FALSE)</f>
        <v>RGS</v>
      </c>
      <c r="D89" s="90" t="s">
        <v>35</v>
      </c>
      <c r="E89" s="90" t="s">
        <v>36</v>
      </c>
      <c r="F89" s="90" t="s">
        <v>28</v>
      </c>
      <c r="G89" s="90" t="s">
        <v>915</v>
      </c>
      <c r="H89" s="304">
        <v>296777</v>
      </c>
      <c r="I89" s="93">
        <v>24334617</v>
      </c>
      <c r="J89" s="92"/>
      <c r="K89" s="93">
        <v>3995397.47</v>
      </c>
      <c r="L89" s="92"/>
      <c r="M89" s="93">
        <v>6982344.7400000002</v>
      </c>
      <c r="N89" s="93">
        <v>307978.12</v>
      </c>
      <c r="O89" s="93">
        <v>0</v>
      </c>
      <c r="P89" s="93">
        <v>7870649.2599999998</v>
      </c>
      <c r="Q89" s="93">
        <v>220714.85</v>
      </c>
      <c r="R89" s="93">
        <v>1296027.3600000001</v>
      </c>
      <c r="S89" s="93">
        <v>74716.75</v>
      </c>
      <c r="T89" s="93">
        <v>1435334.67</v>
      </c>
      <c r="U89" s="93">
        <v>0</v>
      </c>
      <c r="V89" s="92"/>
      <c r="W89" s="92"/>
      <c r="X89" s="93">
        <v>21800468.350000001</v>
      </c>
      <c r="Y89" s="92"/>
      <c r="Z89" s="92"/>
      <c r="AA89" s="92"/>
      <c r="AB89" s="92"/>
      <c r="AC89" s="92"/>
      <c r="AD89" s="92"/>
      <c r="AE89" s="92"/>
      <c r="AF89" s="92"/>
      <c r="AG89" s="93">
        <v>93704.23</v>
      </c>
      <c r="AH89" s="92"/>
      <c r="AI89" s="93">
        <v>22276867.449999999</v>
      </c>
      <c r="AJ89" s="93">
        <v>0</v>
      </c>
    </row>
    <row r="90" spans="1:36" customFormat="1" ht="15.75" thickBot="1" x14ac:dyDescent="0.3">
      <c r="A90" s="90" t="s">
        <v>869</v>
      </c>
      <c r="B90" s="626" t="str">
        <f>VLOOKUP($D90,'Retail Rates'!$B$7:$D$38,2,FALSE)</f>
        <v>840</v>
      </c>
      <c r="C90" s="626" t="str">
        <f>VLOOKUP($D90,'Retail Rates'!$B$7:$D$38,3,FALSE)</f>
        <v>RGS</v>
      </c>
      <c r="D90" s="90" t="s">
        <v>37</v>
      </c>
      <c r="E90" s="90" t="s">
        <v>38</v>
      </c>
      <c r="F90" s="90" t="s">
        <v>20</v>
      </c>
      <c r="G90" s="90" t="s">
        <v>915</v>
      </c>
      <c r="H90" s="305">
        <v>1</v>
      </c>
      <c r="I90" s="95">
        <v>679</v>
      </c>
      <c r="J90" s="94"/>
      <c r="K90" s="95">
        <v>13.5</v>
      </c>
      <c r="L90" s="94"/>
      <c r="M90" s="95">
        <v>194.83</v>
      </c>
      <c r="N90" s="95">
        <v>0</v>
      </c>
      <c r="O90" s="94"/>
      <c r="P90" s="95">
        <v>219.61</v>
      </c>
      <c r="Q90" s="95">
        <v>6.16</v>
      </c>
      <c r="R90" s="95">
        <v>32</v>
      </c>
      <c r="S90" s="94"/>
      <c r="T90" s="95">
        <v>4.8499999999999996</v>
      </c>
      <c r="U90" s="95">
        <v>0</v>
      </c>
      <c r="V90" s="94"/>
      <c r="W90" s="94"/>
      <c r="X90" s="95">
        <v>470.95</v>
      </c>
      <c r="Y90" s="94"/>
      <c r="Z90" s="94"/>
      <c r="AA90" s="94"/>
      <c r="AB90" s="94"/>
      <c r="AC90" s="94"/>
      <c r="AD90" s="94"/>
      <c r="AE90" s="94"/>
      <c r="AF90" s="94"/>
      <c r="AG90" s="95">
        <v>0</v>
      </c>
      <c r="AH90" s="94"/>
      <c r="AI90" s="95">
        <v>470.95</v>
      </c>
      <c r="AJ90" s="95">
        <v>0</v>
      </c>
    </row>
    <row r="91" spans="1:36" customFormat="1" ht="15.75" thickBot="1" x14ac:dyDescent="0.3">
      <c r="A91" s="90" t="s">
        <v>869</v>
      </c>
      <c r="B91" s="626" t="str">
        <f>VLOOKUP($D91,'Retail Rates'!$B$7:$D$38,2,FALSE)</f>
        <v>840</v>
      </c>
      <c r="C91" s="626" t="str">
        <f>VLOOKUP($D91,'Retail Rates'!$B$7:$D$38,3,FALSE)</f>
        <v>RGS</v>
      </c>
      <c r="D91" s="90" t="s">
        <v>37</v>
      </c>
      <c r="E91" s="90" t="s">
        <v>38</v>
      </c>
      <c r="F91" s="90" t="s">
        <v>28</v>
      </c>
      <c r="G91" s="90" t="s">
        <v>915</v>
      </c>
      <c r="H91" s="304">
        <v>2</v>
      </c>
      <c r="I91" s="93">
        <v>699</v>
      </c>
      <c r="J91" s="92"/>
      <c r="K91" s="93">
        <v>27</v>
      </c>
      <c r="L91" s="92"/>
      <c r="M91" s="93">
        <v>200.57</v>
      </c>
      <c r="N91" s="93">
        <v>6.46</v>
      </c>
      <c r="O91" s="93">
        <v>0</v>
      </c>
      <c r="P91" s="93">
        <v>226.07</v>
      </c>
      <c r="Q91" s="93">
        <v>6.34</v>
      </c>
      <c r="R91" s="93">
        <v>77.88</v>
      </c>
      <c r="S91" s="92"/>
      <c r="T91" s="93">
        <v>9.6999999999999993</v>
      </c>
      <c r="U91" s="93">
        <v>0</v>
      </c>
      <c r="V91" s="92"/>
      <c r="W91" s="92"/>
      <c r="X91" s="93">
        <v>547.55999999999995</v>
      </c>
      <c r="Y91" s="92"/>
      <c r="Z91" s="92"/>
      <c r="AA91" s="92"/>
      <c r="AB91" s="92"/>
      <c r="AC91" s="92"/>
      <c r="AD91" s="92"/>
      <c r="AE91" s="92"/>
      <c r="AF91" s="92"/>
      <c r="AG91" s="93">
        <v>0</v>
      </c>
      <c r="AH91" s="92"/>
      <c r="AI91" s="93">
        <v>554.02</v>
      </c>
      <c r="AJ91" s="93">
        <v>0</v>
      </c>
    </row>
    <row r="92" spans="1:36" customFormat="1" ht="15.75" thickBot="1" x14ac:dyDescent="0.3">
      <c r="A92" s="90" t="s">
        <v>869</v>
      </c>
      <c r="B92" s="626" t="str">
        <f>VLOOKUP($D92,'Retail Rates'!$B$7:$D$38,2,FALSE)</f>
        <v>861</v>
      </c>
      <c r="C92" s="626" t="str">
        <f>VLOOKUP($D92,'Retail Rates'!$B$7:$D$38,3,FALSE)</f>
        <v>CGS</v>
      </c>
      <c r="D92" s="90" t="s">
        <v>29</v>
      </c>
      <c r="E92" s="90" t="s">
        <v>30</v>
      </c>
      <c r="F92" s="90" t="s">
        <v>17</v>
      </c>
      <c r="G92" s="90" t="s">
        <v>914</v>
      </c>
      <c r="H92" s="304">
        <v>10</v>
      </c>
      <c r="I92" s="93">
        <v>11</v>
      </c>
      <c r="J92" s="92"/>
      <c r="K92" s="93">
        <v>440</v>
      </c>
      <c r="L92" s="92"/>
      <c r="M92" s="93">
        <v>2.41</v>
      </c>
      <c r="N92" s="93">
        <v>8.91</v>
      </c>
      <c r="O92" s="93">
        <v>0</v>
      </c>
      <c r="P92" s="93">
        <v>3.53</v>
      </c>
      <c r="Q92" s="93">
        <v>0</v>
      </c>
      <c r="R92" s="92"/>
      <c r="S92" s="92"/>
      <c r="T92" s="92"/>
      <c r="U92" s="93">
        <v>0</v>
      </c>
      <c r="V92" s="92"/>
      <c r="W92" s="92"/>
      <c r="X92" s="93">
        <v>445.94</v>
      </c>
      <c r="Y92" s="92"/>
      <c r="Z92" s="92"/>
      <c r="AA92" s="92"/>
      <c r="AB92" s="92"/>
      <c r="AC92" s="92"/>
      <c r="AD92" s="92"/>
      <c r="AE92" s="92"/>
      <c r="AF92" s="92"/>
      <c r="AG92" s="93">
        <v>27.28</v>
      </c>
      <c r="AH92" s="92"/>
      <c r="AI92" s="93">
        <v>482.13</v>
      </c>
      <c r="AJ92" s="93">
        <v>0</v>
      </c>
    </row>
    <row r="93" spans="1:36" customFormat="1" ht="15.75" thickBot="1" x14ac:dyDescent="0.3">
      <c r="A93" s="90" t="s">
        <v>869</v>
      </c>
      <c r="B93" s="626" t="str">
        <f>VLOOKUP($D93,'Retail Rates'!$B$7:$D$38,2,FALSE)</f>
        <v>861</v>
      </c>
      <c r="C93" s="626" t="str">
        <f>VLOOKUP($D93,'Retail Rates'!$B$7:$D$38,3,FALSE)</f>
        <v>CGS</v>
      </c>
      <c r="D93" s="90" t="s">
        <v>29</v>
      </c>
      <c r="E93" s="90" t="s">
        <v>30</v>
      </c>
      <c r="F93" s="90" t="s">
        <v>17</v>
      </c>
      <c r="G93" s="90" t="s">
        <v>915</v>
      </c>
      <c r="H93" s="305">
        <v>609</v>
      </c>
      <c r="I93" s="95">
        <v>612</v>
      </c>
      <c r="J93" s="94"/>
      <c r="K93" s="95">
        <v>24760</v>
      </c>
      <c r="L93" s="94"/>
      <c r="M93" s="95">
        <v>134.55000000000001</v>
      </c>
      <c r="N93" s="95">
        <v>340.97</v>
      </c>
      <c r="O93" s="95">
        <v>0</v>
      </c>
      <c r="P93" s="95">
        <v>195.93</v>
      </c>
      <c r="Q93" s="95">
        <v>0</v>
      </c>
      <c r="R93" s="94"/>
      <c r="S93" s="94"/>
      <c r="T93" s="94"/>
      <c r="U93" s="95">
        <v>0</v>
      </c>
      <c r="V93" s="94"/>
      <c r="W93" s="94"/>
      <c r="X93" s="95">
        <v>25090.48</v>
      </c>
      <c r="Y93" s="94"/>
      <c r="Z93" s="94"/>
      <c r="AA93" s="94"/>
      <c r="AB93" s="94"/>
      <c r="AC93" s="94"/>
      <c r="AD93" s="94"/>
      <c r="AE93" s="94"/>
      <c r="AF93" s="94"/>
      <c r="AG93" s="95">
        <v>1609.44</v>
      </c>
      <c r="AH93" s="94"/>
      <c r="AI93" s="95">
        <v>27040.89</v>
      </c>
      <c r="AJ93" s="95">
        <v>0</v>
      </c>
    </row>
    <row r="94" spans="1:36" customFormat="1" ht="15.75" thickBot="1" x14ac:dyDescent="0.3">
      <c r="A94" s="90" t="s">
        <v>885</v>
      </c>
      <c r="B94" s="626" t="str">
        <f>VLOOKUP($D94,'Retail Rates'!$B$7:$D$38,2,FALSE)</f>
        <v>851</v>
      </c>
      <c r="C94" s="626" t="str">
        <f>VLOOKUP($D94,'Retail Rates'!$B$7:$D$38,3,FALSE)</f>
        <v>CGS</v>
      </c>
      <c r="D94" s="90" t="s">
        <v>26</v>
      </c>
      <c r="E94" s="90" t="s">
        <v>875</v>
      </c>
      <c r="F94" s="90" t="s">
        <v>17</v>
      </c>
      <c r="G94" s="90" t="s">
        <v>649</v>
      </c>
      <c r="H94" s="304">
        <v>1</v>
      </c>
      <c r="I94" s="93">
        <v>0</v>
      </c>
      <c r="J94" s="92"/>
      <c r="K94" s="93">
        <v>-12</v>
      </c>
      <c r="L94" s="92"/>
      <c r="M94" s="93">
        <v>0</v>
      </c>
      <c r="N94" s="92"/>
      <c r="O94" s="92"/>
      <c r="P94" s="93">
        <v>0</v>
      </c>
      <c r="Q94" s="93">
        <v>0</v>
      </c>
      <c r="R94" s="92"/>
      <c r="S94" s="92"/>
      <c r="T94" s="92"/>
      <c r="U94" s="92"/>
      <c r="V94" s="92"/>
      <c r="W94" s="92"/>
      <c r="X94" s="93">
        <v>-12</v>
      </c>
      <c r="Y94" s="92"/>
      <c r="Z94" s="92"/>
      <c r="AA94" s="92"/>
      <c r="AB94" s="92"/>
      <c r="AC94" s="92"/>
      <c r="AD94" s="92"/>
      <c r="AE94" s="92"/>
      <c r="AF94" s="92"/>
      <c r="AG94" s="93">
        <v>-0.72</v>
      </c>
      <c r="AH94" s="92"/>
      <c r="AI94" s="93">
        <v>-12.72</v>
      </c>
      <c r="AJ94" s="93">
        <v>0</v>
      </c>
    </row>
    <row r="95" spans="1:36" customFormat="1" ht="15.75" thickBot="1" x14ac:dyDescent="0.3">
      <c r="A95" s="90" t="s">
        <v>885</v>
      </c>
      <c r="B95" s="626" t="str">
        <f>VLOOKUP($D95,'Retail Rates'!$B$7:$D$38,2,FALSE)</f>
        <v>851</v>
      </c>
      <c r="C95" s="626" t="str">
        <f>VLOOKUP($D95,'Retail Rates'!$B$7:$D$38,3,FALSE)</f>
        <v>CGS</v>
      </c>
      <c r="D95" s="90" t="s">
        <v>26</v>
      </c>
      <c r="E95" s="90" t="s">
        <v>875</v>
      </c>
      <c r="F95" s="90" t="s">
        <v>17</v>
      </c>
      <c r="G95" s="90" t="s">
        <v>650</v>
      </c>
      <c r="H95" s="305">
        <v>1</v>
      </c>
      <c r="I95" s="95">
        <v>0</v>
      </c>
      <c r="J95" s="94"/>
      <c r="K95" s="95">
        <v>-30</v>
      </c>
      <c r="L95" s="94"/>
      <c r="M95" s="95">
        <v>0</v>
      </c>
      <c r="N95" s="95">
        <v>0</v>
      </c>
      <c r="O95" s="94"/>
      <c r="P95" s="95">
        <v>0</v>
      </c>
      <c r="Q95" s="95">
        <v>0</v>
      </c>
      <c r="R95" s="94"/>
      <c r="S95" s="94"/>
      <c r="T95" s="94"/>
      <c r="U95" s="95">
        <v>0</v>
      </c>
      <c r="V95" s="94"/>
      <c r="W95" s="94"/>
      <c r="X95" s="95">
        <v>-30</v>
      </c>
      <c r="Y95" s="94"/>
      <c r="Z95" s="94"/>
      <c r="AA95" s="94"/>
      <c r="AB95" s="94"/>
      <c r="AC95" s="94"/>
      <c r="AD95" s="94"/>
      <c r="AE95" s="94"/>
      <c r="AF95" s="94"/>
      <c r="AG95" s="95">
        <v>-1.8</v>
      </c>
      <c r="AH95" s="94"/>
      <c r="AI95" s="95">
        <v>-31.8</v>
      </c>
      <c r="AJ95" s="95">
        <v>0</v>
      </c>
    </row>
    <row r="96" spans="1:36" customFormat="1" ht="15.75" thickBot="1" x14ac:dyDescent="0.3">
      <c r="A96" s="90" t="s">
        <v>885</v>
      </c>
      <c r="B96" s="626" t="str">
        <f>VLOOKUP($D96,'Retail Rates'!$B$7:$D$38,2,FALSE)</f>
        <v>851</v>
      </c>
      <c r="C96" s="626" t="str">
        <f>VLOOKUP($D96,'Retail Rates'!$B$7:$D$38,3,FALSE)</f>
        <v>CGS</v>
      </c>
      <c r="D96" s="90" t="s">
        <v>26</v>
      </c>
      <c r="E96" s="90" t="s">
        <v>875</v>
      </c>
      <c r="F96" s="90" t="s">
        <v>17</v>
      </c>
      <c r="G96" s="90" t="s">
        <v>651</v>
      </c>
      <c r="H96" s="304">
        <v>1</v>
      </c>
      <c r="I96" s="93">
        <v>0</v>
      </c>
      <c r="J96" s="92"/>
      <c r="K96" s="93">
        <v>-30</v>
      </c>
      <c r="L96" s="92"/>
      <c r="M96" s="93">
        <v>0</v>
      </c>
      <c r="N96" s="93">
        <v>0</v>
      </c>
      <c r="O96" s="92"/>
      <c r="P96" s="93">
        <v>0</v>
      </c>
      <c r="Q96" s="93">
        <v>0</v>
      </c>
      <c r="R96" s="92"/>
      <c r="S96" s="92"/>
      <c r="T96" s="92"/>
      <c r="U96" s="93">
        <v>0</v>
      </c>
      <c r="V96" s="92"/>
      <c r="W96" s="92"/>
      <c r="X96" s="93">
        <v>-30</v>
      </c>
      <c r="Y96" s="92"/>
      <c r="Z96" s="92"/>
      <c r="AA96" s="92"/>
      <c r="AB96" s="92"/>
      <c r="AC96" s="92"/>
      <c r="AD96" s="92"/>
      <c r="AE96" s="92"/>
      <c r="AF96" s="92"/>
      <c r="AG96" s="93">
        <v>-1.8</v>
      </c>
      <c r="AH96" s="92"/>
      <c r="AI96" s="93">
        <v>-31.8</v>
      </c>
      <c r="AJ96" s="93">
        <v>0</v>
      </c>
    </row>
    <row r="97" spans="1:36" customFormat="1" ht="15.75" thickBot="1" x14ac:dyDescent="0.3">
      <c r="A97" s="90" t="s">
        <v>885</v>
      </c>
      <c r="B97" s="626" t="str">
        <f>VLOOKUP($D97,'Retail Rates'!$B$7:$D$38,2,FALSE)</f>
        <v>851</v>
      </c>
      <c r="C97" s="626" t="str">
        <f>VLOOKUP($D97,'Retail Rates'!$B$7:$D$38,3,FALSE)</f>
        <v>CGS</v>
      </c>
      <c r="D97" s="90" t="s">
        <v>26</v>
      </c>
      <c r="E97" s="90" t="s">
        <v>875</v>
      </c>
      <c r="F97" s="90" t="s">
        <v>17</v>
      </c>
      <c r="G97" s="90" t="s">
        <v>652</v>
      </c>
      <c r="H97" s="305">
        <v>1</v>
      </c>
      <c r="I97" s="95">
        <v>0</v>
      </c>
      <c r="J97" s="94"/>
      <c r="K97" s="95">
        <v>-30</v>
      </c>
      <c r="L97" s="94"/>
      <c r="M97" s="95">
        <v>0</v>
      </c>
      <c r="N97" s="95">
        <v>0</v>
      </c>
      <c r="O97" s="94"/>
      <c r="P97" s="95">
        <v>0</v>
      </c>
      <c r="Q97" s="95">
        <v>0</v>
      </c>
      <c r="R97" s="94"/>
      <c r="S97" s="94"/>
      <c r="T97" s="94"/>
      <c r="U97" s="95">
        <v>0</v>
      </c>
      <c r="V97" s="94"/>
      <c r="W97" s="94"/>
      <c r="X97" s="95">
        <v>-30</v>
      </c>
      <c r="Y97" s="94"/>
      <c r="Z97" s="94"/>
      <c r="AA97" s="94"/>
      <c r="AB97" s="94"/>
      <c r="AC97" s="94"/>
      <c r="AD97" s="94"/>
      <c r="AE97" s="94"/>
      <c r="AF97" s="94"/>
      <c r="AG97" s="95">
        <v>-1.8</v>
      </c>
      <c r="AH97" s="94"/>
      <c r="AI97" s="95">
        <v>-31.8</v>
      </c>
      <c r="AJ97" s="95">
        <v>0</v>
      </c>
    </row>
    <row r="98" spans="1:36" customFormat="1" ht="15.75" thickBot="1" x14ac:dyDescent="0.3">
      <c r="A98" s="90" t="s">
        <v>885</v>
      </c>
      <c r="B98" s="626" t="str">
        <f>VLOOKUP($D98,'Retail Rates'!$B$7:$D$38,2,FALSE)</f>
        <v>851</v>
      </c>
      <c r="C98" s="626" t="str">
        <f>VLOOKUP($D98,'Retail Rates'!$B$7:$D$38,3,FALSE)</f>
        <v>CGS</v>
      </c>
      <c r="D98" s="90" t="s">
        <v>26</v>
      </c>
      <c r="E98" s="90" t="s">
        <v>875</v>
      </c>
      <c r="F98" s="90" t="s">
        <v>17</v>
      </c>
      <c r="G98" s="90" t="s">
        <v>653</v>
      </c>
      <c r="H98" s="304">
        <v>1</v>
      </c>
      <c r="I98" s="93">
        <v>0</v>
      </c>
      <c r="J98" s="92"/>
      <c r="K98" s="93">
        <v>-30</v>
      </c>
      <c r="L98" s="92"/>
      <c r="M98" s="93">
        <v>0</v>
      </c>
      <c r="N98" s="93">
        <v>0</v>
      </c>
      <c r="O98" s="92"/>
      <c r="P98" s="93">
        <v>0</v>
      </c>
      <c r="Q98" s="93">
        <v>0</v>
      </c>
      <c r="R98" s="92"/>
      <c r="S98" s="92"/>
      <c r="T98" s="92"/>
      <c r="U98" s="93">
        <v>0</v>
      </c>
      <c r="V98" s="92"/>
      <c r="W98" s="92"/>
      <c r="X98" s="93">
        <v>-30</v>
      </c>
      <c r="Y98" s="92"/>
      <c r="Z98" s="92"/>
      <c r="AA98" s="92"/>
      <c r="AB98" s="92"/>
      <c r="AC98" s="92"/>
      <c r="AD98" s="92"/>
      <c r="AE98" s="92"/>
      <c r="AF98" s="92"/>
      <c r="AG98" s="93">
        <v>-1.8</v>
      </c>
      <c r="AH98" s="92"/>
      <c r="AI98" s="93">
        <v>-31.8</v>
      </c>
      <c r="AJ98" s="93">
        <v>0</v>
      </c>
    </row>
    <row r="99" spans="1:36" customFormat="1" ht="15.75" thickBot="1" x14ac:dyDescent="0.3">
      <c r="A99" s="90" t="s">
        <v>885</v>
      </c>
      <c r="B99" s="626" t="str">
        <f>VLOOKUP($D99,'Retail Rates'!$B$7:$D$38,2,FALSE)</f>
        <v>851</v>
      </c>
      <c r="C99" s="626" t="str">
        <f>VLOOKUP($D99,'Retail Rates'!$B$7:$D$38,3,FALSE)</f>
        <v>CGS</v>
      </c>
      <c r="D99" s="90" t="s">
        <v>26</v>
      </c>
      <c r="E99" s="90" t="s">
        <v>875</v>
      </c>
      <c r="F99" s="90" t="s">
        <v>17</v>
      </c>
      <c r="G99" s="90" t="s">
        <v>654</v>
      </c>
      <c r="H99" s="305">
        <v>1</v>
      </c>
      <c r="I99" s="95">
        <v>0</v>
      </c>
      <c r="J99" s="94"/>
      <c r="K99" s="95">
        <v>-30</v>
      </c>
      <c r="L99" s="94"/>
      <c r="M99" s="95">
        <v>0</v>
      </c>
      <c r="N99" s="95">
        <v>0</v>
      </c>
      <c r="O99" s="94"/>
      <c r="P99" s="95">
        <v>0</v>
      </c>
      <c r="Q99" s="95">
        <v>0</v>
      </c>
      <c r="R99" s="94"/>
      <c r="S99" s="94"/>
      <c r="T99" s="94"/>
      <c r="U99" s="95">
        <v>0</v>
      </c>
      <c r="V99" s="94"/>
      <c r="W99" s="94"/>
      <c r="X99" s="95">
        <v>-30</v>
      </c>
      <c r="Y99" s="94"/>
      <c r="Z99" s="94"/>
      <c r="AA99" s="94"/>
      <c r="AB99" s="94"/>
      <c r="AC99" s="94"/>
      <c r="AD99" s="94"/>
      <c r="AE99" s="94"/>
      <c r="AF99" s="94"/>
      <c r="AG99" s="95">
        <v>-1.8</v>
      </c>
      <c r="AH99" s="94"/>
      <c r="AI99" s="95">
        <v>-31.8</v>
      </c>
      <c r="AJ99" s="95">
        <v>0</v>
      </c>
    </row>
    <row r="100" spans="1:36" customFormat="1" ht="15.75" thickBot="1" x14ac:dyDescent="0.3">
      <c r="A100" s="90" t="s">
        <v>885</v>
      </c>
      <c r="B100" s="626" t="str">
        <f>VLOOKUP($D100,'Retail Rates'!$B$7:$D$38,2,FALSE)</f>
        <v>851</v>
      </c>
      <c r="C100" s="626" t="str">
        <f>VLOOKUP($D100,'Retail Rates'!$B$7:$D$38,3,FALSE)</f>
        <v>CGS</v>
      </c>
      <c r="D100" s="90" t="s">
        <v>26</v>
      </c>
      <c r="E100" s="90" t="s">
        <v>875</v>
      </c>
      <c r="F100" s="90" t="s">
        <v>17</v>
      </c>
      <c r="G100" s="90" t="s">
        <v>655</v>
      </c>
      <c r="H100" s="304">
        <v>1</v>
      </c>
      <c r="I100" s="93">
        <v>0</v>
      </c>
      <c r="J100" s="92"/>
      <c r="K100" s="93">
        <v>-30</v>
      </c>
      <c r="L100" s="92"/>
      <c r="M100" s="93">
        <v>0</v>
      </c>
      <c r="N100" s="93">
        <v>0</v>
      </c>
      <c r="O100" s="92"/>
      <c r="P100" s="93">
        <v>0</v>
      </c>
      <c r="Q100" s="93">
        <v>0</v>
      </c>
      <c r="R100" s="92"/>
      <c r="S100" s="92"/>
      <c r="T100" s="92"/>
      <c r="U100" s="93">
        <v>0</v>
      </c>
      <c r="V100" s="92"/>
      <c r="W100" s="92"/>
      <c r="X100" s="93">
        <v>-30</v>
      </c>
      <c r="Y100" s="92"/>
      <c r="Z100" s="92"/>
      <c r="AA100" s="92"/>
      <c r="AB100" s="92"/>
      <c r="AC100" s="92"/>
      <c r="AD100" s="92"/>
      <c r="AE100" s="92"/>
      <c r="AF100" s="92"/>
      <c r="AG100" s="93">
        <v>-1.8</v>
      </c>
      <c r="AH100" s="92"/>
      <c r="AI100" s="93">
        <v>-31.8</v>
      </c>
      <c r="AJ100" s="93">
        <v>0</v>
      </c>
    </row>
    <row r="101" spans="1:36" customFormat="1" ht="15.75" thickBot="1" x14ac:dyDescent="0.3">
      <c r="A101" s="90" t="s">
        <v>885</v>
      </c>
      <c r="B101" s="626" t="str">
        <f>VLOOKUP($D101,'Retail Rates'!$B$7:$D$38,2,FALSE)</f>
        <v>851</v>
      </c>
      <c r="C101" s="626" t="str">
        <f>VLOOKUP($D101,'Retail Rates'!$B$7:$D$38,3,FALSE)</f>
        <v>CGS</v>
      </c>
      <c r="D101" s="90" t="s">
        <v>26</v>
      </c>
      <c r="E101" s="90" t="s">
        <v>875</v>
      </c>
      <c r="F101" s="90" t="s">
        <v>17</v>
      </c>
      <c r="G101" s="90" t="s">
        <v>656</v>
      </c>
      <c r="H101" s="305">
        <v>1</v>
      </c>
      <c r="I101" s="95">
        <v>0</v>
      </c>
      <c r="J101" s="94"/>
      <c r="K101" s="95">
        <v>-30</v>
      </c>
      <c r="L101" s="94"/>
      <c r="M101" s="95">
        <v>0</v>
      </c>
      <c r="N101" s="95">
        <v>0</v>
      </c>
      <c r="O101" s="94"/>
      <c r="P101" s="95">
        <v>0</v>
      </c>
      <c r="Q101" s="95">
        <v>0</v>
      </c>
      <c r="R101" s="94"/>
      <c r="S101" s="94"/>
      <c r="T101" s="94"/>
      <c r="U101" s="95">
        <v>0</v>
      </c>
      <c r="V101" s="94"/>
      <c r="W101" s="94"/>
      <c r="X101" s="95">
        <v>-30</v>
      </c>
      <c r="Y101" s="94"/>
      <c r="Z101" s="94"/>
      <c r="AA101" s="94"/>
      <c r="AB101" s="94"/>
      <c r="AC101" s="94"/>
      <c r="AD101" s="94"/>
      <c r="AE101" s="94"/>
      <c r="AF101" s="94"/>
      <c r="AG101" s="95">
        <v>-1.8</v>
      </c>
      <c r="AH101" s="94"/>
      <c r="AI101" s="95">
        <v>-31.8</v>
      </c>
      <c r="AJ101" s="95">
        <v>0</v>
      </c>
    </row>
    <row r="102" spans="1:36" customFormat="1" ht="15.75" thickBot="1" x14ac:dyDescent="0.3">
      <c r="A102" s="90" t="s">
        <v>885</v>
      </c>
      <c r="B102" s="626" t="str">
        <f>VLOOKUP($D102,'Retail Rates'!$B$7:$D$38,2,FALSE)</f>
        <v>851</v>
      </c>
      <c r="C102" s="626" t="str">
        <f>VLOOKUP($D102,'Retail Rates'!$B$7:$D$38,3,FALSE)</f>
        <v>CGS</v>
      </c>
      <c r="D102" s="90" t="s">
        <v>26</v>
      </c>
      <c r="E102" s="90" t="s">
        <v>875</v>
      </c>
      <c r="F102" s="90" t="s">
        <v>17</v>
      </c>
      <c r="G102" s="90" t="s">
        <v>657</v>
      </c>
      <c r="H102" s="304">
        <v>1</v>
      </c>
      <c r="I102" s="93">
        <v>0</v>
      </c>
      <c r="J102" s="92"/>
      <c r="K102" s="93">
        <v>-34.31</v>
      </c>
      <c r="L102" s="92"/>
      <c r="M102" s="93">
        <v>0</v>
      </c>
      <c r="N102" s="93">
        <v>0</v>
      </c>
      <c r="O102" s="92"/>
      <c r="P102" s="93">
        <v>0</v>
      </c>
      <c r="Q102" s="93">
        <v>0</v>
      </c>
      <c r="R102" s="92"/>
      <c r="S102" s="92"/>
      <c r="T102" s="93">
        <v>-9.69</v>
      </c>
      <c r="U102" s="93">
        <v>0</v>
      </c>
      <c r="V102" s="92"/>
      <c r="W102" s="92"/>
      <c r="X102" s="93">
        <v>-44</v>
      </c>
      <c r="Y102" s="92"/>
      <c r="Z102" s="92"/>
      <c r="AA102" s="92"/>
      <c r="AB102" s="92"/>
      <c r="AC102" s="92"/>
      <c r="AD102" s="92"/>
      <c r="AE102" s="92"/>
      <c r="AF102" s="92"/>
      <c r="AG102" s="93">
        <v>-2.64</v>
      </c>
      <c r="AH102" s="92"/>
      <c r="AI102" s="93">
        <v>-46.64</v>
      </c>
      <c r="AJ102" s="93">
        <v>0</v>
      </c>
    </row>
    <row r="103" spans="1:36" customFormat="1" ht="15.75" thickBot="1" x14ac:dyDescent="0.3">
      <c r="A103" s="90" t="s">
        <v>885</v>
      </c>
      <c r="B103" s="626" t="str">
        <f>VLOOKUP($D103,'Retail Rates'!$B$7:$D$38,2,FALSE)</f>
        <v>851</v>
      </c>
      <c r="C103" s="626" t="str">
        <f>VLOOKUP($D103,'Retail Rates'!$B$7:$D$38,3,FALSE)</f>
        <v>CGS</v>
      </c>
      <c r="D103" s="90" t="s">
        <v>26</v>
      </c>
      <c r="E103" s="90" t="s">
        <v>875</v>
      </c>
      <c r="F103" s="90" t="s">
        <v>17</v>
      </c>
      <c r="G103" s="90" t="s">
        <v>658</v>
      </c>
      <c r="H103" s="305">
        <v>1</v>
      </c>
      <c r="I103" s="95">
        <v>0</v>
      </c>
      <c r="J103" s="94"/>
      <c r="K103" s="95">
        <v>-35</v>
      </c>
      <c r="L103" s="94"/>
      <c r="M103" s="95">
        <v>0</v>
      </c>
      <c r="N103" s="95">
        <v>0</v>
      </c>
      <c r="O103" s="94"/>
      <c r="P103" s="95">
        <v>0</v>
      </c>
      <c r="Q103" s="95">
        <v>0</v>
      </c>
      <c r="R103" s="94"/>
      <c r="S103" s="94"/>
      <c r="T103" s="95">
        <v>-11.24</v>
      </c>
      <c r="U103" s="95">
        <v>0</v>
      </c>
      <c r="V103" s="94"/>
      <c r="W103" s="94"/>
      <c r="X103" s="95">
        <v>-46.24</v>
      </c>
      <c r="Y103" s="94"/>
      <c r="Z103" s="94"/>
      <c r="AA103" s="94"/>
      <c r="AB103" s="94"/>
      <c r="AC103" s="94"/>
      <c r="AD103" s="94"/>
      <c r="AE103" s="94"/>
      <c r="AF103" s="94"/>
      <c r="AG103" s="95">
        <v>-2.77</v>
      </c>
      <c r="AH103" s="94"/>
      <c r="AI103" s="95">
        <v>-49.01</v>
      </c>
      <c r="AJ103" s="95">
        <v>0</v>
      </c>
    </row>
    <row r="104" spans="1:36" customFormat="1" ht="15.75" thickBot="1" x14ac:dyDescent="0.3">
      <c r="A104" s="90" t="s">
        <v>885</v>
      </c>
      <c r="B104" s="626" t="str">
        <f>VLOOKUP($D104,'Retail Rates'!$B$7:$D$38,2,FALSE)</f>
        <v>851</v>
      </c>
      <c r="C104" s="626" t="str">
        <f>VLOOKUP($D104,'Retail Rates'!$B$7:$D$38,3,FALSE)</f>
        <v>CGS</v>
      </c>
      <c r="D104" s="90" t="s">
        <v>26</v>
      </c>
      <c r="E104" s="90" t="s">
        <v>875</v>
      </c>
      <c r="F104" s="90" t="s">
        <v>17</v>
      </c>
      <c r="G104" s="90" t="s">
        <v>659</v>
      </c>
      <c r="H104" s="304">
        <v>1</v>
      </c>
      <c r="I104" s="93">
        <v>0</v>
      </c>
      <c r="J104" s="92"/>
      <c r="K104" s="93">
        <v>-35</v>
      </c>
      <c r="L104" s="92"/>
      <c r="M104" s="93">
        <v>0</v>
      </c>
      <c r="N104" s="93">
        <v>0</v>
      </c>
      <c r="O104" s="92"/>
      <c r="P104" s="93">
        <v>0</v>
      </c>
      <c r="Q104" s="93">
        <v>0</v>
      </c>
      <c r="R104" s="92"/>
      <c r="S104" s="92"/>
      <c r="T104" s="93">
        <v>-11.24</v>
      </c>
      <c r="U104" s="93">
        <v>0</v>
      </c>
      <c r="V104" s="92"/>
      <c r="W104" s="92"/>
      <c r="X104" s="93">
        <v>-46.24</v>
      </c>
      <c r="Y104" s="92"/>
      <c r="Z104" s="92"/>
      <c r="AA104" s="92"/>
      <c r="AB104" s="92"/>
      <c r="AC104" s="92"/>
      <c r="AD104" s="92"/>
      <c r="AE104" s="92"/>
      <c r="AF104" s="92"/>
      <c r="AG104" s="93">
        <v>-2.77</v>
      </c>
      <c r="AH104" s="92"/>
      <c r="AI104" s="93">
        <v>-49.01</v>
      </c>
      <c r="AJ104" s="93">
        <v>0</v>
      </c>
    </row>
    <row r="105" spans="1:36" customFormat="1" ht="15.75" thickBot="1" x14ac:dyDescent="0.3">
      <c r="A105" s="90" t="s">
        <v>885</v>
      </c>
      <c r="B105" s="626" t="str">
        <f>VLOOKUP($D105,'Retail Rates'!$B$7:$D$38,2,FALSE)</f>
        <v>851</v>
      </c>
      <c r="C105" s="626" t="str">
        <f>VLOOKUP($D105,'Retail Rates'!$B$7:$D$38,3,FALSE)</f>
        <v>CGS</v>
      </c>
      <c r="D105" s="90" t="s">
        <v>26</v>
      </c>
      <c r="E105" s="90" t="s">
        <v>875</v>
      </c>
      <c r="F105" s="90" t="s">
        <v>17</v>
      </c>
      <c r="G105" s="90" t="s">
        <v>660</v>
      </c>
      <c r="H105" s="305">
        <v>1</v>
      </c>
      <c r="I105" s="95">
        <v>0</v>
      </c>
      <c r="J105" s="94"/>
      <c r="K105" s="95">
        <v>-35</v>
      </c>
      <c r="L105" s="94"/>
      <c r="M105" s="95">
        <v>0</v>
      </c>
      <c r="N105" s="95">
        <v>0</v>
      </c>
      <c r="O105" s="94"/>
      <c r="P105" s="95">
        <v>0</v>
      </c>
      <c r="Q105" s="95">
        <v>0</v>
      </c>
      <c r="R105" s="94"/>
      <c r="S105" s="94"/>
      <c r="T105" s="95">
        <v>-11.24</v>
      </c>
      <c r="U105" s="95">
        <v>0</v>
      </c>
      <c r="V105" s="94"/>
      <c r="W105" s="94"/>
      <c r="X105" s="95">
        <v>-46.24</v>
      </c>
      <c r="Y105" s="94"/>
      <c r="Z105" s="94"/>
      <c r="AA105" s="94"/>
      <c r="AB105" s="94"/>
      <c r="AC105" s="94"/>
      <c r="AD105" s="94"/>
      <c r="AE105" s="94"/>
      <c r="AF105" s="94"/>
      <c r="AG105" s="95">
        <v>-2.77</v>
      </c>
      <c r="AH105" s="94"/>
      <c r="AI105" s="95">
        <v>-49.01</v>
      </c>
      <c r="AJ105" s="95">
        <v>0</v>
      </c>
    </row>
    <row r="106" spans="1:36" customFormat="1" ht="15.75" thickBot="1" x14ac:dyDescent="0.3">
      <c r="A106" s="90" t="s">
        <v>885</v>
      </c>
      <c r="B106" s="626" t="str">
        <f>VLOOKUP($D106,'Retail Rates'!$B$7:$D$38,2,FALSE)</f>
        <v>851</v>
      </c>
      <c r="C106" s="626" t="str">
        <f>VLOOKUP($D106,'Retail Rates'!$B$7:$D$38,3,FALSE)</f>
        <v>CGS</v>
      </c>
      <c r="D106" s="90" t="s">
        <v>26</v>
      </c>
      <c r="E106" s="90" t="s">
        <v>875</v>
      </c>
      <c r="F106" s="90" t="s">
        <v>17</v>
      </c>
      <c r="G106" s="90" t="s">
        <v>665</v>
      </c>
      <c r="H106" s="304">
        <v>1</v>
      </c>
      <c r="I106" s="93">
        <v>0</v>
      </c>
      <c r="J106" s="92"/>
      <c r="K106" s="93">
        <v>-35</v>
      </c>
      <c r="L106" s="92"/>
      <c r="M106" s="93">
        <v>0</v>
      </c>
      <c r="N106" s="93">
        <v>0</v>
      </c>
      <c r="O106" s="92"/>
      <c r="P106" s="93">
        <v>0</v>
      </c>
      <c r="Q106" s="93">
        <v>0</v>
      </c>
      <c r="R106" s="92"/>
      <c r="S106" s="92"/>
      <c r="T106" s="93">
        <v>-11.24</v>
      </c>
      <c r="U106" s="93">
        <v>0</v>
      </c>
      <c r="V106" s="92"/>
      <c r="W106" s="92"/>
      <c r="X106" s="93">
        <v>-46.24</v>
      </c>
      <c r="Y106" s="92"/>
      <c r="Z106" s="92"/>
      <c r="AA106" s="92"/>
      <c r="AB106" s="92"/>
      <c r="AC106" s="92"/>
      <c r="AD106" s="92"/>
      <c r="AE106" s="92"/>
      <c r="AF106" s="92"/>
      <c r="AG106" s="93">
        <v>-2.77</v>
      </c>
      <c r="AH106" s="92"/>
      <c r="AI106" s="93">
        <v>-49.01</v>
      </c>
      <c r="AJ106" s="93">
        <v>0</v>
      </c>
    </row>
    <row r="107" spans="1:36" customFormat="1" ht="15.75" thickBot="1" x14ac:dyDescent="0.3">
      <c r="A107" s="90" t="s">
        <v>885</v>
      </c>
      <c r="B107" s="626" t="str">
        <f>VLOOKUP($D107,'Retail Rates'!$B$7:$D$38,2,FALSE)</f>
        <v>851</v>
      </c>
      <c r="C107" s="626" t="str">
        <f>VLOOKUP($D107,'Retail Rates'!$B$7:$D$38,3,FALSE)</f>
        <v>CGS</v>
      </c>
      <c r="D107" s="90" t="s">
        <v>26</v>
      </c>
      <c r="E107" s="90" t="s">
        <v>875</v>
      </c>
      <c r="F107" s="90" t="s">
        <v>17</v>
      </c>
      <c r="G107" s="90" t="s">
        <v>713</v>
      </c>
      <c r="H107" s="305">
        <v>1</v>
      </c>
      <c r="I107" s="95">
        <v>0</v>
      </c>
      <c r="J107" s="94"/>
      <c r="K107" s="95">
        <v>-35</v>
      </c>
      <c r="L107" s="94"/>
      <c r="M107" s="95">
        <v>0</v>
      </c>
      <c r="N107" s="95">
        <v>0</v>
      </c>
      <c r="O107" s="94"/>
      <c r="P107" s="95">
        <v>0</v>
      </c>
      <c r="Q107" s="95">
        <v>0</v>
      </c>
      <c r="R107" s="94"/>
      <c r="S107" s="94"/>
      <c r="T107" s="95">
        <v>-11.24</v>
      </c>
      <c r="U107" s="95">
        <v>0</v>
      </c>
      <c r="V107" s="94"/>
      <c r="W107" s="94"/>
      <c r="X107" s="95">
        <v>-46.24</v>
      </c>
      <c r="Y107" s="94"/>
      <c r="Z107" s="94"/>
      <c r="AA107" s="94"/>
      <c r="AB107" s="94"/>
      <c r="AC107" s="94"/>
      <c r="AD107" s="94"/>
      <c r="AE107" s="94"/>
      <c r="AF107" s="94"/>
      <c r="AG107" s="95">
        <v>-2.77</v>
      </c>
      <c r="AH107" s="94"/>
      <c r="AI107" s="95">
        <v>-49.01</v>
      </c>
      <c r="AJ107" s="95">
        <v>0</v>
      </c>
    </row>
    <row r="108" spans="1:36" customFormat="1" ht="15.75" thickBot="1" x14ac:dyDescent="0.3">
      <c r="A108" s="90" t="s">
        <v>885</v>
      </c>
      <c r="B108" s="626" t="str">
        <f>VLOOKUP($D108,'Retail Rates'!$B$7:$D$38,2,FALSE)</f>
        <v>851</v>
      </c>
      <c r="C108" s="626" t="str">
        <f>VLOOKUP($D108,'Retail Rates'!$B$7:$D$38,3,FALSE)</f>
        <v>CGS</v>
      </c>
      <c r="D108" s="90" t="s">
        <v>26</v>
      </c>
      <c r="E108" s="90" t="s">
        <v>875</v>
      </c>
      <c r="F108" s="90" t="s">
        <v>17</v>
      </c>
      <c r="G108" s="90" t="s">
        <v>714</v>
      </c>
      <c r="H108" s="304">
        <v>1</v>
      </c>
      <c r="I108" s="93">
        <v>0</v>
      </c>
      <c r="J108" s="92"/>
      <c r="K108" s="93">
        <v>-35</v>
      </c>
      <c r="L108" s="92"/>
      <c r="M108" s="93">
        <v>0</v>
      </c>
      <c r="N108" s="93">
        <v>0</v>
      </c>
      <c r="O108" s="92"/>
      <c r="P108" s="93">
        <v>0</v>
      </c>
      <c r="Q108" s="93">
        <v>0</v>
      </c>
      <c r="R108" s="92"/>
      <c r="S108" s="92"/>
      <c r="T108" s="93">
        <v>-11.24</v>
      </c>
      <c r="U108" s="93">
        <v>0</v>
      </c>
      <c r="V108" s="92"/>
      <c r="W108" s="92"/>
      <c r="X108" s="93">
        <v>-46.24</v>
      </c>
      <c r="Y108" s="92"/>
      <c r="Z108" s="92"/>
      <c r="AA108" s="92"/>
      <c r="AB108" s="92"/>
      <c r="AC108" s="92"/>
      <c r="AD108" s="92"/>
      <c r="AE108" s="92"/>
      <c r="AF108" s="92"/>
      <c r="AG108" s="93">
        <v>-2.77</v>
      </c>
      <c r="AH108" s="92"/>
      <c r="AI108" s="93">
        <v>-49.01</v>
      </c>
      <c r="AJ108" s="93">
        <v>0</v>
      </c>
    </row>
    <row r="109" spans="1:36" customFormat="1" ht="15.75" thickBot="1" x14ac:dyDescent="0.3">
      <c r="A109" s="90" t="s">
        <v>885</v>
      </c>
      <c r="B109" s="626" t="str">
        <f>VLOOKUP($D109,'Retail Rates'!$B$7:$D$38,2,FALSE)</f>
        <v>851</v>
      </c>
      <c r="C109" s="626" t="str">
        <f>VLOOKUP($D109,'Retail Rates'!$B$7:$D$38,3,FALSE)</f>
        <v>CGS</v>
      </c>
      <c r="D109" s="90" t="s">
        <v>26</v>
      </c>
      <c r="E109" s="90" t="s">
        <v>875</v>
      </c>
      <c r="F109" s="90" t="s">
        <v>17</v>
      </c>
      <c r="G109" s="90" t="s">
        <v>721</v>
      </c>
      <c r="H109" s="305">
        <v>1</v>
      </c>
      <c r="I109" s="95">
        <v>0</v>
      </c>
      <c r="J109" s="94"/>
      <c r="K109" s="95">
        <v>-35</v>
      </c>
      <c r="L109" s="94"/>
      <c r="M109" s="95">
        <v>0</v>
      </c>
      <c r="N109" s="95">
        <v>0</v>
      </c>
      <c r="O109" s="94"/>
      <c r="P109" s="95">
        <v>0</v>
      </c>
      <c r="Q109" s="95">
        <v>0</v>
      </c>
      <c r="R109" s="94"/>
      <c r="S109" s="94"/>
      <c r="T109" s="95">
        <v>-11.24</v>
      </c>
      <c r="U109" s="95">
        <v>0</v>
      </c>
      <c r="V109" s="94"/>
      <c r="W109" s="94"/>
      <c r="X109" s="95">
        <v>-46.24</v>
      </c>
      <c r="Y109" s="94"/>
      <c r="Z109" s="94"/>
      <c r="AA109" s="94"/>
      <c r="AB109" s="94"/>
      <c r="AC109" s="94"/>
      <c r="AD109" s="94"/>
      <c r="AE109" s="94"/>
      <c r="AF109" s="94"/>
      <c r="AG109" s="95">
        <v>-2.77</v>
      </c>
      <c r="AH109" s="94"/>
      <c r="AI109" s="95">
        <v>-49.01</v>
      </c>
      <c r="AJ109" s="95">
        <v>0</v>
      </c>
    </row>
    <row r="110" spans="1:36" customFormat="1" ht="15.75" thickBot="1" x14ac:dyDescent="0.3">
      <c r="A110" s="90" t="s">
        <v>885</v>
      </c>
      <c r="B110" s="626" t="str">
        <f>VLOOKUP($D110,'Retail Rates'!$B$7:$D$38,2,FALSE)</f>
        <v>851</v>
      </c>
      <c r="C110" s="626" t="str">
        <f>VLOOKUP($D110,'Retail Rates'!$B$7:$D$38,3,FALSE)</f>
        <v>CGS</v>
      </c>
      <c r="D110" s="90" t="s">
        <v>26</v>
      </c>
      <c r="E110" s="90" t="s">
        <v>875</v>
      </c>
      <c r="F110" s="90" t="s">
        <v>17</v>
      </c>
      <c r="G110" s="90" t="s">
        <v>722</v>
      </c>
      <c r="H110" s="304">
        <v>1</v>
      </c>
      <c r="I110" s="93">
        <v>0</v>
      </c>
      <c r="J110" s="92"/>
      <c r="K110" s="93">
        <v>-35</v>
      </c>
      <c r="L110" s="92"/>
      <c r="M110" s="93">
        <v>0</v>
      </c>
      <c r="N110" s="93">
        <v>0</v>
      </c>
      <c r="O110" s="92"/>
      <c r="P110" s="93">
        <v>0</v>
      </c>
      <c r="Q110" s="93">
        <v>0</v>
      </c>
      <c r="R110" s="92"/>
      <c r="S110" s="92"/>
      <c r="T110" s="93">
        <v>-11.24</v>
      </c>
      <c r="U110" s="93">
        <v>0</v>
      </c>
      <c r="V110" s="92"/>
      <c r="W110" s="92"/>
      <c r="X110" s="93">
        <v>-46.24</v>
      </c>
      <c r="Y110" s="92"/>
      <c r="Z110" s="92"/>
      <c r="AA110" s="92"/>
      <c r="AB110" s="92"/>
      <c r="AC110" s="92"/>
      <c r="AD110" s="92"/>
      <c r="AE110" s="92"/>
      <c r="AF110" s="92"/>
      <c r="AG110" s="93">
        <v>-2.77</v>
      </c>
      <c r="AH110" s="92"/>
      <c r="AI110" s="93">
        <v>-49.01</v>
      </c>
      <c r="AJ110" s="93">
        <v>0</v>
      </c>
    </row>
    <row r="111" spans="1:36" customFormat="1" ht="15.75" thickBot="1" x14ac:dyDescent="0.3">
      <c r="A111" s="90" t="s">
        <v>885</v>
      </c>
      <c r="B111" s="626" t="str">
        <f>VLOOKUP($D111,'Retail Rates'!$B$7:$D$38,2,FALSE)</f>
        <v>851</v>
      </c>
      <c r="C111" s="626" t="str">
        <f>VLOOKUP($D111,'Retail Rates'!$B$7:$D$38,3,FALSE)</f>
        <v>CGS</v>
      </c>
      <c r="D111" s="90" t="s">
        <v>26</v>
      </c>
      <c r="E111" s="90" t="s">
        <v>875</v>
      </c>
      <c r="F111" s="90" t="s">
        <v>17</v>
      </c>
      <c r="G111" s="90" t="s">
        <v>723</v>
      </c>
      <c r="H111" s="305">
        <v>1</v>
      </c>
      <c r="I111" s="95">
        <v>0</v>
      </c>
      <c r="J111" s="94"/>
      <c r="K111" s="95">
        <v>-35</v>
      </c>
      <c r="L111" s="94"/>
      <c r="M111" s="95">
        <v>0</v>
      </c>
      <c r="N111" s="95">
        <v>0</v>
      </c>
      <c r="O111" s="94"/>
      <c r="P111" s="95">
        <v>0</v>
      </c>
      <c r="Q111" s="95">
        <v>0</v>
      </c>
      <c r="R111" s="94"/>
      <c r="S111" s="94"/>
      <c r="T111" s="95">
        <v>-11.24</v>
      </c>
      <c r="U111" s="95">
        <v>0</v>
      </c>
      <c r="V111" s="94"/>
      <c r="W111" s="94"/>
      <c r="X111" s="95">
        <v>-46.24</v>
      </c>
      <c r="Y111" s="94"/>
      <c r="Z111" s="94"/>
      <c r="AA111" s="94"/>
      <c r="AB111" s="94"/>
      <c r="AC111" s="94"/>
      <c r="AD111" s="94"/>
      <c r="AE111" s="94"/>
      <c r="AF111" s="94"/>
      <c r="AG111" s="95">
        <v>-2.77</v>
      </c>
      <c r="AH111" s="94"/>
      <c r="AI111" s="95">
        <v>-49.01</v>
      </c>
      <c r="AJ111" s="95">
        <v>0</v>
      </c>
    </row>
    <row r="112" spans="1:36" customFormat="1" ht="15.75" thickBot="1" x14ac:dyDescent="0.3">
      <c r="A112" s="90" t="s">
        <v>885</v>
      </c>
      <c r="B112" s="626" t="str">
        <f>VLOOKUP($D112,'Retail Rates'!$B$7:$D$38,2,FALSE)</f>
        <v>851</v>
      </c>
      <c r="C112" s="626" t="str">
        <f>VLOOKUP($D112,'Retail Rates'!$B$7:$D$38,3,FALSE)</f>
        <v>CGS</v>
      </c>
      <c r="D112" s="90" t="s">
        <v>26</v>
      </c>
      <c r="E112" s="90" t="s">
        <v>875</v>
      </c>
      <c r="F112" s="90" t="s">
        <v>17</v>
      </c>
      <c r="G112" s="90" t="s">
        <v>724</v>
      </c>
      <c r="H112" s="304">
        <v>1</v>
      </c>
      <c r="I112" s="93">
        <v>0</v>
      </c>
      <c r="J112" s="92"/>
      <c r="K112" s="93">
        <v>-35</v>
      </c>
      <c r="L112" s="92"/>
      <c r="M112" s="93">
        <v>0</v>
      </c>
      <c r="N112" s="93">
        <v>0</v>
      </c>
      <c r="O112" s="92"/>
      <c r="P112" s="93">
        <v>0</v>
      </c>
      <c r="Q112" s="93">
        <v>0</v>
      </c>
      <c r="R112" s="92"/>
      <c r="S112" s="92"/>
      <c r="T112" s="93">
        <v>-11.24</v>
      </c>
      <c r="U112" s="93">
        <v>0</v>
      </c>
      <c r="V112" s="92"/>
      <c r="W112" s="92"/>
      <c r="X112" s="93">
        <v>-46.24</v>
      </c>
      <c r="Y112" s="92"/>
      <c r="Z112" s="92"/>
      <c r="AA112" s="92"/>
      <c r="AB112" s="92"/>
      <c r="AC112" s="92"/>
      <c r="AD112" s="92"/>
      <c r="AE112" s="92"/>
      <c r="AF112" s="92"/>
      <c r="AG112" s="93">
        <v>-2.77</v>
      </c>
      <c r="AH112" s="92"/>
      <c r="AI112" s="93">
        <v>-49.01</v>
      </c>
      <c r="AJ112" s="93">
        <v>0</v>
      </c>
    </row>
    <row r="113" spans="1:36" customFormat="1" ht="15.75" thickBot="1" x14ac:dyDescent="0.3">
      <c r="A113" s="90" t="s">
        <v>885</v>
      </c>
      <c r="B113" s="626" t="str">
        <f>VLOOKUP($D113,'Retail Rates'!$B$7:$D$38,2,FALSE)</f>
        <v>851</v>
      </c>
      <c r="C113" s="626" t="str">
        <f>VLOOKUP($D113,'Retail Rates'!$B$7:$D$38,3,FALSE)</f>
        <v>CGS</v>
      </c>
      <c r="D113" s="90" t="s">
        <v>26</v>
      </c>
      <c r="E113" s="90" t="s">
        <v>875</v>
      </c>
      <c r="F113" s="90" t="s">
        <v>17</v>
      </c>
      <c r="G113" s="90" t="s">
        <v>725</v>
      </c>
      <c r="H113" s="305">
        <v>1</v>
      </c>
      <c r="I113" s="95">
        <v>0</v>
      </c>
      <c r="J113" s="94"/>
      <c r="K113" s="95">
        <v>-35</v>
      </c>
      <c r="L113" s="94"/>
      <c r="M113" s="95">
        <v>0</v>
      </c>
      <c r="N113" s="95">
        <v>0</v>
      </c>
      <c r="O113" s="94"/>
      <c r="P113" s="95">
        <v>0</v>
      </c>
      <c r="Q113" s="95">
        <v>0</v>
      </c>
      <c r="R113" s="94"/>
      <c r="S113" s="94"/>
      <c r="T113" s="95">
        <v>-11.24</v>
      </c>
      <c r="U113" s="95">
        <v>0</v>
      </c>
      <c r="V113" s="94"/>
      <c r="W113" s="94"/>
      <c r="X113" s="95">
        <v>-46.24</v>
      </c>
      <c r="Y113" s="94"/>
      <c r="Z113" s="94"/>
      <c r="AA113" s="94"/>
      <c r="AB113" s="94"/>
      <c r="AC113" s="94"/>
      <c r="AD113" s="94"/>
      <c r="AE113" s="94"/>
      <c r="AF113" s="94"/>
      <c r="AG113" s="95">
        <v>-2.77</v>
      </c>
      <c r="AH113" s="94"/>
      <c r="AI113" s="95">
        <v>-49.01</v>
      </c>
      <c r="AJ113" s="95">
        <v>0</v>
      </c>
    </row>
    <row r="114" spans="1:36" customFormat="1" ht="15.75" thickBot="1" x14ac:dyDescent="0.3">
      <c r="A114" s="90" t="s">
        <v>885</v>
      </c>
      <c r="B114" s="626" t="str">
        <f>VLOOKUP($D114,'Retail Rates'!$B$7:$D$38,2,FALSE)</f>
        <v>851</v>
      </c>
      <c r="C114" s="626" t="str">
        <f>VLOOKUP($D114,'Retail Rates'!$B$7:$D$38,3,FALSE)</f>
        <v>CGS</v>
      </c>
      <c r="D114" s="90" t="s">
        <v>26</v>
      </c>
      <c r="E114" s="90" t="s">
        <v>875</v>
      </c>
      <c r="F114" s="90" t="s">
        <v>17</v>
      </c>
      <c r="G114" s="90" t="s">
        <v>758</v>
      </c>
      <c r="H114" s="304">
        <v>1</v>
      </c>
      <c r="I114" s="93">
        <v>0</v>
      </c>
      <c r="J114" s="92"/>
      <c r="K114" s="93">
        <v>-35</v>
      </c>
      <c r="L114" s="92"/>
      <c r="M114" s="93">
        <v>0</v>
      </c>
      <c r="N114" s="93">
        <v>0</v>
      </c>
      <c r="O114" s="92"/>
      <c r="P114" s="93">
        <v>0</v>
      </c>
      <c r="Q114" s="93">
        <v>0</v>
      </c>
      <c r="R114" s="92"/>
      <c r="S114" s="92"/>
      <c r="T114" s="93">
        <v>-10.6</v>
      </c>
      <c r="U114" s="93">
        <v>0</v>
      </c>
      <c r="V114" s="92"/>
      <c r="W114" s="92"/>
      <c r="X114" s="93">
        <v>-45.6</v>
      </c>
      <c r="Y114" s="92"/>
      <c r="Z114" s="92"/>
      <c r="AA114" s="92"/>
      <c r="AB114" s="92"/>
      <c r="AC114" s="92"/>
      <c r="AD114" s="92"/>
      <c r="AE114" s="92"/>
      <c r="AF114" s="92"/>
      <c r="AG114" s="93">
        <v>-2.74</v>
      </c>
      <c r="AH114" s="92"/>
      <c r="AI114" s="93">
        <v>-48.34</v>
      </c>
      <c r="AJ114" s="93">
        <v>0</v>
      </c>
    </row>
    <row r="115" spans="1:36" customFormat="1" ht="15.75" thickBot="1" x14ac:dyDescent="0.3">
      <c r="A115" s="90" t="s">
        <v>885</v>
      </c>
      <c r="B115" s="626" t="str">
        <f>VLOOKUP($D115,'Retail Rates'!$B$7:$D$38,2,FALSE)</f>
        <v>851</v>
      </c>
      <c r="C115" s="626" t="str">
        <f>VLOOKUP($D115,'Retail Rates'!$B$7:$D$38,3,FALSE)</f>
        <v>CGS</v>
      </c>
      <c r="D115" s="90" t="s">
        <v>26</v>
      </c>
      <c r="E115" s="90" t="s">
        <v>875</v>
      </c>
      <c r="F115" s="90" t="s">
        <v>17</v>
      </c>
      <c r="G115" s="90" t="s">
        <v>759</v>
      </c>
      <c r="H115" s="305">
        <v>1</v>
      </c>
      <c r="I115" s="95">
        <v>0</v>
      </c>
      <c r="J115" s="94"/>
      <c r="K115" s="95">
        <v>-35</v>
      </c>
      <c r="L115" s="94"/>
      <c r="M115" s="95">
        <v>0</v>
      </c>
      <c r="N115" s="95">
        <v>0</v>
      </c>
      <c r="O115" s="94"/>
      <c r="P115" s="95">
        <v>0</v>
      </c>
      <c r="Q115" s="95">
        <v>0</v>
      </c>
      <c r="R115" s="94"/>
      <c r="S115" s="94"/>
      <c r="T115" s="95">
        <v>-10.54</v>
      </c>
      <c r="U115" s="95">
        <v>0</v>
      </c>
      <c r="V115" s="94"/>
      <c r="W115" s="94"/>
      <c r="X115" s="95">
        <v>-45.54</v>
      </c>
      <c r="Y115" s="94"/>
      <c r="Z115" s="94"/>
      <c r="AA115" s="94"/>
      <c r="AB115" s="94"/>
      <c r="AC115" s="94"/>
      <c r="AD115" s="94"/>
      <c r="AE115" s="94"/>
      <c r="AF115" s="94"/>
      <c r="AG115" s="95">
        <v>-2.73</v>
      </c>
      <c r="AH115" s="94"/>
      <c r="AI115" s="95">
        <v>-48.27</v>
      </c>
      <c r="AJ115" s="95">
        <v>0</v>
      </c>
    </row>
    <row r="116" spans="1:36" customFormat="1" ht="15.75" thickBot="1" x14ac:dyDescent="0.3">
      <c r="A116" s="90" t="s">
        <v>885</v>
      </c>
      <c r="B116" s="626" t="str">
        <f>VLOOKUP($D116,'Retail Rates'!$B$7:$D$38,2,FALSE)</f>
        <v>851</v>
      </c>
      <c r="C116" s="626" t="str">
        <f>VLOOKUP($D116,'Retail Rates'!$B$7:$D$38,3,FALSE)</f>
        <v>CGS</v>
      </c>
      <c r="D116" s="90" t="s">
        <v>26</v>
      </c>
      <c r="E116" s="90" t="s">
        <v>875</v>
      </c>
      <c r="F116" s="90" t="s">
        <v>17</v>
      </c>
      <c r="G116" s="90" t="s">
        <v>760</v>
      </c>
      <c r="H116" s="304">
        <v>1</v>
      </c>
      <c r="I116" s="93">
        <v>0</v>
      </c>
      <c r="J116" s="92"/>
      <c r="K116" s="93">
        <v>-35</v>
      </c>
      <c r="L116" s="92"/>
      <c r="M116" s="93">
        <v>0</v>
      </c>
      <c r="N116" s="93">
        <v>0</v>
      </c>
      <c r="O116" s="92"/>
      <c r="P116" s="93">
        <v>0</v>
      </c>
      <c r="Q116" s="93">
        <v>0</v>
      </c>
      <c r="R116" s="92"/>
      <c r="S116" s="92"/>
      <c r="T116" s="93">
        <v>-10.54</v>
      </c>
      <c r="U116" s="93">
        <v>0</v>
      </c>
      <c r="V116" s="92"/>
      <c r="W116" s="92"/>
      <c r="X116" s="93">
        <v>-45.54</v>
      </c>
      <c r="Y116" s="92"/>
      <c r="Z116" s="92"/>
      <c r="AA116" s="92"/>
      <c r="AB116" s="92"/>
      <c r="AC116" s="92"/>
      <c r="AD116" s="92"/>
      <c r="AE116" s="92"/>
      <c r="AF116" s="92"/>
      <c r="AG116" s="93">
        <v>-2.73</v>
      </c>
      <c r="AH116" s="92"/>
      <c r="AI116" s="93">
        <v>-48.27</v>
      </c>
      <c r="AJ116" s="93">
        <v>0</v>
      </c>
    </row>
    <row r="117" spans="1:36" customFormat="1" ht="15.75" thickBot="1" x14ac:dyDescent="0.3">
      <c r="A117" s="90" t="s">
        <v>885</v>
      </c>
      <c r="B117" s="626" t="str">
        <f>VLOOKUP($D117,'Retail Rates'!$B$7:$D$38,2,FALSE)</f>
        <v>851</v>
      </c>
      <c r="C117" s="626" t="str">
        <f>VLOOKUP($D117,'Retail Rates'!$B$7:$D$38,3,FALSE)</f>
        <v>CGS</v>
      </c>
      <c r="D117" s="90" t="s">
        <v>26</v>
      </c>
      <c r="E117" s="90" t="s">
        <v>875</v>
      </c>
      <c r="F117" s="90" t="s">
        <v>17</v>
      </c>
      <c r="G117" s="90" t="s">
        <v>768</v>
      </c>
      <c r="H117" s="305">
        <v>1</v>
      </c>
      <c r="I117" s="95">
        <v>0</v>
      </c>
      <c r="J117" s="94"/>
      <c r="K117" s="95">
        <v>-35</v>
      </c>
      <c r="L117" s="94"/>
      <c r="M117" s="95">
        <v>0</v>
      </c>
      <c r="N117" s="95">
        <v>0</v>
      </c>
      <c r="O117" s="94"/>
      <c r="P117" s="95">
        <v>0</v>
      </c>
      <c r="Q117" s="95">
        <v>0</v>
      </c>
      <c r="R117" s="94"/>
      <c r="S117" s="94"/>
      <c r="T117" s="95">
        <v>-10.54</v>
      </c>
      <c r="U117" s="95">
        <v>0</v>
      </c>
      <c r="V117" s="94"/>
      <c r="W117" s="94"/>
      <c r="X117" s="95">
        <v>-45.54</v>
      </c>
      <c r="Y117" s="94"/>
      <c r="Z117" s="94"/>
      <c r="AA117" s="94"/>
      <c r="AB117" s="94"/>
      <c r="AC117" s="94"/>
      <c r="AD117" s="94"/>
      <c r="AE117" s="94"/>
      <c r="AF117" s="94"/>
      <c r="AG117" s="95">
        <v>-2.73</v>
      </c>
      <c r="AH117" s="94"/>
      <c r="AI117" s="95">
        <v>-48.27</v>
      </c>
      <c r="AJ117" s="95">
        <v>0</v>
      </c>
    </row>
    <row r="118" spans="1:36" customFormat="1" ht="15.75" thickBot="1" x14ac:dyDescent="0.3">
      <c r="A118" s="90" t="s">
        <v>885</v>
      </c>
      <c r="B118" s="626" t="str">
        <f>VLOOKUP($D118,'Retail Rates'!$B$7:$D$38,2,FALSE)</f>
        <v>851</v>
      </c>
      <c r="C118" s="626" t="str">
        <f>VLOOKUP($D118,'Retail Rates'!$B$7:$D$38,3,FALSE)</f>
        <v>CGS</v>
      </c>
      <c r="D118" s="90" t="s">
        <v>26</v>
      </c>
      <c r="E118" s="90" t="s">
        <v>875</v>
      </c>
      <c r="F118" s="90" t="s">
        <v>17</v>
      </c>
      <c r="G118" s="90" t="s">
        <v>769</v>
      </c>
      <c r="H118" s="304">
        <v>1</v>
      </c>
      <c r="I118" s="93">
        <v>0</v>
      </c>
      <c r="J118" s="92"/>
      <c r="K118" s="93">
        <v>-35</v>
      </c>
      <c r="L118" s="92"/>
      <c r="M118" s="93">
        <v>0</v>
      </c>
      <c r="N118" s="93">
        <v>0</v>
      </c>
      <c r="O118" s="92"/>
      <c r="P118" s="93">
        <v>0</v>
      </c>
      <c r="Q118" s="93">
        <v>0</v>
      </c>
      <c r="R118" s="92"/>
      <c r="S118" s="92"/>
      <c r="T118" s="93">
        <v>-4.83</v>
      </c>
      <c r="U118" s="93">
        <v>0</v>
      </c>
      <c r="V118" s="92"/>
      <c r="W118" s="92"/>
      <c r="X118" s="93">
        <v>-39.83</v>
      </c>
      <c r="Y118" s="92"/>
      <c r="Z118" s="92"/>
      <c r="AA118" s="92"/>
      <c r="AB118" s="92"/>
      <c r="AC118" s="92"/>
      <c r="AD118" s="92"/>
      <c r="AE118" s="92"/>
      <c r="AF118" s="92"/>
      <c r="AG118" s="93">
        <v>-2.39</v>
      </c>
      <c r="AH118" s="92"/>
      <c r="AI118" s="93">
        <v>-42.22</v>
      </c>
      <c r="AJ118" s="93">
        <v>0</v>
      </c>
    </row>
    <row r="119" spans="1:36" customFormat="1" ht="15.75" thickBot="1" x14ac:dyDescent="0.3">
      <c r="A119" s="90" t="s">
        <v>885</v>
      </c>
      <c r="B119" s="626" t="str">
        <f>VLOOKUP($D119,'Retail Rates'!$B$7:$D$38,2,FALSE)</f>
        <v>851</v>
      </c>
      <c r="C119" s="626" t="str">
        <f>VLOOKUP($D119,'Retail Rates'!$B$7:$D$38,3,FALSE)</f>
        <v>CGS</v>
      </c>
      <c r="D119" s="90" t="s">
        <v>26</v>
      </c>
      <c r="E119" s="90" t="s">
        <v>875</v>
      </c>
      <c r="F119" s="90" t="s">
        <v>17</v>
      </c>
      <c r="G119" s="90" t="s">
        <v>771</v>
      </c>
      <c r="H119" s="305">
        <v>2</v>
      </c>
      <c r="I119" s="95">
        <v>0</v>
      </c>
      <c r="J119" s="94"/>
      <c r="K119" s="95">
        <v>-51.33</v>
      </c>
      <c r="L119" s="94"/>
      <c r="M119" s="95">
        <v>0</v>
      </c>
      <c r="N119" s="94"/>
      <c r="O119" s="94"/>
      <c r="P119" s="95">
        <v>0</v>
      </c>
      <c r="Q119" s="95">
        <v>0</v>
      </c>
      <c r="R119" s="94"/>
      <c r="S119" s="94"/>
      <c r="T119" s="95">
        <v>-7.08</v>
      </c>
      <c r="U119" s="94"/>
      <c r="V119" s="94"/>
      <c r="W119" s="94"/>
      <c r="X119" s="95">
        <v>-58.41</v>
      </c>
      <c r="Y119" s="94"/>
      <c r="Z119" s="94"/>
      <c r="AA119" s="94"/>
      <c r="AB119" s="94"/>
      <c r="AC119" s="94"/>
      <c r="AD119" s="94"/>
      <c r="AE119" s="94"/>
      <c r="AF119" s="94"/>
      <c r="AG119" s="95">
        <v>-3.5</v>
      </c>
      <c r="AH119" s="94"/>
      <c r="AI119" s="95">
        <v>-61.91</v>
      </c>
      <c r="AJ119" s="95">
        <v>0</v>
      </c>
    </row>
    <row r="120" spans="1:36" customFormat="1" ht="15.75" thickBot="1" x14ac:dyDescent="0.3">
      <c r="A120" s="90" t="s">
        <v>885</v>
      </c>
      <c r="B120" s="626" t="str">
        <f>VLOOKUP($D120,'Retail Rates'!$B$7:$D$38,2,FALSE)</f>
        <v>851</v>
      </c>
      <c r="C120" s="626" t="str">
        <f>VLOOKUP($D120,'Retail Rates'!$B$7:$D$38,3,FALSE)</f>
        <v>CGS</v>
      </c>
      <c r="D120" s="90" t="s">
        <v>26</v>
      </c>
      <c r="E120" s="90" t="s">
        <v>875</v>
      </c>
      <c r="F120" s="90" t="s">
        <v>17</v>
      </c>
      <c r="G120" s="90" t="s">
        <v>783</v>
      </c>
      <c r="H120" s="304">
        <v>2</v>
      </c>
      <c r="I120" s="93">
        <v>0</v>
      </c>
      <c r="J120" s="92"/>
      <c r="K120" s="93">
        <v>-70</v>
      </c>
      <c r="L120" s="92"/>
      <c r="M120" s="93">
        <v>0</v>
      </c>
      <c r="N120" s="93">
        <v>0</v>
      </c>
      <c r="O120" s="92"/>
      <c r="P120" s="93">
        <v>0</v>
      </c>
      <c r="Q120" s="93">
        <v>0</v>
      </c>
      <c r="R120" s="92"/>
      <c r="S120" s="92"/>
      <c r="T120" s="93">
        <v>-9.66</v>
      </c>
      <c r="U120" s="93">
        <v>0</v>
      </c>
      <c r="V120" s="92"/>
      <c r="W120" s="92"/>
      <c r="X120" s="93">
        <v>-79.66</v>
      </c>
      <c r="Y120" s="92"/>
      <c r="Z120" s="92"/>
      <c r="AA120" s="92"/>
      <c r="AB120" s="92"/>
      <c r="AC120" s="92"/>
      <c r="AD120" s="92"/>
      <c r="AE120" s="92"/>
      <c r="AF120" s="92"/>
      <c r="AG120" s="93">
        <v>-4.78</v>
      </c>
      <c r="AH120" s="92"/>
      <c r="AI120" s="93">
        <v>-84.44</v>
      </c>
      <c r="AJ120" s="93">
        <v>0</v>
      </c>
    </row>
    <row r="121" spans="1:36" customFormat="1" ht="15.75" thickBot="1" x14ac:dyDescent="0.3">
      <c r="A121" s="90" t="s">
        <v>885</v>
      </c>
      <c r="B121" s="626" t="str">
        <f>VLOOKUP($D121,'Retail Rates'!$B$7:$D$38,2,FALSE)</f>
        <v>851</v>
      </c>
      <c r="C121" s="626" t="str">
        <f>VLOOKUP($D121,'Retail Rates'!$B$7:$D$38,3,FALSE)</f>
        <v>CGS</v>
      </c>
      <c r="D121" s="90" t="s">
        <v>26</v>
      </c>
      <c r="E121" s="90" t="s">
        <v>875</v>
      </c>
      <c r="F121" s="90" t="s">
        <v>17</v>
      </c>
      <c r="G121" s="90" t="s">
        <v>798</v>
      </c>
      <c r="H121" s="305">
        <v>2</v>
      </c>
      <c r="I121" s="95">
        <v>0</v>
      </c>
      <c r="J121" s="94"/>
      <c r="K121" s="95">
        <v>-70</v>
      </c>
      <c r="L121" s="94"/>
      <c r="M121" s="95">
        <v>0</v>
      </c>
      <c r="N121" s="95">
        <v>0</v>
      </c>
      <c r="O121" s="94"/>
      <c r="P121" s="95">
        <v>0</v>
      </c>
      <c r="Q121" s="95">
        <v>0</v>
      </c>
      <c r="R121" s="94"/>
      <c r="S121" s="94"/>
      <c r="T121" s="95">
        <v>-9.66</v>
      </c>
      <c r="U121" s="95">
        <v>0</v>
      </c>
      <c r="V121" s="94"/>
      <c r="W121" s="94"/>
      <c r="X121" s="95">
        <v>-79.66</v>
      </c>
      <c r="Y121" s="94"/>
      <c r="Z121" s="94"/>
      <c r="AA121" s="94"/>
      <c r="AB121" s="94"/>
      <c r="AC121" s="94"/>
      <c r="AD121" s="94"/>
      <c r="AE121" s="94"/>
      <c r="AF121" s="94"/>
      <c r="AG121" s="95">
        <v>-4.78</v>
      </c>
      <c r="AH121" s="94"/>
      <c r="AI121" s="95">
        <v>-84.44</v>
      </c>
      <c r="AJ121" s="95">
        <v>0</v>
      </c>
    </row>
    <row r="122" spans="1:36" customFormat="1" ht="15.75" thickBot="1" x14ac:dyDescent="0.3">
      <c r="A122" s="90" t="s">
        <v>885</v>
      </c>
      <c r="B122" s="626" t="str">
        <f>VLOOKUP($D122,'Retail Rates'!$B$7:$D$38,2,FALSE)</f>
        <v>851</v>
      </c>
      <c r="C122" s="626" t="str">
        <f>VLOOKUP($D122,'Retail Rates'!$B$7:$D$38,3,FALSE)</f>
        <v>CGS</v>
      </c>
      <c r="D122" s="90" t="s">
        <v>26</v>
      </c>
      <c r="E122" s="90" t="s">
        <v>875</v>
      </c>
      <c r="F122" s="90" t="s">
        <v>17</v>
      </c>
      <c r="G122" s="90" t="s">
        <v>897</v>
      </c>
      <c r="H122" s="304">
        <v>2</v>
      </c>
      <c r="I122" s="93">
        <v>0</v>
      </c>
      <c r="J122" s="92"/>
      <c r="K122" s="93">
        <v>-70</v>
      </c>
      <c r="L122" s="92"/>
      <c r="M122" s="93">
        <v>0</v>
      </c>
      <c r="N122" s="93">
        <v>0</v>
      </c>
      <c r="O122" s="92"/>
      <c r="P122" s="93">
        <v>0</v>
      </c>
      <c r="Q122" s="93">
        <v>0</v>
      </c>
      <c r="R122" s="92"/>
      <c r="S122" s="92"/>
      <c r="T122" s="93">
        <v>-9.66</v>
      </c>
      <c r="U122" s="93">
        <v>0</v>
      </c>
      <c r="V122" s="92"/>
      <c r="W122" s="92"/>
      <c r="X122" s="93">
        <v>-79.66</v>
      </c>
      <c r="Y122" s="92"/>
      <c r="Z122" s="92"/>
      <c r="AA122" s="92"/>
      <c r="AB122" s="92"/>
      <c r="AC122" s="92"/>
      <c r="AD122" s="92"/>
      <c r="AE122" s="92"/>
      <c r="AF122" s="92"/>
      <c r="AG122" s="93">
        <v>-4.78</v>
      </c>
      <c r="AH122" s="92"/>
      <c r="AI122" s="93">
        <v>-84.44</v>
      </c>
      <c r="AJ122" s="93">
        <v>0</v>
      </c>
    </row>
    <row r="123" spans="1:36" customFormat="1" ht="15.75" thickBot="1" x14ac:dyDescent="0.3">
      <c r="A123" s="90" t="s">
        <v>885</v>
      </c>
      <c r="B123" s="626" t="str">
        <f>VLOOKUP($D123,'Retail Rates'!$B$7:$D$38,2,FALSE)</f>
        <v>851</v>
      </c>
      <c r="C123" s="626" t="str">
        <f>VLOOKUP($D123,'Retail Rates'!$B$7:$D$38,3,FALSE)</f>
        <v>CGS</v>
      </c>
      <c r="D123" s="90" t="s">
        <v>26</v>
      </c>
      <c r="E123" s="90" t="s">
        <v>875</v>
      </c>
      <c r="F123" s="90" t="s">
        <v>17</v>
      </c>
      <c r="G123" s="90" t="s">
        <v>898</v>
      </c>
      <c r="H123" s="305">
        <v>2</v>
      </c>
      <c r="I123" s="95">
        <v>0</v>
      </c>
      <c r="J123" s="94"/>
      <c r="K123" s="95">
        <v>-70</v>
      </c>
      <c r="L123" s="94"/>
      <c r="M123" s="95">
        <v>0</v>
      </c>
      <c r="N123" s="95">
        <v>0</v>
      </c>
      <c r="O123" s="94"/>
      <c r="P123" s="95">
        <v>0</v>
      </c>
      <c r="Q123" s="95">
        <v>0</v>
      </c>
      <c r="R123" s="94"/>
      <c r="S123" s="94"/>
      <c r="T123" s="95">
        <v>-9.66</v>
      </c>
      <c r="U123" s="95">
        <v>0</v>
      </c>
      <c r="V123" s="94"/>
      <c r="W123" s="94"/>
      <c r="X123" s="95">
        <v>-79.66</v>
      </c>
      <c r="Y123" s="94"/>
      <c r="Z123" s="94"/>
      <c r="AA123" s="94"/>
      <c r="AB123" s="94"/>
      <c r="AC123" s="94"/>
      <c r="AD123" s="94"/>
      <c r="AE123" s="94"/>
      <c r="AF123" s="94"/>
      <c r="AG123" s="95">
        <v>-4.78</v>
      </c>
      <c r="AH123" s="94"/>
      <c r="AI123" s="95">
        <v>-84.44</v>
      </c>
      <c r="AJ123" s="95">
        <v>0</v>
      </c>
    </row>
    <row r="124" spans="1:36" customFormat="1" ht="15.75" thickBot="1" x14ac:dyDescent="0.3">
      <c r="A124" s="90" t="s">
        <v>885</v>
      </c>
      <c r="B124" s="626" t="str">
        <f>VLOOKUP($D124,'Retail Rates'!$B$7:$D$38,2,FALSE)</f>
        <v>851</v>
      </c>
      <c r="C124" s="626" t="str">
        <f>VLOOKUP($D124,'Retail Rates'!$B$7:$D$38,3,FALSE)</f>
        <v>CGS</v>
      </c>
      <c r="D124" s="90" t="s">
        <v>26</v>
      </c>
      <c r="E124" s="90" t="s">
        <v>875</v>
      </c>
      <c r="F124" s="90" t="s">
        <v>17</v>
      </c>
      <c r="G124" s="90" t="s">
        <v>899</v>
      </c>
      <c r="H124" s="304">
        <v>3</v>
      </c>
      <c r="I124" s="93">
        <v>-204</v>
      </c>
      <c r="J124" s="92"/>
      <c r="K124" s="93">
        <v>-70</v>
      </c>
      <c r="L124" s="93">
        <v>-175</v>
      </c>
      <c r="M124" s="93">
        <v>-42.84</v>
      </c>
      <c r="N124" s="93">
        <v>0</v>
      </c>
      <c r="O124" s="92"/>
      <c r="P124" s="93">
        <v>-116.91</v>
      </c>
      <c r="Q124" s="93">
        <v>-0.19</v>
      </c>
      <c r="R124" s="93">
        <v>10.43</v>
      </c>
      <c r="S124" s="92"/>
      <c r="T124" s="93">
        <v>-14.49</v>
      </c>
      <c r="U124" s="93">
        <v>0</v>
      </c>
      <c r="V124" s="92"/>
      <c r="W124" s="92"/>
      <c r="X124" s="93">
        <v>-409</v>
      </c>
      <c r="Y124" s="92"/>
      <c r="Z124" s="92"/>
      <c r="AA124" s="92"/>
      <c r="AB124" s="92"/>
      <c r="AC124" s="92"/>
      <c r="AD124" s="92"/>
      <c r="AE124" s="92"/>
      <c r="AF124" s="92"/>
      <c r="AG124" s="93">
        <v>-24.54</v>
      </c>
      <c r="AH124" s="92"/>
      <c r="AI124" s="93">
        <v>-433.54</v>
      </c>
      <c r="AJ124" s="93">
        <v>0</v>
      </c>
    </row>
    <row r="125" spans="1:36" customFormat="1" ht="15.75" thickBot="1" x14ac:dyDescent="0.3">
      <c r="A125" s="90" t="s">
        <v>885</v>
      </c>
      <c r="B125" s="626" t="str">
        <f>VLOOKUP($D125,'Retail Rates'!$B$7:$D$38,2,FALSE)</f>
        <v>851</v>
      </c>
      <c r="C125" s="626" t="str">
        <f>VLOOKUP($D125,'Retail Rates'!$B$7:$D$38,3,FALSE)</f>
        <v>CGS</v>
      </c>
      <c r="D125" s="90" t="s">
        <v>26</v>
      </c>
      <c r="E125" s="90" t="s">
        <v>875</v>
      </c>
      <c r="F125" s="90" t="s">
        <v>17</v>
      </c>
      <c r="G125" s="90" t="s">
        <v>900</v>
      </c>
      <c r="H125" s="305">
        <v>3</v>
      </c>
      <c r="I125" s="95">
        <v>-254</v>
      </c>
      <c r="J125" s="94"/>
      <c r="K125" s="95">
        <v>-69.739999999999995</v>
      </c>
      <c r="L125" s="95">
        <v>-175</v>
      </c>
      <c r="M125" s="95">
        <v>-53.34</v>
      </c>
      <c r="N125" s="95">
        <v>-8.4</v>
      </c>
      <c r="O125" s="95">
        <v>0.26</v>
      </c>
      <c r="P125" s="95">
        <v>-142.57</v>
      </c>
      <c r="Q125" s="95">
        <v>-0.24</v>
      </c>
      <c r="R125" s="95">
        <v>-4.59</v>
      </c>
      <c r="S125" s="94"/>
      <c r="T125" s="95">
        <v>-14.49</v>
      </c>
      <c r="U125" s="95">
        <v>0</v>
      </c>
      <c r="V125" s="94"/>
      <c r="W125" s="94"/>
      <c r="X125" s="95">
        <v>-459.97</v>
      </c>
      <c r="Y125" s="94"/>
      <c r="Z125" s="94"/>
      <c r="AA125" s="94"/>
      <c r="AB125" s="94"/>
      <c r="AC125" s="94"/>
      <c r="AD125" s="94"/>
      <c r="AE125" s="94"/>
      <c r="AF125" s="94"/>
      <c r="AG125" s="95">
        <v>-28.11</v>
      </c>
      <c r="AH125" s="94"/>
      <c r="AI125" s="95">
        <v>-496.48</v>
      </c>
      <c r="AJ125" s="306">
        <v>-0.26</v>
      </c>
    </row>
    <row r="126" spans="1:36" customFormat="1" ht="15.75" thickBot="1" x14ac:dyDescent="0.3">
      <c r="A126" s="90" t="s">
        <v>885</v>
      </c>
      <c r="B126" s="626" t="str">
        <f>VLOOKUP($D126,'Retail Rates'!$B$7:$D$38,2,FALSE)</f>
        <v>851</v>
      </c>
      <c r="C126" s="626" t="str">
        <f>VLOOKUP($D126,'Retail Rates'!$B$7:$D$38,3,FALSE)</f>
        <v>CGS</v>
      </c>
      <c r="D126" s="90" t="s">
        <v>26</v>
      </c>
      <c r="E126" s="90" t="s">
        <v>875</v>
      </c>
      <c r="F126" s="90" t="s">
        <v>17</v>
      </c>
      <c r="G126" s="90" t="s">
        <v>901</v>
      </c>
      <c r="H126" s="304">
        <v>3</v>
      </c>
      <c r="I126" s="93">
        <v>-360</v>
      </c>
      <c r="J126" s="92"/>
      <c r="K126" s="93">
        <v>-69.739999999999995</v>
      </c>
      <c r="L126" s="93">
        <v>-175</v>
      </c>
      <c r="M126" s="93">
        <v>-75.599999999999994</v>
      </c>
      <c r="N126" s="93">
        <v>-10.16</v>
      </c>
      <c r="O126" s="93">
        <v>0.26</v>
      </c>
      <c r="P126" s="93">
        <v>-202.06</v>
      </c>
      <c r="Q126" s="93">
        <v>-0.33</v>
      </c>
      <c r="R126" s="93">
        <v>1.24</v>
      </c>
      <c r="S126" s="92"/>
      <c r="T126" s="93">
        <v>-32.25</v>
      </c>
      <c r="U126" s="93">
        <v>0</v>
      </c>
      <c r="V126" s="92"/>
      <c r="W126" s="92"/>
      <c r="X126" s="93">
        <v>-553.74</v>
      </c>
      <c r="Y126" s="92"/>
      <c r="Z126" s="92"/>
      <c r="AA126" s="92"/>
      <c r="AB126" s="92"/>
      <c r="AC126" s="92"/>
      <c r="AD126" s="92"/>
      <c r="AE126" s="92"/>
      <c r="AF126" s="92"/>
      <c r="AG126" s="93">
        <v>-33.840000000000003</v>
      </c>
      <c r="AH126" s="92"/>
      <c r="AI126" s="93">
        <v>-597.74</v>
      </c>
      <c r="AJ126" s="306">
        <v>-0.26</v>
      </c>
    </row>
    <row r="127" spans="1:36" customFormat="1" ht="15.75" thickBot="1" x14ac:dyDescent="0.3">
      <c r="A127" s="90" t="s">
        <v>885</v>
      </c>
      <c r="B127" s="626" t="str">
        <f>VLOOKUP($D127,'Retail Rates'!$B$7:$D$38,2,FALSE)</f>
        <v>851</v>
      </c>
      <c r="C127" s="626" t="str">
        <f>VLOOKUP($D127,'Retail Rates'!$B$7:$D$38,3,FALSE)</f>
        <v>CGS</v>
      </c>
      <c r="D127" s="90" t="s">
        <v>26</v>
      </c>
      <c r="E127" s="90" t="s">
        <v>875</v>
      </c>
      <c r="F127" s="90" t="s">
        <v>17</v>
      </c>
      <c r="G127" s="90" t="s">
        <v>902</v>
      </c>
      <c r="H127" s="305">
        <v>3</v>
      </c>
      <c r="I127" s="95">
        <v>-505</v>
      </c>
      <c r="J127" s="94"/>
      <c r="K127" s="95">
        <v>-69.739999999999995</v>
      </c>
      <c r="L127" s="95">
        <v>-175</v>
      </c>
      <c r="M127" s="95">
        <v>-106.04</v>
      </c>
      <c r="N127" s="95">
        <v>-11.41</v>
      </c>
      <c r="O127" s="95">
        <v>0.26</v>
      </c>
      <c r="P127" s="95">
        <v>-255.96</v>
      </c>
      <c r="Q127" s="95">
        <v>-0.47</v>
      </c>
      <c r="R127" s="95">
        <v>24.73</v>
      </c>
      <c r="S127" s="94"/>
      <c r="T127" s="95">
        <v>-34.11</v>
      </c>
      <c r="U127" s="95">
        <v>0</v>
      </c>
      <c r="V127" s="94"/>
      <c r="W127" s="94"/>
      <c r="X127" s="95">
        <v>-616.59</v>
      </c>
      <c r="Y127" s="94"/>
      <c r="Z127" s="94"/>
      <c r="AA127" s="94"/>
      <c r="AB127" s="94"/>
      <c r="AC127" s="94"/>
      <c r="AD127" s="94"/>
      <c r="AE127" s="94"/>
      <c r="AF127" s="94"/>
      <c r="AG127" s="95">
        <v>-37.68</v>
      </c>
      <c r="AH127" s="94"/>
      <c r="AI127" s="95">
        <v>-665.68</v>
      </c>
      <c r="AJ127" s="306">
        <v>-0.26</v>
      </c>
    </row>
    <row r="128" spans="1:36" customFormat="1" ht="15.75" thickBot="1" x14ac:dyDescent="0.3">
      <c r="A128" s="90" t="s">
        <v>885</v>
      </c>
      <c r="B128" s="626" t="str">
        <f>VLOOKUP($D128,'Retail Rates'!$B$7:$D$38,2,FALSE)</f>
        <v>851</v>
      </c>
      <c r="C128" s="626" t="str">
        <f>VLOOKUP($D128,'Retail Rates'!$B$7:$D$38,3,FALSE)</f>
        <v>CGS</v>
      </c>
      <c r="D128" s="90" t="s">
        <v>26</v>
      </c>
      <c r="E128" s="90" t="s">
        <v>875</v>
      </c>
      <c r="F128" s="90" t="s">
        <v>17</v>
      </c>
      <c r="G128" s="90" t="s">
        <v>903</v>
      </c>
      <c r="H128" s="304">
        <v>3</v>
      </c>
      <c r="I128" s="93">
        <v>-419</v>
      </c>
      <c r="J128" s="92"/>
      <c r="K128" s="93">
        <v>-69.739999999999995</v>
      </c>
      <c r="L128" s="93">
        <v>-175</v>
      </c>
      <c r="M128" s="93">
        <v>-87.99</v>
      </c>
      <c r="N128" s="93">
        <v>-10.48</v>
      </c>
      <c r="O128" s="93">
        <v>0.26</v>
      </c>
      <c r="P128" s="93">
        <v>-209.29</v>
      </c>
      <c r="Q128" s="93">
        <v>-0.39</v>
      </c>
      <c r="R128" s="93">
        <v>6.52</v>
      </c>
      <c r="S128" s="92"/>
      <c r="T128" s="93">
        <v>-34.11</v>
      </c>
      <c r="U128" s="93">
        <v>0</v>
      </c>
      <c r="V128" s="92"/>
      <c r="W128" s="92"/>
      <c r="X128" s="93">
        <v>-570</v>
      </c>
      <c r="Y128" s="92"/>
      <c r="Z128" s="92"/>
      <c r="AA128" s="92"/>
      <c r="AB128" s="92"/>
      <c r="AC128" s="92"/>
      <c r="AD128" s="92"/>
      <c r="AE128" s="92"/>
      <c r="AF128" s="92"/>
      <c r="AG128" s="93">
        <v>-34.83</v>
      </c>
      <c r="AH128" s="92"/>
      <c r="AI128" s="93">
        <v>-615.30999999999995</v>
      </c>
      <c r="AJ128" s="306">
        <v>-0.26</v>
      </c>
    </row>
    <row r="129" spans="1:36" customFormat="1" ht="15.75" thickBot="1" x14ac:dyDescent="0.3">
      <c r="A129" s="90" t="s">
        <v>885</v>
      </c>
      <c r="B129" s="626" t="str">
        <f>VLOOKUP($D129,'Retail Rates'!$B$7:$D$38,2,FALSE)</f>
        <v>851</v>
      </c>
      <c r="C129" s="626" t="str">
        <f>VLOOKUP($D129,'Retail Rates'!$B$7:$D$38,3,FALSE)</f>
        <v>CGS</v>
      </c>
      <c r="D129" s="90" t="s">
        <v>26</v>
      </c>
      <c r="E129" s="90" t="s">
        <v>875</v>
      </c>
      <c r="F129" s="90" t="s">
        <v>17</v>
      </c>
      <c r="G129" s="90" t="s">
        <v>904</v>
      </c>
      <c r="H129" s="305">
        <v>3</v>
      </c>
      <c r="I129" s="95">
        <v>-283</v>
      </c>
      <c r="J129" s="94"/>
      <c r="K129" s="95">
        <v>-69.739999999999995</v>
      </c>
      <c r="L129" s="95">
        <v>-175</v>
      </c>
      <c r="M129" s="95">
        <v>-59.43</v>
      </c>
      <c r="N129" s="95">
        <v>-9.11</v>
      </c>
      <c r="O129" s="95">
        <v>0.26</v>
      </c>
      <c r="P129" s="95">
        <v>-141.36000000000001</v>
      </c>
      <c r="Q129" s="95">
        <v>-0.16</v>
      </c>
      <c r="R129" s="95">
        <v>-21.86</v>
      </c>
      <c r="S129" s="94"/>
      <c r="T129" s="95">
        <v>-34.11</v>
      </c>
      <c r="U129" s="95">
        <v>0</v>
      </c>
      <c r="V129" s="94"/>
      <c r="W129" s="94"/>
      <c r="X129" s="95">
        <v>-501.66</v>
      </c>
      <c r="Y129" s="94"/>
      <c r="Z129" s="94"/>
      <c r="AA129" s="94"/>
      <c r="AB129" s="94"/>
      <c r="AC129" s="94"/>
      <c r="AD129" s="94"/>
      <c r="AE129" s="94"/>
      <c r="AF129" s="94"/>
      <c r="AG129" s="95">
        <v>-30.65</v>
      </c>
      <c r="AH129" s="94"/>
      <c r="AI129" s="95">
        <v>-541.41999999999996</v>
      </c>
      <c r="AJ129" s="306">
        <v>-0.26</v>
      </c>
    </row>
    <row r="130" spans="1:36" customFormat="1" ht="15.75" thickBot="1" x14ac:dyDescent="0.3">
      <c r="A130" s="90" t="s">
        <v>885</v>
      </c>
      <c r="B130" s="626" t="str">
        <f>VLOOKUP($D130,'Retail Rates'!$B$7:$D$38,2,FALSE)</f>
        <v>851</v>
      </c>
      <c r="C130" s="626" t="str">
        <f>VLOOKUP($D130,'Retail Rates'!$B$7:$D$38,3,FALSE)</f>
        <v>CGS</v>
      </c>
      <c r="D130" s="90" t="s">
        <v>26</v>
      </c>
      <c r="E130" s="90" t="s">
        <v>875</v>
      </c>
      <c r="F130" s="90" t="s">
        <v>17</v>
      </c>
      <c r="G130" s="90" t="s">
        <v>905</v>
      </c>
      <c r="H130" s="304">
        <v>3</v>
      </c>
      <c r="I130" s="93">
        <v>-152</v>
      </c>
      <c r="J130" s="92"/>
      <c r="K130" s="93">
        <v>-69.739999999999995</v>
      </c>
      <c r="L130" s="93">
        <v>-175</v>
      </c>
      <c r="M130" s="93">
        <v>-31.92</v>
      </c>
      <c r="N130" s="93">
        <v>-6.8</v>
      </c>
      <c r="O130" s="93">
        <v>0.26</v>
      </c>
      <c r="P130" s="93">
        <v>-65.81</v>
      </c>
      <c r="Q130" s="93">
        <v>-0.09</v>
      </c>
      <c r="R130" s="92"/>
      <c r="S130" s="92"/>
      <c r="T130" s="93">
        <v>-48.86</v>
      </c>
      <c r="U130" s="93">
        <v>0</v>
      </c>
      <c r="V130" s="92"/>
      <c r="W130" s="92"/>
      <c r="X130" s="93">
        <v>-391.42</v>
      </c>
      <c r="Y130" s="92"/>
      <c r="Z130" s="92"/>
      <c r="AA130" s="92"/>
      <c r="AB130" s="92"/>
      <c r="AC130" s="92"/>
      <c r="AD130" s="92"/>
      <c r="AE130" s="92"/>
      <c r="AF130" s="92"/>
      <c r="AG130" s="93">
        <v>-23.89</v>
      </c>
      <c r="AH130" s="92"/>
      <c r="AI130" s="93">
        <v>-422.11</v>
      </c>
      <c r="AJ130" s="306">
        <v>-0.26</v>
      </c>
    </row>
    <row r="131" spans="1:36" customFormat="1" ht="15.75" thickBot="1" x14ac:dyDescent="0.3">
      <c r="A131" s="90" t="s">
        <v>885</v>
      </c>
      <c r="B131" s="626" t="str">
        <f>VLOOKUP($D131,'Retail Rates'!$B$7:$D$38,2,FALSE)</f>
        <v>851</v>
      </c>
      <c r="C131" s="626" t="str">
        <f>VLOOKUP($D131,'Retail Rates'!$B$7:$D$38,3,FALSE)</f>
        <v>CGS</v>
      </c>
      <c r="D131" s="90" t="s">
        <v>26</v>
      </c>
      <c r="E131" s="90" t="s">
        <v>875</v>
      </c>
      <c r="F131" s="90" t="s">
        <v>17</v>
      </c>
      <c r="G131" s="90" t="s">
        <v>906</v>
      </c>
      <c r="H131" s="305">
        <v>3</v>
      </c>
      <c r="I131" s="95">
        <v>0</v>
      </c>
      <c r="J131" s="94"/>
      <c r="K131" s="95">
        <v>-69.739999999999995</v>
      </c>
      <c r="L131" s="95">
        <v>-175</v>
      </c>
      <c r="M131" s="95">
        <v>0</v>
      </c>
      <c r="N131" s="95">
        <v>-4.88</v>
      </c>
      <c r="O131" s="95">
        <v>0.26</v>
      </c>
      <c r="P131" s="95">
        <v>0</v>
      </c>
      <c r="Q131" s="95">
        <v>0</v>
      </c>
      <c r="R131" s="94"/>
      <c r="S131" s="94"/>
      <c r="T131" s="95">
        <v>-50.76</v>
      </c>
      <c r="U131" s="95">
        <v>0</v>
      </c>
      <c r="V131" s="94"/>
      <c r="W131" s="94"/>
      <c r="X131" s="95">
        <v>-295.5</v>
      </c>
      <c r="Y131" s="94"/>
      <c r="Z131" s="94"/>
      <c r="AA131" s="94"/>
      <c r="AB131" s="94"/>
      <c r="AC131" s="94"/>
      <c r="AD131" s="94"/>
      <c r="AE131" s="94"/>
      <c r="AF131" s="94"/>
      <c r="AG131" s="95">
        <v>-18.03</v>
      </c>
      <c r="AH131" s="94"/>
      <c r="AI131" s="95">
        <v>-318.41000000000003</v>
      </c>
      <c r="AJ131" s="306">
        <v>-0.26</v>
      </c>
    </row>
    <row r="132" spans="1:36" customFormat="1" ht="15.75" thickBot="1" x14ac:dyDescent="0.3">
      <c r="A132" s="90" t="s">
        <v>885</v>
      </c>
      <c r="B132" s="626" t="str">
        <f>VLOOKUP($D132,'Retail Rates'!$B$7:$D$38,2,FALSE)</f>
        <v>851</v>
      </c>
      <c r="C132" s="626" t="str">
        <f>VLOOKUP($D132,'Retail Rates'!$B$7:$D$38,3,FALSE)</f>
        <v>CGS</v>
      </c>
      <c r="D132" s="90" t="s">
        <v>26</v>
      </c>
      <c r="E132" s="90" t="s">
        <v>875</v>
      </c>
      <c r="F132" s="90" t="s">
        <v>17</v>
      </c>
      <c r="G132" s="90" t="s">
        <v>907</v>
      </c>
      <c r="H132" s="304">
        <v>3</v>
      </c>
      <c r="I132" s="93">
        <v>0</v>
      </c>
      <c r="J132" s="92"/>
      <c r="K132" s="93">
        <v>-78.510000000000005</v>
      </c>
      <c r="L132" s="93">
        <v>-179.14</v>
      </c>
      <c r="M132" s="93">
        <v>0</v>
      </c>
      <c r="N132" s="93">
        <v>-5.04</v>
      </c>
      <c r="O132" s="93">
        <v>0</v>
      </c>
      <c r="P132" s="93">
        <v>0</v>
      </c>
      <c r="Q132" s="93">
        <v>0</v>
      </c>
      <c r="R132" s="92"/>
      <c r="S132" s="92"/>
      <c r="T132" s="93">
        <v>-50.76</v>
      </c>
      <c r="U132" s="93">
        <v>0</v>
      </c>
      <c r="V132" s="92"/>
      <c r="W132" s="92"/>
      <c r="X132" s="93">
        <v>-308.41000000000003</v>
      </c>
      <c r="Y132" s="92"/>
      <c r="Z132" s="92"/>
      <c r="AA132" s="92"/>
      <c r="AB132" s="92"/>
      <c r="AC132" s="92"/>
      <c r="AD132" s="92"/>
      <c r="AE132" s="92"/>
      <c r="AF132" s="92"/>
      <c r="AG132" s="93">
        <v>-18.809999999999999</v>
      </c>
      <c r="AH132" s="92"/>
      <c r="AI132" s="93">
        <v>-332.26</v>
      </c>
      <c r="AJ132" s="93">
        <v>0</v>
      </c>
    </row>
    <row r="133" spans="1:36" customFormat="1" ht="15.75" thickBot="1" x14ac:dyDescent="0.3">
      <c r="A133" s="90" t="s">
        <v>885</v>
      </c>
      <c r="B133" s="626" t="str">
        <f>VLOOKUP($D133,'Retail Rates'!$B$7:$D$38,2,FALSE)</f>
        <v>851</v>
      </c>
      <c r="C133" s="626" t="str">
        <f>VLOOKUP($D133,'Retail Rates'!$B$7:$D$38,3,FALSE)</f>
        <v>CGS</v>
      </c>
      <c r="D133" s="90" t="s">
        <v>26</v>
      </c>
      <c r="E133" s="90" t="s">
        <v>875</v>
      </c>
      <c r="F133" s="90" t="s">
        <v>17</v>
      </c>
      <c r="G133" s="90" t="s">
        <v>908</v>
      </c>
      <c r="H133" s="305">
        <v>3</v>
      </c>
      <c r="I133" s="95">
        <v>0</v>
      </c>
      <c r="J133" s="94"/>
      <c r="K133" s="95">
        <v>-80</v>
      </c>
      <c r="L133" s="95">
        <v>-180</v>
      </c>
      <c r="M133" s="95">
        <v>0</v>
      </c>
      <c r="N133" s="95">
        <v>-5.08</v>
      </c>
      <c r="O133" s="95">
        <v>0</v>
      </c>
      <c r="P133" s="95">
        <v>0</v>
      </c>
      <c r="Q133" s="95">
        <v>0</v>
      </c>
      <c r="R133" s="94"/>
      <c r="S133" s="94"/>
      <c r="T133" s="95">
        <v>-50.76</v>
      </c>
      <c r="U133" s="95">
        <v>0</v>
      </c>
      <c r="V133" s="94"/>
      <c r="W133" s="94"/>
      <c r="X133" s="95">
        <v>-310.76</v>
      </c>
      <c r="Y133" s="94"/>
      <c r="Z133" s="94"/>
      <c r="AA133" s="94"/>
      <c r="AB133" s="94"/>
      <c r="AC133" s="94"/>
      <c r="AD133" s="94"/>
      <c r="AE133" s="94"/>
      <c r="AF133" s="94"/>
      <c r="AG133" s="95">
        <v>-18.95</v>
      </c>
      <c r="AH133" s="94"/>
      <c r="AI133" s="95">
        <v>-334.79</v>
      </c>
      <c r="AJ133" s="95">
        <v>0</v>
      </c>
    </row>
    <row r="134" spans="1:36" customFormat="1" ht="15.75" thickBot="1" x14ac:dyDescent="0.3">
      <c r="A134" s="90" t="s">
        <v>885</v>
      </c>
      <c r="B134" s="626" t="str">
        <f>VLOOKUP($D134,'Retail Rates'!$B$7:$D$38,2,FALSE)</f>
        <v>851</v>
      </c>
      <c r="C134" s="626" t="str">
        <f>VLOOKUP($D134,'Retail Rates'!$B$7:$D$38,3,FALSE)</f>
        <v>CGS</v>
      </c>
      <c r="D134" s="90" t="s">
        <v>26</v>
      </c>
      <c r="E134" s="90" t="s">
        <v>875</v>
      </c>
      <c r="F134" s="90" t="s">
        <v>17</v>
      </c>
      <c r="G134" s="90" t="s">
        <v>909</v>
      </c>
      <c r="H134" s="304">
        <v>3</v>
      </c>
      <c r="I134" s="93">
        <v>0</v>
      </c>
      <c r="J134" s="92"/>
      <c r="K134" s="93">
        <v>-80</v>
      </c>
      <c r="L134" s="93">
        <v>-180</v>
      </c>
      <c r="M134" s="93">
        <v>0</v>
      </c>
      <c r="N134" s="93">
        <v>-5.08</v>
      </c>
      <c r="O134" s="93">
        <v>0</v>
      </c>
      <c r="P134" s="93">
        <v>0</v>
      </c>
      <c r="Q134" s="93">
        <v>0</v>
      </c>
      <c r="R134" s="92"/>
      <c r="S134" s="92"/>
      <c r="T134" s="93">
        <v>-50.76</v>
      </c>
      <c r="U134" s="93">
        <v>0</v>
      </c>
      <c r="V134" s="92"/>
      <c r="W134" s="92"/>
      <c r="X134" s="93">
        <v>-310.76</v>
      </c>
      <c r="Y134" s="92"/>
      <c r="Z134" s="92"/>
      <c r="AA134" s="92"/>
      <c r="AB134" s="92"/>
      <c r="AC134" s="92"/>
      <c r="AD134" s="92"/>
      <c r="AE134" s="92"/>
      <c r="AF134" s="92"/>
      <c r="AG134" s="93">
        <v>-18.95</v>
      </c>
      <c r="AH134" s="92"/>
      <c r="AI134" s="93">
        <v>-334.79</v>
      </c>
      <c r="AJ134" s="93">
        <v>0</v>
      </c>
    </row>
    <row r="135" spans="1:36" customFormat="1" ht="15.75" thickBot="1" x14ac:dyDescent="0.3">
      <c r="A135" s="90" t="s">
        <v>885</v>
      </c>
      <c r="B135" s="626" t="str">
        <f>VLOOKUP($D135,'Retail Rates'!$B$7:$D$38,2,FALSE)</f>
        <v>851</v>
      </c>
      <c r="C135" s="626" t="str">
        <f>VLOOKUP($D135,'Retail Rates'!$B$7:$D$38,3,FALSE)</f>
        <v>CGS</v>
      </c>
      <c r="D135" s="90" t="s">
        <v>26</v>
      </c>
      <c r="E135" s="90" t="s">
        <v>875</v>
      </c>
      <c r="F135" s="90" t="s">
        <v>17</v>
      </c>
      <c r="G135" s="90" t="s">
        <v>910</v>
      </c>
      <c r="H135" s="305">
        <v>3</v>
      </c>
      <c r="I135" s="95">
        <v>0</v>
      </c>
      <c r="J135" s="94"/>
      <c r="K135" s="95">
        <v>-80</v>
      </c>
      <c r="L135" s="95">
        <v>-180</v>
      </c>
      <c r="M135" s="95">
        <v>0</v>
      </c>
      <c r="N135" s="95">
        <v>-5.08</v>
      </c>
      <c r="O135" s="95">
        <v>0</v>
      </c>
      <c r="P135" s="95">
        <v>0</v>
      </c>
      <c r="Q135" s="95">
        <v>0</v>
      </c>
      <c r="R135" s="94"/>
      <c r="S135" s="94"/>
      <c r="T135" s="95">
        <v>-50.76</v>
      </c>
      <c r="U135" s="95">
        <v>0</v>
      </c>
      <c r="V135" s="94"/>
      <c r="W135" s="94"/>
      <c r="X135" s="95">
        <v>-310.76</v>
      </c>
      <c r="Y135" s="94"/>
      <c r="Z135" s="94"/>
      <c r="AA135" s="94"/>
      <c r="AB135" s="94"/>
      <c r="AC135" s="94"/>
      <c r="AD135" s="94"/>
      <c r="AE135" s="94"/>
      <c r="AF135" s="94"/>
      <c r="AG135" s="95">
        <v>-18.95</v>
      </c>
      <c r="AH135" s="94"/>
      <c r="AI135" s="95">
        <v>-334.79</v>
      </c>
      <c r="AJ135" s="95">
        <v>0</v>
      </c>
    </row>
    <row r="136" spans="1:36" customFormat="1" ht="15.75" thickBot="1" x14ac:dyDescent="0.3">
      <c r="A136" s="90" t="s">
        <v>885</v>
      </c>
      <c r="B136" s="626" t="str">
        <f>VLOOKUP($D136,'Retail Rates'!$B$7:$D$38,2,FALSE)</f>
        <v>851</v>
      </c>
      <c r="C136" s="626" t="str">
        <f>VLOOKUP($D136,'Retail Rates'!$B$7:$D$38,3,FALSE)</f>
        <v>CGS</v>
      </c>
      <c r="D136" s="90" t="s">
        <v>26</v>
      </c>
      <c r="E136" s="90" t="s">
        <v>875</v>
      </c>
      <c r="F136" s="90" t="s">
        <v>17</v>
      </c>
      <c r="G136" s="90" t="s">
        <v>911</v>
      </c>
      <c r="H136" s="304">
        <v>3</v>
      </c>
      <c r="I136" s="93">
        <v>0</v>
      </c>
      <c r="J136" s="92"/>
      <c r="K136" s="93">
        <v>-80</v>
      </c>
      <c r="L136" s="93">
        <v>-180</v>
      </c>
      <c r="M136" s="93">
        <v>0</v>
      </c>
      <c r="N136" s="93">
        <v>-5.08</v>
      </c>
      <c r="O136" s="93">
        <v>0</v>
      </c>
      <c r="P136" s="93">
        <v>0</v>
      </c>
      <c r="Q136" s="93">
        <v>0</v>
      </c>
      <c r="R136" s="93">
        <v>0</v>
      </c>
      <c r="S136" s="92"/>
      <c r="T136" s="93">
        <v>-50.76</v>
      </c>
      <c r="U136" s="93">
        <v>0</v>
      </c>
      <c r="V136" s="92"/>
      <c r="W136" s="92"/>
      <c r="X136" s="93">
        <v>-310.76</v>
      </c>
      <c r="Y136" s="92"/>
      <c r="Z136" s="92"/>
      <c r="AA136" s="92"/>
      <c r="AB136" s="92"/>
      <c r="AC136" s="92"/>
      <c r="AD136" s="92"/>
      <c r="AE136" s="92"/>
      <c r="AF136" s="92"/>
      <c r="AG136" s="93">
        <v>-18.95</v>
      </c>
      <c r="AH136" s="92"/>
      <c r="AI136" s="93">
        <v>-334.79</v>
      </c>
      <c r="AJ136" s="93">
        <v>0</v>
      </c>
    </row>
    <row r="137" spans="1:36" customFormat="1" ht="15.75" thickBot="1" x14ac:dyDescent="0.3">
      <c r="A137" s="90" t="s">
        <v>885</v>
      </c>
      <c r="B137" s="626" t="str">
        <f>VLOOKUP($D137,'Retail Rates'!$B$7:$D$38,2,FALSE)</f>
        <v>851</v>
      </c>
      <c r="C137" s="626" t="str">
        <f>VLOOKUP($D137,'Retail Rates'!$B$7:$D$38,3,FALSE)</f>
        <v>CGS</v>
      </c>
      <c r="D137" s="90" t="s">
        <v>26</v>
      </c>
      <c r="E137" s="90" t="s">
        <v>875</v>
      </c>
      <c r="F137" s="90" t="s">
        <v>17</v>
      </c>
      <c r="G137" s="90" t="s">
        <v>912</v>
      </c>
      <c r="H137" s="305">
        <v>7</v>
      </c>
      <c r="I137" s="95">
        <v>-1365</v>
      </c>
      <c r="J137" s="94"/>
      <c r="K137" s="95">
        <v>-80</v>
      </c>
      <c r="L137" s="95">
        <v>-180</v>
      </c>
      <c r="M137" s="95">
        <v>-293.52</v>
      </c>
      <c r="N137" s="95">
        <v>-10.73</v>
      </c>
      <c r="O137" s="95">
        <v>0</v>
      </c>
      <c r="P137" s="95">
        <v>-462.56</v>
      </c>
      <c r="Q137" s="95">
        <v>-0.79</v>
      </c>
      <c r="R137" s="95">
        <v>-131.84</v>
      </c>
      <c r="S137" s="94"/>
      <c r="T137" s="95">
        <v>-50.76</v>
      </c>
      <c r="U137" s="95">
        <v>0</v>
      </c>
      <c r="V137" s="94"/>
      <c r="W137" s="94"/>
      <c r="X137" s="95">
        <v>-1199.47</v>
      </c>
      <c r="Y137" s="94"/>
      <c r="Z137" s="94"/>
      <c r="AA137" s="94"/>
      <c r="AB137" s="94"/>
      <c r="AC137" s="94"/>
      <c r="AD137" s="94"/>
      <c r="AE137" s="94"/>
      <c r="AF137" s="94"/>
      <c r="AG137" s="95">
        <v>-92.42</v>
      </c>
      <c r="AH137" s="94"/>
      <c r="AI137" s="95">
        <v>-1302.6199999999999</v>
      </c>
      <c r="AJ137" s="95">
        <v>0</v>
      </c>
    </row>
    <row r="138" spans="1:36" customFormat="1" ht="15.75" thickBot="1" x14ac:dyDescent="0.3">
      <c r="A138" s="90" t="s">
        <v>885</v>
      </c>
      <c r="B138" s="626" t="str">
        <f>VLOOKUP($D138,'Retail Rates'!$B$7:$D$38,2,FALSE)</f>
        <v>851</v>
      </c>
      <c r="C138" s="626" t="str">
        <f>VLOOKUP($D138,'Retail Rates'!$B$7:$D$38,3,FALSE)</f>
        <v>CGS</v>
      </c>
      <c r="D138" s="90" t="s">
        <v>26</v>
      </c>
      <c r="E138" s="90" t="s">
        <v>875</v>
      </c>
      <c r="F138" s="90" t="s">
        <v>17</v>
      </c>
      <c r="G138" s="90" t="s">
        <v>913</v>
      </c>
      <c r="H138" s="304">
        <v>12</v>
      </c>
      <c r="I138" s="93">
        <v>-2011</v>
      </c>
      <c r="J138" s="92"/>
      <c r="K138" s="93">
        <v>-80</v>
      </c>
      <c r="L138" s="93">
        <v>-180</v>
      </c>
      <c r="M138" s="93">
        <v>-432.43</v>
      </c>
      <c r="N138" s="93">
        <v>-18.32</v>
      </c>
      <c r="O138" s="93">
        <v>0</v>
      </c>
      <c r="P138" s="93">
        <v>-685.13</v>
      </c>
      <c r="Q138" s="93">
        <v>-1.0900000000000001</v>
      </c>
      <c r="R138" s="93">
        <v>-116.87</v>
      </c>
      <c r="S138" s="92"/>
      <c r="T138" s="93">
        <v>-51.06</v>
      </c>
      <c r="U138" s="93">
        <v>0</v>
      </c>
      <c r="V138" s="92"/>
      <c r="W138" s="92"/>
      <c r="X138" s="93">
        <v>-1546.58</v>
      </c>
      <c r="Y138" s="92"/>
      <c r="Z138" s="92"/>
      <c r="AA138" s="92"/>
      <c r="AB138" s="92"/>
      <c r="AC138" s="92"/>
      <c r="AD138" s="92"/>
      <c r="AE138" s="92"/>
      <c r="AF138" s="92"/>
      <c r="AG138" s="93">
        <v>-112.7</v>
      </c>
      <c r="AH138" s="92"/>
      <c r="AI138" s="93">
        <v>-1677.6</v>
      </c>
      <c r="AJ138" s="93">
        <v>0</v>
      </c>
    </row>
    <row r="139" spans="1:36" customFormat="1" ht="15.75" thickBot="1" x14ac:dyDescent="0.3">
      <c r="A139" s="90" t="s">
        <v>885</v>
      </c>
      <c r="B139" s="626" t="str">
        <f>VLOOKUP($D139,'Retail Rates'!$B$7:$D$38,2,FALSE)</f>
        <v>851</v>
      </c>
      <c r="C139" s="626" t="str">
        <f>VLOOKUP($D139,'Retail Rates'!$B$7:$D$38,3,FALSE)</f>
        <v>CGS</v>
      </c>
      <c r="D139" s="90" t="s">
        <v>26</v>
      </c>
      <c r="E139" s="90" t="s">
        <v>875</v>
      </c>
      <c r="F139" s="90" t="s">
        <v>17</v>
      </c>
      <c r="G139" s="90" t="s">
        <v>914</v>
      </c>
      <c r="H139" s="305">
        <v>22</v>
      </c>
      <c r="I139" s="95">
        <v>-2886</v>
      </c>
      <c r="J139" s="94"/>
      <c r="K139" s="95">
        <v>0</v>
      </c>
      <c r="L139" s="95">
        <v>0</v>
      </c>
      <c r="M139" s="95">
        <v>-620.61</v>
      </c>
      <c r="N139" s="95">
        <v>-16.77</v>
      </c>
      <c r="O139" s="95">
        <v>0</v>
      </c>
      <c r="P139" s="95">
        <v>-956.98</v>
      </c>
      <c r="Q139" s="95">
        <v>-1.56</v>
      </c>
      <c r="R139" s="95">
        <v>-31.86</v>
      </c>
      <c r="S139" s="94"/>
      <c r="T139" s="95">
        <v>-1.79</v>
      </c>
      <c r="U139" s="95">
        <v>0</v>
      </c>
      <c r="V139" s="94"/>
      <c r="W139" s="94"/>
      <c r="X139" s="95">
        <v>-1612.8</v>
      </c>
      <c r="Y139" s="94"/>
      <c r="Z139" s="94"/>
      <c r="AA139" s="94"/>
      <c r="AB139" s="94"/>
      <c r="AC139" s="94"/>
      <c r="AD139" s="94"/>
      <c r="AE139" s="94"/>
      <c r="AF139" s="94"/>
      <c r="AG139" s="95">
        <v>-79.2</v>
      </c>
      <c r="AH139" s="94"/>
      <c r="AI139" s="95">
        <v>-1708.77</v>
      </c>
      <c r="AJ139" s="95">
        <v>0</v>
      </c>
    </row>
    <row r="140" spans="1:36" customFormat="1" ht="15.75" thickBot="1" x14ac:dyDescent="0.3">
      <c r="A140" s="90" t="s">
        <v>885</v>
      </c>
      <c r="B140" s="626" t="str">
        <f>VLOOKUP($D140,'Retail Rates'!$B$7:$D$38,2,FALSE)</f>
        <v>851</v>
      </c>
      <c r="C140" s="626" t="str">
        <f>VLOOKUP($D140,'Retail Rates'!$B$7:$D$38,3,FALSE)</f>
        <v>CGS</v>
      </c>
      <c r="D140" s="90" t="s">
        <v>26</v>
      </c>
      <c r="E140" s="90" t="s">
        <v>875</v>
      </c>
      <c r="F140" s="90" t="s">
        <v>17</v>
      </c>
      <c r="G140" s="90" t="s">
        <v>915</v>
      </c>
      <c r="H140" s="304">
        <v>432</v>
      </c>
      <c r="I140" s="93">
        <v>219233</v>
      </c>
      <c r="J140" s="92"/>
      <c r="K140" s="93">
        <v>10496.98</v>
      </c>
      <c r="L140" s="93">
        <v>1350</v>
      </c>
      <c r="M140" s="93">
        <v>47143.98</v>
      </c>
      <c r="N140" s="93">
        <v>3012.9</v>
      </c>
      <c r="O140" s="93">
        <v>0</v>
      </c>
      <c r="P140" s="93">
        <v>70911.58</v>
      </c>
      <c r="Q140" s="93">
        <v>118.33</v>
      </c>
      <c r="R140" s="93">
        <v>25423.279999999999</v>
      </c>
      <c r="S140" s="92"/>
      <c r="T140" s="93">
        <v>6977.33</v>
      </c>
      <c r="U140" s="93">
        <v>0</v>
      </c>
      <c r="V140" s="92"/>
      <c r="W140" s="92"/>
      <c r="X140" s="93">
        <v>162421.48000000001</v>
      </c>
      <c r="Y140" s="92"/>
      <c r="Z140" s="92"/>
      <c r="AA140" s="92"/>
      <c r="AB140" s="92"/>
      <c r="AC140" s="92"/>
      <c r="AD140" s="92"/>
      <c r="AE140" s="92"/>
      <c r="AF140" s="92"/>
      <c r="AG140" s="93">
        <v>1841.26</v>
      </c>
      <c r="AH140" s="92"/>
      <c r="AI140" s="93">
        <v>167275.64000000001</v>
      </c>
      <c r="AJ140" s="93">
        <v>0</v>
      </c>
    </row>
    <row r="141" spans="1:36" customFormat="1" ht="15.75" thickBot="1" x14ac:dyDescent="0.3">
      <c r="A141" s="90" t="s">
        <v>885</v>
      </c>
      <c r="B141" s="626" t="str">
        <f>VLOOKUP($D141,'Retail Rates'!$B$7:$D$38,2,FALSE)</f>
        <v>851</v>
      </c>
      <c r="C141" s="626" t="str">
        <f>VLOOKUP($D141,'Retail Rates'!$B$7:$D$38,3,FALSE)</f>
        <v>CGS</v>
      </c>
      <c r="D141" s="90" t="s">
        <v>26</v>
      </c>
      <c r="E141" s="90" t="s">
        <v>875</v>
      </c>
      <c r="F141" s="90" t="s">
        <v>17</v>
      </c>
      <c r="G141" s="90" t="s">
        <v>917</v>
      </c>
      <c r="H141" s="305">
        <v>23979</v>
      </c>
      <c r="I141" s="95">
        <v>4216001</v>
      </c>
      <c r="J141" s="95">
        <v>2171118</v>
      </c>
      <c r="K141" s="95">
        <v>924823.28</v>
      </c>
      <c r="L141" s="95">
        <v>150720.51999999999</v>
      </c>
      <c r="M141" s="95">
        <v>1264944.58</v>
      </c>
      <c r="N141" s="95">
        <v>1830.11</v>
      </c>
      <c r="O141" s="95">
        <v>0</v>
      </c>
      <c r="P141" s="95">
        <v>2065783.1</v>
      </c>
      <c r="Q141" s="95">
        <v>3639.55</v>
      </c>
      <c r="R141" s="95">
        <v>271260.34000000003</v>
      </c>
      <c r="S141" s="94"/>
      <c r="T141" s="95">
        <v>619817.24</v>
      </c>
      <c r="U141" s="95">
        <v>0</v>
      </c>
      <c r="V141" s="94"/>
      <c r="W141" s="94"/>
      <c r="X141" s="95">
        <v>5300988.6100000003</v>
      </c>
      <c r="Y141" s="94"/>
      <c r="Z141" s="94"/>
      <c r="AA141" s="94"/>
      <c r="AB141" s="94"/>
      <c r="AC141" s="94"/>
      <c r="AD141" s="94"/>
      <c r="AE141" s="94"/>
      <c r="AF141" s="94"/>
      <c r="AG141" s="95">
        <v>296285.71999999997</v>
      </c>
      <c r="AH141" s="94"/>
      <c r="AI141" s="95">
        <v>5599104.4400000004</v>
      </c>
      <c r="AJ141" s="95">
        <v>0</v>
      </c>
    </row>
    <row r="142" spans="1:36" customFormat="1" ht="15.75" thickBot="1" x14ac:dyDescent="0.3">
      <c r="A142" s="90" t="s">
        <v>885</v>
      </c>
      <c r="B142" s="626" t="str">
        <f>VLOOKUP($D142,'Retail Rates'!$B$7:$D$38,2,FALSE)</f>
        <v>851</v>
      </c>
      <c r="C142" s="626" t="str">
        <f>VLOOKUP($D142,'Retail Rates'!$B$7:$D$38,3,FALSE)</f>
        <v>CGS</v>
      </c>
      <c r="D142" s="90" t="s">
        <v>26</v>
      </c>
      <c r="E142" s="90" t="s">
        <v>875</v>
      </c>
      <c r="F142" s="90" t="s">
        <v>20</v>
      </c>
      <c r="G142" s="90" t="s">
        <v>915</v>
      </c>
      <c r="H142" s="305">
        <v>58</v>
      </c>
      <c r="I142" s="95">
        <v>54833</v>
      </c>
      <c r="J142" s="94"/>
      <c r="K142" s="95">
        <v>1520</v>
      </c>
      <c r="L142" s="95">
        <v>2160</v>
      </c>
      <c r="M142" s="95">
        <v>11791.31</v>
      </c>
      <c r="N142" s="95">
        <v>730.86</v>
      </c>
      <c r="O142" s="95">
        <v>0</v>
      </c>
      <c r="P142" s="95">
        <v>17734.61</v>
      </c>
      <c r="Q142" s="95">
        <v>29.57</v>
      </c>
      <c r="R142" s="95">
        <v>4711.8</v>
      </c>
      <c r="S142" s="94"/>
      <c r="T142" s="95">
        <v>1293.5</v>
      </c>
      <c r="U142" s="95">
        <v>0</v>
      </c>
      <c r="V142" s="94"/>
      <c r="W142" s="94"/>
      <c r="X142" s="95">
        <v>39240.79</v>
      </c>
      <c r="Y142" s="94"/>
      <c r="Z142" s="94"/>
      <c r="AA142" s="94"/>
      <c r="AB142" s="94"/>
      <c r="AC142" s="94"/>
      <c r="AD142" s="94"/>
      <c r="AE142" s="94"/>
      <c r="AF142" s="94"/>
      <c r="AG142" s="95">
        <v>84.81</v>
      </c>
      <c r="AH142" s="94"/>
      <c r="AI142" s="95">
        <v>40056.46</v>
      </c>
      <c r="AJ142" s="95">
        <v>0</v>
      </c>
    </row>
    <row r="143" spans="1:36" customFormat="1" ht="15.75" thickBot="1" x14ac:dyDescent="0.3">
      <c r="A143" s="90" t="s">
        <v>885</v>
      </c>
      <c r="B143" s="626" t="str">
        <f>VLOOKUP($D143,'Retail Rates'!$B$7:$D$38,2,FALSE)</f>
        <v>851</v>
      </c>
      <c r="C143" s="626" t="str">
        <f>VLOOKUP($D143,'Retail Rates'!$B$7:$D$38,3,FALSE)</f>
        <v>CGS</v>
      </c>
      <c r="D143" s="90" t="s">
        <v>26</v>
      </c>
      <c r="E143" s="90" t="s">
        <v>875</v>
      </c>
      <c r="F143" s="90" t="s">
        <v>20</v>
      </c>
      <c r="G143" s="90" t="s">
        <v>917</v>
      </c>
      <c r="H143" s="304">
        <v>1070</v>
      </c>
      <c r="I143" s="93">
        <v>406636</v>
      </c>
      <c r="J143" s="93">
        <v>379126</v>
      </c>
      <c r="K143" s="93">
        <v>32880</v>
      </c>
      <c r="L143" s="93">
        <v>44436.11</v>
      </c>
      <c r="M143" s="93">
        <v>150014.42000000001</v>
      </c>
      <c r="N143" s="93">
        <v>164.71</v>
      </c>
      <c r="O143" s="93">
        <v>0</v>
      </c>
      <c r="P143" s="93">
        <v>254139.01</v>
      </c>
      <c r="Q143" s="93">
        <v>447.71</v>
      </c>
      <c r="R143" s="93">
        <v>43938.45</v>
      </c>
      <c r="S143" s="92"/>
      <c r="T143" s="93">
        <v>27652.02</v>
      </c>
      <c r="U143" s="93">
        <v>0</v>
      </c>
      <c r="V143" s="92"/>
      <c r="W143" s="92"/>
      <c r="X143" s="93">
        <v>553507.72</v>
      </c>
      <c r="Y143" s="92"/>
      <c r="Z143" s="92"/>
      <c r="AA143" s="92"/>
      <c r="AB143" s="92"/>
      <c r="AC143" s="92"/>
      <c r="AD143" s="92"/>
      <c r="AE143" s="92"/>
      <c r="AF143" s="92"/>
      <c r="AG143" s="93">
        <v>3299.13</v>
      </c>
      <c r="AH143" s="92"/>
      <c r="AI143" s="93">
        <v>556971.56000000006</v>
      </c>
      <c r="AJ143" s="93">
        <v>0</v>
      </c>
    </row>
    <row r="144" spans="1:36" customFormat="1" ht="15.75" thickBot="1" x14ac:dyDescent="0.3">
      <c r="A144" s="90" t="s">
        <v>885</v>
      </c>
      <c r="B144" s="626" t="str">
        <f>VLOOKUP($D144,'Retail Rates'!$B$7:$D$38,2,FALSE)</f>
        <v>851</v>
      </c>
      <c r="C144" s="626" t="str">
        <f>VLOOKUP($D144,'Retail Rates'!$B$7:$D$38,3,FALSE)</f>
        <v>CGS</v>
      </c>
      <c r="D144" s="90" t="s">
        <v>26</v>
      </c>
      <c r="E144" s="90" t="s">
        <v>875</v>
      </c>
      <c r="F144" s="90" t="s">
        <v>28</v>
      </c>
      <c r="G144" s="90" t="s">
        <v>917</v>
      </c>
      <c r="H144" s="304">
        <v>12</v>
      </c>
      <c r="I144" s="93">
        <v>1774</v>
      </c>
      <c r="J144" s="93">
        <v>379</v>
      </c>
      <c r="K144" s="93">
        <v>480</v>
      </c>
      <c r="L144" s="92"/>
      <c r="M144" s="93">
        <v>444.02</v>
      </c>
      <c r="N144" s="93">
        <v>0</v>
      </c>
      <c r="O144" s="93">
        <v>0</v>
      </c>
      <c r="P144" s="93">
        <v>696.34</v>
      </c>
      <c r="Q144" s="93">
        <v>1.22</v>
      </c>
      <c r="R144" s="93">
        <v>60.25</v>
      </c>
      <c r="S144" s="92"/>
      <c r="T144" s="93">
        <v>310.5</v>
      </c>
      <c r="U144" s="93">
        <v>0</v>
      </c>
      <c r="V144" s="92"/>
      <c r="W144" s="92"/>
      <c r="X144" s="93">
        <v>1992.33</v>
      </c>
      <c r="Y144" s="92"/>
      <c r="Z144" s="92"/>
      <c r="AA144" s="92"/>
      <c r="AB144" s="92"/>
      <c r="AC144" s="92"/>
      <c r="AD144" s="92"/>
      <c r="AE144" s="92"/>
      <c r="AF144" s="92"/>
      <c r="AG144" s="93">
        <v>12.42</v>
      </c>
      <c r="AH144" s="92"/>
      <c r="AI144" s="93">
        <v>2004.75</v>
      </c>
      <c r="AJ144" s="93">
        <v>0</v>
      </c>
    </row>
    <row r="145" spans="1:36" customFormat="1" ht="15.75" thickBot="1" x14ac:dyDescent="0.3">
      <c r="A145" s="90" t="s">
        <v>885</v>
      </c>
      <c r="B145" s="626" t="str">
        <f>VLOOKUP($D145,'Retail Rates'!$B$7:$D$38,2,FALSE)</f>
        <v>851</v>
      </c>
      <c r="C145" s="626" t="str">
        <f>VLOOKUP($D145,'Retail Rates'!$B$7:$D$38,3,FALSE)</f>
        <v>CGS</v>
      </c>
      <c r="D145" s="90" t="s">
        <v>707</v>
      </c>
      <c r="E145" s="90" t="s">
        <v>876</v>
      </c>
      <c r="F145" s="90" t="s">
        <v>17</v>
      </c>
      <c r="G145" s="90" t="s">
        <v>917</v>
      </c>
      <c r="H145" s="304">
        <v>1</v>
      </c>
      <c r="I145" s="93">
        <v>296</v>
      </c>
      <c r="J145" s="92"/>
      <c r="K145" s="93">
        <v>40</v>
      </c>
      <c r="L145" s="92"/>
      <c r="M145" s="93">
        <v>63.65</v>
      </c>
      <c r="N145" s="93">
        <v>0</v>
      </c>
      <c r="O145" s="93">
        <v>0</v>
      </c>
      <c r="P145" s="93">
        <v>95.74</v>
      </c>
      <c r="Q145" s="93">
        <v>0.17</v>
      </c>
      <c r="R145" s="93">
        <v>0.13</v>
      </c>
      <c r="S145" s="92"/>
      <c r="T145" s="93">
        <v>25.87</v>
      </c>
      <c r="U145" s="92"/>
      <c r="V145" s="92"/>
      <c r="W145" s="92"/>
      <c r="X145" s="93">
        <v>225.56</v>
      </c>
      <c r="Y145" s="92"/>
      <c r="Z145" s="92"/>
      <c r="AA145" s="92"/>
      <c r="AB145" s="92"/>
      <c r="AC145" s="92"/>
      <c r="AD145" s="92"/>
      <c r="AE145" s="92"/>
      <c r="AF145" s="92"/>
      <c r="AG145" s="93">
        <v>13.53</v>
      </c>
      <c r="AH145" s="92"/>
      <c r="AI145" s="93">
        <v>239.09</v>
      </c>
      <c r="AJ145" s="93">
        <v>0</v>
      </c>
    </row>
    <row r="146" spans="1:36" customFormat="1" ht="15.75" thickBot="1" x14ac:dyDescent="0.3">
      <c r="A146" s="90" t="s">
        <v>885</v>
      </c>
      <c r="B146" s="626" t="str">
        <f>VLOOKUP($D146,'Retail Rates'!$B$7:$D$38,2,FALSE)</f>
        <v>865</v>
      </c>
      <c r="C146" s="626" t="str">
        <f>VLOOKUP($D146,'Retail Rates'!$B$7:$D$38,3,FALSE)</f>
        <v>AAGS-C</v>
      </c>
      <c r="D146" s="90" t="s">
        <v>18</v>
      </c>
      <c r="E146" s="90" t="s">
        <v>453</v>
      </c>
      <c r="F146" s="90" t="s">
        <v>17</v>
      </c>
      <c r="G146" s="90" t="s">
        <v>917</v>
      </c>
      <c r="H146" s="305">
        <v>1</v>
      </c>
      <c r="I146" s="95">
        <v>19532</v>
      </c>
      <c r="J146" s="94"/>
      <c r="K146" s="95">
        <v>400</v>
      </c>
      <c r="L146" s="94"/>
      <c r="M146" s="95">
        <v>1369</v>
      </c>
      <c r="N146" s="95">
        <v>0</v>
      </c>
      <c r="O146" s="95">
        <v>0</v>
      </c>
      <c r="P146" s="95">
        <v>6317.23</v>
      </c>
      <c r="Q146" s="95">
        <v>11.13</v>
      </c>
      <c r="R146" s="94"/>
      <c r="S146" s="94"/>
      <c r="T146" s="95">
        <v>2688.31</v>
      </c>
      <c r="U146" s="95">
        <v>0</v>
      </c>
      <c r="V146" s="94"/>
      <c r="W146" s="94"/>
      <c r="X146" s="95">
        <v>10785.67</v>
      </c>
      <c r="Y146" s="94"/>
      <c r="Z146" s="94"/>
      <c r="AA146" s="94"/>
      <c r="AB146" s="94"/>
      <c r="AC146" s="94"/>
      <c r="AD146" s="94"/>
      <c r="AE146" s="94"/>
      <c r="AF146" s="94"/>
      <c r="AG146" s="95">
        <v>647.14</v>
      </c>
      <c r="AH146" s="94"/>
      <c r="AI146" s="95">
        <v>11432.81</v>
      </c>
      <c r="AJ146" s="95">
        <v>0</v>
      </c>
    </row>
    <row r="147" spans="1:36" customFormat="1" ht="15.75" thickBot="1" x14ac:dyDescent="0.3">
      <c r="A147" s="90" t="s">
        <v>885</v>
      </c>
      <c r="B147" s="626" t="str">
        <f>VLOOKUP($D147,'Retail Rates'!$B$7:$D$38,2,FALSE)</f>
        <v>865</v>
      </c>
      <c r="C147" s="626" t="str">
        <f>VLOOKUP($D147,'Retail Rates'!$B$7:$D$38,3,FALSE)</f>
        <v>AAGS-C</v>
      </c>
      <c r="D147" s="90" t="s">
        <v>18</v>
      </c>
      <c r="E147" s="90" t="s">
        <v>453</v>
      </c>
      <c r="F147" s="90" t="s">
        <v>20</v>
      </c>
      <c r="G147" s="90" t="s">
        <v>917</v>
      </c>
      <c r="H147" s="304">
        <v>1</v>
      </c>
      <c r="I147" s="93">
        <v>24619</v>
      </c>
      <c r="J147" s="92"/>
      <c r="K147" s="93">
        <v>400</v>
      </c>
      <c r="L147" s="92"/>
      <c r="M147" s="93">
        <v>1725.55</v>
      </c>
      <c r="N147" s="93">
        <v>0</v>
      </c>
      <c r="O147" s="93">
        <v>0</v>
      </c>
      <c r="P147" s="93">
        <v>7962.52</v>
      </c>
      <c r="Q147" s="93">
        <v>14.03</v>
      </c>
      <c r="R147" s="92"/>
      <c r="S147" s="92"/>
      <c r="T147" s="93">
        <v>2688.31</v>
      </c>
      <c r="U147" s="93">
        <v>0</v>
      </c>
      <c r="V147" s="92"/>
      <c r="W147" s="92"/>
      <c r="X147" s="93">
        <v>12790.41</v>
      </c>
      <c r="Y147" s="92"/>
      <c r="Z147" s="92"/>
      <c r="AA147" s="92"/>
      <c r="AB147" s="92"/>
      <c r="AC147" s="92"/>
      <c r="AD147" s="92"/>
      <c r="AE147" s="92"/>
      <c r="AF147" s="92"/>
      <c r="AG147" s="93">
        <v>0</v>
      </c>
      <c r="AH147" s="92"/>
      <c r="AI147" s="93">
        <v>12790.41</v>
      </c>
      <c r="AJ147" s="93">
        <v>0</v>
      </c>
    </row>
    <row r="148" spans="1:36" customFormat="1" ht="15.75" thickBot="1" x14ac:dyDescent="0.3">
      <c r="A148" s="90" t="s">
        <v>885</v>
      </c>
      <c r="B148" s="626" t="str">
        <f>VLOOKUP($D148,'Retail Rates'!$B$7:$D$38,2,FALSE)</f>
        <v>875</v>
      </c>
      <c r="C148" s="626" t="str">
        <f>VLOOKUP($D148,'Retail Rates'!$B$7:$D$38,3,FALSE)</f>
        <v>DGGS-C</v>
      </c>
      <c r="D148" s="90" t="s">
        <v>68</v>
      </c>
      <c r="E148" s="90" t="s">
        <v>877</v>
      </c>
      <c r="F148" s="90" t="s">
        <v>17</v>
      </c>
      <c r="G148" s="90" t="s">
        <v>917</v>
      </c>
      <c r="H148" s="304">
        <v>1</v>
      </c>
      <c r="I148" s="93">
        <v>6</v>
      </c>
      <c r="J148" s="92"/>
      <c r="K148" s="93">
        <v>40</v>
      </c>
      <c r="L148" s="92"/>
      <c r="M148" s="93">
        <v>0.2</v>
      </c>
      <c r="N148" s="93">
        <v>0</v>
      </c>
      <c r="O148" s="93">
        <v>0</v>
      </c>
      <c r="P148" s="93">
        <v>1.94</v>
      </c>
      <c r="Q148" s="92"/>
      <c r="R148" s="92"/>
      <c r="S148" s="92"/>
      <c r="T148" s="93">
        <v>0</v>
      </c>
      <c r="U148" s="92"/>
      <c r="V148" s="92"/>
      <c r="W148" s="93">
        <v>544</v>
      </c>
      <c r="X148" s="93">
        <v>586.14</v>
      </c>
      <c r="Y148" s="92"/>
      <c r="Z148" s="92"/>
      <c r="AA148" s="92"/>
      <c r="AB148" s="92"/>
      <c r="AC148" s="92"/>
      <c r="AD148" s="92"/>
      <c r="AE148" s="92"/>
      <c r="AF148" s="92"/>
      <c r="AG148" s="93">
        <v>35.17</v>
      </c>
      <c r="AH148" s="92"/>
      <c r="AI148" s="93">
        <v>621.30999999999995</v>
      </c>
      <c r="AJ148" s="93">
        <v>0</v>
      </c>
    </row>
    <row r="149" spans="1:36" customFormat="1" ht="15.75" thickBot="1" x14ac:dyDescent="0.3">
      <c r="A149" s="90" t="s">
        <v>885</v>
      </c>
      <c r="B149" s="626" t="str">
        <f>VLOOKUP($D149,'Retail Rates'!$B$7:$D$38,2,FALSE)</f>
        <v>895</v>
      </c>
      <c r="C149" s="626" t="str">
        <f>VLOOKUP($D149,'Retail Rates'!$B$7:$D$38,3,FALSE)</f>
        <v>FT-C</v>
      </c>
      <c r="D149" s="90" t="s">
        <v>50</v>
      </c>
      <c r="E149" s="90" t="s">
        <v>881</v>
      </c>
      <c r="F149" s="90" t="s">
        <v>661</v>
      </c>
      <c r="G149" s="90" t="s">
        <v>915</v>
      </c>
      <c r="H149" s="305">
        <v>8</v>
      </c>
      <c r="I149" s="95">
        <v>482247</v>
      </c>
      <c r="J149" s="94"/>
      <c r="K149" s="94"/>
      <c r="L149" s="94"/>
      <c r="M149" s="94"/>
      <c r="N149" s="95">
        <v>289.89</v>
      </c>
      <c r="O149" s="95">
        <v>0</v>
      </c>
      <c r="P149" s="94"/>
      <c r="Q149" s="94"/>
      <c r="R149" s="94"/>
      <c r="S149" s="94"/>
      <c r="T149" s="94"/>
      <c r="U149" s="94"/>
      <c r="V149" s="94"/>
      <c r="W149" s="94"/>
      <c r="X149" s="94"/>
      <c r="Y149" s="95">
        <v>0</v>
      </c>
      <c r="Z149" s="94"/>
      <c r="AA149" s="95">
        <v>21006.66</v>
      </c>
      <c r="AB149" s="95">
        <v>0</v>
      </c>
      <c r="AC149" s="94"/>
      <c r="AD149" s="94"/>
      <c r="AE149" s="95">
        <v>4400</v>
      </c>
      <c r="AF149" s="95">
        <v>0</v>
      </c>
      <c r="AG149" s="95">
        <v>447.05</v>
      </c>
      <c r="AH149" s="94"/>
      <c r="AI149" s="95">
        <v>26143.599999999999</v>
      </c>
      <c r="AJ149" s="95">
        <v>0</v>
      </c>
    </row>
    <row r="150" spans="1:36" customFormat="1" ht="15.75" thickBot="1" x14ac:dyDescent="0.3">
      <c r="A150" s="90" t="s">
        <v>885</v>
      </c>
      <c r="B150" s="626" t="str">
        <f>VLOOKUP($D150,'Retail Rates'!$B$7:$D$38,2,FALSE)</f>
        <v>895</v>
      </c>
      <c r="C150" s="626" t="str">
        <f>VLOOKUP($D150,'Retail Rates'!$B$7:$D$38,3,FALSE)</f>
        <v>FT-C</v>
      </c>
      <c r="D150" s="90" t="s">
        <v>50</v>
      </c>
      <c r="E150" s="90" t="s">
        <v>881</v>
      </c>
      <c r="F150" s="90" t="s">
        <v>662</v>
      </c>
      <c r="G150" s="90" t="s">
        <v>915</v>
      </c>
      <c r="H150" s="304">
        <v>2</v>
      </c>
      <c r="I150" s="93">
        <v>178740</v>
      </c>
      <c r="J150" s="92"/>
      <c r="K150" s="92"/>
      <c r="L150" s="92"/>
      <c r="M150" s="92"/>
      <c r="N150" s="93">
        <v>46.89</v>
      </c>
      <c r="O150" s="93">
        <v>0</v>
      </c>
      <c r="P150" s="92"/>
      <c r="Q150" s="92"/>
      <c r="R150" s="92"/>
      <c r="S150" s="92"/>
      <c r="T150" s="92"/>
      <c r="U150" s="92"/>
      <c r="V150" s="92"/>
      <c r="W150" s="92"/>
      <c r="X150" s="92"/>
      <c r="Y150" s="93">
        <v>37.08</v>
      </c>
      <c r="Z150" s="92"/>
      <c r="AA150" s="93">
        <v>7976.39</v>
      </c>
      <c r="AB150" s="93">
        <v>-1225.42</v>
      </c>
      <c r="AC150" s="93">
        <v>-131.13999999999999</v>
      </c>
      <c r="AD150" s="92"/>
      <c r="AE150" s="93">
        <v>1100</v>
      </c>
      <c r="AF150" s="93">
        <v>90.58</v>
      </c>
      <c r="AG150" s="93">
        <v>162.37</v>
      </c>
      <c r="AH150" s="92"/>
      <c r="AI150" s="93">
        <v>7966.17</v>
      </c>
      <c r="AJ150" s="306">
        <v>-90.58</v>
      </c>
    </row>
    <row r="151" spans="1:36" customFormat="1" ht="15.75" thickBot="1" x14ac:dyDescent="0.3">
      <c r="A151" s="90" t="s">
        <v>885</v>
      </c>
      <c r="B151" s="626" t="str">
        <f>VLOOKUP($D151,'Retail Rates'!$B$7:$D$38,2,FALSE)</f>
        <v>855</v>
      </c>
      <c r="C151" s="626" t="str">
        <f>VLOOKUP($D151,'Retail Rates'!$B$7:$D$38,3,FALSE)</f>
        <v>IGS Opt Out</v>
      </c>
      <c r="D151" s="90" t="s">
        <v>31</v>
      </c>
      <c r="E151" s="90" t="s">
        <v>880</v>
      </c>
      <c r="F151" s="90" t="s">
        <v>21</v>
      </c>
      <c r="G151" s="90" t="s">
        <v>915</v>
      </c>
      <c r="H151" s="304">
        <v>3</v>
      </c>
      <c r="I151" s="93">
        <v>21891</v>
      </c>
      <c r="J151" s="92"/>
      <c r="K151" s="93">
        <v>0</v>
      </c>
      <c r="L151" s="93">
        <v>360</v>
      </c>
      <c r="M151" s="93">
        <v>4986.55</v>
      </c>
      <c r="N151" s="93">
        <v>248.25</v>
      </c>
      <c r="O151" s="93">
        <v>0</v>
      </c>
      <c r="P151" s="93">
        <v>7080.21</v>
      </c>
      <c r="Q151" s="92"/>
      <c r="R151" s="92"/>
      <c r="S151" s="92"/>
      <c r="T151" s="93">
        <v>490.16</v>
      </c>
      <c r="U151" s="92"/>
      <c r="V151" s="92"/>
      <c r="W151" s="92"/>
      <c r="X151" s="93">
        <v>12916.92</v>
      </c>
      <c r="Y151" s="92"/>
      <c r="Z151" s="92"/>
      <c r="AA151" s="92"/>
      <c r="AB151" s="92"/>
      <c r="AC151" s="92"/>
      <c r="AD151" s="92"/>
      <c r="AE151" s="92"/>
      <c r="AF151" s="92"/>
      <c r="AG151" s="93">
        <v>72.31</v>
      </c>
      <c r="AH151" s="92"/>
      <c r="AI151" s="93">
        <v>13237.48</v>
      </c>
      <c r="AJ151" s="93">
        <v>0</v>
      </c>
    </row>
    <row r="152" spans="1:36" customFormat="1" ht="15.75" thickBot="1" x14ac:dyDescent="0.3">
      <c r="A152" s="90" t="s">
        <v>885</v>
      </c>
      <c r="B152" s="626" t="str">
        <f>VLOOKUP($D152,'Retail Rates'!$B$7:$D$38,2,FALSE)</f>
        <v>855</v>
      </c>
      <c r="C152" s="626" t="str">
        <f>VLOOKUP($D152,'Retail Rates'!$B$7:$D$38,3,FALSE)</f>
        <v>IGS Opt Out</v>
      </c>
      <c r="D152" s="90" t="s">
        <v>31</v>
      </c>
      <c r="E152" s="90" t="s">
        <v>880</v>
      </c>
      <c r="F152" s="90" t="s">
        <v>21</v>
      </c>
      <c r="G152" s="90" t="s">
        <v>917</v>
      </c>
      <c r="H152" s="305">
        <v>222</v>
      </c>
      <c r="I152" s="95">
        <v>140056</v>
      </c>
      <c r="J152" s="95">
        <v>730313</v>
      </c>
      <c r="K152" s="95">
        <v>4530.6400000000003</v>
      </c>
      <c r="L152" s="95">
        <v>19620.14</v>
      </c>
      <c r="M152" s="95">
        <v>161745.75</v>
      </c>
      <c r="N152" s="95">
        <v>0</v>
      </c>
      <c r="O152" s="95">
        <v>0</v>
      </c>
      <c r="P152" s="95">
        <v>281503.46999999997</v>
      </c>
      <c r="Q152" s="94"/>
      <c r="R152" s="94"/>
      <c r="S152" s="94"/>
      <c r="T152" s="95">
        <v>54474.6</v>
      </c>
      <c r="U152" s="94"/>
      <c r="V152" s="94"/>
      <c r="W152" s="94"/>
      <c r="X152" s="95">
        <v>521874.6</v>
      </c>
      <c r="Y152" s="94"/>
      <c r="Z152" s="94"/>
      <c r="AA152" s="94"/>
      <c r="AB152" s="94"/>
      <c r="AC152" s="94"/>
      <c r="AD152" s="94"/>
      <c r="AE152" s="94"/>
      <c r="AF152" s="94"/>
      <c r="AG152" s="95">
        <v>29826.38</v>
      </c>
      <c r="AH152" s="94"/>
      <c r="AI152" s="95">
        <v>551700.98</v>
      </c>
      <c r="AJ152" s="95">
        <v>0</v>
      </c>
    </row>
    <row r="153" spans="1:36" customFormat="1" ht="15.75" thickBot="1" x14ac:dyDescent="0.3">
      <c r="A153" s="90" t="s">
        <v>885</v>
      </c>
      <c r="B153" s="626" t="str">
        <f>VLOOKUP($D153,'Retail Rates'!$B$7:$D$38,2,FALSE)</f>
        <v>855</v>
      </c>
      <c r="C153" s="626" t="str">
        <f>VLOOKUP($D153,'Retail Rates'!$B$7:$D$38,3,FALSE)</f>
        <v>IGS Opt Out</v>
      </c>
      <c r="D153" s="90" t="s">
        <v>31</v>
      </c>
      <c r="E153" s="90" t="s">
        <v>880</v>
      </c>
      <c r="F153" s="90" t="s">
        <v>17</v>
      </c>
      <c r="G153" s="90" t="s">
        <v>915</v>
      </c>
      <c r="H153" s="305">
        <v>1</v>
      </c>
      <c r="I153" s="95">
        <v>-343</v>
      </c>
      <c r="J153" s="94"/>
      <c r="K153" s="95">
        <v>0</v>
      </c>
      <c r="L153" s="94"/>
      <c r="M153" s="95">
        <v>-78.13</v>
      </c>
      <c r="N153" s="95">
        <v>-3.78</v>
      </c>
      <c r="O153" s="95">
        <v>0</v>
      </c>
      <c r="P153" s="95">
        <v>-110.93</v>
      </c>
      <c r="Q153" s="94"/>
      <c r="R153" s="94"/>
      <c r="S153" s="94"/>
      <c r="T153" s="95">
        <v>0</v>
      </c>
      <c r="U153" s="94"/>
      <c r="V153" s="94"/>
      <c r="W153" s="94"/>
      <c r="X153" s="95">
        <v>-189.06</v>
      </c>
      <c r="Y153" s="94"/>
      <c r="Z153" s="94"/>
      <c r="AA153" s="94"/>
      <c r="AB153" s="94"/>
      <c r="AC153" s="94"/>
      <c r="AD153" s="94"/>
      <c r="AE153" s="94"/>
      <c r="AF153" s="94"/>
      <c r="AG153" s="95">
        <v>-11.57</v>
      </c>
      <c r="AH153" s="94"/>
      <c r="AI153" s="95">
        <v>-204.41</v>
      </c>
      <c r="AJ153" s="95">
        <v>0</v>
      </c>
    </row>
    <row r="154" spans="1:36" customFormat="1" ht="15.75" thickBot="1" x14ac:dyDescent="0.3">
      <c r="A154" s="90" t="s">
        <v>885</v>
      </c>
      <c r="B154" s="626" t="str">
        <f>VLOOKUP($D154,'Retail Rates'!$B$7:$D$38,2,FALSE)</f>
        <v>855</v>
      </c>
      <c r="C154" s="626" t="str">
        <f>VLOOKUP($D154,'Retail Rates'!$B$7:$D$38,3,FALSE)</f>
        <v>IGS Opt Out</v>
      </c>
      <c r="D154" s="90" t="s">
        <v>31</v>
      </c>
      <c r="E154" s="90" t="s">
        <v>880</v>
      </c>
      <c r="F154" s="90" t="s">
        <v>17</v>
      </c>
      <c r="G154" s="90" t="s">
        <v>917</v>
      </c>
      <c r="H154" s="304">
        <v>21</v>
      </c>
      <c r="I154" s="93">
        <v>11318</v>
      </c>
      <c r="J154" s="93">
        <v>21272</v>
      </c>
      <c r="K154" s="93">
        <v>640</v>
      </c>
      <c r="L154" s="93">
        <v>900.01</v>
      </c>
      <c r="M154" s="93">
        <v>6360.06</v>
      </c>
      <c r="N154" s="93">
        <v>0</v>
      </c>
      <c r="O154" s="93">
        <v>0</v>
      </c>
      <c r="P154" s="93">
        <v>10540.6</v>
      </c>
      <c r="Q154" s="92"/>
      <c r="R154" s="92"/>
      <c r="S154" s="92"/>
      <c r="T154" s="93">
        <v>5146.68</v>
      </c>
      <c r="U154" s="92"/>
      <c r="V154" s="92"/>
      <c r="W154" s="92"/>
      <c r="X154" s="93">
        <v>23587.35</v>
      </c>
      <c r="Y154" s="92"/>
      <c r="Z154" s="92"/>
      <c r="AA154" s="92"/>
      <c r="AB154" s="92"/>
      <c r="AC154" s="92"/>
      <c r="AD154" s="92"/>
      <c r="AE154" s="92"/>
      <c r="AF154" s="92"/>
      <c r="AG154" s="93">
        <v>1258.21</v>
      </c>
      <c r="AH154" s="92"/>
      <c r="AI154" s="93">
        <v>24845.56</v>
      </c>
      <c r="AJ154" s="93">
        <v>0</v>
      </c>
    </row>
    <row r="155" spans="1:36" customFormat="1" ht="15.75" thickBot="1" x14ac:dyDescent="0.3">
      <c r="A155" s="90" t="s">
        <v>885</v>
      </c>
      <c r="B155" s="626" t="str">
        <f>VLOOKUP($D155,'Retail Rates'!$B$7:$D$38,2,FALSE)</f>
        <v>866</v>
      </c>
      <c r="C155" s="626" t="str">
        <f>VLOOKUP($D155,'Retail Rates'!$B$7:$D$38,3,FALSE)</f>
        <v>AAGS-I</v>
      </c>
      <c r="D155" s="90" t="s">
        <v>22</v>
      </c>
      <c r="E155" s="90" t="s">
        <v>874</v>
      </c>
      <c r="F155" s="90" t="s">
        <v>21</v>
      </c>
      <c r="G155" s="90" t="s">
        <v>917</v>
      </c>
      <c r="H155" s="305">
        <v>2</v>
      </c>
      <c r="I155" s="95">
        <v>48734</v>
      </c>
      <c r="J155" s="94"/>
      <c r="K155" s="95">
        <v>800</v>
      </c>
      <c r="L155" s="94"/>
      <c r="M155" s="95">
        <v>3415.77</v>
      </c>
      <c r="N155" s="95">
        <v>0</v>
      </c>
      <c r="O155" s="95">
        <v>0</v>
      </c>
      <c r="P155" s="95">
        <v>15762.04</v>
      </c>
      <c r="Q155" s="94"/>
      <c r="R155" s="94"/>
      <c r="S155" s="94"/>
      <c r="T155" s="95">
        <v>5376.62</v>
      </c>
      <c r="U155" s="95">
        <v>0</v>
      </c>
      <c r="V155" s="94"/>
      <c r="W155" s="94"/>
      <c r="X155" s="95">
        <v>25354.43</v>
      </c>
      <c r="Y155" s="94"/>
      <c r="Z155" s="94"/>
      <c r="AA155" s="94"/>
      <c r="AB155" s="94"/>
      <c r="AC155" s="94"/>
      <c r="AD155" s="94"/>
      <c r="AE155" s="94"/>
      <c r="AF155" s="94"/>
      <c r="AG155" s="95">
        <v>0</v>
      </c>
      <c r="AH155" s="94"/>
      <c r="AI155" s="95">
        <v>25354.43</v>
      </c>
      <c r="AJ155" s="95">
        <v>0</v>
      </c>
    </row>
    <row r="156" spans="1:36" customFormat="1" ht="15.75" thickBot="1" x14ac:dyDescent="0.3">
      <c r="A156" s="90" t="s">
        <v>885</v>
      </c>
      <c r="B156" s="626" t="str">
        <f>VLOOKUP($D156,'Retail Rates'!$B$7:$D$38,2,FALSE)</f>
        <v>882</v>
      </c>
      <c r="C156" s="626" t="str">
        <f>VLOOKUP($D156,'Retail Rates'!$B$7:$D$38,3,FALSE)</f>
        <v>IGS-TS-2</v>
      </c>
      <c r="D156" s="90" t="s">
        <v>42</v>
      </c>
      <c r="E156" s="90" t="s">
        <v>884</v>
      </c>
      <c r="F156" s="90" t="s">
        <v>663</v>
      </c>
      <c r="G156" s="90" t="s">
        <v>915</v>
      </c>
      <c r="H156" s="304">
        <v>4</v>
      </c>
      <c r="I156" s="93">
        <v>166413</v>
      </c>
      <c r="J156" s="92"/>
      <c r="K156" s="92"/>
      <c r="L156" s="92"/>
      <c r="M156" s="92"/>
      <c r="N156" s="93">
        <v>361.65</v>
      </c>
      <c r="O156" s="93">
        <v>0</v>
      </c>
      <c r="P156" s="92"/>
      <c r="Q156" s="92"/>
      <c r="R156" s="92"/>
      <c r="S156" s="92"/>
      <c r="T156" s="93">
        <v>980.32</v>
      </c>
      <c r="U156" s="92"/>
      <c r="V156" s="92"/>
      <c r="W156" s="92"/>
      <c r="X156" s="93">
        <v>980.32</v>
      </c>
      <c r="Y156" s="92"/>
      <c r="Z156" s="93">
        <v>-904.59</v>
      </c>
      <c r="AA156" s="93">
        <v>51827.66</v>
      </c>
      <c r="AB156" s="93">
        <v>720</v>
      </c>
      <c r="AC156" s="92"/>
      <c r="AD156" s="93">
        <v>0</v>
      </c>
      <c r="AE156" s="93">
        <v>2200</v>
      </c>
      <c r="AF156" s="92"/>
      <c r="AG156" s="93">
        <v>1543.13</v>
      </c>
      <c r="AH156" s="92"/>
      <c r="AI156" s="93">
        <v>56728.17</v>
      </c>
      <c r="AJ156" s="93">
        <v>0</v>
      </c>
    </row>
    <row r="157" spans="1:36" customFormat="1" ht="15.75" thickBot="1" x14ac:dyDescent="0.3">
      <c r="A157" s="90" t="s">
        <v>885</v>
      </c>
      <c r="B157" s="626" t="str">
        <f>VLOOKUP($D157,'Retail Rates'!$B$7:$D$38,2,FALSE)</f>
        <v>882</v>
      </c>
      <c r="C157" s="626" t="str">
        <f>VLOOKUP($D157,'Retail Rates'!$B$7:$D$38,3,FALSE)</f>
        <v>IGS-TS-2</v>
      </c>
      <c r="D157" s="90" t="s">
        <v>42</v>
      </c>
      <c r="E157" s="90" t="s">
        <v>884</v>
      </c>
      <c r="F157" s="90" t="s">
        <v>662</v>
      </c>
      <c r="G157" s="90" t="s">
        <v>915</v>
      </c>
      <c r="H157" s="305">
        <v>1</v>
      </c>
      <c r="I157" s="95">
        <v>172125</v>
      </c>
      <c r="J157" s="94"/>
      <c r="K157" s="94"/>
      <c r="L157" s="94"/>
      <c r="M157" s="94"/>
      <c r="N157" s="95">
        <v>1031.25</v>
      </c>
      <c r="O157" s="95">
        <v>0</v>
      </c>
      <c r="P157" s="94"/>
      <c r="Q157" s="94"/>
      <c r="R157" s="94"/>
      <c r="S157" s="94"/>
      <c r="T157" s="95">
        <v>245.08</v>
      </c>
      <c r="U157" s="94"/>
      <c r="V157" s="94"/>
      <c r="W157" s="94"/>
      <c r="X157" s="95">
        <v>245.08</v>
      </c>
      <c r="Y157" s="94"/>
      <c r="Z157" s="95">
        <v>-3019.07</v>
      </c>
      <c r="AA157" s="95">
        <v>53606.61</v>
      </c>
      <c r="AB157" s="95">
        <v>180</v>
      </c>
      <c r="AC157" s="94"/>
      <c r="AD157" s="95">
        <v>0</v>
      </c>
      <c r="AE157" s="95">
        <v>550</v>
      </c>
      <c r="AF157" s="94"/>
      <c r="AG157" s="95">
        <v>0</v>
      </c>
      <c r="AH157" s="94"/>
      <c r="AI157" s="95">
        <v>52593.87</v>
      </c>
      <c r="AJ157" s="95">
        <v>0</v>
      </c>
    </row>
    <row r="158" spans="1:36" customFormat="1" ht="15.75" thickBot="1" x14ac:dyDescent="0.3">
      <c r="A158" s="90" t="s">
        <v>885</v>
      </c>
      <c r="B158" s="626" t="str">
        <f>VLOOKUP($D158,'Retail Rates'!$B$7:$D$38,2,FALSE)</f>
        <v>882</v>
      </c>
      <c r="C158" s="626" t="str">
        <f>VLOOKUP($D158,'Retail Rates'!$B$7:$D$38,3,FALSE)</f>
        <v>IGS-TS-2-PM</v>
      </c>
      <c r="D158" s="90" t="s">
        <v>93</v>
      </c>
      <c r="E158" s="90" t="s">
        <v>719</v>
      </c>
      <c r="F158" s="90" t="s">
        <v>663</v>
      </c>
      <c r="G158" s="90" t="s">
        <v>915</v>
      </c>
      <c r="H158" s="305">
        <v>2</v>
      </c>
      <c r="I158" s="94"/>
      <c r="J158" s="94"/>
      <c r="K158" s="94"/>
      <c r="L158" s="94"/>
      <c r="M158" s="94"/>
      <c r="N158" s="95">
        <v>0</v>
      </c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5">
        <v>0</v>
      </c>
      <c r="AB158" s="95">
        <v>-435.08</v>
      </c>
      <c r="AC158" s="95">
        <v>1539.58</v>
      </c>
      <c r="AD158" s="94"/>
      <c r="AE158" s="95">
        <v>525</v>
      </c>
      <c r="AF158" s="95">
        <v>0</v>
      </c>
      <c r="AG158" s="95">
        <v>0</v>
      </c>
      <c r="AH158" s="94"/>
      <c r="AI158" s="95">
        <v>1629.5</v>
      </c>
      <c r="AJ158" s="95">
        <v>0</v>
      </c>
    </row>
    <row r="159" spans="1:36" customFormat="1" ht="15.75" thickBot="1" x14ac:dyDescent="0.3">
      <c r="A159" s="90" t="s">
        <v>885</v>
      </c>
      <c r="B159" s="626" t="str">
        <f>VLOOKUP($D159,'Retail Rates'!$B$7:$D$38,2,FALSE)</f>
        <v>892</v>
      </c>
      <c r="C159" s="626" t="str">
        <f>VLOOKUP($D159,'Retail Rates'!$B$7:$D$38,3,FALSE)</f>
        <v>AAGS-I-TS-2</v>
      </c>
      <c r="D159" s="90" t="s">
        <v>96</v>
      </c>
      <c r="E159" s="90" t="s">
        <v>883</v>
      </c>
      <c r="F159" s="90" t="s">
        <v>663</v>
      </c>
      <c r="G159" s="90" t="s">
        <v>915</v>
      </c>
      <c r="H159" s="304">
        <v>1</v>
      </c>
      <c r="I159" s="93">
        <v>116163</v>
      </c>
      <c r="J159" s="92"/>
      <c r="K159" s="92"/>
      <c r="L159" s="92"/>
      <c r="M159" s="92"/>
      <c r="N159" s="93">
        <v>0</v>
      </c>
      <c r="O159" s="92"/>
      <c r="P159" s="92"/>
      <c r="Q159" s="92"/>
      <c r="R159" s="92"/>
      <c r="S159" s="92"/>
      <c r="T159" s="93">
        <v>2688.31</v>
      </c>
      <c r="U159" s="92"/>
      <c r="V159" s="92"/>
      <c r="W159" s="92"/>
      <c r="X159" s="93">
        <v>2688.31</v>
      </c>
      <c r="Y159" s="92"/>
      <c r="Z159" s="93">
        <v>-105.71</v>
      </c>
      <c r="AA159" s="93">
        <v>17858.89</v>
      </c>
      <c r="AB159" s="93">
        <v>400</v>
      </c>
      <c r="AC159" s="92"/>
      <c r="AD159" s="93">
        <v>0</v>
      </c>
      <c r="AE159" s="93">
        <v>550</v>
      </c>
      <c r="AF159" s="92"/>
      <c r="AG159" s="93">
        <v>0</v>
      </c>
      <c r="AH159" s="92"/>
      <c r="AI159" s="93">
        <v>21391.49</v>
      </c>
      <c r="AJ159" s="93">
        <v>0</v>
      </c>
    </row>
    <row r="160" spans="1:36" customFormat="1" ht="15.75" thickBot="1" x14ac:dyDescent="0.3">
      <c r="A160" s="90" t="s">
        <v>885</v>
      </c>
      <c r="B160" s="626" t="str">
        <f>VLOOKUP($D160,'Retail Rates'!$B$7:$D$38,2,FALSE)</f>
        <v>892</v>
      </c>
      <c r="C160" s="626" t="str">
        <f>VLOOKUP($D160,'Retail Rates'!$B$7:$D$38,3,FALSE)</f>
        <v>AAGS-I-TS-2</v>
      </c>
      <c r="D160" s="90" t="s">
        <v>96</v>
      </c>
      <c r="E160" s="90" t="s">
        <v>883</v>
      </c>
      <c r="F160" s="90" t="s">
        <v>662</v>
      </c>
      <c r="G160" s="90" t="s">
        <v>915</v>
      </c>
      <c r="H160" s="305">
        <v>1</v>
      </c>
      <c r="I160" s="95">
        <v>159766</v>
      </c>
      <c r="J160" s="94"/>
      <c r="K160" s="94"/>
      <c r="L160" s="94"/>
      <c r="M160" s="94"/>
      <c r="N160" s="95">
        <v>507.97</v>
      </c>
      <c r="O160" s="95">
        <v>0</v>
      </c>
      <c r="P160" s="94"/>
      <c r="Q160" s="94"/>
      <c r="R160" s="94"/>
      <c r="S160" s="94"/>
      <c r="T160" s="95">
        <v>2688.31</v>
      </c>
      <c r="U160" s="94"/>
      <c r="V160" s="94"/>
      <c r="W160" s="94"/>
      <c r="X160" s="95">
        <v>2688.31</v>
      </c>
      <c r="Y160" s="94"/>
      <c r="Z160" s="95">
        <v>-2802.3</v>
      </c>
      <c r="AA160" s="95">
        <v>24562.43</v>
      </c>
      <c r="AB160" s="95">
        <v>400</v>
      </c>
      <c r="AC160" s="94"/>
      <c r="AD160" s="95">
        <v>0</v>
      </c>
      <c r="AE160" s="95">
        <v>550</v>
      </c>
      <c r="AF160" s="94"/>
      <c r="AG160" s="95">
        <v>0</v>
      </c>
      <c r="AH160" s="94"/>
      <c r="AI160" s="95">
        <v>25906.41</v>
      </c>
      <c r="AJ160" s="95">
        <v>0</v>
      </c>
    </row>
    <row r="161" spans="1:36" customFormat="1" ht="15.75" thickBot="1" x14ac:dyDescent="0.3">
      <c r="A161" s="90" t="s">
        <v>885</v>
      </c>
      <c r="B161" s="626" t="str">
        <f>VLOOKUP($D161,'Retail Rates'!$B$7:$D$38,2,FALSE)</f>
        <v>896</v>
      </c>
      <c r="C161" s="626" t="str">
        <f>VLOOKUP($D161,'Retail Rates'!$B$7:$D$38,3,FALSE)</f>
        <v>FT-I</v>
      </c>
      <c r="D161" s="90" t="s">
        <v>52</v>
      </c>
      <c r="E161" s="90" t="s">
        <v>882</v>
      </c>
      <c r="F161" s="90" t="s">
        <v>663</v>
      </c>
      <c r="G161" s="90" t="s">
        <v>915</v>
      </c>
      <c r="H161" s="305">
        <v>63</v>
      </c>
      <c r="I161" s="95">
        <v>10583225</v>
      </c>
      <c r="J161" s="94"/>
      <c r="K161" s="94"/>
      <c r="L161" s="94"/>
      <c r="M161" s="94"/>
      <c r="N161" s="95">
        <v>7713.94</v>
      </c>
      <c r="O161" s="95">
        <v>0</v>
      </c>
      <c r="P161" s="94"/>
      <c r="Q161" s="94"/>
      <c r="R161" s="94"/>
      <c r="S161" s="94"/>
      <c r="T161" s="94"/>
      <c r="U161" s="94"/>
      <c r="V161" s="94"/>
      <c r="W161" s="94"/>
      <c r="X161" s="94"/>
      <c r="Y161" s="95">
        <v>1442.35</v>
      </c>
      <c r="Z161" s="95">
        <v>-122.82</v>
      </c>
      <c r="AA161" s="95">
        <v>456524.74</v>
      </c>
      <c r="AB161" s="95">
        <v>-1436.01</v>
      </c>
      <c r="AC161" s="95">
        <v>-138.32</v>
      </c>
      <c r="AD161" s="94"/>
      <c r="AE161" s="95">
        <v>34650</v>
      </c>
      <c r="AF161" s="95">
        <v>595.96</v>
      </c>
      <c r="AG161" s="95">
        <v>23452.18</v>
      </c>
      <c r="AH161" s="94"/>
      <c r="AI161" s="95">
        <v>522086.06</v>
      </c>
      <c r="AJ161" s="306">
        <v>-595.96</v>
      </c>
    </row>
    <row r="162" spans="1:36" customFormat="1" ht="15.75" thickBot="1" x14ac:dyDescent="0.3">
      <c r="A162" s="90" t="s">
        <v>885</v>
      </c>
      <c r="B162" s="626" t="str">
        <f>VLOOKUP($D162,'Retail Rates'!$B$7:$D$38,2,FALSE)</f>
        <v>896</v>
      </c>
      <c r="C162" s="626" t="str">
        <f>VLOOKUP($D162,'Retail Rates'!$B$7:$D$38,3,FALSE)</f>
        <v>FT-I</v>
      </c>
      <c r="D162" s="90" t="s">
        <v>52</v>
      </c>
      <c r="E162" s="90" t="s">
        <v>882</v>
      </c>
      <c r="F162" s="90" t="s">
        <v>662</v>
      </c>
      <c r="G162" s="90" t="s">
        <v>915</v>
      </c>
      <c r="H162" s="304">
        <v>1</v>
      </c>
      <c r="I162" s="93">
        <v>244658</v>
      </c>
      <c r="J162" s="92"/>
      <c r="K162" s="92"/>
      <c r="L162" s="92"/>
      <c r="M162" s="92"/>
      <c r="N162" s="93">
        <v>221.5</v>
      </c>
      <c r="O162" s="93">
        <v>0</v>
      </c>
      <c r="P162" s="92"/>
      <c r="Q162" s="92"/>
      <c r="R162" s="92"/>
      <c r="S162" s="92"/>
      <c r="T162" s="92"/>
      <c r="U162" s="92"/>
      <c r="V162" s="92"/>
      <c r="W162" s="92"/>
      <c r="X162" s="92"/>
      <c r="Y162" s="93">
        <v>0</v>
      </c>
      <c r="Z162" s="92"/>
      <c r="AA162" s="93">
        <v>10525.19</v>
      </c>
      <c r="AB162" s="93">
        <v>0</v>
      </c>
      <c r="AC162" s="92"/>
      <c r="AD162" s="92"/>
      <c r="AE162" s="93">
        <v>550</v>
      </c>
      <c r="AF162" s="93">
        <v>0</v>
      </c>
      <c r="AG162" s="93">
        <v>0</v>
      </c>
      <c r="AH162" s="92"/>
      <c r="AI162" s="93">
        <v>11296.69</v>
      </c>
      <c r="AJ162" s="93">
        <v>0</v>
      </c>
    </row>
    <row r="163" spans="1:36" customFormat="1" ht="15.75" thickBot="1" x14ac:dyDescent="0.3">
      <c r="A163" s="90" t="s">
        <v>885</v>
      </c>
      <c r="B163" s="626" t="str">
        <f>VLOOKUP($D163,'Retail Rates'!$B$7:$D$38,2,FALSE)</f>
        <v>896</v>
      </c>
      <c r="C163" s="626" t="str">
        <f>VLOOKUP($D163,'Retail Rates'!$B$7:$D$38,3,FALSE)</f>
        <v>FT-I-PM</v>
      </c>
      <c r="D163" s="90" t="s">
        <v>54</v>
      </c>
      <c r="E163" s="90" t="s">
        <v>55</v>
      </c>
      <c r="F163" s="90" t="s">
        <v>663</v>
      </c>
      <c r="G163" s="90" t="s">
        <v>915</v>
      </c>
      <c r="H163" s="304">
        <v>5</v>
      </c>
      <c r="I163" s="92"/>
      <c r="J163" s="92"/>
      <c r="K163" s="92"/>
      <c r="L163" s="92"/>
      <c r="M163" s="92"/>
      <c r="N163" s="93">
        <v>0</v>
      </c>
      <c r="O163" s="93">
        <v>0</v>
      </c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3">
        <v>29336.55</v>
      </c>
      <c r="AB163" s="93">
        <v>-21782.59</v>
      </c>
      <c r="AC163" s="93">
        <v>-10315.94</v>
      </c>
      <c r="AD163" s="92"/>
      <c r="AE163" s="93">
        <v>5325</v>
      </c>
      <c r="AF163" s="93">
        <v>13950.59</v>
      </c>
      <c r="AG163" s="93">
        <v>599.88</v>
      </c>
      <c r="AH163" s="92"/>
      <c r="AI163" s="93">
        <v>3162.9</v>
      </c>
      <c r="AJ163" s="306">
        <v>-13950.59</v>
      </c>
    </row>
    <row r="164" spans="1:36" customFormat="1" ht="15.75" thickBot="1" x14ac:dyDescent="0.3">
      <c r="A164" s="90" t="s">
        <v>885</v>
      </c>
      <c r="B164" s="626" t="str">
        <f>VLOOKUP($D164,'Retail Rates'!$B$7:$D$38,2,FALSE)</f>
        <v>996</v>
      </c>
      <c r="C164" s="626" t="str">
        <f>VLOOKUP($D164,'Retail Rates'!$B$7:$D$38,3,FALSE)</f>
        <v>SPC-LGE</v>
      </c>
      <c r="D164" s="90" t="s">
        <v>45</v>
      </c>
      <c r="E164" s="90" t="s">
        <v>46</v>
      </c>
      <c r="F164" s="90" t="s">
        <v>165</v>
      </c>
      <c r="G164" s="90" t="s">
        <v>917</v>
      </c>
      <c r="H164" s="305">
        <v>1</v>
      </c>
      <c r="I164" s="95">
        <v>147772</v>
      </c>
      <c r="J164" s="94"/>
      <c r="K164" s="95">
        <v>180</v>
      </c>
      <c r="L164" s="94"/>
      <c r="M164" s="95">
        <v>4919.33</v>
      </c>
      <c r="N164" s="95">
        <v>0</v>
      </c>
      <c r="O164" s="95">
        <v>0</v>
      </c>
      <c r="P164" s="95">
        <v>47793.9</v>
      </c>
      <c r="Q164" s="94"/>
      <c r="R164" s="94"/>
      <c r="S164" s="94"/>
      <c r="T164" s="95">
        <v>246.04</v>
      </c>
      <c r="U164" s="94"/>
      <c r="V164" s="94"/>
      <c r="W164" s="95">
        <v>186513.62</v>
      </c>
      <c r="X164" s="95">
        <v>239652.89</v>
      </c>
      <c r="Y164" s="94"/>
      <c r="Z164" s="94"/>
      <c r="AA164" s="94"/>
      <c r="AB164" s="94"/>
      <c r="AC164" s="94"/>
      <c r="AD164" s="94"/>
      <c r="AE164" s="94"/>
      <c r="AF164" s="94"/>
      <c r="AG164" s="95">
        <v>0</v>
      </c>
      <c r="AH164" s="94"/>
      <c r="AI164" s="95">
        <v>239652.89</v>
      </c>
      <c r="AJ164" s="95">
        <v>0</v>
      </c>
    </row>
    <row r="165" spans="1:36" customFormat="1" ht="15.75" thickBot="1" x14ac:dyDescent="0.3">
      <c r="A165" s="90" t="s">
        <v>885</v>
      </c>
      <c r="B165" s="626" t="str">
        <f>VLOOKUP($D165,'Retail Rates'!$B$7:$D$38,2,FALSE)</f>
        <v>997</v>
      </c>
      <c r="C165" s="626" t="str">
        <f>VLOOKUP($D165,'Retail Rates'!$B$7:$D$38,3,FALSE)</f>
        <v>SPC-P</v>
      </c>
      <c r="D165" s="90" t="s">
        <v>57</v>
      </c>
      <c r="E165" s="90" t="s">
        <v>58</v>
      </c>
      <c r="F165" s="90" t="s">
        <v>664</v>
      </c>
      <c r="G165" s="90" t="s">
        <v>915</v>
      </c>
      <c r="H165" s="304">
        <v>1</v>
      </c>
      <c r="I165" s="93">
        <v>3013</v>
      </c>
      <c r="J165" s="92"/>
      <c r="K165" s="92"/>
      <c r="L165" s="92"/>
      <c r="M165" s="92"/>
      <c r="N165" s="93">
        <v>2018.15</v>
      </c>
      <c r="O165" s="93">
        <v>0</v>
      </c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3">
        <v>110942.16</v>
      </c>
      <c r="AB165" s="93">
        <v>-9955.2199999999993</v>
      </c>
      <c r="AC165" s="93">
        <v>-79.290000000000006</v>
      </c>
      <c r="AD165" s="92"/>
      <c r="AE165" s="92"/>
      <c r="AF165" s="93">
        <v>1800.79</v>
      </c>
      <c r="AG165" s="93">
        <v>0</v>
      </c>
      <c r="AH165" s="92"/>
      <c r="AI165" s="93">
        <v>102925.8</v>
      </c>
      <c r="AJ165" s="306">
        <v>-1800.79</v>
      </c>
    </row>
    <row r="166" spans="1:36" customFormat="1" ht="15.75" thickBot="1" x14ac:dyDescent="0.3">
      <c r="A166" s="90" t="s">
        <v>885</v>
      </c>
      <c r="B166" s="626" t="str">
        <f>VLOOKUP($D166,'Retail Rates'!$B$7:$D$38,2,FALSE)</f>
        <v>811</v>
      </c>
      <c r="C166" s="626" t="str">
        <f>VLOOKUP($D166,'Retail Rates'!$B$7:$D$38,3,FALSE)</f>
        <v>RGS</v>
      </c>
      <c r="D166" s="90" t="s">
        <v>35</v>
      </c>
      <c r="E166" s="90" t="s">
        <v>36</v>
      </c>
      <c r="F166" s="90" t="s">
        <v>17</v>
      </c>
      <c r="G166" s="90" t="s">
        <v>917</v>
      </c>
      <c r="H166" s="305">
        <v>11</v>
      </c>
      <c r="I166" s="95">
        <v>504</v>
      </c>
      <c r="J166" s="94"/>
      <c r="K166" s="95">
        <v>148.5</v>
      </c>
      <c r="L166" s="94"/>
      <c r="M166" s="95">
        <v>144.62</v>
      </c>
      <c r="N166" s="95">
        <v>0</v>
      </c>
      <c r="O166" s="95">
        <v>0</v>
      </c>
      <c r="P166" s="95">
        <v>163.01</v>
      </c>
      <c r="Q166" s="95">
        <v>5.47</v>
      </c>
      <c r="R166" s="95">
        <v>-10.45</v>
      </c>
      <c r="S166" s="95">
        <v>2.75</v>
      </c>
      <c r="T166" s="95">
        <v>53.36</v>
      </c>
      <c r="U166" s="95">
        <v>0</v>
      </c>
      <c r="V166" s="94"/>
      <c r="W166" s="94"/>
      <c r="X166" s="95">
        <v>504.51</v>
      </c>
      <c r="Y166" s="94"/>
      <c r="Z166" s="94"/>
      <c r="AA166" s="94"/>
      <c r="AB166" s="94"/>
      <c r="AC166" s="94"/>
      <c r="AD166" s="94"/>
      <c r="AE166" s="94"/>
      <c r="AF166" s="94"/>
      <c r="AG166" s="95">
        <v>28.17</v>
      </c>
      <c r="AH166" s="94"/>
      <c r="AI166" s="95">
        <v>535.42999999999995</v>
      </c>
      <c r="AJ166" s="95">
        <v>0</v>
      </c>
    </row>
    <row r="167" spans="1:36" customFormat="1" ht="15.75" thickBot="1" x14ac:dyDescent="0.3">
      <c r="A167" s="90" t="s">
        <v>885</v>
      </c>
      <c r="B167" s="626" t="str">
        <f>VLOOKUP($D167,'Retail Rates'!$B$7:$D$38,2,FALSE)</f>
        <v>811</v>
      </c>
      <c r="C167" s="626" t="str">
        <f>VLOOKUP($D167,'Retail Rates'!$B$7:$D$38,3,FALSE)</f>
        <v>RGS</v>
      </c>
      <c r="D167" s="90" t="s">
        <v>35</v>
      </c>
      <c r="E167" s="90" t="s">
        <v>36</v>
      </c>
      <c r="F167" s="90" t="s">
        <v>20</v>
      </c>
      <c r="G167" s="90" t="s">
        <v>915</v>
      </c>
      <c r="H167" s="304">
        <v>2</v>
      </c>
      <c r="I167" s="93">
        <v>-270</v>
      </c>
      <c r="J167" s="92"/>
      <c r="K167" s="93">
        <v>13.5</v>
      </c>
      <c r="L167" s="92"/>
      <c r="M167" s="93">
        <v>-77.47</v>
      </c>
      <c r="N167" s="93">
        <v>-3.67</v>
      </c>
      <c r="O167" s="93">
        <v>0</v>
      </c>
      <c r="P167" s="93">
        <v>-87.33</v>
      </c>
      <c r="Q167" s="93">
        <v>-2.4500000000000002</v>
      </c>
      <c r="R167" s="93">
        <v>-34.64</v>
      </c>
      <c r="S167" s="93">
        <v>0.25</v>
      </c>
      <c r="T167" s="93">
        <v>4.8499999999999996</v>
      </c>
      <c r="U167" s="93">
        <v>0</v>
      </c>
      <c r="V167" s="92"/>
      <c r="W167" s="92"/>
      <c r="X167" s="93">
        <v>-183.54</v>
      </c>
      <c r="Y167" s="92"/>
      <c r="Z167" s="92"/>
      <c r="AA167" s="92"/>
      <c r="AB167" s="92"/>
      <c r="AC167" s="92"/>
      <c r="AD167" s="92"/>
      <c r="AE167" s="92"/>
      <c r="AF167" s="92"/>
      <c r="AG167" s="93">
        <v>0</v>
      </c>
      <c r="AH167" s="92"/>
      <c r="AI167" s="93">
        <v>-186.96</v>
      </c>
      <c r="AJ167" s="93">
        <v>0</v>
      </c>
    </row>
    <row r="168" spans="1:36" customFormat="1" ht="15.75" thickBot="1" x14ac:dyDescent="0.3">
      <c r="A168" s="90" t="s">
        <v>885</v>
      </c>
      <c r="B168" s="626" t="str">
        <f>VLOOKUP($D168,'Retail Rates'!$B$7:$D$38,2,FALSE)</f>
        <v>811</v>
      </c>
      <c r="C168" s="626" t="str">
        <f>VLOOKUP($D168,'Retail Rates'!$B$7:$D$38,3,FALSE)</f>
        <v>RGS</v>
      </c>
      <c r="D168" s="90" t="s">
        <v>35</v>
      </c>
      <c r="E168" s="90" t="s">
        <v>36</v>
      </c>
      <c r="F168" s="90" t="s">
        <v>20</v>
      </c>
      <c r="G168" s="90" t="s">
        <v>917</v>
      </c>
      <c r="H168" s="305">
        <v>60</v>
      </c>
      <c r="I168" s="95">
        <v>2504</v>
      </c>
      <c r="J168" s="94"/>
      <c r="K168" s="95">
        <v>810</v>
      </c>
      <c r="L168" s="94"/>
      <c r="M168" s="95">
        <v>718.48</v>
      </c>
      <c r="N168" s="95">
        <v>0</v>
      </c>
      <c r="O168" s="95">
        <v>0</v>
      </c>
      <c r="P168" s="95">
        <v>809.82</v>
      </c>
      <c r="Q168" s="95">
        <v>27.13</v>
      </c>
      <c r="R168" s="95">
        <v>99.6</v>
      </c>
      <c r="S168" s="95">
        <v>15</v>
      </c>
      <c r="T168" s="95">
        <v>291.01</v>
      </c>
      <c r="U168" s="95">
        <v>0</v>
      </c>
      <c r="V168" s="94"/>
      <c r="W168" s="94"/>
      <c r="X168" s="95">
        <v>2756.04</v>
      </c>
      <c r="Y168" s="94"/>
      <c r="Z168" s="94"/>
      <c r="AA168" s="94"/>
      <c r="AB168" s="94"/>
      <c r="AC168" s="94"/>
      <c r="AD168" s="94"/>
      <c r="AE168" s="94"/>
      <c r="AF168" s="94"/>
      <c r="AG168" s="95">
        <v>11.83</v>
      </c>
      <c r="AH168" s="94"/>
      <c r="AI168" s="95">
        <v>2782.87</v>
      </c>
      <c r="AJ168" s="95">
        <v>0</v>
      </c>
    </row>
    <row r="169" spans="1:36" customFormat="1" ht="15.75" thickBot="1" x14ac:dyDescent="0.3">
      <c r="A169" s="90" t="s">
        <v>885</v>
      </c>
      <c r="B169" s="626" t="str">
        <f>VLOOKUP($D169,'Retail Rates'!$B$7:$D$38,2,FALSE)</f>
        <v>811</v>
      </c>
      <c r="C169" s="626" t="str">
        <f>VLOOKUP($D169,'Retail Rates'!$B$7:$D$38,3,FALSE)</f>
        <v>RGS</v>
      </c>
      <c r="D169" s="90" t="s">
        <v>35</v>
      </c>
      <c r="E169" s="90" t="s">
        <v>36</v>
      </c>
      <c r="F169" s="90" t="s">
        <v>28</v>
      </c>
      <c r="G169" s="90" t="s">
        <v>654</v>
      </c>
      <c r="H169" s="305">
        <v>1</v>
      </c>
      <c r="I169" s="95">
        <v>0</v>
      </c>
      <c r="J169" s="94"/>
      <c r="K169" s="95">
        <v>-12.5</v>
      </c>
      <c r="L169" s="94"/>
      <c r="M169" s="95">
        <v>0</v>
      </c>
      <c r="N169" s="95">
        <v>0</v>
      </c>
      <c r="O169" s="94"/>
      <c r="P169" s="95">
        <v>0</v>
      </c>
      <c r="Q169" s="95">
        <v>0</v>
      </c>
      <c r="R169" s="94"/>
      <c r="S169" s="95">
        <v>-0.16</v>
      </c>
      <c r="T169" s="94"/>
      <c r="U169" s="95">
        <v>0</v>
      </c>
      <c r="V169" s="94"/>
      <c r="W169" s="94"/>
      <c r="X169" s="95">
        <v>-12.5</v>
      </c>
      <c r="Y169" s="94"/>
      <c r="Z169" s="94"/>
      <c r="AA169" s="94"/>
      <c r="AB169" s="94"/>
      <c r="AC169" s="94"/>
      <c r="AD169" s="94"/>
      <c r="AE169" s="94"/>
      <c r="AF169" s="94"/>
      <c r="AG169" s="95">
        <v>0</v>
      </c>
      <c r="AH169" s="94"/>
      <c r="AI169" s="95">
        <v>-12.66</v>
      </c>
      <c r="AJ169" s="95">
        <v>0</v>
      </c>
    </row>
    <row r="170" spans="1:36" customFormat="1" ht="15.75" thickBot="1" x14ac:dyDescent="0.3">
      <c r="A170" s="90" t="s">
        <v>885</v>
      </c>
      <c r="B170" s="626" t="str">
        <f>VLOOKUP($D170,'Retail Rates'!$B$7:$D$38,2,FALSE)</f>
        <v>811</v>
      </c>
      <c r="C170" s="626" t="str">
        <f>VLOOKUP($D170,'Retail Rates'!$B$7:$D$38,3,FALSE)</f>
        <v>RGS</v>
      </c>
      <c r="D170" s="90" t="s">
        <v>35</v>
      </c>
      <c r="E170" s="90" t="s">
        <v>36</v>
      </c>
      <c r="F170" s="90" t="s">
        <v>28</v>
      </c>
      <c r="G170" s="90" t="s">
        <v>655</v>
      </c>
      <c r="H170" s="304">
        <v>1</v>
      </c>
      <c r="I170" s="93">
        <v>0</v>
      </c>
      <c r="J170" s="92"/>
      <c r="K170" s="93">
        <v>-12.5</v>
      </c>
      <c r="L170" s="92"/>
      <c r="M170" s="93">
        <v>0</v>
      </c>
      <c r="N170" s="93">
        <v>0</v>
      </c>
      <c r="O170" s="92"/>
      <c r="P170" s="93">
        <v>0</v>
      </c>
      <c r="Q170" s="93">
        <v>0</v>
      </c>
      <c r="R170" s="92"/>
      <c r="S170" s="93">
        <v>-0.16</v>
      </c>
      <c r="T170" s="92"/>
      <c r="U170" s="93">
        <v>0</v>
      </c>
      <c r="V170" s="92"/>
      <c r="W170" s="92"/>
      <c r="X170" s="93">
        <v>-12.5</v>
      </c>
      <c r="Y170" s="92"/>
      <c r="Z170" s="92"/>
      <c r="AA170" s="92"/>
      <c r="AB170" s="92"/>
      <c r="AC170" s="92"/>
      <c r="AD170" s="92"/>
      <c r="AE170" s="92"/>
      <c r="AF170" s="92"/>
      <c r="AG170" s="93">
        <v>0</v>
      </c>
      <c r="AH170" s="92"/>
      <c r="AI170" s="93">
        <v>-12.66</v>
      </c>
      <c r="AJ170" s="93">
        <v>0</v>
      </c>
    </row>
    <row r="171" spans="1:36" customFormat="1" ht="15.75" thickBot="1" x14ac:dyDescent="0.3">
      <c r="A171" s="90" t="s">
        <v>885</v>
      </c>
      <c r="B171" s="626" t="str">
        <f>VLOOKUP($D171,'Retail Rates'!$B$7:$D$38,2,FALSE)</f>
        <v>811</v>
      </c>
      <c r="C171" s="626" t="str">
        <f>VLOOKUP($D171,'Retail Rates'!$B$7:$D$38,3,FALSE)</f>
        <v>RGS</v>
      </c>
      <c r="D171" s="90" t="s">
        <v>35</v>
      </c>
      <c r="E171" s="90" t="s">
        <v>36</v>
      </c>
      <c r="F171" s="90" t="s">
        <v>28</v>
      </c>
      <c r="G171" s="90" t="s">
        <v>656</v>
      </c>
      <c r="H171" s="305">
        <v>1</v>
      </c>
      <c r="I171" s="95">
        <v>0</v>
      </c>
      <c r="J171" s="94"/>
      <c r="K171" s="95">
        <v>-12.5</v>
      </c>
      <c r="L171" s="94"/>
      <c r="M171" s="95">
        <v>0</v>
      </c>
      <c r="N171" s="95">
        <v>0</v>
      </c>
      <c r="O171" s="94"/>
      <c r="P171" s="95">
        <v>0</v>
      </c>
      <c r="Q171" s="95">
        <v>0</v>
      </c>
      <c r="R171" s="94"/>
      <c r="S171" s="95">
        <v>-0.16</v>
      </c>
      <c r="T171" s="94"/>
      <c r="U171" s="95">
        <v>0</v>
      </c>
      <c r="V171" s="94"/>
      <c r="W171" s="94"/>
      <c r="X171" s="95">
        <v>-12.5</v>
      </c>
      <c r="Y171" s="94"/>
      <c r="Z171" s="94"/>
      <c r="AA171" s="94"/>
      <c r="AB171" s="94"/>
      <c r="AC171" s="94"/>
      <c r="AD171" s="94"/>
      <c r="AE171" s="94"/>
      <c r="AF171" s="94"/>
      <c r="AG171" s="95">
        <v>0</v>
      </c>
      <c r="AH171" s="94"/>
      <c r="AI171" s="95">
        <v>-12.66</v>
      </c>
      <c r="AJ171" s="95">
        <v>0</v>
      </c>
    </row>
    <row r="172" spans="1:36" customFormat="1" ht="15.75" thickBot="1" x14ac:dyDescent="0.3">
      <c r="A172" s="90" t="s">
        <v>885</v>
      </c>
      <c r="B172" s="626" t="str">
        <f>VLOOKUP($D172,'Retail Rates'!$B$7:$D$38,2,FALSE)</f>
        <v>811</v>
      </c>
      <c r="C172" s="626" t="str">
        <f>VLOOKUP($D172,'Retail Rates'!$B$7:$D$38,3,FALSE)</f>
        <v>RGS</v>
      </c>
      <c r="D172" s="90" t="s">
        <v>35</v>
      </c>
      <c r="E172" s="90" t="s">
        <v>36</v>
      </c>
      <c r="F172" s="90" t="s">
        <v>28</v>
      </c>
      <c r="G172" s="90" t="s">
        <v>657</v>
      </c>
      <c r="H172" s="304">
        <v>1</v>
      </c>
      <c r="I172" s="93">
        <v>0</v>
      </c>
      <c r="J172" s="92"/>
      <c r="K172" s="93">
        <v>-13.5</v>
      </c>
      <c r="L172" s="92"/>
      <c r="M172" s="93">
        <v>0</v>
      </c>
      <c r="N172" s="93">
        <v>0</v>
      </c>
      <c r="O172" s="92"/>
      <c r="P172" s="93">
        <v>0</v>
      </c>
      <c r="Q172" s="93">
        <v>0</v>
      </c>
      <c r="R172" s="92"/>
      <c r="S172" s="93">
        <v>-0.25</v>
      </c>
      <c r="T172" s="93">
        <v>-2.27</v>
      </c>
      <c r="U172" s="93">
        <v>0</v>
      </c>
      <c r="V172" s="92"/>
      <c r="W172" s="92"/>
      <c r="X172" s="93">
        <v>-15.77</v>
      </c>
      <c r="Y172" s="92"/>
      <c r="Z172" s="92"/>
      <c r="AA172" s="92"/>
      <c r="AB172" s="92"/>
      <c r="AC172" s="92"/>
      <c r="AD172" s="92"/>
      <c r="AE172" s="92"/>
      <c r="AF172" s="92"/>
      <c r="AG172" s="93">
        <v>0</v>
      </c>
      <c r="AH172" s="92"/>
      <c r="AI172" s="93">
        <v>-16.02</v>
      </c>
      <c r="AJ172" s="93">
        <v>0</v>
      </c>
    </row>
    <row r="173" spans="1:36" customFormat="1" ht="15.75" thickBot="1" x14ac:dyDescent="0.3">
      <c r="A173" s="90" t="s">
        <v>885</v>
      </c>
      <c r="B173" s="626" t="str">
        <f>VLOOKUP($D173,'Retail Rates'!$B$7:$D$38,2,FALSE)</f>
        <v>811</v>
      </c>
      <c r="C173" s="626" t="str">
        <f>VLOOKUP($D173,'Retail Rates'!$B$7:$D$38,3,FALSE)</f>
        <v>RGS</v>
      </c>
      <c r="D173" s="90" t="s">
        <v>35</v>
      </c>
      <c r="E173" s="90" t="s">
        <v>36</v>
      </c>
      <c r="F173" s="90" t="s">
        <v>28</v>
      </c>
      <c r="G173" s="90" t="s">
        <v>658</v>
      </c>
      <c r="H173" s="305">
        <v>1</v>
      </c>
      <c r="I173" s="95">
        <v>0</v>
      </c>
      <c r="J173" s="94"/>
      <c r="K173" s="95">
        <v>-13.5</v>
      </c>
      <c r="L173" s="94"/>
      <c r="M173" s="95">
        <v>0</v>
      </c>
      <c r="N173" s="95">
        <v>0</v>
      </c>
      <c r="O173" s="94"/>
      <c r="P173" s="95">
        <v>0</v>
      </c>
      <c r="Q173" s="95">
        <v>0</v>
      </c>
      <c r="R173" s="94"/>
      <c r="S173" s="95">
        <v>-0.25</v>
      </c>
      <c r="T173" s="95">
        <v>-2.27</v>
      </c>
      <c r="U173" s="95">
        <v>0</v>
      </c>
      <c r="V173" s="94"/>
      <c r="W173" s="94"/>
      <c r="X173" s="95">
        <v>-15.77</v>
      </c>
      <c r="Y173" s="94"/>
      <c r="Z173" s="94"/>
      <c r="AA173" s="94"/>
      <c r="AB173" s="94"/>
      <c r="AC173" s="94"/>
      <c r="AD173" s="94"/>
      <c r="AE173" s="94"/>
      <c r="AF173" s="94"/>
      <c r="AG173" s="95">
        <v>0</v>
      </c>
      <c r="AH173" s="94"/>
      <c r="AI173" s="95">
        <v>-16.02</v>
      </c>
      <c r="AJ173" s="95">
        <v>0</v>
      </c>
    </row>
    <row r="174" spans="1:36" customFormat="1" ht="15.75" thickBot="1" x14ac:dyDescent="0.3">
      <c r="A174" s="90" t="s">
        <v>885</v>
      </c>
      <c r="B174" s="626" t="str">
        <f>VLOOKUP($D174,'Retail Rates'!$B$7:$D$38,2,FALSE)</f>
        <v>811</v>
      </c>
      <c r="C174" s="626" t="str">
        <f>VLOOKUP($D174,'Retail Rates'!$B$7:$D$38,3,FALSE)</f>
        <v>RGS</v>
      </c>
      <c r="D174" s="90" t="s">
        <v>35</v>
      </c>
      <c r="E174" s="90" t="s">
        <v>36</v>
      </c>
      <c r="F174" s="90" t="s">
        <v>28</v>
      </c>
      <c r="G174" s="90" t="s">
        <v>659</v>
      </c>
      <c r="H174" s="304">
        <v>1</v>
      </c>
      <c r="I174" s="93">
        <v>0</v>
      </c>
      <c r="J174" s="92"/>
      <c r="K174" s="93">
        <v>-13.5</v>
      </c>
      <c r="L174" s="92"/>
      <c r="M174" s="93">
        <v>0</v>
      </c>
      <c r="N174" s="93">
        <v>0</v>
      </c>
      <c r="O174" s="92"/>
      <c r="P174" s="93">
        <v>0</v>
      </c>
      <c r="Q174" s="93">
        <v>0</v>
      </c>
      <c r="R174" s="92"/>
      <c r="S174" s="93">
        <v>-0.25</v>
      </c>
      <c r="T174" s="93">
        <v>-2.27</v>
      </c>
      <c r="U174" s="93">
        <v>0</v>
      </c>
      <c r="V174" s="92"/>
      <c r="W174" s="92"/>
      <c r="X174" s="93">
        <v>-15.77</v>
      </c>
      <c r="Y174" s="92"/>
      <c r="Z174" s="92"/>
      <c r="AA174" s="92"/>
      <c r="AB174" s="92"/>
      <c r="AC174" s="92"/>
      <c r="AD174" s="92"/>
      <c r="AE174" s="92"/>
      <c r="AF174" s="92"/>
      <c r="AG174" s="93">
        <v>0</v>
      </c>
      <c r="AH174" s="92"/>
      <c r="AI174" s="93">
        <v>-16.02</v>
      </c>
      <c r="AJ174" s="93">
        <v>0</v>
      </c>
    </row>
    <row r="175" spans="1:36" customFormat="1" ht="15.75" thickBot="1" x14ac:dyDescent="0.3">
      <c r="A175" s="90" t="s">
        <v>885</v>
      </c>
      <c r="B175" s="626" t="str">
        <f>VLOOKUP($D175,'Retail Rates'!$B$7:$D$38,2,FALSE)</f>
        <v>811</v>
      </c>
      <c r="C175" s="626" t="str">
        <f>VLOOKUP($D175,'Retail Rates'!$B$7:$D$38,3,FALSE)</f>
        <v>RGS</v>
      </c>
      <c r="D175" s="90" t="s">
        <v>35</v>
      </c>
      <c r="E175" s="90" t="s">
        <v>36</v>
      </c>
      <c r="F175" s="90" t="s">
        <v>28</v>
      </c>
      <c r="G175" s="90" t="s">
        <v>660</v>
      </c>
      <c r="H175" s="305">
        <v>1</v>
      </c>
      <c r="I175" s="95">
        <v>0</v>
      </c>
      <c r="J175" s="94"/>
      <c r="K175" s="95">
        <v>-13.5</v>
      </c>
      <c r="L175" s="94"/>
      <c r="M175" s="95">
        <v>0</v>
      </c>
      <c r="N175" s="95">
        <v>0</v>
      </c>
      <c r="O175" s="94"/>
      <c r="P175" s="95">
        <v>0</v>
      </c>
      <c r="Q175" s="95">
        <v>0</v>
      </c>
      <c r="R175" s="94"/>
      <c r="S175" s="95">
        <v>-0.25</v>
      </c>
      <c r="T175" s="95">
        <v>-2.27</v>
      </c>
      <c r="U175" s="95">
        <v>0</v>
      </c>
      <c r="V175" s="94"/>
      <c r="W175" s="94"/>
      <c r="X175" s="95">
        <v>-15.77</v>
      </c>
      <c r="Y175" s="94"/>
      <c r="Z175" s="94"/>
      <c r="AA175" s="94"/>
      <c r="AB175" s="94"/>
      <c r="AC175" s="94"/>
      <c r="AD175" s="94"/>
      <c r="AE175" s="94"/>
      <c r="AF175" s="94"/>
      <c r="AG175" s="95">
        <v>0</v>
      </c>
      <c r="AH175" s="94"/>
      <c r="AI175" s="95">
        <v>-16.02</v>
      </c>
      <c r="AJ175" s="95">
        <v>0</v>
      </c>
    </row>
    <row r="176" spans="1:36" customFormat="1" ht="15.75" thickBot="1" x14ac:dyDescent="0.3">
      <c r="A176" s="90" t="s">
        <v>885</v>
      </c>
      <c r="B176" s="626" t="str">
        <f>VLOOKUP($D176,'Retail Rates'!$B$7:$D$38,2,FALSE)</f>
        <v>811</v>
      </c>
      <c r="C176" s="626" t="str">
        <f>VLOOKUP($D176,'Retail Rates'!$B$7:$D$38,3,FALSE)</f>
        <v>RGS</v>
      </c>
      <c r="D176" s="90" t="s">
        <v>35</v>
      </c>
      <c r="E176" s="90" t="s">
        <v>36</v>
      </c>
      <c r="F176" s="90" t="s">
        <v>28</v>
      </c>
      <c r="G176" s="90" t="s">
        <v>665</v>
      </c>
      <c r="H176" s="304">
        <v>1</v>
      </c>
      <c r="I176" s="93">
        <v>0</v>
      </c>
      <c r="J176" s="92"/>
      <c r="K176" s="93">
        <v>-13.5</v>
      </c>
      <c r="L176" s="92"/>
      <c r="M176" s="93">
        <v>0</v>
      </c>
      <c r="N176" s="93">
        <v>0</v>
      </c>
      <c r="O176" s="92"/>
      <c r="P176" s="93">
        <v>0</v>
      </c>
      <c r="Q176" s="93">
        <v>0</v>
      </c>
      <c r="R176" s="92"/>
      <c r="S176" s="93">
        <v>-0.25</v>
      </c>
      <c r="T176" s="93">
        <v>-2.27</v>
      </c>
      <c r="U176" s="93">
        <v>0</v>
      </c>
      <c r="V176" s="92"/>
      <c r="W176" s="92"/>
      <c r="X176" s="93">
        <v>-15.77</v>
      </c>
      <c r="Y176" s="92"/>
      <c r="Z176" s="92"/>
      <c r="AA176" s="92"/>
      <c r="AB176" s="92"/>
      <c r="AC176" s="92"/>
      <c r="AD176" s="92"/>
      <c r="AE176" s="92"/>
      <c r="AF176" s="92"/>
      <c r="AG176" s="93">
        <v>0</v>
      </c>
      <c r="AH176" s="92"/>
      <c r="AI176" s="93">
        <v>-16.02</v>
      </c>
      <c r="AJ176" s="93">
        <v>0</v>
      </c>
    </row>
    <row r="177" spans="1:36" customFormat="1" ht="15.75" thickBot="1" x14ac:dyDescent="0.3">
      <c r="A177" s="90" t="s">
        <v>885</v>
      </c>
      <c r="B177" s="626" t="str">
        <f>VLOOKUP($D177,'Retail Rates'!$B$7:$D$38,2,FALSE)</f>
        <v>811</v>
      </c>
      <c r="C177" s="626" t="str">
        <f>VLOOKUP($D177,'Retail Rates'!$B$7:$D$38,3,FALSE)</f>
        <v>RGS</v>
      </c>
      <c r="D177" s="90" t="s">
        <v>35</v>
      </c>
      <c r="E177" s="90" t="s">
        <v>36</v>
      </c>
      <c r="F177" s="90" t="s">
        <v>28</v>
      </c>
      <c r="G177" s="90" t="s">
        <v>713</v>
      </c>
      <c r="H177" s="305">
        <v>1</v>
      </c>
      <c r="I177" s="95">
        <v>0</v>
      </c>
      <c r="J177" s="94"/>
      <c r="K177" s="95">
        <v>-13.5</v>
      </c>
      <c r="L177" s="94"/>
      <c r="M177" s="95">
        <v>0</v>
      </c>
      <c r="N177" s="95">
        <v>0</v>
      </c>
      <c r="O177" s="94"/>
      <c r="P177" s="95">
        <v>0</v>
      </c>
      <c r="Q177" s="95">
        <v>0</v>
      </c>
      <c r="R177" s="94"/>
      <c r="S177" s="95">
        <v>-0.25</v>
      </c>
      <c r="T177" s="95">
        <v>-2.27</v>
      </c>
      <c r="U177" s="95">
        <v>0</v>
      </c>
      <c r="V177" s="94"/>
      <c r="W177" s="94"/>
      <c r="X177" s="95">
        <v>-15.77</v>
      </c>
      <c r="Y177" s="94"/>
      <c r="Z177" s="94"/>
      <c r="AA177" s="94"/>
      <c r="AB177" s="94"/>
      <c r="AC177" s="94"/>
      <c r="AD177" s="94"/>
      <c r="AE177" s="94"/>
      <c r="AF177" s="94"/>
      <c r="AG177" s="95">
        <v>0</v>
      </c>
      <c r="AH177" s="94"/>
      <c r="AI177" s="95">
        <v>-16.02</v>
      </c>
      <c r="AJ177" s="95">
        <v>0</v>
      </c>
    </row>
    <row r="178" spans="1:36" customFormat="1" ht="15.75" thickBot="1" x14ac:dyDescent="0.3">
      <c r="A178" s="90" t="s">
        <v>885</v>
      </c>
      <c r="B178" s="626" t="str">
        <f>VLOOKUP($D178,'Retail Rates'!$B$7:$D$38,2,FALSE)</f>
        <v>811</v>
      </c>
      <c r="C178" s="626" t="str">
        <f>VLOOKUP($D178,'Retail Rates'!$B$7:$D$38,3,FALSE)</f>
        <v>RGS</v>
      </c>
      <c r="D178" s="90" t="s">
        <v>35</v>
      </c>
      <c r="E178" s="90" t="s">
        <v>36</v>
      </c>
      <c r="F178" s="90" t="s">
        <v>28</v>
      </c>
      <c r="G178" s="90" t="s">
        <v>714</v>
      </c>
      <c r="H178" s="304">
        <v>1</v>
      </c>
      <c r="I178" s="93">
        <v>0</v>
      </c>
      <c r="J178" s="92"/>
      <c r="K178" s="93">
        <v>-13.5</v>
      </c>
      <c r="L178" s="92"/>
      <c r="M178" s="93">
        <v>0</v>
      </c>
      <c r="N178" s="93">
        <v>0</v>
      </c>
      <c r="O178" s="92"/>
      <c r="P178" s="93">
        <v>0</v>
      </c>
      <c r="Q178" s="93">
        <v>0</v>
      </c>
      <c r="R178" s="92"/>
      <c r="S178" s="93">
        <v>-0.25</v>
      </c>
      <c r="T178" s="93">
        <v>-2.27</v>
      </c>
      <c r="U178" s="93">
        <v>0</v>
      </c>
      <c r="V178" s="92"/>
      <c r="W178" s="92"/>
      <c r="X178" s="93">
        <v>-15.77</v>
      </c>
      <c r="Y178" s="92"/>
      <c r="Z178" s="92"/>
      <c r="AA178" s="92"/>
      <c r="AB178" s="92"/>
      <c r="AC178" s="92"/>
      <c r="AD178" s="92"/>
      <c r="AE178" s="92"/>
      <c r="AF178" s="92"/>
      <c r="AG178" s="93">
        <v>0</v>
      </c>
      <c r="AH178" s="92"/>
      <c r="AI178" s="93">
        <v>-16.02</v>
      </c>
      <c r="AJ178" s="93">
        <v>0</v>
      </c>
    </row>
    <row r="179" spans="1:36" customFormat="1" ht="15.75" thickBot="1" x14ac:dyDescent="0.3">
      <c r="A179" s="90" t="s">
        <v>885</v>
      </c>
      <c r="B179" s="626" t="str">
        <f>VLOOKUP($D179,'Retail Rates'!$B$7:$D$38,2,FALSE)</f>
        <v>811</v>
      </c>
      <c r="C179" s="626" t="str">
        <f>VLOOKUP($D179,'Retail Rates'!$B$7:$D$38,3,FALSE)</f>
        <v>RGS</v>
      </c>
      <c r="D179" s="90" t="s">
        <v>35</v>
      </c>
      <c r="E179" s="90" t="s">
        <v>36</v>
      </c>
      <c r="F179" s="90" t="s">
        <v>28</v>
      </c>
      <c r="G179" s="90" t="s">
        <v>721</v>
      </c>
      <c r="H179" s="305">
        <v>1</v>
      </c>
      <c r="I179" s="95">
        <v>0</v>
      </c>
      <c r="J179" s="94"/>
      <c r="K179" s="95">
        <v>-13.5</v>
      </c>
      <c r="L179" s="94"/>
      <c r="M179" s="95">
        <v>0</v>
      </c>
      <c r="N179" s="95">
        <v>0</v>
      </c>
      <c r="O179" s="94"/>
      <c r="P179" s="95">
        <v>0</v>
      </c>
      <c r="Q179" s="95">
        <v>0</v>
      </c>
      <c r="R179" s="94"/>
      <c r="S179" s="95">
        <v>-0.25</v>
      </c>
      <c r="T179" s="95">
        <v>-2.27</v>
      </c>
      <c r="U179" s="95">
        <v>0</v>
      </c>
      <c r="V179" s="94"/>
      <c r="W179" s="94"/>
      <c r="X179" s="95">
        <v>-15.77</v>
      </c>
      <c r="Y179" s="94"/>
      <c r="Z179" s="94"/>
      <c r="AA179" s="94"/>
      <c r="AB179" s="94"/>
      <c r="AC179" s="94"/>
      <c r="AD179" s="94"/>
      <c r="AE179" s="94"/>
      <c r="AF179" s="94"/>
      <c r="AG179" s="95">
        <v>0</v>
      </c>
      <c r="AH179" s="94"/>
      <c r="AI179" s="95">
        <v>-16.02</v>
      </c>
      <c r="AJ179" s="95">
        <v>0</v>
      </c>
    </row>
    <row r="180" spans="1:36" customFormat="1" ht="15.75" thickBot="1" x14ac:dyDescent="0.3">
      <c r="A180" s="90" t="s">
        <v>885</v>
      </c>
      <c r="B180" s="626" t="str">
        <f>VLOOKUP($D180,'Retail Rates'!$B$7:$D$38,2,FALSE)</f>
        <v>811</v>
      </c>
      <c r="C180" s="626" t="str">
        <f>VLOOKUP($D180,'Retail Rates'!$B$7:$D$38,3,FALSE)</f>
        <v>RGS</v>
      </c>
      <c r="D180" s="90" t="s">
        <v>35</v>
      </c>
      <c r="E180" s="90" t="s">
        <v>36</v>
      </c>
      <c r="F180" s="90" t="s">
        <v>28</v>
      </c>
      <c r="G180" s="90" t="s">
        <v>722</v>
      </c>
      <c r="H180" s="304">
        <v>1</v>
      </c>
      <c r="I180" s="93">
        <v>0</v>
      </c>
      <c r="J180" s="92"/>
      <c r="K180" s="93">
        <v>-13.5</v>
      </c>
      <c r="L180" s="92"/>
      <c r="M180" s="93">
        <v>0</v>
      </c>
      <c r="N180" s="93">
        <v>0</v>
      </c>
      <c r="O180" s="92"/>
      <c r="P180" s="93">
        <v>0</v>
      </c>
      <c r="Q180" s="93">
        <v>0</v>
      </c>
      <c r="R180" s="92"/>
      <c r="S180" s="93">
        <v>-0.25</v>
      </c>
      <c r="T180" s="93">
        <v>-2.27</v>
      </c>
      <c r="U180" s="93">
        <v>0</v>
      </c>
      <c r="V180" s="92"/>
      <c r="W180" s="92"/>
      <c r="X180" s="93">
        <v>-15.77</v>
      </c>
      <c r="Y180" s="92"/>
      <c r="Z180" s="92"/>
      <c r="AA180" s="92"/>
      <c r="AB180" s="92"/>
      <c r="AC180" s="92"/>
      <c r="AD180" s="92"/>
      <c r="AE180" s="92"/>
      <c r="AF180" s="92"/>
      <c r="AG180" s="93">
        <v>0</v>
      </c>
      <c r="AH180" s="92"/>
      <c r="AI180" s="93">
        <v>-16.02</v>
      </c>
      <c r="AJ180" s="93">
        <v>0</v>
      </c>
    </row>
    <row r="181" spans="1:36" customFormat="1" ht="15.75" thickBot="1" x14ac:dyDescent="0.3">
      <c r="A181" s="90" t="s">
        <v>885</v>
      </c>
      <c r="B181" s="626" t="str">
        <f>VLOOKUP($D181,'Retail Rates'!$B$7:$D$38,2,FALSE)</f>
        <v>811</v>
      </c>
      <c r="C181" s="626" t="str">
        <f>VLOOKUP($D181,'Retail Rates'!$B$7:$D$38,3,FALSE)</f>
        <v>RGS</v>
      </c>
      <c r="D181" s="90" t="s">
        <v>35</v>
      </c>
      <c r="E181" s="90" t="s">
        <v>36</v>
      </c>
      <c r="F181" s="90" t="s">
        <v>28</v>
      </c>
      <c r="G181" s="90" t="s">
        <v>723</v>
      </c>
      <c r="H181" s="305">
        <v>1</v>
      </c>
      <c r="I181" s="95">
        <v>0</v>
      </c>
      <c r="J181" s="94"/>
      <c r="K181" s="95">
        <v>-13.5</v>
      </c>
      <c r="L181" s="94"/>
      <c r="M181" s="95">
        <v>0</v>
      </c>
      <c r="N181" s="95">
        <v>0</v>
      </c>
      <c r="O181" s="94"/>
      <c r="P181" s="95">
        <v>0</v>
      </c>
      <c r="Q181" s="95">
        <v>0</v>
      </c>
      <c r="R181" s="94"/>
      <c r="S181" s="95">
        <v>-0.25</v>
      </c>
      <c r="T181" s="95">
        <v>-2.27</v>
      </c>
      <c r="U181" s="95">
        <v>0</v>
      </c>
      <c r="V181" s="94"/>
      <c r="W181" s="94"/>
      <c r="X181" s="95">
        <v>-15.77</v>
      </c>
      <c r="Y181" s="94"/>
      <c r="Z181" s="94"/>
      <c r="AA181" s="94"/>
      <c r="AB181" s="94"/>
      <c r="AC181" s="94"/>
      <c r="AD181" s="94"/>
      <c r="AE181" s="94"/>
      <c r="AF181" s="94"/>
      <c r="AG181" s="95">
        <v>0</v>
      </c>
      <c r="AH181" s="94"/>
      <c r="AI181" s="95">
        <v>-16.02</v>
      </c>
      <c r="AJ181" s="95">
        <v>0</v>
      </c>
    </row>
    <row r="182" spans="1:36" customFormat="1" ht="15.75" thickBot="1" x14ac:dyDescent="0.3">
      <c r="A182" s="90" t="s">
        <v>885</v>
      </c>
      <c r="B182" s="626" t="str">
        <f>VLOOKUP($D182,'Retail Rates'!$B$7:$D$38,2,FALSE)</f>
        <v>811</v>
      </c>
      <c r="C182" s="626" t="str">
        <f>VLOOKUP($D182,'Retail Rates'!$B$7:$D$38,3,FALSE)</f>
        <v>RGS</v>
      </c>
      <c r="D182" s="90" t="s">
        <v>35</v>
      </c>
      <c r="E182" s="90" t="s">
        <v>36</v>
      </c>
      <c r="F182" s="90" t="s">
        <v>28</v>
      </c>
      <c r="G182" s="90" t="s">
        <v>724</v>
      </c>
      <c r="H182" s="304">
        <v>1</v>
      </c>
      <c r="I182" s="93">
        <v>0</v>
      </c>
      <c r="J182" s="92"/>
      <c r="K182" s="93">
        <v>-13.5</v>
      </c>
      <c r="L182" s="92"/>
      <c r="M182" s="93">
        <v>0</v>
      </c>
      <c r="N182" s="93">
        <v>0</v>
      </c>
      <c r="O182" s="92"/>
      <c r="P182" s="93">
        <v>0</v>
      </c>
      <c r="Q182" s="93">
        <v>0</v>
      </c>
      <c r="R182" s="92"/>
      <c r="S182" s="93">
        <v>-0.25</v>
      </c>
      <c r="T182" s="93">
        <v>-2.27</v>
      </c>
      <c r="U182" s="93">
        <v>0</v>
      </c>
      <c r="V182" s="92"/>
      <c r="W182" s="92"/>
      <c r="X182" s="93">
        <v>-15.77</v>
      </c>
      <c r="Y182" s="92"/>
      <c r="Z182" s="92"/>
      <c r="AA182" s="92"/>
      <c r="AB182" s="92"/>
      <c r="AC182" s="92"/>
      <c r="AD182" s="92"/>
      <c r="AE182" s="92"/>
      <c r="AF182" s="92"/>
      <c r="AG182" s="93">
        <v>0</v>
      </c>
      <c r="AH182" s="92"/>
      <c r="AI182" s="93">
        <v>-16.02</v>
      </c>
      <c r="AJ182" s="93">
        <v>0</v>
      </c>
    </row>
    <row r="183" spans="1:36" customFormat="1" ht="15.75" thickBot="1" x14ac:dyDescent="0.3">
      <c r="A183" s="90" t="s">
        <v>885</v>
      </c>
      <c r="B183" s="626" t="str">
        <f>VLOOKUP($D183,'Retail Rates'!$B$7:$D$38,2,FALSE)</f>
        <v>811</v>
      </c>
      <c r="C183" s="626" t="str">
        <f>VLOOKUP($D183,'Retail Rates'!$B$7:$D$38,3,FALSE)</f>
        <v>RGS</v>
      </c>
      <c r="D183" s="90" t="s">
        <v>35</v>
      </c>
      <c r="E183" s="90" t="s">
        <v>36</v>
      </c>
      <c r="F183" s="90" t="s">
        <v>28</v>
      </c>
      <c r="G183" s="90" t="s">
        <v>725</v>
      </c>
      <c r="H183" s="305">
        <v>1</v>
      </c>
      <c r="I183" s="95">
        <v>0</v>
      </c>
      <c r="J183" s="94"/>
      <c r="K183" s="95">
        <v>-13.5</v>
      </c>
      <c r="L183" s="94"/>
      <c r="M183" s="95">
        <v>0</v>
      </c>
      <c r="N183" s="95">
        <v>0</v>
      </c>
      <c r="O183" s="94"/>
      <c r="P183" s="95">
        <v>0</v>
      </c>
      <c r="Q183" s="95">
        <v>0</v>
      </c>
      <c r="R183" s="94"/>
      <c r="S183" s="95">
        <v>-0.25</v>
      </c>
      <c r="T183" s="95">
        <v>-2.27</v>
      </c>
      <c r="U183" s="95">
        <v>0</v>
      </c>
      <c r="V183" s="94"/>
      <c r="W183" s="94"/>
      <c r="X183" s="95">
        <v>-15.77</v>
      </c>
      <c r="Y183" s="94"/>
      <c r="Z183" s="94"/>
      <c r="AA183" s="94"/>
      <c r="AB183" s="94"/>
      <c r="AC183" s="94"/>
      <c r="AD183" s="94"/>
      <c r="AE183" s="94"/>
      <c r="AF183" s="94"/>
      <c r="AG183" s="95">
        <v>0</v>
      </c>
      <c r="AH183" s="94"/>
      <c r="AI183" s="95">
        <v>-16.02</v>
      </c>
      <c r="AJ183" s="95">
        <v>0</v>
      </c>
    </row>
    <row r="184" spans="1:36" customFormat="1" ht="15.75" thickBot="1" x14ac:dyDescent="0.3">
      <c r="A184" s="90" t="s">
        <v>885</v>
      </c>
      <c r="B184" s="626" t="str">
        <f>VLOOKUP($D184,'Retail Rates'!$B$7:$D$38,2,FALSE)</f>
        <v>811</v>
      </c>
      <c r="C184" s="626" t="str">
        <f>VLOOKUP($D184,'Retail Rates'!$B$7:$D$38,3,FALSE)</f>
        <v>RGS</v>
      </c>
      <c r="D184" s="90" t="s">
        <v>35</v>
      </c>
      <c r="E184" s="90" t="s">
        <v>36</v>
      </c>
      <c r="F184" s="90" t="s">
        <v>28</v>
      </c>
      <c r="G184" s="90" t="s">
        <v>758</v>
      </c>
      <c r="H184" s="304">
        <v>1</v>
      </c>
      <c r="I184" s="93">
        <v>0</v>
      </c>
      <c r="J184" s="92"/>
      <c r="K184" s="93">
        <v>-13.5</v>
      </c>
      <c r="L184" s="92"/>
      <c r="M184" s="93">
        <v>0</v>
      </c>
      <c r="N184" s="93">
        <v>0</v>
      </c>
      <c r="O184" s="92"/>
      <c r="P184" s="93">
        <v>0</v>
      </c>
      <c r="Q184" s="93">
        <v>0</v>
      </c>
      <c r="R184" s="92"/>
      <c r="S184" s="93">
        <v>-0.25</v>
      </c>
      <c r="T184" s="93">
        <v>-2.35</v>
      </c>
      <c r="U184" s="93">
        <v>0</v>
      </c>
      <c r="V184" s="92"/>
      <c r="W184" s="92"/>
      <c r="X184" s="93">
        <v>-15.85</v>
      </c>
      <c r="Y184" s="92"/>
      <c r="Z184" s="92"/>
      <c r="AA184" s="92"/>
      <c r="AB184" s="92"/>
      <c r="AC184" s="92"/>
      <c r="AD184" s="92"/>
      <c r="AE184" s="92"/>
      <c r="AF184" s="92"/>
      <c r="AG184" s="93">
        <v>0</v>
      </c>
      <c r="AH184" s="92"/>
      <c r="AI184" s="93">
        <v>-16.100000000000001</v>
      </c>
      <c r="AJ184" s="93">
        <v>0</v>
      </c>
    </row>
    <row r="185" spans="1:36" customFormat="1" ht="15.75" thickBot="1" x14ac:dyDescent="0.3">
      <c r="A185" s="90" t="s">
        <v>885</v>
      </c>
      <c r="B185" s="626" t="str">
        <f>VLOOKUP($D185,'Retail Rates'!$B$7:$D$38,2,FALSE)</f>
        <v>811</v>
      </c>
      <c r="C185" s="626" t="str">
        <f>VLOOKUP($D185,'Retail Rates'!$B$7:$D$38,3,FALSE)</f>
        <v>RGS</v>
      </c>
      <c r="D185" s="90" t="s">
        <v>35</v>
      </c>
      <c r="E185" s="90" t="s">
        <v>36</v>
      </c>
      <c r="F185" s="90" t="s">
        <v>28</v>
      </c>
      <c r="G185" s="90" t="s">
        <v>759</v>
      </c>
      <c r="H185" s="305">
        <v>1</v>
      </c>
      <c r="I185" s="95">
        <v>0</v>
      </c>
      <c r="J185" s="94"/>
      <c r="K185" s="95">
        <v>-13.5</v>
      </c>
      <c r="L185" s="94"/>
      <c r="M185" s="95">
        <v>0</v>
      </c>
      <c r="N185" s="95">
        <v>0</v>
      </c>
      <c r="O185" s="94"/>
      <c r="P185" s="95">
        <v>0</v>
      </c>
      <c r="Q185" s="95">
        <v>0</v>
      </c>
      <c r="R185" s="94"/>
      <c r="S185" s="95">
        <v>-0.25</v>
      </c>
      <c r="T185" s="95">
        <v>-2.35</v>
      </c>
      <c r="U185" s="95">
        <v>0</v>
      </c>
      <c r="V185" s="94"/>
      <c r="W185" s="94"/>
      <c r="X185" s="95">
        <v>-15.85</v>
      </c>
      <c r="Y185" s="94"/>
      <c r="Z185" s="94"/>
      <c r="AA185" s="94"/>
      <c r="AB185" s="94"/>
      <c r="AC185" s="94"/>
      <c r="AD185" s="94"/>
      <c r="AE185" s="94"/>
      <c r="AF185" s="94"/>
      <c r="AG185" s="95">
        <v>0</v>
      </c>
      <c r="AH185" s="94"/>
      <c r="AI185" s="95">
        <v>-16.100000000000001</v>
      </c>
      <c r="AJ185" s="95">
        <v>0</v>
      </c>
    </row>
    <row r="186" spans="1:36" customFormat="1" ht="15.75" thickBot="1" x14ac:dyDescent="0.3">
      <c r="A186" s="90" t="s">
        <v>885</v>
      </c>
      <c r="B186" s="626" t="str">
        <f>VLOOKUP($D186,'Retail Rates'!$B$7:$D$38,2,FALSE)</f>
        <v>811</v>
      </c>
      <c r="C186" s="626" t="str">
        <f>VLOOKUP($D186,'Retail Rates'!$B$7:$D$38,3,FALSE)</f>
        <v>RGS</v>
      </c>
      <c r="D186" s="90" t="s">
        <v>35</v>
      </c>
      <c r="E186" s="90" t="s">
        <v>36</v>
      </c>
      <c r="F186" s="90" t="s">
        <v>28</v>
      </c>
      <c r="G186" s="90" t="s">
        <v>760</v>
      </c>
      <c r="H186" s="304">
        <v>1</v>
      </c>
      <c r="I186" s="93">
        <v>0</v>
      </c>
      <c r="J186" s="92"/>
      <c r="K186" s="93">
        <v>-13.5</v>
      </c>
      <c r="L186" s="92"/>
      <c r="M186" s="93">
        <v>0</v>
      </c>
      <c r="N186" s="93">
        <v>0</v>
      </c>
      <c r="O186" s="92"/>
      <c r="P186" s="93">
        <v>0</v>
      </c>
      <c r="Q186" s="93">
        <v>0</v>
      </c>
      <c r="R186" s="92"/>
      <c r="S186" s="93">
        <v>-0.25</v>
      </c>
      <c r="T186" s="93">
        <v>-2.35</v>
      </c>
      <c r="U186" s="93">
        <v>0</v>
      </c>
      <c r="V186" s="92"/>
      <c r="W186" s="92"/>
      <c r="X186" s="93">
        <v>-15.85</v>
      </c>
      <c r="Y186" s="92"/>
      <c r="Z186" s="92"/>
      <c r="AA186" s="92"/>
      <c r="AB186" s="92"/>
      <c r="AC186" s="92"/>
      <c r="AD186" s="92"/>
      <c r="AE186" s="92"/>
      <c r="AF186" s="92"/>
      <c r="AG186" s="93">
        <v>0</v>
      </c>
      <c r="AH186" s="92"/>
      <c r="AI186" s="93">
        <v>-16.100000000000001</v>
      </c>
      <c r="AJ186" s="93">
        <v>0</v>
      </c>
    </row>
    <row r="187" spans="1:36" customFormat="1" ht="15.75" thickBot="1" x14ac:dyDescent="0.3">
      <c r="A187" s="90" t="s">
        <v>885</v>
      </c>
      <c r="B187" s="626" t="str">
        <f>VLOOKUP($D187,'Retail Rates'!$B$7:$D$38,2,FALSE)</f>
        <v>811</v>
      </c>
      <c r="C187" s="626" t="str">
        <f>VLOOKUP($D187,'Retail Rates'!$B$7:$D$38,3,FALSE)</f>
        <v>RGS</v>
      </c>
      <c r="D187" s="90" t="s">
        <v>35</v>
      </c>
      <c r="E187" s="90" t="s">
        <v>36</v>
      </c>
      <c r="F187" s="90" t="s">
        <v>28</v>
      </c>
      <c r="G187" s="90" t="s">
        <v>768</v>
      </c>
      <c r="H187" s="305">
        <v>1</v>
      </c>
      <c r="I187" s="95">
        <v>0</v>
      </c>
      <c r="J187" s="94"/>
      <c r="K187" s="95">
        <v>-13.5</v>
      </c>
      <c r="L187" s="94"/>
      <c r="M187" s="95">
        <v>0</v>
      </c>
      <c r="N187" s="95">
        <v>0</v>
      </c>
      <c r="O187" s="94"/>
      <c r="P187" s="95">
        <v>0</v>
      </c>
      <c r="Q187" s="95">
        <v>0</v>
      </c>
      <c r="R187" s="94"/>
      <c r="S187" s="95">
        <v>-0.25</v>
      </c>
      <c r="T187" s="95">
        <v>-2.31</v>
      </c>
      <c r="U187" s="95">
        <v>0</v>
      </c>
      <c r="V187" s="94"/>
      <c r="W187" s="94"/>
      <c r="X187" s="95">
        <v>-15.81</v>
      </c>
      <c r="Y187" s="94"/>
      <c r="Z187" s="94"/>
      <c r="AA187" s="94"/>
      <c r="AB187" s="94"/>
      <c r="AC187" s="94"/>
      <c r="AD187" s="94"/>
      <c r="AE187" s="94"/>
      <c r="AF187" s="94"/>
      <c r="AG187" s="95">
        <v>0</v>
      </c>
      <c r="AH187" s="94"/>
      <c r="AI187" s="95">
        <v>-16.059999999999999</v>
      </c>
      <c r="AJ187" s="95">
        <v>0</v>
      </c>
    </row>
    <row r="188" spans="1:36" customFormat="1" ht="15.75" thickBot="1" x14ac:dyDescent="0.3">
      <c r="A188" s="90" t="s">
        <v>885</v>
      </c>
      <c r="B188" s="626" t="str">
        <f>VLOOKUP($D188,'Retail Rates'!$B$7:$D$38,2,FALSE)</f>
        <v>811</v>
      </c>
      <c r="C188" s="626" t="str">
        <f>VLOOKUP($D188,'Retail Rates'!$B$7:$D$38,3,FALSE)</f>
        <v>RGS</v>
      </c>
      <c r="D188" s="90" t="s">
        <v>35</v>
      </c>
      <c r="E188" s="90" t="s">
        <v>36</v>
      </c>
      <c r="F188" s="90" t="s">
        <v>28</v>
      </c>
      <c r="G188" s="90" t="s">
        <v>769</v>
      </c>
      <c r="H188" s="304">
        <v>2</v>
      </c>
      <c r="I188" s="93">
        <v>32</v>
      </c>
      <c r="J188" s="92"/>
      <c r="K188" s="93">
        <v>-13.5</v>
      </c>
      <c r="L188" s="92"/>
      <c r="M188" s="93">
        <v>8.4499999999999993</v>
      </c>
      <c r="N188" s="93">
        <v>0</v>
      </c>
      <c r="O188" s="92"/>
      <c r="P188" s="93">
        <v>16.84</v>
      </c>
      <c r="Q188" s="93">
        <v>0.52</v>
      </c>
      <c r="R188" s="92"/>
      <c r="S188" s="93">
        <v>-0.25</v>
      </c>
      <c r="T188" s="93">
        <v>-1.08</v>
      </c>
      <c r="U188" s="93">
        <v>0</v>
      </c>
      <c r="V188" s="92"/>
      <c r="W188" s="92"/>
      <c r="X188" s="93">
        <v>11.23</v>
      </c>
      <c r="Y188" s="92"/>
      <c r="Z188" s="92"/>
      <c r="AA188" s="92"/>
      <c r="AB188" s="92"/>
      <c r="AC188" s="92"/>
      <c r="AD188" s="92"/>
      <c r="AE188" s="92"/>
      <c r="AF188" s="92"/>
      <c r="AG188" s="93">
        <v>0</v>
      </c>
      <c r="AH188" s="92"/>
      <c r="AI188" s="93">
        <v>10.98</v>
      </c>
      <c r="AJ188" s="93">
        <v>0</v>
      </c>
    </row>
    <row r="189" spans="1:36" customFormat="1" ht="15.75" thickBot="1" x14ac:dyDescent="0.3">
      <c r="A189" s="90" t="s">
        <v>885</v>
      </c>
      <c r="B189" s="626" t="str">
        <f>VLOOKUP($D189,'Retail Rates'!$B$7:$D$38,2,FALSE)</f>
        <v>811</v>
      </c>
      <c r="C189" s="626" t="str">
        <f>VLOOKUP($D189,'Retail Rates'!$B$7:$D$38,3,FALSE)</f>
        <v>RGS</v>
      </c>
      <c r="D189" s="90" t="s">
        <v>35</v>
      </c>
      <c r="E189" s="90" t="s">
        <v>36</v>
      </c>
      <c r="F189" s="90" t="s">
        <v>28</v>
      </c>
      <c r="G189" s="90" t="s">
        <v>771</v>
      </c>
      <c r="H189" s="305">
        <v>2</v>
      </c>
      <c r="I189" s="95">
        <v>18</v>
      </c>
      <c r="J189" s="94"/>
      <c r="K189" s="95">
        <v>-13.5</v>
      </c>
      <c r="L189" s="94"/>
      <c r="M189" s="95">
        <v>4.76</v>
      </c>
      <c r="N189" s="95">
        <v>0</v>
      </c>
      <c r="O189" s="94"/>
      <c r="P189" s="95">
        <v>10.73</v>
      </c>
      <c r="Q189" s="95">
        <v>0.28999999999999998</v>
      </c>
      <c r="R189" s="94"/>
      <c r="S189" s="95">
        <v>-0.25</v>
      </c>
      <c r="T189" s="95">
        <v>-1.08</v>
      </c>
      <c r="U189" s="95">
        <v>0</v>
      </c>
      <c r="V189" s="94"/>
      <c r="W189" s="94"/>
      <c r="X189" s="95">
        <v>1.2</v>
      </c>
      <c r="Y189" s="94"/>
      <c r="Z189" s="94"/>
      <c r="AA189" s="94"/>
      <c r="AB189" s="94"/>
      <c r="AC189" s="94"/>
      <c r="AD189" s="94"/>
      <c r="AE189" s="94"/>
      <c r="AF189" s="94"/>
      <c r="AG189" s="95">
        <v>0</v>
      </c>
      <c r="AH189" s="94"/>
      <c r="AI189" s="95">
        <v>0.95</v>
      </c>
      <c r="AJ189" s="95">
        <v>0</v>
      </c>
    </row>
    <row r="190" spans="1:36" customFormat="1" ht="15.75" thickBot="1" x14ac:dyDescent="0.3">
      <c r="A190" s="90" t="s">
        <v>885</v>
      </c>
      <c r="B190" s="626" t="str">
        <f>VLOOKUP($D190,'Retail Rates'!$B$7:$D$38,2,FALSE)</f>
        <v>811</v>
      </c>
      <c r="C190" s="626" t="str">
        <f>VLOOKUP($D190,'Retail Rates'!$B$7:$D$38,3,FALSE)</f>
        <v>RGS</v>
      </c>
      <c r="D190" s="90" t="s">
        <v>35</v>
      </c>
      <c r="E190" s="90" t="s">
        <v>36</v>
      </c>
      <c r="F190" s="90" t="s">
        <v>28</v>
      </c>
      <c r="G190" s="90" t="s">
        <v>783</v>
      </c>
      <c r="H190" s="304">
        <v>2</v>
      </c>
      <c r="I190" s="93">
        <v>13</v>
      </c>
      <c r="J190" s="92"/>
      <c r="K190" s="93">
        <v>-13.5</v>
      </c>
      <c r="L190" s="92"/>
      <c r="M190" s="93">
        <v>3.43</v>
      </c>
      <c r="N190" s="93">
        <v>0</v>
      </c>
      <c r="O190" s="92"/>
      <c r="P190" s="93">
        <v>7.75</v>
      </c>
      <c r="Q190" s="93">
        <v>0.21</v>
      </c>
      <c r="R190" s="92"/>
      <c r="S190" s="93">
        <v>-0.25</v>
      </c>
      <c r="T190" s="93">
        <v>-1.08</v>
      </c>
      <c r="U190" s="93">
        <v>0</v>
      </c>
      <c r="V190" s="92"/>
      <c r="W190" s="92"/>
      <c r="X190" s="93">
        <v>-3.19</v>
      </c>
      <c r="Y190" s="92"/>
      <c r="Z190" s="92"/>
      <c r="AA190" s="92"/>
      <c r="AB190" s="92"/>
      <c r="AC190" s="92"/>
      <c r="AD190" s="92"/>
      <c r="AE190" s="92"/>
      <c r="AF190" s="92"/>
      <c r="AG190" s="93">
        <v>0</v>
      </c>
      <c r="AH190" s="92"/>
      <c r="AI190" s="93">
        <v>-3.44</v>
      </c>
      <c r="AJ190" s="93">
        <v>0</v>
      </c>
    </row>
    <row r="191" spans="1:36" customFormat="1" ht="15.75" thickBot="1" x14ac:dyDescent="0.3">
      <c r="A191" s="90" t="s">
        <v>885</v>
      </c>
      <c r="B191" s="626" t="str">
        <f>VLOOKUP($D191,'Retail Rates'!$B$7:$D$38,2,FALSE)</f>
        <v>811</v>
      </c>
      <c r="C191" s="626" t="str">
        <f>VLOOKUP($D191,'Retail Rates'!$B$7:$D$38,3,FALSE)</f>
        <v>RGS</v>
      </c>
      <c r="D191" s="90" t="s">
        <v>35</v>
      </c>
      <c r="E191" s="90" t="s">
        <v>36</v>
      </c>
      <c r="F191" s="90" t="s">
        <v>28</v>
      </c>
      <c r="G191" s="90" t="s">
        <v>798</v>
      </c>
      <c r="H191" s="305">
        <v>2</v>
      </c>
      <c r="I191" s="95">
        <v>14</v>
      </c>
      <c r="J191" s="94"/>
      <c r="K191" s="95">
        <v>-13.5</v>
      </c>
      <c r="L191" s="94"/>
      <c r="M191" s="95">
        <v>3.7</v>
      </c>
      <c r="N191" s="95">
        <v>0</v>
      </c>
      <c r="O191" s="95">
        <v>0</v>
      </c>
      <c r="P191" s="95">
        <v>8.42</v>
      </c>
      <c r="Q191" s="95">
        <v>0.23</v>
      </c>
      <c r="R191" s="94"/>
      <c r="S191" s="95">
        <v>-0.25</v>
      </c>
      <c r="T191" s="95">
        <v>-1.08</v>
      </c>
      <c r="U191" s="95">
        <v>0</v>
      </c>
      <c r="V191" s="94"/>
      <c r="W191" s="94"/>
      <c r="X191" s="95">
        <v>-2.23</v>
      </c>
      <c r="Y191" s="94"/>
      <c r="Z191" s="94"/>
      <c r="AA191" s="94"/>
      <c r="AB191" s="94"/>
      <c r="AC191" s="94"/>
      <c r="AD191" s="94"/>
      <c r="AE191" s="94"/>
      <c r="AF191" s="94"/>
      <c r="AG191" s="95">
        <v>0</v>
      </c>
      <c r="AH191" s="94"/>
      <c r="AI191" s="95">
        <v>-2.48</v>
      </c>
      <c r="AJ191" s="95">
        <v>0</v>
      </c>
    </row>
    <row r="192" spans="1:36" customFormat="1" ht="15.75" thickBot="1" x14ac:dyDescent="0.3">
      <c r="A192" s="90" t="s">
        <v>885</v>
      </c>
      <c r="B192" s="626" t="str">
        <f>VLOOKUP($D192,'Retail Rates'!$B$7:$D$38,2,FALSE)</f>
        <v>811</v>
      </c>
      <c r="C192" s="626" t="str">
        <f>VLOOKUP($D192,'Retail Rates'!$B$7:$D$38,3,FALSE)</f>
        <v>RGS</v>
      </c>
      <c r="D192" s="90" t="s">
        <v>35</v>
      </c>
      <c r="E192" s="90" t="s">
        <v>36</v>
      </c>
      <c r="F192" s="90" t="s">
        <v>28</v>
      </c>
      <c r="G192" s="90" t="s">
        <v>897</v>
      </c>
      <c r="H192" s="304">
        <v>2</v>
      </c>
      <c r="I192" s="93">
        <v>13</v>
      </c>
      <c r="J192" s="92"/>
      <c r="K192" s="93">
        <v>-13.5</v>
      </c>
      <c r="L192" s="92"/>
      <c r="M192" s="93">
        <v>3.43</v>
      </c>
      <c r="N192" s="93">
        <v>0</v>
      </c>
      <c r="O192" s="93">
        <v>0</v>
      </c>
      <c r="P192" s="93">
        <v>8.1</v>
      </c>
      <c r="Q192" s="93">
        <v>0.21</v>
      </c>
      <c r="R192" s="92"/>
      <c r="S192" s="93">
        <v>-0.25</v>
      </c>
      <c r="T192" s="93">
        <v>-1.08</v>
      </c>
      <c r="U192" s="93">
        <v>0</v>
      </c>
      <c r="V192" s="92"/>
      <c r="W192" s="92"/>
      <c r="X192" s="93">
        <v>-2.84</v>
      </c>
      <c r="Y192" s="92"/>
      <c r="Z192" s="92"/>
      <c r="AA192" s="92"/>
      <c r="AB192" s="92"/>
      <c r="AC192" s="92"/>
      <c r="AD192" s="92"/>
      <c r="AE192" s="92"/>
      <c r="AF192" s="92"/>
      <c r="AG192" s="93">
        <v>0</v>
      </c>
      <c r="AH192" s="92"/>
      <c r="AI192" s="93">
        <v>-3.09</v>
      </c>
      <c r="AJ192" s="93">
        <v>0</v>
      </c>
    </row>
    <row r="193" spans="1:36" customFormat="1" ht="15.75" thickBot="1" x14ac:dyDescent="0.3">
      <c r="A193" s="90" t="s">
        <v>885</v>
      </c>
      <c r="B193" s="626" t="str">
        <f>VLOOKUP($D193,'Retail Rates'!$B$7:$D$38,2,FALSE)</f>
        <v>811</v>
      </c>
      <c r="C193" s="626" t="str">
        <f>VLOOKUP($D193,'Retail Rates'!$B$7:$D$38,3,FALSE)</f>
        <v>RGS</v>
      </c>
      <c r="D193" s="90" t="s">
        <v>35</v>
      </c>
      <c r="E193" s="90" t="s">
        <v>36</v>
      </c>
      <c r="F193" s="90" t="s">
        <v>28</v>
      </c>
      <c r="G193" s="90" t="s">
        <v>898</v>
      </c>
      <c r="H193" s="305">
        <v>2</v>
      </c>
      <c r="I193" s="95">
        <v>19</v>
      </c>
      <c r="J193" s="94"/>
      <c r="K193" s="95">
        <v>-13.5</v>
      </c>
      <c r="L193" s="94"/>
      <c r="M193" s="95">
        <v>5.0199999999999996</v>
      </c>
      <c r="N193" s="95">
        <v>0</v>
      </c>
      <c r="O193" s="95">
        <v>0</v>
      </c>
      <c r="P193" s="95">
        <v>11.84</v>
      </c>
      <c r="Q193" s="95">
        <v>0.31</v>
      </c>
      <c r="R193" s="94"/>
      <c r="S193" s="95">
        <v>-0.25</v>
      </c>
      <c r="T193" s="95">
        <v>-1.08</v>
      </c>
      <c r="U193" s="95">
        <v>0</v>
      </c>
      <c r="V193" s="94"/>
      <c r="W193" s="94"/>
      <c r="X193" s="95">
        <v>2.59</v>
      </c>
      <c r="Y193" s="94"/>
      <c r="Z193" s="94"/>
      <c r="AA193" s="94"/>
      <c r="AB193" s="94"/>
      <c r="AC193" s="94"/>
      <c r="AD193" s="94"/>
      <c r="AE193" s="94"/>
      <c r="AF193" s="94"/>
      <c r="AG193" s="95">
        <v>0</v>
      </c>
      <c r="AH193" s="94"/>
      <c r="AI193" s="95">
        <v>2.34</v>
      </c>
      <c r="AJ193" s="95">
        <v>0</v>
      </c>
    </row>
    <row r="194" spans="1:36" customFormat="1" ht="15.75" thickBot="1" x14ac:dyDescent="0.3">
      <c r="A194" s="90" t="s">
        <v>885</v>
      </c>
      <c r="B194" s="626" t="str">
        <f>VLOOKUP($D194,'Retail Rates'!$B$7:$D$38,2,FALSE)</f>
        <v>811</v>
      </c>
      <c r="C194" s="626" t="str">
        <f>VLOOKUP($D194,'Retail Rates'!$B$7:$D$38,3,FALSE)</f>
        <v>RGS</v>
      </c>
      <c r="D194" s="90" t="s">
        <v>35</v>
      </c>
      <c r="E194" s="90" t="s">
        <v>36</v>
      </c>
      <c r="F194" s="90" t="s">
        <v>28</v>
      </c>
      <c r="G194" s="90" t="s">
        <v>899</v>
      </c>
      <c r="H194" s="304">
        <v>2</v>
      </c>
      <c r="I194" s="93">
        <v>34</v>
      </c>
      <c r="J194" s="92"/>
      <c r="K194" s="93">
        <v>-13.5</v>
      </c>
      <c r="L194" s="92"/>
      <c r="M194" s="93">
        <v>8.98</v>
      </c>
      <c r="N194" s="93">
        <v>0</v>
      </c>
      <c r="O194" s="93">
        <v>0</v>
      </c>
      <c r="P194" s="93">
        <v>20.88</v>
      </c>
      <c r="Q194" s="93">
        <v>0.55000000000000004</v>
      </c>
      <c r="R194" s="93">
        <v>7.0000000000000007E-2</v>
      </c>
      <c r="S194" s="93">
        <v>-0.25</v>
      </c>
      <c r="T194" s="93">
        <v>-1.08</v>
      </c>
      <c r="U194" s="93">
        <v>0</v>
      </c>
      <c r="V194" s="92"/>
      <c r="W194" s="92"/>
      <c r="X194" s="93">
        <v>15.9</v>
      </c>
      <c r="Y194" s="92"/>
      <c r="Z194" s="92"/>
      <c r="AA194" s="92"/>
      <c r="AB194" s="92"/>
      <c r="AC194" s="92"/>
      <c r="AD194" s="92"/>
      <c r="AE194" s="92"/>
      <c r="AF194" s="92"/>
      <c r="AG194" s="93">
        <v>0</v>
      </c>
      <c r="AH194" s="92"/>
      <c r="AI194" s="93">
        <v>15.65</v>
      </c>
      <c r="AJ194" s="93">
        <v>0</v>
      </c>
    </row>
    <row r="195" spans="1:36" customFormat="1" ht="15.75" thickBot="1" x14ac:dyDescent="0.3">
      <c r="A195" s="90" t="s">
        <v>885</v>
      </c>
      <c r="B195" s="626" t="str">
        <f>VLOOKUP($D195,'Retail Rates'!$B$7:$D$38,2,FALSE)</f>
        <v>811</v>
      </c>
      <c r="C195" s="626" t="str">
        <f>VLOOKUP($D195,'Retail Rates'!$B$7:$D$38,3,FALSE)</f>
        <v>RGS</v>
      </c>
      <c r="D195" s="90" t="s">
        <v>35</v>
      </c>
      <c r="E195" s="90" t="s">
        <v>36</v>
      </c>
      <c r="F195" s="90" t="s">
        <v>28</v>
      </c>
      <c r="G195" s="90" t="s">
        <v>900</v>
      </c>
      <c r="H195" s="305">
        <v>2</v>
      </c>
      <c r="I195" s="95">
        <v>68</v>
      </c>
      <c r="J195" s="94"/>
      <c r="K195" s="95">
        <v>-13.37</v>
      </c>
      <c r="L195" s="94"/>
      <c r="M195" s="95">
        <v>17.96</v>
      </c>
      <c r="N195" s="95">
        <v>0.79</v>
      </c>
      <c r="O195" s="95">
        <v>0.13</v>
      </c>
      <c r="P195" s="95">
        <v>38.17</v>
      </c>
      <c r="Q195" s="95">
        <v>1.1000000000000001</v>
      </c>
      <c r="R195" s="95">
        <v>-3.52</v>
      </c>
      <c r="S195" s="95">
        <v>-0.25</v>
      </c>
      <c r="T195" s="95">
        <v>-1.1200000000000001</v>
      </c>
      <c r="U195" s="95">
        <v>0</v>
      </c>
      <c r="V195" s="94"/>
      <c r="W195" s="94"/>
      <c r="X195" s="95">
        <v>39.22</v>
      </c>
      <c r="Y195" s="94"/>
      <c r="Z195" s="94"/>
      <c r="AA195" s="94"/>
      <c r="AB195" s="94"/>
      <c r="AC195" s="94"/>
      <c r="AD195" s="94"/>
      <c r="AE195" s="94"/>
      <c r="AF195" s="94"/>
      <c r="AG195" s="95">
        <v>0</v>
      </c>
      <c r="AH195" s="94"/>
      <c r="AI195" s="95">
        <v>39.76</v>
      </c>
      <c r="AJ195" s="306">
        <v>-0.13</v>
      </c>
    </row>
    <row r="196" spans="1:36" customFormat="1" ht="15.75" thickBot="1" x14ac:dyDescent="0.3">
      <c r="A196" s="90" t="s">
        <v>885</v>
      </c>
      <c r="B196" s="626" t="str">
        <f>VLOOKUP($D196,'Retail Rates'!$B$7:$D$38,2,FALSE)</f>
        <v>811</v>
      </c>
      <c r="C196" s="626" t="str">
        <f>VLOOKUP($D196,'Retail Rates'!$B$7:$D$38,3,FALSE)</f>
        <v>RGS</v>
      </c>
      <c r="D196" s="90" t="s">
        <v>35</v>
      </c>
      <c r="E196" s="90" t="s">
        <v>36</v>
      </c>
      <c r="F196" s="90" t="s">
        <v>28</v>
      </c>
      <c r="G196" s="90" t="s">
        <v>901</v>
      </c>
      <c r="H196" s="304">
        <v>2</v>
      </c>
      <c r="I196" s="93">
        <v>68</v>
      </c>
      <c r="J196" s="92"/>
      <c r="K196" s="93">
        <v>-13.37</v>
      </c>
      <c r="L196" s="92"/>
      <c r="M196" s="93">
        <v>17.96</v>
      </c>
      <c r="N196" s="93">
        <v>0.87</v>
      </c>
      <c r="O196" s="93">
        <v>0.13</v>
      </c>
      <c r="P196" s="93">
        <v>38.17</v>
      </c>
      <c r="Q196" s="93">
        <v>1.1299999999999999</v>
      </c>
      <c r="R196" s="93">
        <v>1.77</v>
      </c>
      <c r="S196" s="93">
        <v>-0.25</v>
      </c>
      <c r="T196" s="93">
        <v>-2.5299999999999998</v>
      </c>
      <c r="U196" s="93">
        <v>0</v>
      </c>
      <c r="V196" s="92"/>
      <c r="W196" s="92"/>
      <c r="X196" s="93">
        <v>43.13</v>
      </c>
      <c r="Y196" s="92"/>
      <c r="Z196" s="92"/>
      <c r="AA196" s="92"/>
      <c r="AB196" s="92"/>
      <c r="AC196" s="92"/>
      <c r="AD196" s="92"/>
      <c r="AE196" s="92"/>
      <c r="AF196" s="92"/>
      <c r="AG196" s="93">
        <v>0</v>
      </c>
      <c r="AH196" s="92"/>
      <c r="AI196" s="93">
        <v>43.75</v>
      </c>
      <c r="AJ196" s="306">
        <v>-0.13</v>
      </c>
    </row>
    <row r="197" spans="1:36" customFormat="1" ht="15.75" thickBot="1" x14ac:dyDescent="0.3">
      <c r="A197" s="90" t="s">
        <v>885</v>
      </c>
      <c r="B197" s="626" t="str">
        <f>VLOOKUP($D197,'Retail Rates'!$B$7:$D$38,2,FALSE)</f>
        <v>811</v>
      </c>
      <c r="C197" s="626" t="str">
        <f>VLOOKUP($D197,'Retail Rates'!$B$7:$D$38,3,FALSE)</f>
        <v>RGS</v>
      </c>
      <c r="D197" s="90" t="s">
        <v>35</v>
      </c>
      <c r="E197" s="90" t="s">
        <v>36</v>
      </c>
      <c r="F197" s="90" t="s">
        <v>28</v>
      </c>
      <c r="G197" s="90" t="s">
        <v>902</v>
      </c>
      <c r="H197" s="305">
        <v>2</v>
      </c>
      <c r="I197" s="95">
        <v>71</v>
      </c>
      <c r="J197" s="94"/>
      <c r="K197" s="95">
        <v>-13.37</v>
      </c>
      <c r="L197" s="94"/>
      <c r="M197" s="95">
        <v>18.760000000000002</v>
      </c>
      <c r="N197" s="95">
        <v>0.87</v>
      </c>
      <c r="O197" s="95">
        <v>0.13</v>
      </c>
      <c r="P197" s="95">
        <v>39.54</v>
      </c>
      <c r="Q197" s="95">
        <v>1.38</v>
      </c>
      <c r="R197" s="95">
        <v>-0.4</v>
      </c>
      <c r="S197" s="95">
        <v>-0.25</v>
      </c>
      <c r="T197" s="95">
        <v>-2.5299999999999998</v>
      </c>
      <c r="U197" s="95">
        <v>0</v>
      </c>
      <c r="V197" s="94"/>
      <c r="W197" s="94"/>
      <c r="X197" s="95">
        <v>43.38</v>
      </c>
      <c r="Y197" s="94"/>
      <c r="Z197" s="94"/>
      <c r="AA197" s="94"/>
      <c r="AB197" s="94"/>
      <c r="AC197" s="94"/>
      <c r="AD197" s="94"/>
      <c r="AE197" s="94"/>
      <c r="AF197" s="94"/>
      <c r="AG197" s="95">
        <v>0</v>
      </c>
      <c r="AH197" s="94"/>
      <c r="AI197" s="95">
        <v>44</v>
      </c>
      <c r="AJ197" s="306">
        <v>-0.13</v>
      </c>
    </row>
    <row r="198" spans="1:36" customFormat="1" ht="15.75" thickBot="1" x14ac:dyDescent="0.3">
      <c r="A198" s="90" t="s">
        <v>885</v>
      </c>
      <c r="B198" s="626" t="str">
        <f>VLOOKUP($D198,'Retail Rates'!$B$7:$D$38,2,FALSE)</f>
        <v>811</v>
      </c>
      <c r="C198" s="626" t="str">
        <f>VLOOKUP($D198,'Retail Rates'!$B$7:$D$38,3,FALSE)</f>
        <v>RGS</v>
      </c>
      <c r="D198" s="90" t="s">
        <v>35</v>
      </c>
      <c r="E198" s="90" t="s">
        <v>36</v>
      </c>
      <c r="F198" s="90" t="s">
        <v>28</v>
      </c>
      <c r="G198" s="90" t="s">
        <v>903</v>
      </c>
      <c r="H198" s="304">
        <v>2</v>
      </c>
      <c r="I198" s="93">
        <v>71</v>
      </c>
      <c r="J198" s="92"/>
      <c r="K198" s="93">
        <v>-13.37</v>
      </c>
      <c r="L198" s="92"/>
      <c r="M198" s="93">
        <v>18.760000000000002</v>
      </c>
      <c r="N198" s="93">
        <v>0.7</v>
      </c>
      <c r="O198" s="93">
        <v>0.13</v>
      </c>
      <c r="P198" s="93">
        <v>35.47</v>
      </c>
      <c r="Q198" s="93">
        <v>1.38</v>
      </c>
      <c r="R198" s="93">
        <v>-4.6500000000000004</v>
      </c>
      <c r="S198" s="93">
        <v>-0.25</v>
      </c>
      <c r="T198" s="93">
        <v>-2.5299999999999998</v>
      </c>
      <c r="U198" s="93">
        <v>0</v>
      </c>
      <c r="V198" s="92"/>
      <c r="W198" s="92"/>
      <c r="X198" s="93">
        <v>35.06</v>
      </c>
      <c r="Y198" s="92"/>
      <c r="Z198" s="92"/>
      <c r="AA198" s="92"/>
      <c r="AB198" s="92"/>
      <c r="AC198" s="92"/>
      <c r="AD198" s="92"/>
      <c r="AE198" s="92"/>
      <c r="AF198" s="92"/>
      <c r="AG198" s="93">
        <v>0</v>
      </c>
      <c r="AH198" s="92"/>
      <c r="AI198" s="93">
        <v>35.51</v>
      </c>
      <c r="AJ198" s="306">
        <v>-0.13</v>
      </c>
    </row>
    <row r="199" spans="1:36" customFormat="1" ht="15.75" thickBot="1" x14ac:dyDescent="0.3">
      <c r="A199" s="90" t="s">
        <v>885</v>
      </c>
      <c r="B199" s="626" t="str">
        <f>VLOOKUP($D199,'Retail Rates'!$B$7:$D$38,2,FALSE)</f>
        <v>811</v>
      </c>
      <c r="C199" s="626" t="str">
        <f>VLOOKUP($D199,'Retail Rates'!$B$7:$D$38,3,FALSE)</f>
        <v>RGS</v>
      </c>
      <c r="D199" s="90" t="s">
        <v>35</v>
      </c>
      <c r="E199" s="90" t="s">
        <v>36</v>
      </c>
      <c r="F199" s="90" t="s">
        <v>28</v>
      </c>
      <c r="G199" s="90" t="s">
        <v>904</v>
      </c>
      <c r="H199" s="305">
        <v>4</v>
      </c>
      <c r="I199" s="95">
        <v>57</v>
      </c>
      <c r="J199" s="94"/>
      <c r="K199" s="95">
        <v>-13.37</v>
      </c>
      <c r="L199" s="94"/>
      <c r="M199" s="95">
        <v>15.05</v>
      </c>
      <c r="N199" s="95">
        <v>1.1399999999999999</v>
      </c>
      <c r="O199" s="95">
        <v>0.13</v>
      </c>
      <c r="P199" s="95">
        <v>28.48</v>
      </c>
      <c r="Q199" s="95">
        <v>0.75</v>
      </c>
      <c r="R199" s="95">
        <v>3.1</v>
      </c>
      <c r="S199" s="95">
        <v>-0.25</v>
      </c>
      <c r="T199" s="95">
        <v>-2.5299999999999998</v>
      </c>
      <c r="U199" s="95">
        <v>0</v>
      </c>
      <c r="V199" s="94"/>
      <c r="W199" s="94"/>
      <c r="X199" s="95">
        <v>31.48</v>
      </c>
      <c r="Y199" s="94"/>
      <c r="Z199" s="94"/>
      <c r="AA199" s="94"/>
      <c r="AB199" s="94"/>
      <c r="AC199" s="94"/>
      <c r="AD199" s="94"/>
      <c r="AE199" s="94"/>
      <c r="AF199" s="94"/>
      <c r="AG199" s="95">
        <v>-0.76</v>
      </c>
      <c r="AH199" s="94"/>
      <c r="AI199" s="95">
        <v>31.61</v>
      </c>
      <c r="AJ199" s="306">
        <v>-0.13</v>
      </c>
    </row>
    <row r="200" spans="1:36" customFormat="1" ht="15.75" thickBot="1" x14ac:dyDescent="0.3">
      <c r="A200" s="90" t="s">
        <v>885</v>
      </c>
      <c r="B200" s="626" t="str">
        <f>VLOOKUP($D200,'Retail Rates'!$B$7:$D$38,2,FALSE)</f>
        <v>811</v>
      </c>
      <c r="C200" s="626" t="str">
        <f>VLOOKUP($D200,'Retail Rates'!$B$7:$D$38,3,FALSE)</f>
        <v>RGS</v>
      </c>
      <c r="D200" s="90" t="s">
        <v>35</v>
      </c>
      <c r="E200" s="90" t="s">
        <v>36</v>
      </c>
      <c r="F200" s="90" t="s">
        <v>28</v>
      </c>
      <c r="G200" s="90" t="s">
        <v>905</v>
      </c>
      <c r="H200" s="304">
        <v>4</v>
      </c>
      <c r="I200" s="93">
        <v>58</v>
      </c>
      <c r="J200" s="92"/>
      <c r="K200" s="93">
        <v>-13.37</v>
      </c>
      <c r="L200" s="92"/>
      <c r="M200" s="93">
        <v>15.33</v>
      </c>
      <c r="N200" s="93">
        <v>0.65</v>
      </c>
      <c r="O200" s="93">
        <v>0.13</v>
      </c>
      <c r="P200" s="93">
        <v>27.89</v>
      </c>
      <c r="Q200" s="93">
        <v>0.76</v>
      </c>
      <c r="R200" s="92"/>
      <c r="S200" s="93">
        <v>-0.25</v>
      </c>
      <c r="T200" s="93">
        <v>-3.77</v>
      </c>
      <c r="U200" s="93">
        <v>0</v>
      </c>
      <c r="V200" s="92"/>
      <c r="W200" s="92"/>
      <c r="X200" s="93">
        <v>26.84</v>
      </c>
      <c r="Y200" s="92"/>
      <c r="Z200" s="92"/>
      <c r="AA200" s="92"/>
      <c r="AB200" s="92"/>
      <c r="AC200" s="92"/>
      <c r="AD200" s="92"/>
      <c r="AE200" s="92"/>
      <c r="AF200" s="92"/>
      <c r="AG200" s="93">
        <v>-0.16</v>
      </c>
      <c r="AH200" s="92"/>
      <c r="AI200" s="93">
        <v>27.08</v>
      </c>
      <c r="AJ200" s="306">
        <v>-0.13</v>
      </c>
    </row>
    <row r="201" spans="1:36" customFormat="1" ht="15.75" thickBot="1" x14ac:dyDescent="0.3">
      <c r="A201" s="90" t="s">
        <v>885</v>
      </c>
      <c r="B201" s="626" t="str">
        <f>VLOOKUP($D201,'Retail Rates'!$B$7:$D$38,2,FALSE)</f>
        <v>811</v>
      </c>
      <c r="C201" s="626" t="str">
        <f>VLOOKUP($D201,'Retail Rates'!$B$7:$D$38,3,FALSE)</f>
        <v>RGS</v>
      </c>
      <c r="D201" s="90" t="s">
        <v>35</v>
      </c>
      <c r="E201" s="90" t="s">
        <v>36</v>
      </c>
      <c r="F201" s="90" t="s">
        <v>28</v>
      </c>
      <c r="G201" s="90" t="s">
        <v>906</v>
      </c>
      <c r="H201" s="305">
        <v>5</v>
      </c>
      <c r="I201" s="95">
        <v>30</v>
      </c>
      <c r="J201" s="94"/>
      <c r="K201" s="95">
        <v>-13.37</v>
      </c>
      <c r="L201" s="94"/>
      <c r="M201" s="95">
        <v>7.93</v>
      </c>
      <c r="N201" s="95">
        <v>7.0000000000000007E-2</v>
      </c>
      <c r="O201" s="95">
        <v>0.13</v>
      </c>
      <c r="P201" s="95">
        <v>12.47</v>
      </c>
      <c r="Q201" s="95">
        <v>0.39</v>
      </c>
      <c r="R201" s="94"/>
      <c r="S201" s="95">
        <v>-0.25</v>
      </c>
      <c r="T201" s="95">
        <v>-3.77</v>
      </c>
      <c r="U201" s="95">
        <v>0</v>
      </c>
      <c r="V201" s="94"/>
      <c r="W201" s="94"/>
      <c r="X201" s="95">
        <v>3.65</v>
      </c>
      <c r="Y201" s="94"/>
      <c r="Z201" s="94"/>
      <c r="AA201" s="94"/>
      <c r="AB201" s="94"/>
      <c r="AC201" s="94"/>
      <c r="AD201" s="94"/>
      <c r="AE201" s="94"/>
      <c r="AF201" s="94"/>
      <c r="AG201" s="95">
        <v>-0.02</v>
      </c>
      <c r="AH201" s="94"/>
      <c r="AI201" s="95">
        <v>3.45</v>
      </c>
      <c r="AJ201" s="306">
        <v>-0.13</v>
      </c>
    </row>
    <row r="202" spans="1:36" customFormat="1" ht="15.75" thickBot="1" x14ac:dyDescent="0.3">
      <c r="A202" s="90" t="s">
        <v>885</v>
      </c>
      <c r="B202" s="626" t="str">
        <f>VLOOKUP($D202,'Retail Rates'!$B$7:$D$38,2,FALSE)</f>
        <v>811</v>
      </c>
      <c r="C202" s="626" t="str">
        <f>VLOOKUP($D202,'Retail Rates'!$B$7:$D$38,3,FALSE)</f>
        <v>RGS</v>
      </c>
      <c r="D202" s="90" t="s">
        <v>35</v>
      </c>
      <c r="E202" s="90" t="s">
        <v>36</v>
      </c>
      <c r="F202" s="90" t="s">
        <v>28</v>
      </c>
      <c r="G202" s="90" t="s">
        <v>907</v>
      </c>
      <c r="H202" s="304">
        <v>5</v>
      </c>
      <c r="I202" s="93">
        <v>40</v>
      </c>
      <c r="J202" s="92"/>
      <c r="K202" s="93">
        <v>-13.5</v>
      </c>
      <c r="L202" s="92"/>
      <c r="M202" s="93">
        <v>10.72</v>
      </c>
      <c r="N202" s="93">
        <v>0.26</v>
      </c>
      <c r="O202" s="93">
        <v>0</v>
      </c>
      <c r="P202" s="93">
        <v>16.64</v>
      </c>
      <c r="Q202" s="93">
        <v>0.33</v>
      </c>
      <c r="R202" s="92"/>
      <c r="S202" s="93">
        <v>-0.25</v>
      </c>
      <c r="T202" s="93">
        <v>-3.77</v>
      </c>
      <c r="U202" s="93">
        <v>0</v>
      </c>
      <c r="V202" s="92"/>
      <c r="W202" s="92"/>
      <c r="X202" s="93">
        <v>10.42</v>
      </c>
      <c r="Y202" s="92"/>
      <c r="Z202" s="92"/>
      <c r="AA202" s="92"/>
      <c r="AB202" s="92"/>
      <c r="AC202" s="92"/>
      <c r="AD202" s="92"/>
      <c r="AE202" s="92"/>
      <c r="AF202" s="92"/>
      <c r="AG202" s="93">
        <v>0.21</v>
      </c>
      <c r="AH202" s="92"/>
      <c r="AI202" s="93">
        <v>10.64</v>
      </c>
      <c r="AJ202" s="93">
        <v>0</v>
      </c>
    </row>
    <row r="203" spans="1:36" customFormat="1" ht="15.75" thickBot="1" x14ac:dyDescent="0.3">
      <c r="A203" s="90" t="s">
        <v>885</v>
      </c>
      <c r="B203" s="626" t="str">
        <f>VLOOKUP($D203,'Retail Rates'!$B$7:$D$38,2,FALSE)</f>
        <v>811</v>
      </c>
      <c r="C203" s="626" t="str">
        <f>VLOOKUP($D203,'Retail Rates'!$B$7:$D$38,3,FALSE)</f>
        <v>RGS</v>
      </c>
      <c r="D203" s="90" t="s">
        <v>35</v>
      </c>
      <c r="E203" s="90" t="s">
        <v>36</v>
      </c>
      <c r="F203" s="90" t="s">
        <v>28</v>
      </c>
      <c r="G203" s="90" t="s">
        <v>908</v>
      </c>
      <c r="H203" s="305">
        <v>7</v>
      </c>
      <c r="I203" s="95">
        <v>42</v>
      </c>
      <c r="J203" s="94"/>
      <c r="K203" s="95">
        <v>-27</v>
      </c>
      <c r="L203" s="94"/>
      <c r="M203" s="95">
        <v>12.05</v>
      </c>
      <c r="N203" s="95">
        <v>0.31</v>
      </c>
      <c r="O203" s="95">
        <v>0</v>
      </c>
      <c r="P203" s="95">
        <v>16.88</v>
      </c>
      <c r="Q203" s="95">
        <v>0.35</v>
      </c>
      <c r="R203" s="94"/>
      <c r="S203" s="95">
        <v>-0.5</v>
      </c>
      <c r="T203" s="95">
        <v>-7.54</v>
      </c>
      <c r="U203" s="95">
        <v>0</v>
      </c>
      <c r="V203" s="94"/>
      <c r="W203" s="94"/>
      <c r="X203" s="95">
        <v>-5.26</v>
      </c>
      <c r="Y203" s="94"/>
      <c r="Z203" s="94"/>
      <c r="AA203" s="94"/>
      <c r="AB203" s="94"/>
      <c r="AC203" s="94"/>
      <c r="AD203" s="94"/>
      <c r="AE203" s="94"/>
      <c r="AF203" s="94"/>
      <c r="AG203" s="95">
        <v>-0.28999999999999998</v>
      </c>
      <c r="AH203" s="94"/>
      <c r="AI203" s="95">
        <v>-5.74</v>
      </c>
      <c r="AJ203" s="95">
        <v>0</v>
      </c>
    </row>
    <row r="204" spans="1:36" customFormat="1" ht="15.75" thickBot="1" x14ac:dyDescent="0.3">
      <c r="A204" s="90" t="s">
        <v>885</v>
      </c>
      <c r="B204" s="626" t="str">
        <f>VLOOKUP($D204,'Retail Rates'!$B$7:$D$38,2,FALSE)</f>
        <v>811</v>
      </c>
      <c r="C204" s="626" t="str">
        <f>VLOOKUP($D204,'Retail Rates'!$B$7:$D$38,3,FALSE)</f>
        <v>RGS</v>
      </c>
      <c r="D204" s="90" t="s">
        <v>35</v>
      </c>
      <c r="E204" s="90" t="s">
        <v>36</v>
      </c>
      <c r="F204" s="90" t="s">
        <v>28</v>
      </c>
      <c r="G204" s="90" t="s">
        <v>909</v>
      </c>
      <c r="H204" s="304">
        <v>8</v>
      </c>
      <c r="I204" s="93">
        <v>49</v>
      </c>
      <c r="J204" s="92"/>
      <c r="K204" s="93">
        <v>-35.1</v>
      </c>
      <c r="L204" s="92"/>
      <c r="M204" s="93">
        <v>14.06</v>
      </c>
      <c r="N204" s="93">
        <v>0.06</v>
      </c>
      <c r="O204" s="93">
        <v>0</v>
      </c>
      <c r="P204" s="93">
        <v>14.6</v>
      </c>
      <c r="Q204" s="93">
        <v>0.42</v>
      </c>
      <c r="R204" s="92"/>
      <c r="S204" s="93">
        <v>-0.75</v>
      </c>
      <c r="T204" s="93">
        <v>-9.8000000000000007</v>
      </c>
      <c r="U204" s="93">
        <v>0</v>
      </c>
      <c r="V204" s="92"/>
      <c r="W204" s="92"/>
      <c r="X204" s="93">
        <v>-15.82</v>
      </c>
      <c r="Y204" s="92"/>
      <c r="Z204" s="92"/>
      <c r="AA204" s="92"/>
      <c r="AB204" s="92"/>
      <c r="AC204" s="92"/>
      <c r="AD204" s="92"/>
      <c r="AE204" s="92"/>
      <c r="AF204" s="92"/>
      <c r="AG204" s="93">
        <v>-0.34</v>
      </c>
      <c r="AH204" s="92"/>
      <c r="AI204" s="93">
        <v>-16.850000000000001</v>
      </c>
      <c r="AJ204" s="93">
        <v>0</v>
      </c>
    </row>
    <row r="205" spans="1:36" customFormat="1" ht="15.75" thickBot="1" x14ac:dyDescent="0.3">
      <c r="A205" s="90" t="s">
        <v>885</v>
      </c>
      <c r="B205" s="626" t="str">
        <f>VLOOKUP($D205,'Retail Rates'!$B$7:$D$38,2,FALSE)</f>
        <v>811</v>
      </c>
      <c r="C205" s="626" t="str">
        <f>VLOOKUP($D205,'Retail Rates'!$B$7:$D$38,3,FALSE)</f>
        <v>RGS</v>
      </c>
      <c r="D205" s="90" t="s">
        <v>35</v>
      </c>
      <c r="E205" s="90" t="s">
        <v>36</v>
      </c>
      <c r="F205" s="90" t="s">
        <v>28</v>
      </c>
      <c r="G205" s="90" t="s">
        <v>910</v>
      </c>
      <c r="H205" s="305">
        <v>11</v>
      </c>
      <c r="I205" s="95">
        <v>70</v>
      </c>
      <c r="J205" s="94"/>
      <c r="K205" s="95">
        <v>-36.9</v>
      </c>
      <c r="L205" s="94"/>
      <c r="M205" s="95">
        <v>20.079999999999998</v>
      </c>
      <c r="N205" s="95">
        <v>0.31</v>
      </c>
      <c r="O205" s="95">
        <v>0</v>
      </c>
      <c r="P205" s="95">
        <v>20.86</v>
      </c>
      <c r="Q205" s="95">
        <v>0.6</v>
      </c>
      <c r="R205" s="94"/>
      <c r="S205" s="95">
        <v>-0.5</v>
      </c>
      <c r="T205" s="95">
        <v>-10.3</v>
      </c>
      <c r="U205" s="95">
        <v>0</v>
      </c>
      <c r="V205" s="94"/>
      <c r="W205" s="94"/>
      <c r="X205" s="95">
        <v>-5.66</v>
      </c>
      <c r="Y205" s="94"/>
      <c r="Z205" s="94"/>
      <c r="AA205" s="94"/>
      <c r="AB205" s="94"/>
      <c r="AC205" s="94"/>
      <c r="AD205" s="94"/>
      <c r="AE205" s="94"/>
      <c r="AF205" s="94"/>
      <c r="AG205" s="95">
        <v>-0.18</v>
      </c>
      <c r="AH205" s="94"/>
      <c r="AI205" s="95">
        <v>-6.03</v>
      </c>
      <c r="AJ205" s="95">
        <v>0</v>
      </c>
    </row>
    <row r="206" spans="1:36" customFormat="1" ht="15.75" thickBot="1" x14ac:dyDescent="0.3">
      <c r="A206" s="90" t="s">
        <v>885</v>
      </c>
      <c r="B206" s="626" t="str">
        <f>VLOOKUP($D206,'Retail Rates'!$B$7:$D$38,2,FALSE)</f>
        <v>811</v>
      </c>
      <c r="C206" s="626" t="str">
        <f>VLOOKUP($D206,'Retail Rates'!$B$7:$D$38,3,FALSE)</f>
        <v>RGS</v>
      </c>
      <c r="D206" s="90" t="s">
        <v>35</v>
      </c>
      <c r="E206" s="90" t="s">
        <v>36</v>
      </c>
      <c r="F206" s="90" t="s">
        <v>28</v>
      </c>
      <c r="G206" s="90" t="s">
        <v>911</v>
      </c>
      <c r="H206" s="304">
        <v>17</v>
      </c>
      <c r="I206" s="93">
        <v>158</v>
      </c>
      <c r="J206" s="92"/>
      <c r="K206" s="93">
        <v>-67.5</v>
      </c>
      <c r="L206" s="92"/>
      <c r="M206" s="93">
        <v>45.32</v>
      </c>
      <c r="N206" s="93">
        <v>0.67</v>
      </c>
      <c r="O206" s="93">
        <v>0</v>
      </c>
      <c r="P206" s="93">
        <v>48.96</v>
      </c>
      <c r="Q206" s="93">
        <v>1.31</v>
      </c>
      <c r="R206" s="93">
        <v>16.95</v>
      </c>
      <c r="S206" s="93">
        <v>-1.25</v>
      </c>
      <c r="T206" s="93">
        <v>-18.850000000000001</v>
      </c>
      <c r="U206" s="93">
        <v>0</v>
      </c>
      <c r="V206" s="92"/>
      <c r="W206" s="92"/>
      <c r="X206" s="93">
        <v>26.19</v>
      </c>
      <c r="Y206" s="92"/>
      <c r="Z206" s="92"/>
      <c r="AA206" s="92"/>
      <c r="AB206" s="92"/>
      <c r="AC206" s="92"/>
      <c r="AD206" s="92"/>
      <c r="AE206" s="92"/>
      <c r="AF206" s="92"/>
      <c r="AG206" s="93">
        <v>0.62</v>
      </c>
      <c r="AH206" s="92"/>
      <c r="AI206" s="93">
        <v>26.23</v>
      </c>
      <c r="AJ206" s="93">
        <v>0</v>
      </c>
    </row>
    <row r="207" spans="1:36" customFormat="1" ht="15.75" thickBot="1" x14ac:dyDescent="0.3">
      <c r="A207" s="90" t="s">
        <v>885</v>
      </c>
      <c r="B207" s="626" t="str">
        <f>VLOOKUP($D207,'Retail Rates'!$B$7:$D$38,2,FALSE)</f>
        <v>811</v>
      </c>
      <c r="C207" s="626" t="str">
        <f>VLOOKUP($D207,'Retail Rates'!$B$7:$D$38,3,FALSE)</f>
        <v>RGS</v>
      </c>
      <c r="D207" s="90" t="s">
        <v>35</v>
      </c>
      <c r="E207" s="90" t="s">
        <v>36</v>
      </c>
      <c r="F207" s="90" t="s">
        <v>28</v>
      </c>
      <c r="G207" s="90" t="s">
        <v>912</v>
      </c>
      <c r="H207" s="305">
        <v>28</v>
      </c>
      <c r="I207" s="95">
        <v>521</v>
      </c>
      <c r="J207" s="94"/>
      <c r="K207" s="95">
        <v>-53.1</v>
      </c>
      <c r="L207" s="94"/>
      <c r="M207" s="95">
        <v>149.49</v>
      </c>
      <c r="N207" s="95">
        <v>5.46</v>
      </c>
      <c r="O207" s="95">
        <v>0</v>
      </c>
      <c r="P207" s="95">
        <v>177.12</v>
      </c>
      <c r="Q207" s="95">
        <v>4.37</v>
      </c>
      <c r="R207" s="95">
        <v>57.42</v>
      </c>
      <c r="S207" s="95">
        <v>-0.75</v>
      </c>
      <c r="T207" s="95">
        <v>-14.83</v>
      </c>
      <c r="U207" s="95">
        <v>0</v>
      </c>
      <c r="V207" s="94"/>
      <c r="W207" s="94"/>
      <c r="X207" s="95">
        <v>320.47000000000003</v>
      </c>
      <c r="Y207" s="94"/>
      <c r="Z207" s="94"/>
      <c r="AA207" s="94"/>
      <c r="AB207" s="94"/>
      <c r="AC207" s="94"/>
      <c r="AD207" s="94"/>
      <c r="AE207" s="94"/>
      <c r="AF207" s="94"/>
      <c r="AG207" s="95">
        <v>-0.37</v>
      </c>
      <c r="AH207" s="94"/>
      <c r="AI207" s="95">
        <v>324.81</v>
      </c>
      <c r="AJ207" s="95">
        <v>0</v>
      </c>
    </row>
    <row r="208" spans="1:36" customFormat="1" ht="15.75" thickBot="1" x14ac:dyDescent="0.3">
      <c r="A208" s="90" t="s">
        <v>885</v>
      </c>
      <c r="B208" s="626" t="str">
        <f>VLOOKUP($D208,'Retail Rates'!$B$7:$D$38,2,FALSE)</f>
        <v>811</v>
      </c>
      <c r="C208" s="626" t="str">
        <f>VLOOKUP($D208,'Retail Rates'!$B$7:$D$38,3,FALSE)</f>
        <v>RGS</v>
      </c>
      <c r="D208" s="90" t="s">
        <v>35</v>
      </c>
      <c r="E208" s="90" t="s">
        <v>36</v>
      </c>
      <c r="F208" s="90" t="s">
        <v>28</v>
      </c>
      <c r="G208" s="90" t="s">
        <v>913</v>
      </c>
      <c r="H208" s="304">
        <v>59</v>
      </c>
      <c r="I208" s="93">
        <v>1711</v>
      </c>
      <c r="J208" s="92"/>
      <c r="K208" s="93">
        <v>-52.2</v>
      </c>
      <c r="L208" s="92"/>
      <c r="M208" s="93">
        <v>490.97</v>
      </c>
      <c r="N208" s="93">
        <v>17.2</v>
      </c>
      <c r="O208" s="93">
        <v>0</v>
      </c>
      <c r="P208" s="93">
        <v>582.77</v>
      </c>
      <c r="Q208" s="93">
        <v>15.52</v>
      </c>
      <c r="R208" s="93">
        <v>206.3</v>
      </c>
      <c r="S208" s="93">
        <v>-0.75</v>
      </c>
      <c r="T208" s="93">
        <v>-14.74</v>
      </c>
      <c r="U208" s="93">
        <v>0</v>
      </c>
      <c r="V208" s="92"/>
      <c r="W208" s="92"/>
      <c r="X208" s="93">
        <v>1228.6199999999999</v>
      </c>
      <c r="Y208" s="92"/>
      <c r="Z208" s="92"/>
      <c r="AA208" s="92"/>
      <c r="AB208" s="92"/>
      <c r="AC208" s="92"/>
      <c r="AD208" s="92"/>
      <c r="AE208" s="92"/>
      <c r="AF208" s="92"/>
      <c r="AG208" s="93">
        <v>4.3600000000000003</v>
      </c>
      <c r="AH208" s="92"/>
      <c r="AI208" s="93">
        <v>1249.43</v>
      </c>
      <c r="AJ208" s="93">
        <v>0</v>
      </c>
    </row>
    <row r="209" spans="1:36" customFormat="1" ht="15.75" thickBot="1" x14ac:dyDescent="0.3">
      <c r="A209" s="90" t="s">
        <v>885</v>
      </c>
      <c r="B209" s="626" t="str">
        <f>VLOOKUP($D209,'Retail Rates'!$B$7:$D$38,2,FALSE)</f>
        <v>811</v>
      </c>
      <c r="C209" s="626" t="str">
        <f>VLOOKUP($D209,'Retail Rates'!$B$7:$D$38,3,FALSE)</f>
        <v>RGS</v>
      </c>
      <c r="D209" s="90" t="s">
        <v>35</v>
      </c>
      <c r="E209" s="90" t="s">
        <v>36</v>
      </c>
      <c r="F209" s="90" t="s">
        <v>28</v>
      </c>
      <c r="G209" s="90" t="s">
        <v>914</v>
      </c>
      <c r="H209" s="305">
        <v>202</v>
      </c>
      <c r="I209" s="95">
        <v>-199</v>
      </c>
      <c r="J209" s="94"/>
      <c r="K209" s="95">
        <v>-94.05</v>
      </c>
      <c r="L209" s="94"/>
      <c r="M209" s="95">
        <v>-57.06</v>
      </c>
      <c r="N209" s="95">
        <v>-15.54</v>
      </c>
      <c r="O209" s="95">
        <v>0</v>
      </c>
      <c r="P209" s="95">
        <v>-57.5</v>
      </c>
      <c r="Q209" s="95">
        <v>-1.76</v>
      </c>
      <c r="R209" s="95">
        <v>-31.22</v>
      </c>
      <c r="S209" s="95">
        <v>-1.25</v>
      </c>
      <c r="T209" s="95">
        <v>-30.51</v>
      </c>
      <c r="U209" s="95">
        <v>0</v>
      </c>
      <c r="V209" s="94"/>
      <c r="W209" s="94"/>
      <c r="X209" s="95">
        <v>-272.10000000000002</v>
      </c>
      <c r="Y209" s="94"/>
      <c r="Z209" s="94"/>
      <c r="AA209" s="94"/>
      <c r="AB209" s="94"/>
      <c r="AC209" s="94"/>
      <c r="AD209" s="94"/>
      <c r="AE209" s="94"/>
      <c r="AF209" s="94"/>
      <c r="AG209" s="95">
        <v>14.62</v>
      </c>
      <c r="AH209" s="94"/>
      <c r="AI209" s="95">
        <v>-274.27</v>
      </c>
      <c r="AJ209" s="95">
        <v>0</v>
      </c>
    </row>
    <row r="210" spans="1:36" customFormat="1" ht="15.75" thickBot="1" x14ac:dyDescent="0.3">
      <c r="A210" s="90" t="s">
        <v>885</v>
      </c>
      <c r="B210" s="626" t="str">
        <f>VLOOKUP($D210,'Retail Rates'!$B$7:$D$38,2,FALSE)</f>
        <v>811</v>
      </c>
      <c r="C210" s="626" t="str">
        <f>VLOOKUP($D210,'Retail Rates'!$B$7:$D$38,3,FALSE)</f>
        <v>RGS</v>
      </c>
      <c r="D210" s="90" t="s">
        <v>35</v>
      </c>
      <c r="E210" s="90" t="s">
        <v>36</v>
      </c>
      <c r="F210" s="90" t="s">
        <v>28</v>
      </c>
      <c r="G210" s="90" t="s">
        <v>915</v>
      </c>
      <c r="H210" s="304">
        <v>1639</v>
      </c>
      <c r="I210" s="93">
        <v>-62931</v>
      </c>
      <c r="J210" s="92"/>
      <c r="K210" s="93">
        <v>2623.5</v>
      </c>
      <c r="L210" s="92"/>
      <c r="M210" s="93">
        <v>-18056.77</v>
      </c>
      <c r="N210" s="93">
        <v>-552.4</v>
      </c>
      <c r="O210" s="93">
        <v>0</v>
      </c>
      <c r="P210" s="93">
        <v>-20353.8</v>
      </c>
      <c r="Q210" s="93">
        <v>-570.79999999999995</v>
      </c>
      <c r="R210" s="93">
        <v>-4738.5600000000004</v>
      </c>
      <c r="S210" s="93">
        <v>122.75</v>
      </c>
      <c r="T210" s="93">
        <v>942.25</v>
      </c>
      <c r="U210" s="93">
        <v>0</v>
      </c>
      <c r="V210" s="92"/>
      <c r="W210" s="92"/>
      <c r="X210" s="93">
        <v>-40154.18</v>
      </c>
      <c r="Y210" s="92"/>
      <c r="Z210" s="92"/>
      <c r="AA210" s="92"/>
      <c r="AB210" s="92"/>
      <c r="AC210" s="92"/>
      <c r="AD210" s="92"/>
      <c r="AE210" s="92"/>
      <c r="AF210" s="92"/>
      <c r="AG210" s="93">
        <v>-136.26</v>
      </c>
      <c r="AH210" s="92"/>
      <c r="AI210" s="93">
        <v>-40720.089999999997</v>
      </c>
      <c r="AJ210" s="93">
        <v>0</v>
      </c>
    </row>
    <row r="211" spans="1:36" customFormat="1" ht="15.75" thickBot="1" x14ac:dyDescent="0.3">
      <c r="A211" s="90" t="s">
        <v>885</v>
      </c>
      <c r="B211" s="626" t="str">
        <f>VLOOKUP($D211,'Retail Rates'!$B$7:$D$38,2,FALSE)</f>
        <v>811</v>
      </c>
      <c r="C211" s="626" t="str">
        <f>VLOOKUP($D211,'Retail Rates'!$B$7:$D$38,3,FALSE)</f>
        <v>RGS</v>
      </c>
      <c r="D211" s="90" t="s">
        <v>35</v>
      </c>
      <c r="E211" s="90" t="s">
        <v>36</v>
      </c>
      <c r="F211" s="90" t="s">
        <v>28</v>
      </c>
      <c r="G211" s="90" t="s">
        <v>917</v>
      </c>
      <c r="H211" s="305">
        <v>295939</v>
      </c>
      <c r="I211" s="95">
        <v>14290147</v>
      </c>
      <c r="J211" s="94"/>
      <c r="K211" s="95">
        <v>3986550.61</v>
      </c>
      <c r="L211" s="94"/>
      <c r="M211" s="95">
        <v>4100266.14</v>
      </c>
      <c r="N211" s="95">
        <v>3962.73</v>
      </c>
      <c r="O211" s="95">
        <v>0</v>
      </c>
      <c r="P211" s="95">
        <v>4621856.45</v>
      </c>
      <c r="Q211" s="95">
        <v>154936</v>
      </c>
      <c r="R211" s="95">
        <v>971895.77</v>
      </c>
      <c r="S211" s="95">
        <v>74466</v>
      </c>
      <c r="T211" s="95">
        <v>1432450.29</v>
      </c>
      <c r="U211" s="95">
        <v>0</v>
      </c>
      <c r="V211" s="94"/>
      <c r="W211" s="94"/>
      <c r="X211" s="95">
        <v>15267955.26</v>
      </c>
      <c r="Y211" s="94"/>
      <c r="Z211" s="94"/>
      <c r="AA211" s="94"/>
      <c r="AB211" s="94"/>
      <c r="AC211" s="94"/>
      <c r="AD211" s="94"/>
      <c r="AE211" s="94"/>
      <c r="AF211" s="94"/>
      <c r="AG211" s="95">
        <v>64310.879999999997</v>
      </c>
      <c r="AH211" s="94"/>
      <c r="AI211" s="95">
        <v>15410694.869999999</v>
      </c>
      <c r="AJ211" s="95">
        <v>0</v>
      </c>
    </row>
    <row r="212" spans="1:36" customFormat="1" ht="15.75" thickBot="1" x14ac:dyDescent="0.3">
      <c r="A212" s="90" t="s">
        <v>885</v>
      </c>
      <c r="B212" s="626" t="str">
        <f>VLOOKUP($D212,'Retail Rates'!$B$7:$D$38,2,FALSE)</f>
        <v>840</v>
      </c>
      <c r="C212" s="626" t="str">
        <f>VLOOKUP($D212,'Retail Rates'!$B$7:$D$38,3,FALSE)</f>
        <v>RGS</v>
      </c>
      <c r="D212" s="90" t="s">
        <v>37</v>
      </c>
      <c r="E212" s="90" t="s">
        <v>38</v>
      </c>
      <c r="F212" s="90" t="s">
        <v>20</v>
      </c>
      <c r="G212" s="90" t="s">
        <v>917</v>
      </c>
      <c r="H212" s="304">
        <v>1</v>
      </c>
      <c r="I212" s="93">
        <v>220</v>
      </c>
      <c r="J212" s="92"/>
      <c r="K212" s="93">
        <v>13.5</v>
      </c>
      <c r="L212" s="92"/>
      <c r="M212" s="93">
        <v>63.12</v>
      </c>
      <c r="N212" s="93">
        <v>0</v>
      </c>
      <c r="O212" s="92"/>
      <c r="P212" s="93">
        <v>71.150000000000006</v>
      </c>
      <c r="Q212" s="93">
        <v>2.38</v>
      </c>
      <c r="R212" s="93">
        <v>3.59</v>
      </c>
      <c r="S212" s="92"/>
      <c r="T212" s="93">
        <v>4.8499999999999996</v>
      </c>
      <c r="U212" s="93">
        <v>0</v>
      </c>
      <c r="V212" s="92"/>
      <c r="W212" s="92"/>
      <c r="X212" s="93">
        <v>158.59</v>
      </c>
      <c r="Y212" s="92"/>
      <c r="Z212" s="92"/>
      <c r="AA212" s="92"/>
      <c r="AB212" s="92"/>
      <c r="AC212" s="92"/>
      <c r="AD212" s="92"/>
      <c r="AE212" s="92"/>
      <c r="AF212" s="92"/>
      <c r="AG212" s="93">
        <v>0</v>
      </c>
      <c r="AH212" s="92"/>
      <c r="AI212" s="93">
        <v>158.59</v>
      </c>
      <c r="AJ212" s="93">
        <v>0</v>
      </c>
    </row>
    <row r="213" spans="1:36" customFormat="1" ht="15.75" thickBot="1" x14ac:dyDescent="0.3">
      <c r="A213" s="90" t="s">
        <v>885</v>
      </c>
      <c r="B213" s="626" t="str">
        <f>VLOOKUP($D213,'Retail Rates'!$B$7:$D$38,2,FALSE)</f>
        <v>840</v>
      </c>
      <c r="C213" s="626" t="str">
        <f>VLOOKUP($D213,'Retail Rates'!$B$7:$D$38,3,FALSE)</f>
        <v>RGS</v>
      </c>
      <c r="D213" s="90" t="s">
        <v>37</v>
      </c>
      <c r="E213" s="90" t="s">
        <v>38</v>
      </c>
      <c r="F213" s="90" t="s">
        <v>28</v>
      </c>
      <c r="G213" s="90" t="s">
        <v>917</v>
      </c>
      <c r="H213" s="305">
        <v>2</v>
      </c>
      <c r="I213" s="95">
        <v>537</v>
      </c>
      <c r="J213" s="94"/>
      <c r="K213" s="95">
        <v>27</v>
      </c>
      <c r="L213" s="94"/>
      <c r="M213" s="95">
        <v>154.08000000000001</v>
      </c>
      <c r="N213" s="95">
        <v>0</v>
      </c>
      <c r="O213" s="95">
        <v>0</v>
      </c>
      <c r="P213" s="95">
        <v>173.68</v>
      </c>
      <c r="Q213" s="95">
        <v>5.82</v>
      </c>
      <c r="R213" s="95">
        <v>11.5</v>
      </c>
      <c r="S213" s="94"/>
      <c r="T213" s="95">
        <v>9.6999999999999993</v>
      </c>
      <c r="U213" s="95">
        <v>0</v>
      </c>
      <c r="V213" s="94"/>
      <c r="W213" s="94"/>
      <c r="X213" s="95">
        <v>381.78</v>
      </c>
      <c r="Y213" s="94"/>
      <c r="Z213" s="94"/>
      <c r="AA213" s="94"/>
      <c r="AB213" s="94"/>
      <c r="AC213" s="94"/>
      <c r="AD213" s="94"/>
      <c r="AE213" s="94"/>
      <c r="AF213" s="94"/>
      <c r="AG213" s="95">
        <v>0</v>
      </c>
      <c r="AH213" s="94"/>
      <c r="AI213" s="95">
        <v>381.78</v>
      </c>
      <c r="AJ213" s="95">
        <v>0</v>
      </c>
    </row>
    <row r="214" spans="1:36" customFormat="1" ht="15.75" thickBot="1" x14ac:dyDescent="0.3">
      <c r="A214" s="90" t="s">
        <v>885</v>
      </c>
      <c r="B214" s="626" t="str">
        <f>VLOOKUP($D214,'Retail Rates'!$B$7:$D$38,2,FALSE)</f>
        <v>861</v>
      </c>
      <c r="C214" s="626" t="str">
        <f>VLOOKUP($D214,'Retail Rates'!$B$7:$D$38,3,FALSE)</f>
        <v>CGS</v>
      </c>
      <c r="D214" s="90" t="s">
        <v>29</v>
      </c>
      <c r="E214" s="90" t="s">
        <v>30</v>
      </c>
      <c r="F214" s="90" t="s">
        <v>17</v>
      </c>
      <c r="G214" s="90" t="s">
        <v>917</v>
      </c>
      <c r="H214" s="305">
        <v>609</v>
      </c>
      <c r="I214" s="95">
        <v>612</v>
      </c>
      <c r="J214" s="94"/>
      <c r="K214" s="95">
        <v>24760</v>
      </c>
      <c r="L214" s="94"/>
      <c r="M214" s="95">
        <v>134.55000000000001</v>
      </c>
      <c r="N214" s="95">
        <v>2.44</v>
      </c>
      <c r="O214" s="95">
        <v>0</v>
      </c>
      <c r="P214" s="95">
        <v>195.93</v>
      </c>
      <c r="Q214" s="95">
        <v>0</v>
      </c>
      <c r="R214" s="94"/>
      <c r="S214" s="94"/>
      <c r="T214" s="94"/>
      <c r="U214" s="95">
        <v>0</v>
      </c>
      <c r="V214" s="94"/>
      <c r="W214" s="94"/>
      <c r="X214" s="95">
        <v>25090.48</v>
      </c>
      <c r="Y214" s="94"/>
      <c r="Z214" s="94"/>
      <c r="AA214" s="94"/>
      <c r="AB214" s="94"/>
      <c r="AC214" s="94"/>
      <c r="AD214" s="94"/>
      <c r="AE214" s="94"/>
      <c r="AF214" s="94"/>
      <c r="AG214" s="95">
        <v>1588.55</v>
      </c>
      <c r="AH214" s="94"/>
      <c r="AI214" s="95">
        <v>26681.47</v>
      </c>
      <c r="AJ214" s="95">
        <v>0</v>
      </c>
    </row>
    <row r="215" spans="1:36" customFormat="1" ht="15.75" thickBot="1" x14ac:dyDescent="0.3">
      <c r="A215" s="90" t="s">
        <v>871</v>
      </c>
      <c r="B215" s="626" t="str">
        <f>VLOOKUP($D215,'Retail Rates'!$B$7:$D$38,2,FALSE)</f>
        <v>851</v>
      </c>
      <c r="C215" s="626" t="str">
        <f>VLOOKUP($D215,'Retail Rates'!$B$7:$D$38,3,FALSE)</f>
        <v>CGS</v>
      </c>
      <c r="D215" s="90" t="s">
        <v>26</v>
      </c>
      <c r="E215" s="90" t="s">
        <v>875</v>
      </c>
      <c r="F215" s="90" t="s">
        <v>17</v>
      </c>
      <c r="G215" s="90" t="s">
        <v>771</v>
      </c>
      <c r="H215" s="304">
        <v>1</v>
      </c>
      <c r="I215" s="93">
        <v>0</v>
      </c>
      <c r="J215" s="92"/>
      <c r="K215" s="93">
        <v>16.329999999999998</v>
      </c>
      <c r="L215" s="92"/>
      <c r="M215" s="93">
        <v>0</v>
      </c>
      <c r="N215" s="93">
        <v>0</v>
      </c>
      <c r="O215" s="92"/>
      <c r="P215" s="93">
        <v>0</v>
      </c>
      <c r="Q215" s="93">
        <v>0</v>
      </c>
      <c r="R215" s="92"/>
      <c r="S215" s="92"/>
      <c r="T215" s="93">
        <v>2.25</v>
      </c>
      <c r="U215" s="93">
        <v>0</v>
      </c>
      <c r="V215" s="92"/>
      <c r="W215" s="92"/>
      <c r="X215" s="93">
        <v>18.579999999999998</v>
      </c>
      <c r="Y215" s="92"/>
      <c r="Z215" s="92"/>
      <c r="AA215" s="92"/>
      <c r="AB215" s="92"/>
      <c r="AC215" s="92"/>
      <c r="AD215" s="92"/>
      <c r="AE215" s="92"/>
      <c r="AF215" s="92"/>
      <c r="AG215" s="93">
        <v>1.1100000000000001</v>
      </c>
      <c r="AH215" s="92"/>
      <c r="AI215" s="93">
        <v>19.690000000000001</v>
      </c>
      <c r="AJ215" s="93">
        <v>0</v>
      </c>
    </row>
    <row r="216" spans="1:36" customFormat="1" ht="15.75" thickBot="1" x14ac:dyDescent="0.3">
      <c r="A216" s="90" t="s">
        <v>871</v>
      </c>
      <c r="B216" s="626" t="str">
        <f>VLOOKUP($D216,'Retail Rates'!$B$7:$D$38,2,FALSE)</f>
        <v>851</v>
      </c>
      <c r="C216" s="626" t="str">
        <f>VLOOKUP($D216,'Retail Rates'!$B$7:$D$38,3,FALSE)</f>
        <v>CGS</v>
      </c>
      <c r="D216" s="90" t="s">
        <v>26</v>
      </c>
      <c r="E216" s="90" t="s">
        <v>875</v>
      </c>
      <c r="F216" s="90" t="s">
        <v>17</v>
      </c>
      <c r="G216" s="90" t="s">
        <v>783</v>
      </c>
      <c r="H216" s="305">
        <v>1</v>
      </c>
      <c r="I216" s="95">
        <v>0</v>
      </c>
      <c r="J216" s="94"/>
      <c r="K216" s="95">
        <v>35</v>
      </c>
      <c r="L216" s="94"/>
      <c r="M216" s="95">
        <v>0</v>
      </c>
      <c r="N216" s="95">
        <v>0</v>
      </c>
      <c r="O216" s="94"/>
      <c r="P216" s="95">
        <v>0</v>
      </c>
      <c r="Q216" s="95">
        <v>0</v>
      </c>
      <c r="R216" s="94"/>
      <c r="S216" s="94"/>
      <c r="T216" s="95">
        <v>4.83</v>
      </c>
      <c r="U216" s="95">
        <v>0</v>
      </c>
      <c r="V216" s="94"/>
      <c r="W216" s="94"/>
      <c r="X216" s="95">
        <v>39.83</v>
      </c>
      <c r="Y216" s="94"/>
      <c r="Z216" s="94"/>
      <c r="AA216" s="94"/>
      <c r="AB216" s="94"/>
      <c r="AC216" s="94"/>
      <c r="AD216" s="94"/>
      <c r="AE216" s="94"/>
      <c r="AF216" s="94"/>
      <c r="AG216" s="95">
        <v>2.39</v>
      </c>
      <c r="AH216" s="94"/>
      <c r="AI216" s="95">
        <v>42.22</v>
      </c>
      <c r="AJ216" s="95">
        <v>0</v>
      </c>
    </row>
    <row r="217" spans="1:36" customFormat="1" ht="15.75" thickBot="1" x14ac:dyDescent="0.3">
      <c r="A217" s="90" t="s">
        <v>871</v>
      </c>
      <c r="B217" s="626" t="str">
        <f>VLOOKUP($D217,'Retail Rates'!$B$7:$D$38,2,FALSE)</f>
        <v>851</v>
      </c>
      <c r="C217" s="626" t="str">
        <f>VLOOKUP($D217,'Retail Rates'!$B$7:$D$38,3,FALSE)</f>
        <v>CGS</v>
      </c>
      <c r="D217" s="90" t="s">
        <v>26</v>
      </c>
      <c r="E217" s="90" t="s">
        <v>875</v>
      </c>
      <c r="F217" s="90" t="s">
        <v>17</v>
      </c>
      <c r="G217" s="90" t="s">
        <v>798</v>
      </c>
      <c r="H217" s="304">
        <v>1</v>
      </c>
      <c r="I217" s="93">
        <v>0</v>
      </c>
      <c r="J217" s="92"/>
      <c r="K217" s="93">
        <v>35</v>
      </c>
      <c r="L217" s="92"/>
      <c r="M217" s="93">
        <v>0</v>
      </c>
      <c r="N217" s="93">
        <v>0</v>
      </c>
      <c r="O217" s="93">
        <v>0</v>
      </c>
      <c r="P217" s="93">
        <v>0</v>
      </c>
      <c r="Q217" s="93">
        <v>0</v>
      </c>
      <c r="R217" s="92"/>
      <c r="S217" s="92"/>
      <c r="T217" s="93">
        <v>4.83</v>
      </c>
      <c r="U217" s="93">
        <v>0</v>
      </c>
      <c r="V217" s="92"/>
      <c r="W217" s="92"/>
      <c r="X217" s="93">
        <v>39.83</v>
      </c>
      <c r="Y217" s="92"/>
      <c r="Z217" s="92"/>
      <c r="AA217" s="92"/>
      <c r="AB217" s="92"/>
      <c r="AC217" s="92"/>
      <c r="AD217" s="92"/>
      <c r="AE217" s="92"/>
      <c r="AF217" s="92"/>
      <c r="AG217" s="93">
        <v>2.39</v>
      </c>
      <c r="AH217" s="92"/>
      <c r="AI217" s="93">
        <v>42.22</v>
      </c>
      <c r="AJ217" s="93">
        <v>0</v>
      </c>
    </row>
    <row r="218" spans="1:36" customFormat="1" ht="15.75" thickBot="1" x14ac:dyDescent="0.3">
      <c r="A218" s="90" t="s">
        <v>871</v>
      </c>
      <c r="B218" s="626" t="str">
        <f>VLOOKUP($D218,'Retail Rates'!$B$7:$D$38,2,FALSE)</f>
        <v>851</v>
      </c>
      <c r="C218" s="626" t="str">
        <f>VLOOKUP($D218,'Retail Rates'!$B$7:$D$38,3,FALSE)</f>
        <v>CGS</v>
      </c>
      <c r="D218" s="90" t="s">
        <v>26</v>
      </c>
      <c r="E218" s="90" t="s">
        <v>875</v>
      </c>
      <c r="F218" s="90" t="s">
        <v>17</v>
      </c>
      <c r="G218" s="90" t="s">
        <v>897</v>
      </c>
      <c r="H218" s="305">
        <v>1</v>
      </c>
      <c r="I218" s="95">
        <v>0</v>
      </c>
      <c r="J218" s="94"/>
      <c r="K218" s="95">
        <v>35</v>
      </c>
      <c r="L218" s="94"/>
      <c r="M218" s="95">
        <v>0</v>
      </c>
      <c r="N218" s="95">
        <v>0</v>
      </c>
      <c r="O218" s="95">
        <v>0</v>
      </c>
      <c r="P218" s="95">
        <v>0</v>
      </c>
      <c r="Q218" s="95">
        <v>0</v>
      </c>
      <c r="R218" s="94"/>
      <c r="S218" s="94"/>
      <c r="T218" s="95">
        <v>4.83</v>
      </c>
      <c r="U218" s="95">
        <v>0</v>
      </c>
      <c r="V218" s="94"/>
      <c r="W218" s="94"/>
      <c r="X218" s="95">
        <v>39.83</v>
      </c>
      <c r="Y218" s="94"/>
      <c r="Z218" s="94"/>
      <c r="AA218" s="94"/>
      <c r="AB218" s="94"/>
      <c r="AC218" s="94"/>
      <c r="AD218" s="94"/>
      <c r="AE218" s="94"/>
      <c r="AF218" s="94"/>
      <c r="AG218" s="95">
        <v>2.39</v>
      </c>
      <c r="AH218" s="94"/>
      <c r="AI218" s="95">
        <v>42.22</v>
      </c>
      <c r="AJ218" s="95">
        <v>0</v>
      </c>
    </row>
    <row r="219" spans="1:36" customFormat="1" ht="15.75" thickBot="1" x14ac:dyDescent="0.3">
      <c r="A219" s="90" t="s">
        <v>871</v>
      </c>
      <c r="B219" s="626" t="str">
        <f>VLOOKUP($D219,'Retail Rates'!$B$7:$D$38,2,FALSE)</f>
        <v>851</v>
      </c>
      <c r="C219" s="626" t="str">
        <f>VLOOKUP($D219,'Retail Rates'!$B$7:$D$38,3,FALSE)</f>
        <v>CGS</v>
      </c>
      <c r="D219" s="90" t="s">
        <v>26</v>
      </c>
      <c r="E219" s="90" t="s">
        <v>875</v>
      </c>
      <c r="F219" s="90" t="s">
        <v>17</v>
      </c>
      <c r="G219" s="90" t="s">
        <v>898</v>
      </c>
      <c r="H219" s="304">
        <v>1</v>
      </c>
      <c r="I219" s="93">
        <v>0</v>
      </c>
      <c r="J219" s="92"/>
      <c r="K219" s="93">
        <v>35</v>
      </c>
      <c r="L219" s="92"/>
      <c r="M219" s="93">
        <v>0</v>
      </c>
      <c r="N219" s="93">
        <v>0</v>
      </c>
      <c r="O219" s="93">
        <v>0</v>
      </c>
      <c r="P219" s="93">
        <v>0</v>
      </c>
      <c r="Q219" s="93">
        <v>0</v>
      </c>
      <c r="R219" s="92"/>
      <c r="S219" s="92"/>
      <c r="T219" s="93">
        <v>4.83</v>
      </c>
      <c r="U219" s="93">
        <v>0</v>
      </c>
      <c r="V219" s="92"/>
      <c r="W219" s="92"/>
      <c r="X219" s="93">
        <v>39.83</v>
      </c>
      <c r="Y219" s="92"/>
      <c r="Z219" s="92"/>
      <c r="AA219" s="92"/>
      <c r="AB219" s="92"/>
      <c r="AC219" s="92"/>
      <c r="AD219" s="92"/>
      <c r="AE219" s="92"/>
      <c r="AF219" s="92"/>
      <c r="AG219" s="93">
        <v>2.39</v>
      </c>
      <c r="AH219" s="92"/>
      <c r="AI219" s="93">
        <v>42.22</v>
      </c>
      <c r="AJ219" s="93">
        <v>0</v>
      </c>
    </row>
    <row r="220" spans="1:36" customFormat="1" ht="15.75" thickBot="1" x14ac:dyDescent="0.3">
      <c r="A220" s="90" t="s">
        <v>871</v>
      </c>
      <c r="B220" s="626" t="str">
        <f>VLOOKUP($D220,'Retail Rates'!$B$7:$D$38,2,FALSE)</f>
        <v>851</v>
      </c>
      <c r="C220" s="626" t="str">
        <f>VLOOKUP($D220,'Retail Rates'!$B$7:$D$38,3,FALSE)</f>
        <v>CGS</v>
      </c>
      <c r="D220" s="90" t="s">
        <v>26</v>
      </c>
      <c r="E220" s="90" t="s">
        <v>875</v>
      </c>
      <c r="F220" s="90" t="s">
        <v>17</v>
      </c>
      <c r="G220" s="90" t="s">
        <v>899</v>
      </c>
      <c r="H220" s="305">
        <v>2</v>
      </c>
      <c r="I220" s="95">
        <v>204</v>
      </c>
      <c r="J220" s="94"/>
      <c r="K220" s="95">
        <v>35</v>
      </c>
      <c r="L220" s="95">
        <v>175</v>
      </c>
      <c r="M220" s="95">
        <v>42.84</v>
      </c>
      <c r="N220" s="94"/>
      <c r="O220" s="94"/>
      <c r="P220" s="95">
        <v>116.67</v>
      </c>
      <c r="Q220" s="95">
        <v>0.19</v>
      </c>
      <c r="R220" s="95">
        <v>-10.01</v>
      </c>
      <c r="S220" s="94"/>
      <c r="T220" s="95">
        <v>9.66</v>
      </c>
      <c r="U220" s="94"/>
      <c r="V220" s="94"/>
      <c r="W220" s="94"/>
      <c r="X220" s="95">
        <v>369.35</v>
      </c>
      <c r="Y220" s="94"/>
      <c r="Z220" s="94"/>
      <c r="AA220" s="94"/>
      <c r="AB220" s="94"/>
      <c r="AC220" s="94"/>
      <c r="AD220" s="94"/>
      <c r="AE220" s="94"/>
      <c r="AF220" s="94"/>
      <c r="AG220" s="95">
        <v>22.16</v>
      </c>
      <c r="AH220" s="94"/>
      <c r="AI220" s="95">
        <v>391.51</v>
      </c>
      <c r="AJ220" s="95">
        <v>0</v>
      </c>
    </row>
    <row r="221" spans="1:36" customFormat="1" ht="15.75" thickBot="1" x14ac:dyDescent="0.3">
      <c r="A221" s="90" t="s">
        <v>871</v>
      </c>
      <c r="B221" s="626" t="str">
        <f>VLOOKUP($D221,'Retail Rates'!$B$7:$D$38,2,FALSE)</f>
        <v>851</v>
      </c>
      <c r="C221" s="626" t="str">
        <f>VLOOKUP($D221,'Retail Rates'!$B$7:$D$38,3,FALSE)</f>
        <v>CGS</v>
      </c>
      <c r="D221" s="90" t="s">
        <v>26</v>
      </c>
      <c r="E221" s="90" t="s">
        <v>875</v>
      </c>
      <c r="F221" s="90" t="s">
        <v>17</v>
      </c>
      <c r="G221" s="90" t="s">
        <v>900</v>
      </c>
      <c r="H221" s="304">
        <v>2</v>
      </c>
      <c r="I221" s="93">
        <v>254</v>
      </c>
      <c r="J221" s="92"/>
      <c r="K221" s="93">
        <v>34.74</v>
      </c>
      <c r="L221" s="93">
        <v>175</v>
      </c>
      <c r="M221" s="93">
        <v>53.34</v>
      </c>
      <c r="N221" s="93">
        <v>8.4</v>
      </c>
      <c r="O221" s="93">
        <v>-0.26</v>
      </c>
      <c r="P221" s="93">
        <v>142.57</v>
      </c>
      <c r="Q221" s="93">
        <v>0.24</v>
      </c>
      <c r="R221" s="93">
        <v>4.88</v>
      </c>
      <c r="S221" s="92"/>
      <c r="T221" s="93">
        <v>9.66</v>
      </c>
      <c r="U221" s="93">
        <v>0</v>
      </c>
      <c r="V221" s="92"/>
      <c r="W221" s="92"/>
      <c r="X221" s="93">
        <v>420.43</v>
      </c>
      <c r="Y221" s="92"/>
      <c r="Z221" s="92"/>
      <c r="AA221" s="92"/>
      <c r="AB221" s="92"/>
      <c r="AC221" s="92"/>
      <c r="AD221" s="92"/>
      <c r="AE221" s="92"/>
      <c r="AF221" s="92"/>
      <c r="AG221" s="93">
        <v>25.73</v>
      </c>
      <c r="AH221" s="92"/>
      <c r="AI221" s="93">
        <v>454.56</v>
      </c>
      <c r="AJ221" s="306">
        <v>0.26</v>
      </c>
    </row>
    <row r="222" spans="1:36" customFormat="1" ht="15.75" thickBot="1" x14ac:dyDescent="0.3">
      <c r="A222" s="90" t="s">
        <v>871</v>
      </c>
      <c r="B222" s="626" t="str">
        <f>VLOOKUP($D222,'Retail Rates'!$B$7:$D$38,2,FALSE)</f>
        <v>851</v>
      </c>
      <c r="C222" s="626" t="str">
        <f>VLOOKUP($D222,'Retail Rates'!$B$7:$D$38,3,FALSE)</f>
        <v>CGS</v>
      </c>
      <c r="D222" s="90" t="s">
        <v>26</v>
      </c>
      <c r="E222" s="90" t="s">
        <v>875</v>
      </c>
      <c r="F222" s="90" t="s">
        <v>17</v>
      </c>
      <c r="G222" s="90" t="s">
        <v>901</v>
      </c>
      <c r="H222" s="305">
        <v>2</v>
      </c>
      <c r="I222" s="95">
        <v>360</v>
      </c>
      <c r="J222" s="94"/>
      <c r="K222" s="95">
        <v>34.74</v>
      </c>
      <c r="L222" s="95">
        <v>175</v>
      </c>
      <c r="M222" s="95">
        <v>75.599999999999994</v>
      </c>
      <c r="N222" s="95">
        <v>10.15</v>
      </c>
      <c r="O222" s="95">
        <v>-0.26</v>
      </c>
      <c r="P222" s="95">
        <v>202.06</v>
      </c>
      <c r="Q222" s="95">
        <v>0.33</v>
      </c>
      <c r="R222" s="95">
        <v>-1.77</v>
      </c>
      <c r="S222" s="94"/>
      <c r="T222" s="95">
        <v>21.1</v>
      </c>
      <c r="U222" s="95">
        <v>0</v>
      </c>
      <c r="V222" s="94"/>
      <c r="W222" s="94"/>
      <c r="X222" s="95">
        <v>507.06</v>
      </c>
      <c r="Y222" s="94"/>
      <c r="Z222" s="94"/>
      <c r="AA222" s="94"/>
      <c r="AB222" s="94"/>
      <c r="AC222" s="94"/>
      <c r="AD222" s="94"/>
      <c r="AE222" s="94"/>
      <c r="AF222" s="94"/>
      <c r="AG222" s="95">
        <v>31.03</v>
      </c>
      <c r="AH222" s="94"/>
      <c r="AI222" s="95">
        <v>548.24</v>
      </c>
      <c r="AJ222" s="306">
        <v>0.26</v>
      </c>
    </row>
    <row r="223" spans="1:36" customFormat="1" ht="15.75" thickBot="1" x14ac:dyDescent="0.3">
      <c r="A223" s="90" t="s">
        <v>871</v>
      </c>
      <c r="B223" s="626" t="str">
        <f>VLOOKUP($D223,'Retail Rates'!$B$7:$D$38,2,FALSE)</f>
        <v>851</v>
      </c>
      <c r="C223" s="626" t="str">
        <f>VLOOKUP($D223,'Retail Rates'!$B$7:$D$38,3,FALSE)</f>
        <v>CGS</v>
      </c>
      <c r="D223" s="90" t="s">
        <v>26</v>
      </c>
      <c r="E223" s="90" t="s">
        <v>875</v>
      </c>
      <c r="F223" s="90" t="s">
        <v>17</v>
      </c>
      <c r="G223" s="90" t="s">
        <v>902</v>
      </c>
      <c r="H223" s="304">
        <v>2</v>
      </c>
      <c r="I223" s="93">
        <v>505</v>
      </c>
      <c r="J223" s="92"/>
      <c r="K223" s="93">
        <v>34.74</v>
      </c>
      <c r="L223" s="93">
        <v>175</v>
      </c>
      <c r="M223" s="93">
        <v>106.04</v>
      </c>
      <c r="N223" s="93">
        <v>11.39</v>
      </c>
      <c r="O223" s="93">
        <v>-0.26</v>
      </c>
      <c r="P223" s="93">
        <v>255.96</v>
      </c>
      <c r="Q223" s="93">
        <v>0.47</v>
      </c>
      <c r="R223" s="93">
        <v>-26.04</v>
      </c>
      <c r="S223" s="92"/>
      <c r="T223" s="93">
        <v>22.74</v>
      </c>
      <c r="U223" s="93">
        <v>0</v>
      </c>
      <c r="V223" s="92"/>
      <c r="W223" s="92"/>
      <c r="X223" s="93">
        <v>568.91</v>
      </c>
      <c r="Y223" s="92"/>
      <c r="Z223" s="92"/>
      <c r="AA223" s="92"/>
      <c r="AB223" s="92"/>
      <c r="AC223" s="92"/>
      <c r="AD223" s="92"/>
      <c r="AE223" s="92"/>
      <c r="AF223" s="92"/>
      <c r="AG223" s="93">
        <v>34.82</v>
      </c>
      <c r="AH223" s="92"/>
      <c r="AI223" s="93">
        <v>615.12</v>
      </c>
      <c r="AJ223" s="306">
        <v>0.26</v>
      </c>
    </row>
    <row r="224" spans="1:36" customFormat="1" ht="15.75" thickBot="1" x14ac:dyDescent="0.3">
      <c r="A224" s="90" t="s">
        <v>871</v>
      </c>
      <c r="B224" s="626" t="str">
        <f>VLOOKUP($D224,'Retail Rates'!$B$7:$D$38,2,FALSE)</f>
        <v>851</v>
      </c>
      <c r="C224" s="626" t="str">
        <f>VLOOKUP($D224,'Retail Rates'!$B$7:$D$38,3,FALSE)</f>
        <v>CGS</v>
      </c>
      <c r="D224" s="90" t="s">
        <v>26</v>
      </c>
      <c r="E224" s="90" t="s">
        <v>875</v>
      </c>
      <c r="F224" s="90" t="s">
        <v>17</v>
      </c>
      <c r="G224" s="90" t="s">
        <v>903</v>
      </c>
      <c r="H224" s="305">
        <v>2</v>
      </c>
      <c r="I224" s="95">
        <v>419</v>
      </c>
      <c r="J224" s="94"/>
      <c r="K224" s="95">
        <v>34.74</v>
      </c>
      <c r="L224" s="95">
        <v>175</v>
      </c>
      <c r="M224" s="95">
        <v>87.99</v>
      </c>
      <c r="N224" s="95">
        <v>10.5</v>
      </c>
      <c r="O224" s="95">
        <v>-0.26</v>
      </c>
      <c r="P224" s="95">
        <v>209.29</v>
      </c>
      <c r="Q224" s="95">
        <v>0.39</v>
      </c>
      <c r="R224" s="95">
        <v>-5.73</v>
      </c>
      <c r="S224" s="94"/>
      <c r="T224" s="95">
        <v>22.74</v>
      </c>
      <c r="U224" s="95">
        <v>0</v>
      </c>
      <c r="V224" s="94"/>
      <c r="W224" s="94"/>
      <c r="X224" s="95">
        <v>524.41999999999996</v>
      </c>
      <c r="Y224" s="94"/>
      <c r="Z224" s="94"/>
      <c r="AA224" s="94"/>
      <c r="AB224" s="94"/>
      <c r="AC224" s="94"/>
      <c r="AD224" s="94"/>
      <c r="AE224" s="94"/>
      <c r="AF224" s="94"/>
      <c r="AG224" s="95">
        <v>32.1</v>
      </c>
      <c r="AH224" s="94"/>
      <c r="AI224" s="95">
        <v>567.02</v>
      </c>
      <c r="AJ224" s="306">
        <v>0.26</v>
      </c>
    </row>
    <row r="225" spans="1:36" customFormat="1" ht="15.75" thickBot="1" x14ac:dyDescent="0.3">
      <c r="A225" s="90" t="s">
        <v>871</v>
      </c>
      <c r="B225" s="626" t="str">
        <f>VLOOKUP($D225,'Retail Rates'!$B$7:$D$38,2,FALSE)</f>
        <v>851</v>
      </c>
      <c r="C225" s="626" t="str">
        <f>VLOOKUP($D225,'Retail Rates'!$B$7:$D$38,3,FALSE)</f>
        <v>CGS</v>
      </c>
      <c r="D225" s="90" t="s">
        <v>26</v>
      </c>
      <c r="E225" s="90" t="s">
        <v>875</v>
      </c>
      <c r="F225" s="90" t="s">
        <v>17</v>
      </c>
      <c r="G225" s="90" t="s">
        <v>904</v>
      </c>
      <c r="H225" s="304">
        <v>3</v>
      </c>
      <c r="I225" s="93">
        <v>241</v>
      </c>
      <c r="J225" s="92"/>
      <c r="K225" s="93">
        <v>-0.13</v>
      </c>
      <c r="L225" s="93">
        <v>175</v>
      </c>
      <c r="M225" s="93">
        <v>50.61</v>
      </c>
      <c r="N225" s="93">
        <v>7.45</v>
      </c>
      <c r="O225" s="93">
        <v>-0.13</v>
      </c>
      <c r="P225" s="93">
        <v>120.38</v>
      </c>
      <c r="Q225" s="93">
        <v>0.14000000000000001</v>
      </c>
      <c r="R225" s="93">
        <v>14.87</v>
      </c>
      <c r="S225" s="92"/>
      <c r="T225" s="93">
        <v>11.37</v>
      </c>
      <c r="U225" s="93">
        <v>0</v>
      </c>
      <c r="V225" s="92"/>
      <c r="W225" s="92"/>
      <c r="X225" s="93">
        <v>372.24</v>
      </c>
      <c r="Y225" s="92"/>
      <c r="Z225" s="92"/>
      <c r="AA225" s="92"/>
      <c r="AB225" s="92"/>
      <c r="AC225" s="92"/>
      <c r="AD225" s="92"/>
      <c r="AE225" s="92"/>
      <c r="AF225" s="92"/>
      <c r="AG225" s="93">
        <v>27.54</v>
      </c>
      <c r="AH225" s="92"/>
      <c r="AI225" s="93">
        <v>407.23</v>
      </c>
      <c r="AJ225" s="306">
        <v>0.13</v>
      </c>
    </row>
    <row r="226" spans="1:36" customFormat="1" ht="15.75" thickBot="1" x14ac:dyDescent="0.3">
      <c r="A226" s="90" t="s">
        <v>871</v>
      </c>
      <c r="B226" s="626" t="str">
        <f>VLOOKUP($D226,'Retail Rates'!$B$7:$D$38,2,FALSE)</f>
        <v>851</v>
      </c>
      <c r="C226" s="626" t="str">
        <f>VLOOKUP($D226,'Retail Rates'!$B$7:$D$38,3,FALSE)</f>
        <v>CGS</v>
      </c>
      <c r="D226" s="90" t="s">
        <v>26</v>
      </c>
      <c r="E226" s="90" t="s">
        <v>875</v>
      </c>
      <c r="F226" s="90" t="s">
        <v>17</v>
      </c>
      <c r="G226" s="90" t="s">
        <v>905</v>
      </c>
      <c r="H226" s="305">
        <v>3</v>
      </c>
      <c r="I226" s="95">
        <v>194</v>
      </c>
      <c r="J226" s="94"/>
      <c r="K226" s="95">
        <v>69.61</v>
      </c>
      <c r="L226" s="95">
        <v>175</v>
      </c>
      <c r="M226" s="95">
        <v>40.74</v>
      </c>
      <c r="N226" s="95">
        <v>8.34</v>
      </c>
      <c r="O226" s="95">
        <v>-0.39</v>
      </c>
      <c r="P226" s="95">
        <v>86.79</v>
      </c>
      <c r="Q226" s="95">
        <v>0.11</v>
      </c>
      <c r="R226" s="94"/>
      <c r="S226" s="94"/>
      <c r="T226" s="95">
        <v>44.2</v>
      </c>
      <c r="U226" s="95">
        <v>0</v>
      </c>
      <c r="V226" s="94"/>
      <c r="W226" s="94"/>
      <c r="X226" s="95">
        <v>416.45</v>
      </c>
      <c r="Y226" s="94"/>
      <c r="Z226" s="94"/>
      <c r="AA226" s="94"/>
      <c r="AB226" s="94"/>
      <c r="AC226" s="94"/>
      <c r="AD226" s="94"/>
      <c r="AE226" s="94"/>
      <c r="AF226" s="94"/>
      <c r="AG226" s="95">
        <v>20.79</v>
      </c>
      <c r="AH226" s="94"/>
      <c r="AI226" s="95">
        <v>445.58</v>
      </c>
      <c r="AJ226" s="306">
        <v>0.39</v>
      </c>
    </row>
    <row r="227" spans="1:36" customFormat="1" ht="15.75" thickBot="1" x14ac:dyDescent="0.3">
      <c r="A227" s="90" t="s">
        <v>871</v>
      </c>
      <c r="B227" s="626" t="str">
        <f>VLOOKUP($D227,'Retail Rates'!$B$7:$D$38,2,FALSE)</f>
        <v>851</v>
      </c>
      <c r="C227" s="626" t="str">
        <f>VLOOKUP($D227,'Retail Rates'!$B$7:$D$38,3,FALSE)</f>
        <v>CGS</v>
      </c>
      <c r="D227" s="90" t="s">
        <v>26</v>
      </c>
      <c r="E227" s="90" t="s">
        <v>875</v>
      </c>
      <c r="F227" s="90" t="s">
        <v>17</v>
      </c>
      <c r="G227" s="90" t="s">
        <v>906</v>
      </c>
      <c r="H227" s="304">
        <v>2</v>
      </c>
      <c r="I227" s="93">
        <v>0</v>
      </c>
      <c r="J227" s="92"/>
      <c r="K227" s="93">
        <v>34.74</v>
      </c>
      <c r="L227" s="93">
        <v>175</v>
      </c>
      <c r="M227" s="93">
        <v>0</v>
      </c>
      <c r="N227" s="93">
        <v>4.88</v>
      </c>
      <c r="O227" s="93">
        <v>-0.26</v>
      </c>
      <c r="P227" s="93">
        <v>0</v>
      </c>
      <c r="Q227" s="93">
        <v>0</v>
      </c>
      <c r="R227" s="92"/>
      <c r="S227" s="92"/>
      <c r="T227" s="93">
        <v>33.840000000000003</v>
      </c>
      <c r="U227" s="93">
        <v>0</v>
      </c>
      <c r="V227" s="92"/>
      <c r="W227" s="92"/>
      <c r="X227" s="93">
        <v>243.58</v>
      </c>
      <c r="Y227" s="92"/>
      <c r="Z227" s="92"/>
      <c r="AA227" s="92"/>
      <c r="AB227" s="92"/>
      <c r="AC227" s="92"/>
      <c r="AD227" s="92"/>
      <c r="AE227" s="92"/>
      <c r="AF227" s="92"/>
      <c r="AG227" s="93">
        <v>14.91</v>
      </c>
      <c r="AH227" s="92"/>
      <c r="AI227" s="93">
        <v>263.37</v>
      </c>
      <c r="AJ227" s="306">
        <v>0.26</v>
      </c>
    </row>
    <row r="228" spans="1:36" customFormat="1" ht="15.75" thickBot="1" x14ac:dyDescent="0.3">
      <c r="A228" s="90" t="s">
        <v>871</v>
      </c>
      <c r="B228" s="626" t="str">
        <f>VLOOKUP($D228,'Retail Rates'!$B$7:$D$38,2,FALSE)</f>
        <v>851</v>
      </c>
      <c r="C228" s="626" t="str">
        <f>VLOOKUP($D228,'Retail Rates'!$B$7:$D$38,3,FALSE)</f>
        <v>CGS</v>
      </c>
      <c r="D228" s="90" t="s">
        <v>26</v>
      </c>
      <c r="E228" s="90" t="s">
        <v>875</v>
      </c>
      <c r="F228" s="90" t="s">
        <v>17</v>
      </c>
      <c r="G228" s="90" t="s">
        <v>907</v>
      </c>
      <c r="H228" s="305">
        <v>2</v>
      </c>
      <c r="I228" s="95">
        <v>0</v>
      </c>
      <c r="J228" s="94"/>
      <c r="K228" s="95">
        <v>39.130000000000003</v>
      </c>
      <c r="L228" s="95">
        <v>179.14</v>
      </c>
      <c r="M228" s="95">
        <v>0</v>
      </c>
      <c r="N228" s="95">
        <v>5.04</v>
      </c>
      <c r="O228" s="95">
        <v>0</v>
      </c>
      <c r="P228" s="95">
        <v>0</v>
      </c>
      <c r="Q228" s="95">
        <v>0</v>
      </c>
      <c r="R228" s="94"/>
      <c r="S228" s="94"/>
      <c r="T228" s="95">
        <v>33.840000000000003</v>
      </c>
      <c r="U228" s="95">
        <v>0</v>
      </c>
      <c r="V228" s="94"/>
      <c r="W228" s="94"/>
      <c r="X228" s="95">
        <v>252.11</v>
      </c>
      <c r="Y228" s="94"/>
      <c r="Z228" s="94"/>
      <c r="AA228" s="94"/>
      <c r="AB228" s="94"/>
      <c r="AC228" s="94"/>
      <c r="AD228" s="94"/>
      <c r="AE228" s="94"/>
      <c r="AF228" s="94"/>
      <c r="AG228" s="95">
        <v>15.43</v>
      </c>
      <c r="AH228" s="94"/>
      <c r="AI228" s="95">
        <v>272.58</v>
      </c>
      <c r="AJ228" s="95">
        <v>0</v>
      </c>
    </row>
    <row r="229" spans="1:36" customFormat="1" ht="15.75" thickBot="1" x14ac:dyDescent="0.3">
      <c r="A229" s="90" t="s">
        <v>871</v>
      </c>
      <c r="B229" s="626" t="str">
        <f>VLOOKUP($D229,'Retail Rates'!$B$7:$D$38,2,FALSE)</f>
        <v>851</v>
      </c>
      <c r="C229" s="626" t="str">
        <f>VLOOKUP($D229,'Retail Rates'!$B$7:$D$38,3,FALSE)</f>
        <v>CGS</v>
      </c>
      <c r="D229" s="90" t="s">
        <v>26</v>
      </c>
      <c r="E229" s="90" t="s">
        <v>875</v>
      </c>
      <c r="F229" s="90" t="s">
        <v>17</v>
      </c>
      <c r="G229" s="90" t="s">
        <v>908</v>
      </c>
      <c r="H229" s="304">
        <v>2</v>
      </c>
      <c r="I229" s="93">
        <v>0</v>
      </c>
      <c r="J229" s="92"/>
      <c r="K229" s="93">
        <v>40</v>
      </c>
      <c r="L229" s="93">
        <v>180</v>
      </c>
      <c r="M229" s="93">
        <v>0</v>
      </c>
      <c r="N229" s="93">
        <v>5.08</v>
      </c>
      <c r="O229" s="93">
        <v>0</v>
      </c>
      <c r="P229" s="93">
        <v>0</v>
      </c>
      <c r="Q229" s="93">
        <v>0</v>
      </c>
      <c r="R229" s="92"/>
      <c r="S229" s="92"/>
      <c r="T229" s="93">
        <v>33.840000000000003</v>
      </c>
      <c r="U229" s="93">
        <v>0</v>
      </c>
      <c r="V229" s="92"/>
      <c r="W229" s="92"/>
      <c r="X229" s="93">
        <v>253.84</v>
      </c>
      <c r="Y229" s="92"/>
      <c r="Z229" s="92"/>
      <c r="AA229" s="92"/>
      <c r="AB229" s="92"/>
      <c r="AC229" s="92"/>
      <c r="AD229" s="92"/>
      <c r="AE229" s="92"/>
      <c r="AF229" s="92"/>
      <c r="AG229" s="93">
        <v>15.53</v>
      </c>
      <c r="AH229" s="92"/>
      <c r="AI229" s="93">
        <v>274.45</v>
      </c>
      <c r="AJ229" s="93">
        <v>0</v>
      </c>
    </row>
    <row r="230" spans="1:36" customFormat="1" ht="15.75" thickBot="1" x14ac:dyDescent="0.3">
      <c r="A230" s="90" t="s">
        <v>871</v>
      </c>
      <c r="B230" s="626" t="str">
        <f>VLOOKUP($D230,'Retail Rates'!$B$7:$D$38,2,FALSE)</f>
        <v>851</v>
      </c>
      <c r="C230" s="626" t="str">
        <f>VLOOKUP($D230,'Retail Rates'!$B$7:$D$38,3,FALSE)</f>
        <v>CGS</v>
      </c>
      <c r="D230" s="90" t="s">
        <v>26</v>
      </c>
      <c r="E230" s="90" t="s">
        <v>875</v>
      </c>
      <c r="F230" s="90" t="s">
        <v>17</v>
      </c>
      <c r="G230" s="90" t="s">
        <v>909</v>
      </c>
      <c r="H230" s="305">
        <v>2</v>
      </c>
      <c r="I230" s="95">
        <v>0</v>
      </c>
      <c r="J230" s="94"/>
      <c r="K230" s="95">
        <v>40</v>
      </c>
      <c r="L230" s="95">
        <v>180</v>
      </c>
      <c r="M230" s="95">
        <v>0</v>
      </c>
      <c r="N230" s="95">
        <v>5.08</v>
      </c>
      <c r="O230" s="95">
        <v>0</v>
      </c>
      <c r="P230" s="95">
        <v>0</v>
      </c>
      <c r="Q230" s="95">
        <v>0</v>
      </c>
      <c r="R230" s="94"/>
      <c r="S230" s="94"/>
      <c r="T230" s="95">
        <v>33.840000000000003</v>
      </c>
      <c r="U230" s="95">
        <v>0</v>
      </c>
      <c r="V230" s="94"/>
      <c r="W230" s="94"/>
      <c r="X230" s="95">
        <v>253.84</v>
      </c>
      <c r="Y230" s="94"/>
      <c r="Z230" s="94"/>
      <c r="AA230" s="94"/>
      <c r="AB230" s="94"/>
      <c r="AC230" s="94"/>
      <c r="AD230" s="94"/>
      <c r="AE230" s="94"/>
      <c r="AF230" s="94"/>
      <c r="AG230" s="95">
        <v>15.53</v>
      </c>
      <c r="AH230" s="94"/>
      <c r="AI230" s="95">
        <v>274.45</v>
      </c>
      <c r="AJ230" s="95">
        <v>0</v>
      </c>
    </row>
    <row r="231" spans="1:36" customFormat="1" ht="15.75" thickBot="1" x14ac:dyDescent="0.3">
      <c r="A231" s="90" t="s">
        <v>871</v>
      </c>
      <c r="B231" s="626" t="str">
        <f>VLOOKUP($D231,'Retail Rates'!$B$7:$D$38,2,FALSE)</f>
        <v>851</v>
      </c>
      <c r="C231" s="626" t="str">
        <f>VLOOKUP($D231,'Retail Rates'!$B$7:$D$38,3,FALSE)</f>
        <v>CGS</v>
      </c>
      <c r="D231" s="90" t="s">
        <v>26</v>
      </c>
      <c r="E231" s="90" t="s">
        <v>875</v>
      </c>
      <c r="F231" s="90" t="s">
        <v>17</v>
      </c>
      <c r="G231" s="90" t="s">
        <v>910</v>
      </c>
      <c r="H231" s="304">
        <v>3</v>
      </c>
      <c r="I231" s="93">
        <v>0</v>
      </c>
      <c r="J231" s="92"/>
      <c r="K231" s="93">
        <v>41.33</v>
      </c>
      <c r="L231" s="93">
        <v>180</v>
      </c>
      <c r="M231" s="93">
        <v>0</v>
      </c>
      <c r="N231" s="93">
        <v>5.12</v>
      </c>
      <c r="O231" s="93">
        <v>0</v>
      </c>
      <c r="P231" s="93">
        <v>0</v>
      </c>
      <c r="Q231" s="93">
        <v>0</v>
      </c>
      <c r="R231" s="92"/>
      <c r="S231" s="92"/>
      <c r="T231" s="93">
        <v>34.4</v>
      </c>
      <c r="U231" s="93">
        <v>0</v>
      </c>
      <c r="V231" s="92"/>
      <c r="W231" s="92"/>
      <c r="X231" s="93">
        <v>255.73</v>
      </c>
      <c r="Y231" s="92"/>
      <c r="Z231" s="92"/>
      <c r="AA231" s="92"/>
      <c r="AB231" s="92"/>
      <c r="AC231" s="92"/>
      <c r="AD231" s="92"/>
      <c r="AE231" s="92"/>
      <c r="AF231" s="92"/>
      <c r="AG231" s="93">
        <v>15.65</v>
      </c>
      <c r="AH231" s="92"/>
      <c r="AI231" s="93">
        <v>276.5</v>
      </c>
      <c r="AJ231" s="93">
        <v>0</v>
      </c>
    </row>
    <row r="232" spans="1:36" customFormat="1" ht="15.75" thickBot="1" x14ac:dyDescent="0.3">
      <c r="A232" s="90" t="s">
        <v>871</v>
      </c>
      <c r="B232" s="626" t="str">
        <f>VLOOKUP($D232,'Retail Rates'!$B$7:$D$38,2,FALSE)</f>
        <v>851</v>
      </c>
      <c r="C232" s="626" t="str">
        <f>VLOOKUP($D232,'Retail Rates'!$B$7:$D$38,3,FALSE)</f>
        <v>CGS</v>
      </c>
      <c r="D232" s="90" t="s">
        <v>26</v>
      </c>
      <c r="E232" s="90" t="s">
        <v>875</v>
      </c>
      <c r="F232" s="90" t="s">
        <v>17</v>
      </c>
      <c r="G232" s="90" t="s">
        <v>911</v>
      </c>
      <c r="H232" s="305">
        <v>2</v>
      </c>
      <c r="I232" s="95">
        <v>0</v>
      </c>
      <c r="J232" s="94"/>
      <c r="K232" s="95">
        <v>40</v>
      </c>
      <c r="L232" s="95">
        <v>180</v>
      </c>
      <c r="M232" s="95">
        <v>0</v>
      </c>
      <c r="N232" s="95">
        <v>5.08</v>
      </c>
      <c r="O232" s="95">
        <v>0</v>
      </c>
      <c r="P232" s="95">
        <v>0</v>
      </c>
      <c r="Q232" s="95">
        <v>0</v>
      </c>
      <c r="R232" s="94"/>
      <c r="S232" s="94"/>
      <c r="T232" s="95">
        <v>33.840000000000003</v>
      </c>
      <c r="U232" s="95">
        <v>0</v>
      </c>
      <c r="V232" s="94"/>
      <c r="W232" s="94"/>
      <c r="X232" s="95">
        <v>253.84</v>
      </c>
      <c r="Y232" s="94"/>
      <c r="Z232" s="94"/>
      <c r="AA232" s="94"/>
      <c r="AB232" s="94"/>
      <c r="AC232" s="94"/>
      <c r="AD232" s="94"/>
      <c r="AE232" s="94"/>
      <c r="AF232" s="94"/>
      <c r="AG232" s="95">
        <v>15.53</v>
      </c>
      <c r="AH232" s="94"/>
      <c r="AI232" s="95">
        <v>274.45</v>
      </c>
      <c r="AJ232" s="95">
        <v>0</v>
      </c>
    </row>
    <row r="233" spans="1:36" customFormat="1" ht="15.75" thickBot="1" x14ac:dyDescent="0.3">
      <c r="A233" s="90" t="s">
        <v>871</v>
      </c>
      <c r="B233" s="626" t="str">
        <f>VLOOKUP($D233,'Retail Rates'!$B$7:$D$38,2,FALSE)</f>
        <v>851</v>
      </c>
      <c r="C233" s="626" t="str">
        <f>VLOOKUP($D233,'Retail Rates'!$B$7:$D$38,3,FALSE)</f>
        <v>CGS</v>
      </c>
      <c r="D233" s="90" t="s">
        <v>26</v>
      </c>
      <c r="E233" s="90" t="s">
        <v>875</v>
      </c>
      <c r="F233" s="90" t="s">
        <v>17</v>
      </c>
      <c r="G233" s="90" t="s">
        <v>912</v>
      </c>
      <c r="H233" s="304">
        <v>4</v>
      </c>
      <c r="I233" s="93">
        <v>-77</v>
      </c>
      <c r="J233" s="92"/>
      <c r="K233" s="93">
        <v>24</v>
      </c>
      <c r="L233" s="93">
        <v>180</v>
      </c>
      <c r="M233" s="93">
        <v>-16.559999999999999</v>
      </c>
      <c r="N233" s="93">
        <v>3.63</v>
      </c>
      <c r="O233" s="93">
        <v>0</v>
      </c>
      <c r="P233" s="93">
        <v>-26.23</v>
      </c>
      <c r="Q233" s="93">
        <v>-0.04</v>
      </c>
      <c r="R233" s="93">
        <v>-6.87</v>
      </c>
      <c r="S233" s="92"/>
      <c r="T233" s="93">
        <v>27.07</v>
      </c>
      <c r="U233" s="93">
        <v>0</v>
      </c>
      <c r="V233" s="92"/>
      <c r="W233" s="92"/>
      <c r="X233" s="93">
        <v>181.37</v>
      </c>
      <c r="Y233" s="92"/>
      <c r="Z233" s="92"/>
      <c r="AA233" s="92"/>
      <c r="AB233" s="92"/>
      <c r="AC233" s="92"/>
      <c r="AD233" s="92"/>
      <c r="AE233" s="92"/>
      <c r="AF233" s="92"/>
      <c r="AG233" s="93">
        <v>11.1</v>
      </c>
      <c r="AH233" s="92"/>
      <c r="AI233" s="93">
        <v>196.1</v>
      </c>
      <c r="AJ233" s="93">
        <v>0</v>
      </c>
    </row>
    <row r="234" spans="1:36" customFormat="1" ht="15.75" thickBot="1" x14ac:dyDescent="0.3">
      <c r="A234" s="90" t="s">
        <v>871</v>
      </c>
      <c r="B234" s="626" t="str">
        <f>VLOOKUP($D234,'Retail Rates'!$B$7:$D$38,2,FALSE)</f>
        <v>851</v>
      </c>
      <c r="C234" s="626" t="str">
        <f>VLOOKUP($D234,'Retail Rates'!$B$7:$D$38,3,FALSE)</f>
        <v>CGS</v>
      </c>
      <c r="D234" s="90" t="s">
        <v>26</v>
      </c>
      <c r="E234" s="90" t="s">
        <v>875</v>
      </c>
      <c r="F234" s="90" t="s">
        <v>17</v>
      </c>
      <c r="G234" s="90" t="s">
        <v>913</v>
      </c>
      <c r="H234" s="305">
        <v>7</v>
      </c>
      <c r="I234" s="95">
        <v>-22</v>
      </c>
      <c r="J234" s="94"/>
      <c r="K234" s="95">
        <v>-40</v>
      </c>
      <c r="L234" s="95">
        <v>180</v>
      </c>
      <c r="M234" s="95">
        <v>-4.72</v>
      </c>
      <c r="N234" s="95">
        <v>1.45</v>
      </c>
      <c r="O234" s="95">
        <v>0</v>
      </c>
      <c r="P234" s="95">
        <v>-7.49</v>
      </c>
      <c r="Q234" s="95">
        <v>-0.01</v>
      </c>
      <c r="R234" s="95">
        <v>-8.33</v>
      </c>
      <c r="S234" s="94"/>
      <c r="T234" s="95">
        <v>0.6</v>
      </c>
      <c r="U234" s="95">
        <v>0</v>
      </c>
      <c r="V234" s="94"/>
      <c r="W234" s="94"/>
      <c r="X234" s="95">
        <v>120.05</v>
      </c>
      <c r="Y234" s="94"/>
      <c r="Z234" s="94"/>
      <c r="AA234" s="94"/>
      <c r="AB234" s="94"/>
      <c r="AC234" s="94"/>
      <c r="AD234" s="94"/>
      <c r="AE234" s="94"/>
      <c r="AF234" s="94"/>
      <c r="AG234" s="95">
        <v>7.28</v>
      </c>
      <c r="AH234" s="94"/>
      <c r="AI234" s="95">
        <v>128.78</v>
      </c>
      <c r="AJ234" s="95">
        <v>0</v>
      </c>
    </row>
    <row r="235" spans="1:36" customFormat="1" ht="15.75" thickBot="1" x14ac:dyDescent="0.3">
      <c r="A235" s="90" t="s">
        <v>871</v>
      </c>
      <c r="B235" s="626" t="str">
        <f>VLOOKUP($D235,'Retail Rates'!$B$7:$D$38,2,FALSE)</f>
        <v>851</v>
      </c>
      <c r="C235" s="626" t="str">
        <f>VLOOKUP($D235,'Retail Rates'!$B$7:$D$38,3,FALSE)</f>
        <v>CGS</v>
      </c>
      <c r="D235" s="90" t="s">
        <v>26</v>
      </c>
      <c r="E235" s="90" t="s">
        <v>875</v>
      </c>
      <c r="F235" s="90" t="s">
        <v>17</v>
      </c>
      <c r="G235" s="90" t="s">
        <v>914</v>
      </c>
      <c r="H235" s="304">
        <v>10</v>
      </c>
      <c r="I235" s="93">
        <v>-482</v>
      </c>
      <c r="J235" s="92"/>
      <c r="K235" s="93">
        <v>-92</v>
      </c>
      <c r="L235" s="93">
        <v>84</v>
      </c>
      <c r="M235" s="93">
        <v>-103.65</v>
      </c>
      <c r="N235" s="93">
        <v>-9.4700000000000006</v>
      </c>
      <c r="O235" s="93">
        <v>0</v>
      </c>
      <c r="P235" s="93">
        <v>-158.74</v>
      </c>
      <c r="Q235" s="93">
        <v>-0.25</v>
      </c>
      <c r="R235" s="93">
        <v>-14.1</v>
      </c>
      <c r="S235" s="92"/>
      <c r="T235" s="93">
        <v>-37.299999999999997</v>
      </c>
      <c r="U235" s="93">
        <v>0</v>
      </c>
      <c r="V235" s="92"/>
      <c r="W235" s="92"/>
      <c r="X235" s="93">
        <v>-322.04000000000002</v>
      </c>
      <c r="Y235" s="92"/>
      <c r="Z235" s="92"/>
      <c r="AA235" s="92"/>
      <c r="AB235" s="92"/>
      <c r="AC235" s="92"/>
      <c r="AD235" s="92"/>
      <c r="AE235" s="92"/>
      <c r="AF235" s="92"/>
      <c r="AG235" s="93">
        <v>-19.22</v>
      </c>
      <c r="AH235" s="92"/>
      <c r="AI235" s="93">
        <v>-350.73</v>
      </c>
      <c r="AJ235" s="93">
        <v>0</v>
      </c>
    </row>
    <row r="236" spans="1:36" customFormat="1" ht="15.75" thickBot="1" x14ac:dyDescent="0.3">
      <c r="A236" s="90" t="s">
        <v>871</v>
      </c>
      <c r="B236" s="626" t="str">
        <f>VLOOKUP($D236,'Retail Rates'!$B$7:$D$38,2,FALSE)</f>
        <v>851</v>
      </c>
      <c r="C236" s="626" t="str">
        <f>VLOOKUP($D236,'Retail Rates'!$B$7:$D$38,3,FALSE)</f>
        <v>CGS</v>
      </c>
      <c r="D236" s="90" t="s">
        <v>26</v>
      </c>
      <c r="E236" s="90" t="s">
        <v>875</v>
      </c>
      <c r="F236" s="90" t="s">
        <v>17</v>
      </c>
      <c r="G236" s="90" t="s">
        <v>915</v>
      </c>
      <c r="H236" s="305">
        <v>34</v>
      </c>
      <c r="I236" s="95">
        <v>-2457</v>
      </c>
      <c r="J236" s="94"/>
      <c r="K236" s="95">
        <v>-122.66</v>
      </c>
      <c r="L236" s="94"/>
      <c r="M236" s="95">
        <v>-528.36</v>
      </c>
      <c r="N236" s="95">
        <v>-32.770000000000003</v>
      </c>
      <c r="O236" s="95">
        <v>0</v>
      </c>
      <c r="P236" s="95">
        <v>-794.65</v>
      </c>
      <c r="Q236" s="95">
        <v>-1.33</v>
      </c>
      <c r="R236" s="95">
        <v>-143.25</v>
      </c>
      <c r="S236" s="94"/>
      <c r="T236" s="95">
        <v>-79.33</v>
      </c>
      <c r="U236" s="95">
        <v>0</v>
      </c>
      <c r="V236" s="94"/>
      <c r="W236" s="94"/>
      <c r="X236" s="95">
        <v>-1669.58</v>
      </c>
      <c r="Y236" s="94"/>
      <c r="Z236" s="94"/>
      <c r="AA236" s="94"/>
      <c r="AB236" s="94"/>
      <c r="AC236" s="94"/>
      <c r="AD236" s="94"/>
      <c r="AE236" s="94"/>
      <c r="AF236" s="94"/>
      <c r="AG236" s="95">
        <v>-101.9</v>
      </c>
      <c r="AH236" s="94"/>
      <c r="AI236" s="95">
        <v>-1804.25</v>
      </c>
      <c r="AJ236" s="95">
        <v>0</v>
      </c>
    </row>
    <row r="237" spans="1:36" customFormat="1" ht="15.75" thickBot="1" x14ac:dyDescent="0.3">
      <c r="A237" s="90" t="s">
        <v>871</v>
      </c>
      <c r="B237" s="626" t="str">
        <f>VLOOKUP($D237,'Retail Rates'!$B$7:$D$38,2,FALSE)</f>
        <v>851</v>
      </c>
      <c r="C237" s="626" t="str">
        <f>VLOOKUP($D237,'Retail Rates'!$B$7:$D$38,3,FALSE)</f>
        <v>CGS</v>
      </c>
      <c r="D237" s="90" t="s">
        <v>26</v>
      </c>
      <c r="E237" s="90" t="s">
        <v>875</v>
      </c>
      <c r="F237" s="90" t="s">
        <v>17</v>
      </c>
      <c r="G237" s="90" t="s">
        <v>917</v>
      </c>
      <c r="H237" s="304">
        <v>464</v>
      </c>
      <c r="I237" s="93">
        <v>34597</v>
      </c>
      <c r="J237" s="93">
        <v>103379</v>
      </c>
      <c r="K237" s="93">
        <v>11789.29</v>
      </c>
      <c r="L237" s="93">
        <v>1158</v>
      </c>
      <c r="M237" s="93">
        <v>24501.73</v>
      </c>
      <c r="N237" s="93">
        <v>0</v>
      </c>
      <c r="O237" s="93">
        <v>0</v>
      </c>
      <c r="P237" s="93">
        <v>44625.51</v>
      </c>
      <c r="Q237" s="93">
        <v>78.599999999999994</v>
      </c>
      <c r="R237" s="93">
        <v>5804.21</v>
      </c>
      <c r="S237" s="92"/>
      <c r="T237" s="93">
        <v>7792.83</v>
      </c>
      <c r="U237" s="93">
        <v>0</v>
      </c>
      <c r="V237" s="92"/>
      <c r="W237" s="92"/>
      <c r="X237" s="93">
        <v>95750.17</v>
      </c>
      <c r="Y237" s="92"/>
      <c r="Z237" s="92"/>
      <c r="AA237" s="92"/>
      <c r="AB237" s="92"/>
      <c r="AC237" s="92"/>
      <c r="AD237" s="92"/>
      <c r="AE237" s="92"/>
      <c r="AF237" s="92"/>
      <c r="AG237" s="93">
        <v>2103.64</v>
      </c>
      <c r="AH237" s="92"/>
      <c r="AI237" s="93">
        <v>97853.81</v>
      </c>
      <c r="AJ237" s="93">
        <v>0</v>
      </c>
    </row>
    <row r="238" spans="1:36" customFormat="1" ht="15.75" thickBot="1" x14ac:dyDescent="0.3">
      <c r="A238" s="90" t="s">
        <v>871</v>
      </c>
      <c r="B238" s="626" t="str">
        <f>VLOOKUP($D238,'Retail Rates'!$B$7:$D$38,2,FALSE)</f>
        <v>851</v>
      </c>
      <c r="C238" s="626" t="str">
        <f>VLOOKUP($D238,'Retail Rates'!$B$7:$D$38,3,FALSE)</f>
        <v>CGS</v>
      </c>
      <c r="D238" s="90" t="s">
        <v>26</v>
      </c>
      <c r="E238" s="90" t="s">
        <v>875</v>
      </c>
      <c r="F238" s="90" t="s">
        <v>17</v>
      </c>
      <c r="G238" s="90" t="s">
        <v>918</v>
      </c>
      <c r="H238" s="305">
        <v>23747</v>
      </c>
      <c r="I238" s="95">
        <v>2610415</v>
      </c>
      <c r="J238" s="95">
        <v>1217457</v>
      </c>
      <c r="K238" s="95">
        <v>915069.38</v>
      </c>
      <c r="L238" s="95">
        <v>149772</v>
      </c>
      <c r="M238" s="95">
        <v>762296.31</v>
      </c>
      <c r="N238" s="95">
        <v>1402.39</v>
      </c>
      <c r="O238" s="95">
        <v>0</v>
      </c>
      <c r="P238" s="95">
        <v>1289215.04</v>
      </c>
      <c r="Q238" s="95">
        <v>2177.37</v>
      </c>
      <c r="R238" s="94"/>
      <c r="S238" s="94"/>
      <c r="T238" s="95">
        <v>634695.56000000006</v>
      </c>
      <c r="U238" s="95">
        <v>0</v>
      </c>
      <c r="V238" s="94"/>
      <c r="W238" s="94"/>
      <c r="X238" s="95">
        <v>3753225.66</v>
      </c>
      <c r="Y238" s="94"/>
      <c r="Z238" s="94"/>
      <c r="AA238" s="94"/>
      <c r="AB238" s="94"/>
      <c r="AC238" s="94"/>
      <c r="AD238" s="94"/>
      <c r="AE238" s="94"/>
      <c r="AF238" s="94"/>
      <c r="AG238" s="95">
        <v>213340.13</v>
      </c>
      <c r="AH238" s="94"/>
      <c r="AI238" s="95">
        <v>3967968.18</v>
      </c>
      <c r="AJ238" s="95">
        <v>0</v>
      </c>
    </row>
    <row r="239" spans="1:36" customFormat="1" ht="15.75" thickBot="1" x14ac:dyDescent="0.3">
      <c r="A239" s="90" t="s">
        <v>871</v>
      </c>
      <c r="B239" s="626" t="str">
        <f>VLOOKUP($D239,'Retail Rates'!$B$7:$D$38,2,FALSE)</f>
        <v>851</v>
      </c>
      <c r="C239" s="626" t="str">
        <f>VLOOKUP($D239,'Retail Rates'!$B$7:$D$38,3,FALSE)</f>
        <v>CGS</v>
      </c>
      <c r="D239" s="90" t="s">
        <v>26</v>
      </c>
      <c r="E239" s="90" t="s">
        <v>875</v>
      </c>
      <c r="F239" s="90" t="s">
        <v>20</v>
      </c>
      <c r="G239" s="90" t="s">
        <v>913</v>
      </c>
      <c r="H239" s="305">
        <v>1</v>
      </c>
      <c r="I239" s="95">
        <v>-116</v>
      </c>
      <c r="J239" s="94"/>
      <c r="K239" s="95">
        <v>0</v>
      </c>
      <c r="L239" s="94"/>
      <c r="M239" s="95">
        <v>-24.94</v>
      </c>
      <c r="N239" s="95">
        <v>-1.58</v>
      </c>
      <c r="O239" s="95">
        <v>0</v>
      </c>
      <c r="P239" s="95">
        <v>-39.520000000000003</v>
      </c>
      <c r="Q239" s="95">
        <v>-0.06</v>
      </c>
      <c r="R239" s="95">
        <v>-14.53</v>
      </c>
      <c r="S239" s="94"/>
      <c r="T239" s="95">
        <v>0</v>
      </c>
      <c r="U239" s="95">
        <v>0</v>
      </c>
      <c r="V239" s="94"/>
      <c r="W239" s="94"/>
      <c r="X239" s="95">
        <v>-79.05</v>
      </c>
      <c r="Y239" s="94"/>
      <c r="Z239" s="94"/>
      <c r="AA239" s="94"/>
      <c r="AB239" s="94"/>
      <c r="AC239" s="94"/>
      <c r="AD239" s="94"/>
      <c r="AE239" s="94"/>
      <c r="AF239" s="94"/>
      <c r="AG239" s="95">
        <v>0</v>
      </c>
      <c r="AH239" s="94"/>
      <c r="AI239" s="95">
        <v>-80.63</v>
      </c>
      <c r="AJ239" s="95">
        <v>0</v>
      </c>
    </row>
    <row r="240" spans="1:36" customFormat="1" ht="15.75" thickBot="1" x14ac:dyDescent="0.3">
      <c r="A240" s="90" t="s">
        <v>871</v>
      </c>
      <c r="B240" s="626" t="str">
        <f>VLOOKUP($D240,'Retail Rates'!$B$7:$D$38,2,FALSE)</f>
        <v>851</v>
      </c>
      <c r="C240" s="626" t="str">
        <f>VLOOKUP($D240,'Retail Rates'!$B$7:$D$38,3,FALSE)</f>
        <v>CGS</v>
      </c>
      <c r="D240" s="90" t="s">
        <v>26</v>
      </c>
      <c r="E240" s="90" t="s">
        <v>875</v>
      </c>
      <c r="F240" s="90" t="s">
        <v>20</v>
      </c>
      <c r="G240" s="90" t="s">
        <v>914</v>
      </c>
      <c r="H240" s="304">
        <v>1</v>
      </c>
      <c r="I240" s="93">
        <v>-205</v>
      </c>
      <c r="J240" s="92"/>
      <c r="K240" s="93">
        <v>0</v>
      </c>
      <c r="L240" s="92"/>
      <c r="M240" s="93">
        <v>-44.08</v>
      </c>
      <c r="N240" s="93">
        <v>-2.2999999999999998</v>
      </c>
      <c r="O240" s="93">
        <v>0</v>
      </c>
      <c r="P240" s="93">
        <v>-69.58</v>
      </c>
      <c r="Q240" s="93">
        <v>-0.11</v>
      </c>
      <c r="R240" s="93">
        <v>-1.1499999999999999</v>
      </c>
      <c r="S240" s="92"/>
      <c r="T240" s="93">
        <v>0</v>
      </c>
      <c r="U240" s="93">
        <v>0</v>
      </c>
      <c r="V240" s="92"/>
      <c r="W240" s="92"/>
      <c r="X240" s="93">
        <v>-114.92</v>
      </c>
      <c r="Y240" s="92"/>
      <c r="Z240" s="92"/>
      <c r="AA240" s="92"/>
      <c r="AB240" s="92"/>
      <c r="AC240" s="92"/>
      <c r="AD240" s="92"/>
      <c r="AE240" s="92"/>
      <c r="AF240" s="92"/>
      <c r="AG240" s="93">
        <v>0</v>
      </c>
      <c r="AH240" s="92"/>
      <c r="AI240" s="93">
        <v>-117.22</v>
      </c>
      <c r="AJ240" s="93">
        <v>0</v>
      </c>
    </row>
    <row r="241" spans="1:36" customFormat="1" ht="15.75" thickBot="1" x14ac:dyDescent="0.3">
      <c r="A241" s="90" t="s">
        <v>871</v>
      </c>
      <c r="B241" s="626" t="str">
        <f>VLOOKUP($D241,'Retail Rates'!$B$7:$D$38,2,FALSE)</f>
        <v>851</v>
      </c>
      <c r="C241" s="626" t="str">
        <f>VLOOKUP($D241,'Retail Rates'!$B$7:$D$38,3,FALSE)</f>
        <v>CGS</v>
      </c>
      <c r="D241" s="90" t="s">
        <v>26</v>
      </c>
      <c r="E241" s="90" t="s">
        <v>875</v>
      </c>
      <c r="F241" s="90" t="s">
        <v>20</v>
      </c>
      <c r="G241" s="90" t="s">
        <v>915</v>
      </c>
      <c r="H241" s="305">
        <v>2</v>
      </c>
      <c r="I241" s="95">
        <v>-716</v>
      </c>
      <c r="J241" s="94"/>
      <c r="K241" s="95">
        <v>0</v>
      </c>
      <c r="L241" s="94"/>
      <c r="M241" s="95">
        <v>-153.96</v>
      </c>
      <c r="N241" s="95">
        <v>-7.66</v>
      </c>
      <c r="O241" s="95">
        <v>0</v>
      </c>
      <c r="P241" s="95">
        <v>-231.58</v>
      </c>
      <c r="Q241" s="95">
        <v>-0.39</v>
      </c>
      <c r="R241" s="95">
        <v>2.84</v>
      </c>
      <c r="S241" s="94"/>
      <c r="T241" s="95">
        <v>0</v>
      </c>
      <c r="U241" s="95">
        <v>0</v>
      </c>
      <c r="V241" s="94"/>
      <c r="W241" s="94"/>
      <c r="X241" s="95">
        <v>-383.09</v>
      </c>
      <c r="Y241" s="94"/>
      <c r="Z241" s="94"/>
      <c r="AA241" s="94"/>
      <c r="AB241" s="94"/>
      <c r="AC241" s="94"/>
      <c r="AD241" s="94"/>
      <c r="AE241" s="94"/>
      <c r="AF241" s="94"/>
      <c r="AG241" s="95">
        <v>0</v>
      </c>
      <c r="AH241" s="94"/>
      <c r="AI241" s="95">
        <v>-390.75</v>
      </c>
      <c r="AJ241" s="95">
        <v>0</v>
      </c>
    </row>
    <row r="242" spans="1:36" customFormat="1" ht="15.75" thickBot="1" x14ac:dyDescent="0.3">
      <c r="A242" s="90" t="s">
        <v>871</v>
      </c>
      <c r="B242" s="626" t="str">
        <f>VLOOKUP($D242,'Retail Rates'!$B$7:$D$38,2,FALSE)</f>
        <v>851</v>
      </c>
      <c r="C242" s="626" t="str">
        <f>VLOOKUP($D242,'Retail Rates'!$B$7:$D$38,3,FALSE)</f>
        <v>CGS</v>
      </c>
      <c r="D242" s="90" t="s">
        <v>26</v>
      </c>
      <c r="E242" s="90" t="s">
        <v>875</v>
      </c>
      <c r="F242" s="90" t="s">
        <v>20</v>
      </c>
      <c r="G242" s="90" t="s">
        <v>917</v>
      </c>
      <c r="H242" s="304">
        <v>69</v>
      </c>
      <c r="I242" s="93">
        <v>24699</v>
      </c>
      <c r="J242" s="93">
        <v>37978</v>
      </c>
      <c r="K242" s="93">
        <v>1565.33</v>
      </c>
      <c r="L242" s="93">
        <v>3240</v>
      </c>
      <c r="M242" s="93">
        <v>11579.22</v>
      </c>
      <c r="N242" s="93">
        <v>0</v>
      </c>
      <c r="O242" s="93">
        <v>0</v>
      </c>
      <c r="P242" s="93">
        <v>20271.64</v>
      </c>
      <c r="Q242" s="93">
        <v>35.72</v>
      </c>
      <c r="R242" s="93">
        <v>2275.86</v>
      </c>
      <c r="S242" s="92"/>
      <c r="T242" s="93">
        <v>1478.41</v>
      </c>
      <c r="U242" s="93">
        <v>0</v>
      </c>
      <c r="V242" s="92"/>
      <c r="W242" s="92"/>
      <c r="X242" s="93">
        <v>40446.18</v>
      </c>
      <c r="Y242" s="92"/>
      <c r="Z242" s="92"/>
      <c r="AA242" s="92"/>
      <c r="AB242" s="92"/>
      <c r="AC242" s="92"/>
      <c r="AD242" s="92"/>
      <c r="AE242" s="92"/>
      <c r="AF242" s="92"/>
      <c r="AG242" s="93">
        <v>97.35</v>
      </c>
      <c r="AH242" s="92"/>
      <c r="AI242" s="93">
        <v>40543.53</v>
      </c>
      <c r="AJ242" s="93">
        <v>0</v>
      </c>
    </row>
    <row r="243" spans="1:36" customFormat="1" ht="15.75" thickBot="1" x14ac:dyDescent="0.3">
      <c r="A243" s="90" t="s">
        <v>871</v>
      </c>
      <c r="B243" s="626" t="str">
        <f>VLOOKUP($D243,'Retail Rates'!$B$7:$D$38,2,FALSE)</f>
        <v>851</v>
      </c>
      <c r="C243" s="626" t="str">
        <f>VLOOKUP($D243,'Retail Rates'!$B$7:$D$38,3,FALSE)</f>
        <v>CGS</v>
      </c>
      <c r="D243" s="90" t="s">
        <v>26</v>
      </c>
      <c r="E243" s="90" t="s">
        <v>875</v>
      </c>
      <c r="F243" s="90" t="s">
        <v>20</v>
      </c>
      <c r="G243" s="90" t="s">
        <v>918</v>
      </c>
      <c r="H243" s="305">
        <v>1062</v>
      </c>
      <c r="I243" s="95">
        <v>248143</v>
      </c>
      <c r="J243" s="95">
        <v>213400</v>
      </c>
      <c r="K243" s="95">
        <v>32480</v>
      </c>
      <c r="L243" s="95">
        <v>45000</v>
      </c>
      <c r="M243" s="95">
        <v>88580.82</v>
      </c>
      <c r="N243" s="95">
        <v>136.44999999999999</v>
      </c>
      <c r="O243" s="95">
        <v>0</v>
      </c>
      <c r="P243" s="95">
        <v>155293.73000000001</v>
      </c>
      <c r="Q243" s="95">
        <v>262.8</v>
      </c>
      <c r="R243" s="94"/>
      <c r="S243" s="94"/>
      <c r="T243" s="95">
        <v>28368.32</v>
      </c>
      <c r="U243" s="95">
        <v>0</v>
      </c>
      <c r="V243" s="94"/>
      <c r="W243" s="94"/>
      <c r="X243" s="95">
        <v>349985.67</v>
      </c>
      <c r="Y243" s="94"/>
      <c r="Z243" s="94"/>
      <c r="AA243" s="94"/>
      <c r="AB243" s="94"/>
      <c r="AC243" s="94"/>
      <c r="AD243" s="94"/>
      <c r="AE243" s="94"/>
      <c r="AF243" s="94"/>
      <c r="AG243" s="95">
        <v>2223.42</v>
      </c>
      <c r="AH243" s="94"/>
      <c r="AI243" s="95">
        <v>352345.54</v>
      </c>
      <c r="AJ243" s="95">
        <v>0</v>
      </c>
    </row>
    <row r="244" spans="1:36" customFormat="1" ht="15.75" thickBot="1" x14ac:dyDescent="0.3">
      <c r="A244" s="90" t="s">
        <v>871</v>
      </c>
      <c r="B244" s="626" t="str">
        <f>VLOOKUP($D244,'Retail Rates'!$B$7:$D$38,2,FALSE)</f>
        <v>851</v>
      </c>
      <c r="C244" s="626" t="str">
        <f>VLOOKUP($D244,'Retail Rates'!$B$7:$D$38,3,FALSE)</f>
        <v>CGS</v>
      </c>
      <c r="D244" s="90" t="s">
        <v>26</v>
      </c>
      <c r="E244" s="90" t="s">
        <v>875</v>
      </c>
      <c r="F244" s="90" t="s">
        <v>28</v>
      </c>
      <c r="G244" s="90" t="s">
        <v>918</v>
      </c>
      <c r="H244" s="305">
        <v>13</v>
      </c>
      <c r="I244" s="95">
        <v>1412</v>
      </c>
      <c r="J244" s="95">
        <v>79</v>
      </c>
      <c r="K244" s="95">
        <v>520</v>
      </c>
      <c r="L244" s="94"/>
      <c r="M244" s="95">
        <v>316.7</v>
      </c>
      <c r="N244" s="95">
        <v>0</v>
      </c>
      <c r="O244" s="95">
        <v>0</v>
      </c>
      <c r="P244" s="95">
        <v>500.36</v>
      </c>
      <c r="Q244" s="95">
        <v>0.85</v>
      </c>
      <c r="R244" s="94"/>
      <c r="S244" s="94"/>
      <c r="T244" s="95">
        <v>346.81</v>
      </c>
      <c r="U244" s="95">
        <v>0</v>
      </c>
      <c r="V244" s="94"/>
      <c r="W244" s="94"/>
      <c r="X244" s="95">
        <v>1684.72</v>
      </c>
      <c r="Y244" s="94"/>
      <c r="Z244" s="94"/>
      <c r="AA244" s="94"/>
      <c r="AB244" s="94"/>
      <c r="AC244" s="94"/>
      <c r="AD244" s="94"/>
      <c r="AE244" s="94"/>
      <c r="AF244" s="94"/>
      <c r="AG244" s="95">
        <v>9.5500000000000007</v>
      </c>
      <c r="AH244" s="94"/>
      <c r="AI244" s="95">
        <v>1694.27</v>
      </c>
      <c r="AJ244" s="95">
        <v>0</v>
      </c>
    </row>
    <row r="245" spans="1:36" customFormat="1" ht="15.75" thickBot="1" x14ac:dyDescent="0.3">
      <c r="A245" s="90" t="s">
        <v>871</v>
      </c>
      <c r="B245" s="626" t="str">
        <f>VLOOKUP($D245,'Retail Rates'!$B$7:$D$38,2,FALSE)</f>
        <v>851</v>
      </c>
      <c r="C245" s="626" t="str">
        <f>VLOOKUP($D245,'Retail Rates'!$B$7:$D$38,3,FALSE)</f>
        <v>CGS</v>
      </c>
      <c r="D245" s="90" t="s">
        <v>707</v>
      </c>
      <c r="E245" s="90" t="s">
        <v>876</v>
      </c>
      <c r="F245" s="90" t="s">
        <v>17</v>
      </c>
      <c r="G245" s="90" t="s">
        <v>918</v>
      </c>
      <c r="H245" s="305">
        <v>1</v>
      </c>
      <c r="I245" s="95">
        <v>268</v>
      </c>
      <c r="J245" s="94"/>
      <c r="K245" s="95">
        <v>40</v>
      </c>
      <c r="L245" s="94"/>
      <c r="M245" s="95">
        <v>57.63</v>
      </c>
      <c r="N245" s="95">
        <v>0</v>
      </c>
      <c r="O245" s="95">
        <v>0</v>
      </c>
      <c r="P245" s="95">
        <v>93.04</v>
      </c>
      <c r="Q245" s="95">
        <v>0.15</v>
      </c>
      <c r="R245" s="94"/>
      <c r="S245" s="94"/>
      <c r="T245" s="95">
        <v>27.25</v>
      </c>
      <c r="U245" s="94"/>
      <c r="V245" s="94"/>
      <c r="W245" s="94"/>
      <c r="X245" s="95">
        <v>218.07</v>
      </c>
      <c r="Y245" s="94"/>
      <c r="Z245" s="94"/>
      <c r="AA245" s="94"/>
      <c r="AB245" s="94"/>
      <c r="AC245" s="94"/>
      <c r="AD245" s="94"/>
      <c r="AE245" s="94"/>
      <c r="AF245" s="94"/>
      <c r="AG245" s="95">
        <v>13.08</v>
      </c>
      <c r="AH245" s="94"/>
      <c r="AI245" s="95">
        <v>231.15</v>
      </c>
      <c r="AJ245" s="95">
        <v>0</v>
      </c>
    </row>
    <row r="246" spans="1:36" customFormat="1" ht="15.75" thickBot="1" x14ac:dyDescent="0.3">
      <c r="A246" s="90" t="s">
        <v>871</v>
      </c>
      <c r="B246" s="626" t="str">
        <f>VLOOKUP($D246,'Retail Rates'!$B$7:$D$38,2,FALSE)</f>
        <v>865</v>
      </c>
      <c r="C246" s="626" t="str">
        <f>VLOOKUP($D246,'Retail Rates'!$B$7:$D$38,3,FALSE)</f>
        <v>AAGS-C</v>
      </c>
      <c r="D246" s="90" t="s">
        <v>18</v>
      </c>
      <c r="E246" s="90" t="s">
        <v>453</v>
      </c>
      <c r="F246" s="90" t="s">
        <v>17</v>
      </c>
      <c r="G246" s="90" t="s">
        <v>918</v>
      </c>
      <c r="H246" s="304">
        <v>1</v>
      </c>
      <c r="I246" s="93">
        <v>15105</v>
      </c>
      <c r="J246" s="92"/>
      <c r="K246" s="93">
        <v>400</v>
      </c>
      <c r="L246" s="92"/>
      <c r="M246" s="93">
        <v>1058.71</v>
      </c>
      <c r="N246" s="93">
        <v>0</v>
      </c>
      <c r="O246" s="93">
        <v>0</v>
      </c>
      <c r="P246" s="93">
        <v>5004.8100000000004</v>
      </c>
      <c r="Q246" s="93">
        <v>8.61</v>
      </c>
      <c r="R246" s="92"/>
      <c r="S246" s="92"/>
      <c r="T246" s="93">
        <v>2741.73</v>
      </c>
      <c r="U246" s="93">
        <v>0</v>
      </c>
      <c r="V246" s="92"/>
      <c r="W246" s="92"/>
      <c r="X246" s="93">
        <v>9213.86</v>
      </c>
      <c r="Y246" s="92"/>
      <c r="Z246" s="92"/>
      <c r="AA246" s="92"/>
      <c r="AB246" s="92"/>
      <c r="AC246" s="92"/>
      <c r="AD246" s="92"/>
      <c r="AE246" s="92"/>
      <c r="AF246" s="92"/>
      <c r="AG246" s="93">
        <v>552.83000000000004</v>
      </c>
      <c r="AH246" s="92"/>
      <c r="AI246" s="93">
        <v>9766.69</v>
      </c>
      <c r="AJ246" s="93">
        <v>0</v>
      </c>
    </row>
    <row r="247" spans="1:36" customFormat="1" ht="15.75" thickBot="1" x14ac:dyDescent="0.3">
      <c r="A247" s="90" t="s">
        <v>871</v>
      </c>
      <c r="B247" s="626" t="str">
        <f>VLOOKUP($D247,'Retail Rates'!$B$7:$D$38,2,FALSE)</f>
        <v>865</v>
      </c>
      <c r="C247" s="626" t="str">
        <f>VLOOKUP($D247,'Retail Rates'!$B$7:$D$38,3,FALSE)</f>
        <v>AAGS-C</v>
      </c>
      <c r="D247" s="90" t="s">
        <v>18</v>
      </c>
      <c r="E247" s="90" t="s">
        <v>453</v>
      </c>
      <c r="F247" s="90" t="s">
        <v>20</v>
      </c>
      <c r="G247" s="90" t="s">
        <v>918</v>
      </c>
      <c r="H247" s="305">
        <v>1</v>
      </c>
      <c r="I247" s="95">
        <v>20117</v>
      </c>
      <c r="J247" s="94"/>
      <c r="K247" s="95">
        <v>400</v>
      </c>
      <c r="L247" s="94"/>
      <c r="M247" s="95">
        <v>1410</v>
      </c>
      <c r="N247" s="95">
        <v>0</v>
      </c>
      <c r="O247" s="95">
        <v>0</v>
      </c>
      <c r="P247" s="95">
        <v>6934.44</v>
      </c>
      <c r="Q247" s="95">
        <v>11.47</v>
      </c>
      <c r="R247" s="94"/>
      <c r="S247" s="94"/>
      <c r="T247" s="95">
        <v>2810.64</v>
      </c>
      <c r="U247" s="95">
        <v>0</v>
      </c>
      <c r="V247" s="94"/>
      <c r="W247" s="94"/>
      <c r="X247" s="95">
        <v>11566.55</v>
      </c>
      <c r="Y247" s="94"/>
      <c r="Z247" s="94"/>
      <c r="AA247" s="94"/>
      <c r="AB247" s="94"/>
      <c r="AC247" s="94"/>
      <c r="AD247" s="94"/>
      <c r="AE247" s="94"/>
      <c r="AF247" s="94"/>
      <c r="AG247" s="95">
        <v>0</v>
      </c>
      <c r="AH247" s="94"/>
      <c r="AI247" s="95">
        <v>11566.55</v>
      </c>
      <c r="AJ247" s="95">
        <v>0</v>
      </c>
    </row>
    <row r="248" spans="1:36" customFormat="1" ht="15.75" thickBot="1" x14ac:dyDescent="0.3">
      <c r="A248" s="90" t="s">
        <v>871</v>
      </c>
      <c r="B248" s="626" t="str">
        <f>VLOOKUP($D248,'Retail Rates'!$B$7:$D$38,2,FALSE)</f>
        <v>875</v>
      </c>
      <c r="C248" s="626" t="str">
        <f>VLOOKUP($D248,'Retail Rates'!$B$7:$D$38,3,FALSE)</f>
        <v>DGGS-C</v>
      </c>
      <c r="D248" s="90" t="s">
        <v>68</v>
      </c>
      <c r="E248" s="90" t="s">
        <v>877</v>
      </c>
      <c r="F248" s="90" t="s">
        <v>17</v>
      </c>
      <c r="G248" s="90" t="s">
        <v>918</v>
      </c>
      <c r="H248" s="305">
        <v>1</v>
      </c>
      <c r="I248" s="95">
        <v>6</v>
      </c>
      <c r="J248" s="94"/>
      <c r="K248" s="95">
        <v>40</v>
      </c>
      <c r="L248" s="94"/>
      <c r="M248" s="95">
        <v>0.2</v>
      </c>
      <c r="N248" s="95">
        <v>0</v>
      </c>
      <c r="O248" s="95">
        <v>0</v>
      </c>
      <c r="P248" s="95">
        <v>2.06</v>
      </c>
      <c r="Q248" s="94"/>
      <c r="R248" s="94"/>
      <c r="S248" s="94"/>
      <c r="T248" s="95">
        <v>0</v>
      </c>
      <c r="U248" s="94"/>
      <c r="V248" s="94"/>
      <c r="W248" s="95">
        <v>544</v>
      </c>
      <c r="X248" s="95">
        <v>586.26</v>
      </c>
      <c r="Y248" s="94"/>
      <c r="Z248" s="94"/>
      <c r="AA248" s="94"/>
      <c r="AB248" s="94"/>
      <c r="AC248" s="94"/>
      <c r="AD248" s="94"/>
      <c r="AE248" s="94"/>
      <c r="AF248" s="94"/>
      <c r="AG248" s="95">
        <v>35.18</v>
      </c>
      <c r="AH248" s="94"/>
      <c r="AI248" s="95">
        <v>621.44000000000005</v>
      </c>
      <c r="AJ248" s="95">
        <v>0</v>
      </c>
    </row>
    <row r="249" spans="1:36" customFormat="1" ht="15.75" thickBot="1" x14ac:dyDescent="0.3">
      <c r="A249" s="90" t="s">
        <v>871</v>
      </c>
      <c r="B249" s="626" t="str">
        <f>VLOOKUP($D249,'Retail Rates'!$B$7:$D$38,2,FALSE)</f>
        <v>895</v>
      </c>
      <c r="C249" s="626" t="str">
        <f>VLOOKUP($D249,'Retail Rates'!$B$7:$D$38,3,FALSE)</f>
        <v>FT-C</v>
      </c>
      <c r="D249" s="90" t="s">
        <v>50</v>
      </c>
      <c r="E249" s="90" t="s">
        <v>881</v>
      </c>
      <c r="F249" s="90" t="s">
        <v>661</v>
      </c>
      <c r="G249" s="90" t="s">
        <v>917</v>
      </c>
      <c r="H249" s="304">
        <v>8</v>
      </c>
      <c r="I249" s="93">
        <v>418572</v>
      </c>
      <c r="J249" s="92"/>
      <c r="K249" s="92"/>
      <c r="L249" s="92"/>
      <c r="M249" s="92"/>
      <c r="N249" s="93">
        <v>0</v>
      </c>
      <c r="O249" s="93">
        <v>0</v>
      </c>
      <c r="P249" s="92"/>
      <c r="Q249" s="92"/>
      <c r="R249" s="92"/>
      <c r="S249" s="92"/>
      <c r="T249" s="92"/>
      <c r="U249" s="92"/>
      <c r="V249" s="92"/>
      <c r="W249" s="92"/>
      <c r="X249" s="92"/>
      <c r="Y249" s="93">
        <v>0</v>
      </c>
      <c r="Z249" s="92"/>
      <c r="AA249" s="93">
        <v>18245.55</v>
      </c>
      <c r="AB249" s="93">
        <v>0</v>
      </c>
      <c r="AC249" s="92"/>
      <c r="AD249" s="92"/>
      <c r="AE249" s="93">
        <v>4400</v>
      </c>
      <c r="AF249" s="93">
        <v>0</v>
      </c>
      <c r="AG249" s="93">
        <v>398.88</v>
      </c>
      <c r="AH249" s="92"/>
      <c r="AI249" s="93">
        <v>23044.43</v>
      </c>
      <c r="AJ249" s="93">
        <v>0</v>
      </c>
    </row>
    <row r="250" spans="1:36" customFormat="1" ht="15.75" thickBot="1" x14ac:dyDescent="0.3">
      <c r="A250" s="90" t="s">
        <v>871</v>
      </c>
      <c r="B250" s="626" t="str">
        <f>VLOOKUP($D250,'Retail Rates'!$B$7:$D$38,2,FALSE)</f>
        <v>895</v>
      </c>
      <c r="C250" s="626" t="str">
        <f>VLOOKUP($D250,'Retail Rates'!$B$7:$D$38,3,FALSE)</f>
        <v>FT-C</v>
      </c>
      <c r="D250" s="90" t="s">
        <v>50</v>
      </c>
      <c r="E250" s="90" t="s">
        <v>881</v>
      </c>
      <c r="F250" s="90" t="s">
        <v>662</v>
      </c>
      <c r="G250" s="90" t="s">
        <v>917</v>
      </c>
      <c r="H250" s="305">
        <v>2</v>
      </c>
      <c r="I250" s="95">
        <v>120702</v>
      </c>
      <c r="J250" s="94"/>
      <c r="K250" s="94"/>
      <c r="L250" s="94"/>
      <c r="M250" s="94"/>
      <c r="N250" s="95">
        <v>0</v>
      </c>
      <c r="O250" s="95">
        <v>0</v>
      </c>
      <c r="P250" s="94"/>
      <c r="Q250" s="94"/>
      <c r="R250" s="94"/>
      <c r="S250" s="94"/>
      <c r="T250" s="94"/>
      <c r="U250" s="94"/>
      <c r="V250" s="94"/>
      <c r="W250" s="94"/>
      <c r="X250" s="94"/>
      <c r="Y250" s="95">
        <v>107.29</v>
      </c>
      <c r="Z250" s="94"/>
      <c r="AA250" s="95">
        <v>5628.34</v>
      </c>
      <c r="AB250" s="95">
        <v>-577.16</v>
      </c>
      <c r="AC250" s="95">
        <v>-13.68</v>
      </c>
      <c r="AD250" s="94"/>
      <c r="AE250" s="95">
        <v>1100</v>
      </c>
      <c r="AF250" s="95">
        <v>174.49</v>
      </c>
      <c r="AG250" s="95">
        <v>130.18</v>
      </c>
      <c r="AH250" s="94"/>
      <c r="AI250" s="95">
        <v>6374.97</v>
      </c>
      <c r="AJ250" s="306">
        <v>-174.49</v>
      </c>
    </row>
    <row r="251" spans="1:36" customFormat="1" ht="15.75" thickBot="1" x14ac:dyDescent="0.3">
      <c r="A251" s="90" t="s">
        <v>871</v>
      </c>
      <c r="B251" s="626" t="str">
        <f>VLOOKUP($D251,'Retail Rates'!$B$7:$D$38,2,FALSE)</f>
        <v>855</v>
      </c>
      <c r="C251" s="626" t="str">
        <f>VLOOKUP($D251,'Retail Rates'!$B$7:$D$38,3,FALSE)</f>
        <v>IGS Opt Out</v>
      </c>
      <c r="D251" s="90" t="s">
        <v>31</v>
      </c>
      <c r="E251" s="90" t="s">
        <v>880</v>
      </c>
      <c r="F251" s="90" t="s">
        <v>21</v>
      </c>
      <c r="G251" s="90" t="s">
        <v>914</v>
      </c>
      <c r="H251" s="305">
        <v>1</v>
      </c>
      <c r="I251" s="95">
        <v>-1037</v>
      </c>
      <c r="J251" s="94"/>
      <c r="K251" s="95">
        <v>0</v>
      </c>
      <c r="L251" s="94"/>
      <c r="M251" s="95">
        <v>-236.22</v>
      </c>
      <c r="N251" s="95">
        <v>-11.45</v>
      </c>
      <c r="O251" s="95">
        <v>0</v>
      </c>
      <c r="P251" s="95">
        <v>-336.3</v>
      </c>
      <c r="Q251" s="94"/>
      <c r="R251" s="94"/>
      <c r="S251" s="94"/>
      <c r="T251" s="95">
        <v>0</v>
      </c>
      <c r="U251" s="94"/>
      <c r="V251" s="94"/>
      <c r="W251" s="94"/>
      <c r="X251" s="95">
        <v>-572.52</v>
      </c>
      <c r="Y251" s="94"/>
      <c r="Z251" s="94"/>
      <c r="AA251" s="94"/>
      <c r="AB251" s="94"/>
      <c r="AC251" s="94"/>
      <c r="AD251" s="94"/>
      <c r="AE251" s="94"/>
      <c r="AF251" s="94"/>
      <c r="AG251" s="95">
        <v>-35.04</v>
      </c>
      <c r="AH251" s="94"/>
      <c r="AI251" s="95">
        <v>-619.01</v>
      </c>
      <c r="AJ251" s="95">
        <v>0</v>
      </c>
    </row>
    <row r="252" spans="1:36" customFormat="1" ht="15.75" thickBot="1" x14ac:dyDescent="0.3">
      <c r="A252" s="90" t="s">
        <v>871</v>
      </c>
      <c r="B252" s="626" t="str">
        <f>VLOOKUP($D252,'Retail Rates'!$B$7:$D$38,2,FALSE)</f>
        <v>855</v>
      </c>
      <c r="C252" s="626" t="str">
        <f>VLOOKUP($D252,'Retail Rates'!$B$7:$D$38,3,FALSE)</f>
        <v>IGS Opt Out</v>
      </c>
      <c r="D252" s="90" t="s">
        <v>31</v>
      </c>
      <c r="E252" s="90" t="s">
        <v>880</v>
      </c>
      <c r="F252" s="90" t="s">
        <v>21</v>
      </c>
      <c r="G252" s="90" t="s">
        <v>915</v>
      </c>
      <c r="H252" s="304">
        <v>1</v>
      </c>
      <c r="I252" s="93">
        <v>-563</v>
      </c>
      <c r="J252" s="92"/>
      <c r="K252" s="93">
        <v>0</v>
      </c>
      <c r="L252" s="92"/>
      <c r="M252" s="93">
        <v>-128.24</v>
      </c>
      <c r="N252" s="93">
        <v>-6.21</v>
      </c>
      <c r="O252" s="93">
        <v>0</v>
      </c>
      <c r="P252" s="93">
        <v>-182.09</v>
      </c>
      <c r="Q252" s="92"/>
      <c r="R252" s="92"/>
      <c r="S252" s="92"/>
      <c r="T252" s="93">
        <v>0</v>
      </c>
      <c r="U252" s="92"/>
      <c r="V252" s="92"/>
      <c r="W252" s="92"/>
      <c r="X252" s="93">
        <v>-310.33</v>
      </c>
      <c r="Y252" s="92"/>
      <c r="Z252" s="92"/>
      <c r="AA252" s="92"/>
      <c r="AB252" s="92"/>
      <c r="AC252" s="92"/>
      <c r="AD252" s="92"/>
      <c r="AE252" s="92"/>
      <c r="AF252" s="92"/>
      <c r="AG252" s="93">
        <v>-18.989999999999998</v>
      </c>
      <c r="AH252" s="92"/>
      <c r="AI252" s="93">
        <v>-335.53</v>
      </c>
      <c r="AJ252" s="93">
        <v>0</v>
      </c>
    </row>
    <row r="253" spans="1:36" customFormat="1" ht="15.75" thickBot="1" x14ac:dyDescent="0.3">
      <c r="A253" s="90" t="s">
        <v>871</v>
      </c>
      <c r="B253" s="626" t="str">
        <f>VLOOKUP($D253,'Retail Rates'!$B$7:$D$38,2,FALSE)</f>
        <v>855</v>
      </c>
      <c r="C253" s="626" t="str">
        <f>VLOOKUP($D253,'Retail Rates'!$B$7:$D$38,3,FALSE)</f>
        <v>IGS Opt Out</v>
      </c>
      <c r="D253" s="90" t="s">
        <v>31</v>
      </c>
      <c r="E253" s="90" t="s">
        <v>880</v>
      </c>
      <c r="F253" s="90" t="s">
        <v>21</v>
      </c>
      <c r="G253" s="90" t="s">
        <v>917</v>
      </c>
      <c r="H253" s="305">
        <v>3</v>
      </c>
      <c r="I253" s="95">
        <v>-782</v>
      </c>
      <c r="J253" s="95">
        <v>-92</v>
      </c>
      <c r="K253" s="95">
        <v>40</v>
      </c>
      <c r="L253" s="94"/>
      <c r="M253" s="95">
        <v>-194.49</v>
      </c>
      <c r="N253" s="95">
        <v>0</v>
      </c>
      <c r="O253" s="95">
        <v>0</v>
      </c>
      <c r="P253" s="95">
        <v>-282.68</v>
      </c>
      <c r="Q253" s="94"/>
      <c r="R253" s="94"/>
      <c r="S253" s="94"/>
      <c r="T253" s="95">
        <v>245.08</v>
      </c>
      <c r="U253" s="94"/>
      <c r="V253" s="94"/>
      <c r="W253" s="94"/>
      <c r="X253" s="95">
        <v>-192.09</v>
      </c>
      <c r="Y253" s="94"/>
      <c r="Z253" s="94"/>
      <c r="AA253" s="94"/>
      <c r="AB253" s="94"/>
      <c r="AC253" s="94"/>
      <c r="AD253" s="94"/>
      <c r="AE253" s="94"/>
      <c r="AF253" s="94"/>
      <c r="AG253" s="95">
        <v>-11.53</v>
      </c>
      <c r="AH253" s="94"/>
      <c r="AI253" s="95">
        <v>-203.62</v>
      </c>
      <c r="AJ253" s="95">
        <v>0</v>
      </c>
    </row>
    <row r="254" spans="1:36" customFormat="1" ht="15.75" thickBot="1" x14ac:dyDescent="0.3">
      <c r="A254" s="90" t="s">
        <v>871</v>
      </c>
      <c r="B254" s="626" t="str">
        <f>VLOOKUP($D254,'Retail Rates'!$B$7:$D$38,2,FALSE)</f>
        <v>855</v>
      </c>
      <c r="C254" s="626" t="str">
        <f>VLOOKUP($D254,'Retail Rates'!$B$7:$D$38,3,FALSE)</f>
        <v>IGS Opt Out</v>
      </c>
      <c r="D254" s="90" t="s">
        <v>31</v>
      </c>
      <c r="E254" s="90" t="s">
        <v>880</v>
      </c>
      <c r="F254" s="90" t="s">
        <v>21</v>
      </c>
      <c r="G254" s="90" t="s">
        <v>918</v>
      </c>
      <c r="H254" s="304">
        <v>201</v>
      </c>
      <c r="I254" s="93">
        <v>101864</v>
      </c>
      <c r="J254" s="93">
        <v>653885</v>
      </c>
      <c r="K254" s="93">
        <v>3960.15</v>
      </c>
      <c r="L254" s="93">
        <v>18539.580000000002</v>
      </c>
      <c r="M254" s="93">
        <v>139457.82</v>
      </c>
      <c r="N254" s="93">
        <v>0</v>
      </c>
      <c r="O254" s="93">
        <v>0</v>
      </c>
      <c r="P254" s="93">
        <v>253395.97</v>
      </c>
      <c r="Q254" s="92"/>
      <c r="R254" s="92"/>
      <c r="S254" s="92"/>
      <c r="T254" s="93">
        <v>51216.28</v>
      </c>
      <c r="U254" s="92"/>
      <c r="V254" s="92"/>
      <c r="W254" s="92"/>
      <c r="X254" s="93">
        <v>466569.8</v>
      </c>
      <c r="Y254" s="92"/>
      <c r="Z254" s="92"/>
      <c r="AA254" s="92"/>
      <c r="AB254" s="92"/>
      <c r="AC254" s="92"/>
      <c r="AD254" s="92"/>
      <c r="AE254" s="92"/>
      <c r="AF254" s="92"/>
      <c r="AG254" s="93">
        <v>26278.720000000001</v>
      </c>
      <c r="AH254" s="92"/>
      <c r="AI254" s="93">
        <v>492848.52</v>
      </c>
      <c r="AJ254" s="93">
        <v>0</v>
      </c>
    </row>
    <row r="255" spans="1:36" customFormat="1" ht="15.75" thickBot="1" x14ac:dyDescent="0.3">
      <c r="A255" s="90" t="s">
        <v>871</v>
      </c>
      <c r="B255" s="626" t="str">
        <f>VLOOKUP($D255,'Retail Rates'!$B$7:$D$38,2,FALSE)</f>
        <v>855</v>
      </c>
      <c r="C255" s="626" t="str">
        <f>VLOOKUP($D255,'Retail Rates'!$B$7:$D$38,3,FALSE)</f>
        <v>IGS Opt Out</v>
      </c>
      <c r="D255" s="90" t="s">
        <v>31</v>
      </c>
      <c r="E255" s="90" t="s">
        <v>880</v>
      </c>
      <c r="F255" s="90" t="s">
        <v>17</v>
      </c>
      <c r="G255" s="90" t="s">
        <v>918</v>
      </c>
      <c r="H255" s="304">
        <v>19</v>
      </c>
      <c r="I255" s="93">
        <v>7100</v>
      </c>
      <c r="J255" s="93">
        <v>11993</v>
      </c>
      <c r="K255" s="93">
        <v>600.04</v>
      </c>
      <c r="L255" s="93">
        <v>719.98</v>
      </c>
      <c r="M255" s="93">
        <v>3749.56</v>
      </c>
      <c r="N255" s="93">
        <v>0</v>
      </c>
      <c r="O255" s="93">
        <v>0</v>
      </c>
      <c r="P255" s="93">
        <v>6487.03</v>
      </c>
      <c r="Q255" s="92"/>
      <c r="R255" s="92"/>
      <c r="S255" s="92"/>
      <c r="T255" s="93">
        <v>4804.3900000000003</v>
      </c>
      <c r="U255" s="92"/>
      <c r="V255" s="92"/>
      <c r="W255" s="92"/>
      <c r="X255" s="93">
        <v>16361</v>
      </c>
      <c r="Y255" s="92"/>
      <c r="Z255" s="92"/>
      <c r="AA255" s="92"/>
      <c r="AB255" s="92"/>
      <c r="AC255" s="92"/>
      <c r="AD255" s="92"/>
      <c r="AE255" s="92"/>
      <c r="AF255" s="92"/>
      <c r="AG255" s="93">
        <v>821.04</v>
      </c>
      <c r="AH255" s="92"/>
      <c r="AI255" s="93">
        <v>17182.04</v>
      </c>
      <c r="AJ255" s="93">
        <v>0</v>
      </c>
    </row>
    <row r="256" spans="1:36" customFormat="1" ht="15.75" thickBot="1" x14ac:dyDescent="0.3">
      <c r="A256" s="90" t="s">
        <v>871</v>
      </c>
      <c r="B256" s="626" t="str">
        <f>VLOOKUP($D256,'Retail Rates'!$B$7:$D$38,2,FALSE)</f>
        <v>855</v>
      </c>
      <c r="C256" s="626" t="str">
        <f>VLOOKUP($D256,'Retail Rates'!$B$7:$D$38,3,FALSE)</f>
        <v>IGS</v>
      </c>
      <c r="D256" s="90" t="s">
        <v>878</v>
      </c>
      <c r="E256" s="90" t="s">
        <v>879</v>
      </c>
      <c r="F256" s="90" t="s">
        <v>21</v>
      </c>
      <c r="G256" s="90" t="s">
        <v>918</v>
      </c>
      <c r="H256" s="304">
        <v>14</v>
      </c>
      <c r="I256" s="93">
        <v>3724</v>
      </c>
      <c r="J256" s="93">
        <v>44191</v>
      </c>
      <c r="K256" s="93">
        <v>400.02</v>
      </c>
      <c r="L256" s="93">
        <v>720</v>
      </c>
      <c r="M256" s="93">
        <v>8705.01</v>
      </c>
      <c r="N256" s="93">
        <v>0</v>
      </c>
      <c r="O256" s="93">
        <v>0</v>
      </c>
      <c r="P256" s="93">
        <v>16752.73</v>
      </c>
      <c r="Q256" s="93">
        <v>0</v>
      </c>
      <c r="R256" s="92"/>
      <c r="S256" s="92"/>
      <c r="T256" s="93">
        <v>3630.65</v>
      </c>
      <c r="U256" s="92"/>
      <c r="V256" s="92"/>
      <c r="W256" s="92"/>
      <c r="X256" s="93">
        <v>30208.41</v>
      </c>
      <c r="Y256" s="92"/>
      <c r="Z256" s="92"/>
      <c r="AA256" s="92"/>
      <c r="AB256" s="92"/>
      <c r="AC256" s="92"/>
      <c r="AD256" s="92"/>
      <c r="AE256" s="92"/>
      <c r="AF256" s="92"/>
      <c r="AG256" s="93">
        <v>1789.83</v>
      </c>
      <c r="AH256" s="92"/>
      <c r="AI256" s="93">
        <v>31998.240000000002</v>
      </c>
      <c r="AJ256" s="93">
        <v>0</v>
      </c>
    </row>
    <row r="257" spans="1:36" customFormat="1" ht="15.75" thickBot="1" x14ac:dyDescent="0.3">
      <c r="A257" s="90" t="s">
        <v>871</v>
      </c>
      <c r="B257" s="626" t="str">
        <f>VLOOKUP($D257,'Retail Rates'!$B$7:$D$38,2,FALSE)</f>
        <v>855</v>
      </c>
      <c r="C257" s="626" t="str">
        <f>VLOOKUP($D257,'Retail Rates'!$B$7:$D$38,3,FALSE)</f>
        <v>IGS</v>
      </c>
      <c r="D257" s="90" t="s">
        <v>878</v>
      </c>
      <c r="E257" s="90" t="s">
        <v>879</v>
      </c>
      <c r="F257" s="90" t="s">
        <v>17</v>
      </c>
      <c r="G257" s="90" t="s">
        <v>918</v>
      </c>
      <c r="H257" s="305">
        <v>2</v>
      </c>
      <c r="I257" s="95">
        <v>1004</v>
      </c>
      <c r="J257" s="95">
        <v>6928</v>
      </c>
      <c r="K257" s="95">
        <v>40</v>
      </c>
      <c r="L257" s="95">
        <v>180</v>
      </c>
      <c r="M257" s="95">
        <v>1460.43</v>
      </c>
      <c r="N257" s="95">
        <v>0</v>
      </c>
      <c r="O257" s="95">
        <v>0</v>
      </c>
      <c r="P257" s="95">
        <v>2772.19</v>
      </c>
      <c r="Q257" s="95">
        <v>0</v>
      </c>
      <c r="R257" s="94"/>
      <c r="S257" s="94"/>
      <c r="T257" s="95">
        <v>519.08000000000004</v>
      </c>
      <c r="U257" s="94"/>
      <c r="V257" s="94"/>
      <c r="W257" s="94"/>
      <c r="X257" s="95">
        <v>4971.7</v>
      </c>
      <c r="Y257" s="94"/>
      <c r="Z257" s="94"/>
      <c r="AA257" s="94"/>
      <c r="AB257" s="94"/>
      <c r="AC257" s="94"/>
      <c r="AD257" s="94"/>
      <c r="AE257" s="94"/>
      <c r="AF257" s="94"/>
      <c r="AG257" s="95">
        <v>298.3</v>
      </c>
      <c r="AH257" s="94"/>
      <c r="AI257" s="95">
        <v>5270</v>
      </c>
      <c r="AJ257" s="95">
        <v>0</v>
      </c>
    </row>
    <row r="258" spans="1:36" customFormat="1" ht="15.75" thickBot="1" x14ac:dyDescent="0.3">
      <c r="A258" s="90" t="s">
        <v>871</v>
      </c>
      <c r="B258" s="626" t="str">
        <f>VLOOKUP($D258,'Retail Rates'!$B$7:$D$38,2,FALSE)</f>
        <v>866</v>
      </c>
      <c r="C258" s="626" t="str">
        <f>VLOOKUP($D258,'Retail Rates'!$B$7:$D$38,3,FALSE)</f>
        <v>AAGS-I</v>
      </c>
      <c r="D258" s="90" t="s">
        <v>22</v>
      </c>
      <c r="E258" s="90" t="s">
        <v>874</v>
      </c>
      <c r="F258" s="90" t="s">
        <v>21</v>
      </c>
      <c r="G258" s="90" t="s">
        <v>918</v>
      </c>
      <c r="H258" s="305">
        <v>1</v>
      </c>
      <c r="I258" s="95">
        <v>33102</v>
      </c>
      <c r="J258" s="94"/>
      <c r="K258" s="95">
        <v>400</v>
      </c>
      <c r="L258" s="94"/>
      <c r="M258" s="95">
        <v>2320.12</v>
      </c>
      <c r="N258" s="95">
        <v>0</v>
      </c>
      <c r="O258" s="94"/>
      <c r="P258" s="95">
        <v>11537.01</v>
      </c>
      <c r="Q258" s="94"/>
      <c r="R258" s="94"/>
      <c r="S258" s="94"/>
      <c r="T258" s="95">
        <v>2833.49</v>
      </c>
      <c r="U258" s="95">
        <v>0</v>
      </c>
      <c r="V258" s="94"/>
      <c r="W258" s="94"/>
      <c r="X258" s="95">
        <v>17090.62</v>
      </c>
      <c r="Y258" s="94"/>
      <c r="Z258" s="94"/>
      <c r="AA258" s="94"/>
      <c r="AB258" s="94"/>
      <c r="AC258" s="94"/>
      <c r="AD258" s="94"/>
      <c r="AE258" s="94"/>
      <c r="AF258" s="94"/>
      <c r="AG258" s="95">
        <v>0</v>
      </c>
      <c r="AH258" s="94"/>
      <c r="AI258" s="95">
        <v>17090.62</v>
      </c>
      <c r="AJ258" s="95">
        <v>0</v>
      </c>
    </row>
    <row r="259" spans="1:36" customFormat="1" ht="15.75" thickBot="1" x14ac:dyDescent="0.3">
      <c r="A259" s="90" t="s">
        <v>871</v>
      </c>
      <c r="B259" s="626" t="str">
        <f>VLOOKUP($D259,'Retail Rates'!$B$7:$D$38,2,FALSE)</f>
        <v>866</v>
      </c>
      <c r="C259" s="626" t="str">
        <f>VLOOKUP($D259,'Retail Rates'!$B$7:$D$38,3,FALSE)</f>
        <v>AAGS-I</v>
      </c>
      <c r="D259" s="90" t="s">
        <v>872</v>
      </c>
      <c r="E259" s="90" t="s">
        <v>873</v>
      </c>
      <c r="F259" s="90" t="s">
        <v>21</v>
      </c>
      <c r="G259" s="90" t="s">
        <v>918</v>
      </c>
      <c r="H259" s="304">
        <v>1</v>
      </c>
      <c r="I259" s="93">
        <v>28839</v>
      </c>
      <c r="J259" s="92"/>
      <c r="K259" s="93">
        <v>400</v>
      </c>
      <c r="L259" s="92"/>
      <c r="M259" s="93">
        <v>2021.33</v>
      </c>
      <c r="N259" s="93">
        <v>0</v>
      </c>
      <c r="O259" s="93">
        <v>0</v>
      </c>
      <c r="P259" s="93">
        <v>10079.08</v>
      </c>
      <c r="Q259" s="93">
        <v>0</v>
      </c>
      <c r="R259" s="92"/>
      <c r="S259" s="92"/>
      <c r="T259" s="93">
        <v>2838.87</v>
      </c>
      <c r="U259" s="92"/>
      <c r="V259" s="92"/>
      <c r="W259" s="92"/>
      <c r="X259" s="93">
        <v>15339.28</v>
      </c>
      <c r="Y259" s="92"/>
      <c r="Z259" s="92"/>
      <c r="AA259" s="92"/>
      <c r="AB259" s="92"/>
      <c r="AC259" s="92"/>
      <c r="AD259" s="92"/>
      <c r="AE259" s="92"/>
      <c r="AF259" s="92"/>
      <c r="AG259" s="93">
        <v>0</v>
      </c>
      <c r="AH259" s="92"/>
      <c r="AI259" s="93">
        <v>15339.28</v>
      </c>
      <c r="AJ259" s="93">
        <v>0</v>
      </c>
    </row>
    <row r="260" spans="1:36" customFormat="1" ht="15.75" thickBot="1" x14ac:dyDescent="0.3">
      <c r="A260" s="90" t="s">
        <v>871</v>
      </c>
      <c r="B260" s="626" t="str">
        <f>VLOOKUP($D260,'Retail Rates'!$B$7:$D$38,2,FALSE)</f>
        <v>882</v>
      </c>
      <c r="C260" s="626" t="str">
        <f>VLOOKUP($D260,'Retail Rates'!$B$7:$D$38,3,FALSE)</f>
        <v>IGS-TS-2</v>
      </c>
      <c r="D260" s="90" t="s">
        <v>42</v>
      </c>
      <c r="E260" s="90" t="s">
        <v>884</v>
      </c>
      <c r="F260" s="90" t="s">
        <v>663</v>
      </c>
      <c r="G260" s="90" t="s">
        <v>915</v>
      </c>
      <c r="H260" s="305">
        <v>1</v>
      </c>
      <c r="I260" s="95">
        <v>12572</v>
      </c>
      <c r="J260" s="94"/>
      <c r="K260" s="94"/>
      <c r="L260" s="94"/>
      <c r="M260" s="94"/>
      <c r="N260" s="95">
        <v>78.31</v>
      </c>
      <c r="O260" s="95">
        <v>0</v>
      </c>
      <c r="P260" s="94"/>
      <c r="Q260" s="94"/>
      <c r="R260" s="94"/>
      <c r="S260" s="94"/>
      <c r="T260" s="95">
        <v>0</v>
      </c>
      <c r="U260" s="94"/>
      <c r="V260" s="94"/>
      <c r="W260" s="94"/>
      <c r="X260" s="95">
        <v>0</v>
      </c>
      <c r="Y260" s="94"/>
      <c r="Z260" s="94"/>
      <c r="AA260" s="95">
        <v>3915.43</v>
      </c>
      <c r="AB260" s="95">
        <v>0</v>
      </c>
      <c r="AC260" s="94"/>
      <c r="AD260" s="95">
        <v>0</v>
      </c>
      <c r="AE260" s="95">
        <v>0</v>
      </c>
      <c r="AF260" s="94"/>
      <c r="AG260" s="95">
        <v>0</v>
      </c>
      <c r="AH260" s="94"/>
      <c r="AI260" s="95">
        <v>3993.74</v>
      </c>
      <c r="AJ260" s="95">
        <v>0</v>
      </c>
    </row>
    <row r="261" spans="1:36" customFormat="1" ht="15.75" thickBot="1" x14ac:dyDescent="0.3">
      <c r="A261" s="90" t="s">
        <v>871</v>
      </c>
      <c r="B261" s="626" t="str">
        <f>VLOOKUP($D261,'Retail Rates'!$B$7:$D$38,2,FALSE)</f>
        <v>882</v>
      </c>
      <c r="C261" s="626" t="str">
        <f>VLOOKUP($D261,'Retail Rates'!$B$7:$D$38,3,FALSE)</f>
        <v>IGS-TS-2</v>
      </c>
      <c r="D261" s="90" t="s">
        <v>42</v>
      </c>
      <c r="E261" s="90" t="s">
        <v>884</v>
      </c>
      <c r="F261" s="90" t="s">
        <v>663</v>
      </c>
      <c r="G261" s="90" t="s">
        <v>917</v>
      </c>
      <c r="H261" s="304">
        <v>4</v>
      </c>
      <c r="I261" s="93">
        <v>4000</v>
      </c>
      <c r="J261" s="93">
        <v>249907</v>
      </c>
      <c r="K261" s="92"/>
      <c r="L261" s="92"/>
      <c r="M261" s="92"/>
      <c r="N261" s="93">
        <v>0</v>
      </c>
      <c r="O261" s="93">
        <v>0</v>
      </c>
      <c r="P261" s="92"/>
      <c r="Q261" s="92"/>
      <c r="R261" s="92"/>
      <c r="S261" s="92"/>
      <c r="T261" s="93">
        <v>984.16</v>
      </c>
      <c r="U261" s="92"/>
      <c r="V261" s="92"/>
      <c r="W261" s="92"/>
      <c r="X261" s="93">
        <v>984.16</v>
      </c>
      <c r="Y261" s="92"/>
      <c r="Z261" s="93">
        <v>-1658.61</v>
      </c>
      <c r="AA261" s="93">
        <v>66581.45</v>
      </c>
      <c r="AB261" s="93">
        <v>720</v>
      </c>
      <c r="AC261" s="92"/>
      <c r="AD261" s="93">
        <v>0</v>
      </c>
      <c r="AE261" s="93">
        <v>2200</v>
      </c>
      <c r="AF261" s="92"/>
      <c r="AG261" s="93">
        <v>1206.98</v>
      </c>
      <c r="AH261" s="92"/>
      <c r="AI261" s="93">
        <v>70033.98</v>
      </c>
      <c r="AJ261" s="93">
        <v>0</v>
      </c>
    </row>
    <row r="262" spans="1:36" customFormat="1" ht="15.75" thickBot="1" x14ac:dyDescent="0.3">
      <c r="A262" s="90" t="s">
        <v>871</v>
      </c>
      <c r="B262" s="626" t="str">
        <f>VLOOKUP($D262,'Retail Rates'!$B$7:$D$38,2,FALSE)</f>
        <v>882</v>
      </c>
      <c r="C262" s="626" t="str">
        <f>VLOOKUP($D262,'Retail Rates'!$B$7:$D$38,3,FALSE)</f>
        <v>IGS-TS-2</v>
      </c>
      <c r="D262" s="90" t="s">
        <v>42</v>
      </c>
      <c r="E262" s="90" t="s">
        <v>884</v>
      </c>
      <c r="F262" s="90" t="s">
        <v>662</v>
      </c>
      <c r="G262" s="90" t="s">
        <v>917</v>
      </c>
      <c r="H262" s="304">
        <v>1</v>
      </c>
      <c r="I262" s="93">
        <v>1000</v>
      </c>
      <c r="J262" s="93">
        <v>81556</v>
      </c>
      <c r="K262" s="92"/>
      <c r="L262" s="92"/>
      <c r="M262" s="92"/>
      <c r="N262" s="93">
        <v>0</v>
      </c>
      <c r="O262" s="93">
        <v>0</v>
      </c>
      <c r="P262" s="92"/>
      <c r="Q262" s="92"/>
      <c r="R262" s="92"/>
      <c r="S262" s="92"/>
      <c r="T262" s="93">
        <v>246.04</v>
      </c>
      <c r="U262" s="92"/>
      <c r="V262" s="92"/>
      <c r="W262" s="92"/>
      <c r="X262" s="93">
        <v>246.04</v>
      </c>
      <c r="Y262" s="92"/>
      <c r="Z262" s="93">
        <v>-1448.03</v>
      </c>
      <c r="AA262" s="93">
        <v>21633.439999999999</v>
      </c>
      <c r="AB262" s="93">
        <v>180</v>
      </c>
      <c r="AC262" s="92"/>
      <c r="AD262" s="93">
        <v>0</v>
      </c>
      <c r="AE262" s="93">
        <v>550</v>
      </c>
      <c r="AF262" s="92"/>
      <c r="AG262" s="93">
        <v>0</v>
      </c>
      <c r="AH262" s="92"/>
      <c r="AI262" s="93">
        <v>21161.45</v>
      </c>
      <c r="AJ262" s="93">
        <v>0</v>
      </c>
    </row>
    <row r="263" spans="1:36" customFormat="1" ht="15.75" thickBot="1" x14ac:dyDescent="0.3">
      <c r="A263" s="90" t="s">
        <v>871</v>
      </c>
      <c r="B263" s="626" t="str">
        <f>VLOOKUP($D263,'Retail Rates'!$B$7:$D$38,2,FALSE)</f>
        <v>882</v>
      </c>
      <c r="C263" s="626" t="str">
        <f>VLOOKUP($D263,'Retail Rates'!$B$7:$D$38,3,FALSE)</f>
        <v>IGS-TS-2-PM</v>
      </c>
      <c r="D263" s="90" t="s">
        <v>93</v>
      </c>
      <c r="E263" s="90" t="s">
        <v>719</v>
      </c>
      <c r="F263" s="90" t="s">
        <v>663</v>
      </c>
      <c r="G263" s="90" t="s">
        <v>915</v>
      </c>
      <c r="H263" s="304">
        <v>1</v>
      </c>
      <c r="I263" s="92"/>
      <c r="J263" s="92"/>
      <c r="K263" s="92"/>
      <c r="L263" s="92"/>
      <c r="M263" s="92"/>
      <c r="N263" s="93">
        <v>0</v>
      </c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3">
        <v>0</v>
      </c>
      <c r="AB263" s="93">
        <v>0</v>
      </c>
      <c r="AC263" s="93">
        <v>2420.23</v>
      </c>
      <c r="AD263" s="92"/>
      <c r="AE263" s="93">
        <v>0</v>
      </c>
      <c r="AF263" s="93">
        <v>0</v>
      </c>
      <c r="AG263" s="93">
        <v>0</v>
      </c>
      <c r="AH263" s="92"/>
      <c r="AI263" s="93">
        <v>2420.23</v>
      </c>
      <c r="AJ263" s="93">
        <v>0</v>
      </c>
    </row>
    <row r="264" spans="1:36" customFormat="1" ht="15.75" thickBot="1" x14ac:dyDescent="0.3">
      <c r="A264" s="90" t="s">
        <v>871</v>
      </c>
      <c r="B264" s="626" t="str">
        <f>VLOOKUP($D264,'Retail Rates'!$B$7:$D$38,2,FALSE)</f>
        <v>882</v>
      </c>
      <c r="C264" s="626" t="str">
        <f>VLOOKUP($D264,'Retail Rates'!$B$7:$D$38,3,FALSE)</f>
        <v>IGS-TS-2-PM</v>
      </c>
      <c r="D264" s="90" t="s">
        <v>93</v>
      </c>
      <c r="E264" s="90" t="s">
        <v>719</v>
      </c>
      <c r="F264" s="90" t="s">
        <v>663</v>
      </c>
      <c r="G264" s="90" t="s">
        <v>917</v>
      </c>
      <c r="H264" s="305">
        <v>2</v>
      </c>
      <c r="I264" s="94"/>
      <c r="J264" s="94"/>
      <c r="K264" s="94"/>
      <c r="L264" s="94"/>
      <c r="M264" s="94"/>
      <c r="N264" s="95">
        <v>0</v>
      </c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5">
        <v>0</v>
      </c>
      <c r="AB264" s="95">
        <v>0</v>
      </c>
      <c r="AC264" s="95">
        <v>9657.1299999999992</v>
      </c>
      <c r="AD264" s="94"/>
      <c r="AE264" s="95">
        <v>525</v>
      </c>
      <c r="AF264" s="95">
        <v>0</v>
      </c>
      <c r="AG264" s="95">
        <v>0</v>
      </c>
      <c r="AH264" s="94"/>
      <c r="AI264" s="95">
        <v>10182.129999999999</v>
      </c>
      <c r="AJ264" s="95">
        <v>0</v>
      </c>
    </row>
    <row r="265" spans="1:36" customFormat="1" ht="15.75" thickBot="1" x14ac:dyDescent="0.3">
      <c r="A265" s="90" t="s">
        <v>871</v>
      </c>
      <c r="B265" s="626" t="str">
        <f>VLOOKUP($D265,'Retail Rates'!$B$7:$D$38,2,FALSE)</f>
        <v>892</v>
      </c>
      <c r="C265" s="626" t="str">
        <f>VLOOKUP($D265,'Retail Rates'!$B$7:$D$38,3,FALSE)</f>
        <v>AAGS-I-TS-2</v>
      </c>
      <c r="D265" s="90" t="s">
        <v>96</v>
      </c>
      <c r="E265" s="90" t="s">
        <v>883</v>
      </c>
      <c r="F265" s="90" t="s">
        <v>663</v>
      </c>
      <c r="G265" s="90" t="s">
        <v>917</v>
      </c>
      <c r="H265" s="305">
        <v>1</v>
      </c>
      <c r="I265" s="95">
        <v>68321</v>
      </c>
      <c r="J265" s="94"/>
      <c r="K265" s="94"/>
      <c r="L265" s="94"/>
      <c r="M265" s="94"/>
      <c r="N265" s="95">
        <v>0</v>
      </c>
      <c r="O265" s="94"/>
      <c r="P265" s="94"/>
      <c r="Q265" s="94"/>
      <c r="R265" s="94"/>
      <c r="S265" s="94"/>
      <c r="T265" s="95">
        <v>2698.35</v>
      </c>
      <c r="U265" s="94"/>
      <c r="V265" s="94"/>
      <c r="W265" s="94"/>
      <c r="X265" s="95">
        <v>2698.35</v>
      </c>
      <c r="Y265" s="94"/>
      <c r="Z265" s="95">
        <v>-62.17</v>
      </c>
      <c r="AA265" s="95">
        <v>10503.67</v>
      </c>
      <c r="AB265" s="95">
        <v>400</v>
      </c>
      <c r="AC265" s="94"/>
      <c r="AD265" s="95">
        <v>0</v>
      </c>
      <c r="AE265" s="95">
        <v>550</v>
      </c>
      <c r="AF265" s="94"/>
      <c r="AG265" s="95">
        <v>0</v>
      </c>
      <c r="AH265" s="94"/>
      <c r="AI265" s="95">
        <v>14089.85</v>
      </c>
      <c r="AJ265" s="95">
        <v>0</v>
      </c>
    </row>
    <row r="266" spans="1:36" customFormat="1" ht="15.75" thickBot="1" x14ac:dyDescent="0.3">
      <c r="A266" s="90" t="s">
        <v>871</v>
      </c>
      <c r="B266" s="626" t="str">
        <f>VLOOKUP($D266,'Retail Rates'!$B$7:$D$38,2,FALSE)</f>
        <v>892</v>
      </c>
      <c r="C266" s="626" t="str">
        <f>VLOOKUP($D266,'Retail Rates'!$B$7:$D$38,3,FALSE)</f>
        <v>AAGS-I-TS-2</v>
      </c>
      <c r="D266" s="90" t="s">
        <v>96</v>
      </c>
      <c r="E266" s="90" t="s">
        <v>883</v>
      </c>
      <c r="F266" s="90" t="s">
        <v>662</v>
      </c>
      <c r="G266" s="90" t="s">
        <v>917</v>
      </c>
      <c r="H266" s="304">
        <v>1</v>
      </c>
      <c r="I266" s="93">
        <v>77388</v>
      </c>
      <c r="J266" s="92"/>
      <c r="K266" s="92"/>
      <c r="L266" s="92"/>
      <c r="M266" s="92"/>
      <c r="N266" s="93">
        <v>0</v>
      </c>
      <c r="O266" s="93">
        <v>0</v>
      </c>
      <c r="P266" s="92"/>
      <c r="Q266" s="92"/>
      <c r="R266" s="92"/>
      <c r="S266" s="92"/>
      <c r="T266" s="93">
        <v>2698.35</v>
      </c>
      <c r="U266" s="92"/>
      <c r="V266" s="92"/>
      <c r="W266" s="92"/>
      <c r="X266" s="93">
        <v>2698.35</v>
      </c>
      <c r="Y266" s="92"/>
      <c r="Z266" s="93">
        <v>-1357.39</v>
      </c>
      <c r="AA266" s="93">
        <v>11897.63</v>
      </c>
      <c r="AB266" s="93">
        <v>400</v>
      </c>
      <c r="AC266" s="92"/>
      <c r="AD266" s="93">
        <v>0</v>
      </c>
      <c r="AE266" s="93">
        <v>550</v>
      </c>
      <c r="AF266" s="92"/>
      <c r="AG266" s="93">
        <v>0</v>
      </c>
      <c r="AH266" s="92"/>
      <c r="AI266" s="93">
        <v>14188.59</v>
      </c>
      <c r="AJ266" s="93">
        <v>0</v>
      </c>
    </row>
    <row r="267" spans="1:36" customFormat="1" ht="15.75" thickBot="1" x14ac:dyDescent="0.3">
      <c r="A267" s="90" t="s">
        <v>871</v>
      </c>
      <c r="B267" s="626" t="str">
        <f>VLOOKUP($D267,'Retail Rates'!$B$7:$D$38,2,FALSE)</f>
        <v>896</v>
      </c>
      <c r="C267" s="626" t="str">
        <f>VLOOKUP($D267,'Retail Rates'!$B$7:$D$38,3,FALSE)</f>
        <v>FT-I</v>
      </c>
      <c r="D267" s="90" t="s">
        <v>52</v>
      </c>
      <c r="E267" s="90" t="s">
        <v>882</v>
      </c>
      <c r="F267" s="90" t="s">
        <v>663</v>
      </c>
      <c r="G267" s="90" t="s">
        <v>917</v>
      </c>
      <c r="H267" s="304">
        <v>63</v>
      </c>
      <c r="I267" s="93">
        <v>8539937</v>
      </c>
      <c r="J267" s="92"/>
      <c r="K267" s="92"/>
      <c r="L267" s="92"/>
      <c r="M267" s="92"/>
      <c r="N267" s="93">
        <v>0</v>
      </c>
      <c r="O267" s="93">
        <v>0</v>
      </c>
      <c r="P267" s="92"/>
      <c r="Q267" s="92"/>
      <c r="R267" s="92"/>
      <c r="S267" s="92"/>
      <c r="T267" s="92"/>
      <c r="U267" s="92"/>
      <c r="V267" s="92"/>
      <c r="W267" s="92"/>
      <c r="X267" s="92"/>
      <c r="Y267" s="93">
        <v>1601.59</v>
      </c>
      <c r="Z267" s="93">
        <v>-87.77</v>
      </c>
      <c r="AA267" s="93">
        <v>368419.44</v>
      </c>
      <c r="AB267" s="93">
        <v>-244.39</v>
      </c>
      <c r="AC267" s="93">
        <v>1289.8800000000001</v>
      </c>
      <c r="AD267" s="92"/>
      <c r="AE267" s="93">
        <v>34650</v>
      </c>
      <c r="AF267" s="93">
        <v>620.94000000000005</v>
      </c>
      <c r="AG267" s="93">
        <v>18960.34</v>
      </c>
      <c r="AH267" s="92"/>
      <c r="AI267" s="93">
        <v>424589.09</v>
      </c>
      <c r="AJ267" s="306">
        <v>-620.94000000000005</v>
      </c>
    </row>
    <row r="268" spans="1:36" customFormat="1" ht="15.75" thickBot="1" x14ac:dyDescent="0.3">
      <c r="A268" s="90" t="s">
        <v>871</v>
      </c>
      <c r="B268" s="626" t="str">
        <f>VLOOKUP($D268,'Retail Rates'!$B$7:$D$38,2,FALSE)</f>
        <v>896</v>
      </c>
      <c r="C268" s="626" t="str">
        <f>VLOOKUP($D268,'Retail Rates'!$B$7:$D$38,3,FALSE)</f>
        <v>FT-I</v>
      </c>
      <c r="D268" s="90" t="s">
        <v>52</v>
      </c>
      <c r="E268" s="90" t="s">
        <v>882</v>
      </c>
      <c r="F268" s="90" t="s">
        <v>662</v>
      </c>
      <c r="G268" s="90" t="s">
        <v>917</v>
      </c>
      <c r="H268" s="305">
        <v>1</v>
      </c>
      <c r="I268" s="95">
        <v>202169</v>
      </c>
      <c r="J268" s="94"/>
      <c r="K268" s="94"/>
      <c r="L268" s="94"/>
      <c r="M268" s="94"/>
      <c r="N268" s="95">
        <v>0</v>
      </c>
      <c r="O268" s="95">
        <v>0</v>
      </c>
      <c r="P268" s="94"/>
      <c r="Q268" s="94"/>
      <c r="R268" s="94"/>
      <c r="S268" s="94"/>
      <c r="T268" s="94"/>
      <c r="U268" s="94"/>
      <c r="V268" s="94"/>
      <c r="W268" s="94"/>
      <c r="X268" s="94"/>
      <c r="Y268" s="95">
        <v>0</v>
      </c>
      <c r="Z268" s="94"/>
      <c r="AA268" s="95">
        <v>8697.31</v>
      </c>
      <c r="AB268" s="95">
        <v>0</v>
      </c>
      <c r="AC268" s="94"/>
      <c r="AD268" s="94"/>
      <c r="AE268" s="95">
        <v>550</v>
      </c>
      <c r="AF268" s="95">
        <v>0</v>
      </c>
      <c r="AG268" s="95">
        <v>0</v>
      </c>
      <c r="AH268" s="94"/>
      <c r="AI268" s="95">
        <v>9247.31</v>
      </c>
      <c r="AJ268" s="95">
        <v>0</v>
      </c>
    </row>
    <row r="269" spans="1:36" customFormat="1" ht="15.75" thickBot="1" x14ac:dyDescent="0.3">
      <c r="A269" s="90" t="s">
        <v>871</v>
      </c>
      <c r="B269" s="626" t="str">
        <f>VLOOKUP($D269,'Retail Rates'!$B$7:$D$38,2,FALSE)</f>
        <v>896</v>
      </c>
      <c r="C269" s="626" t="str">
        <f>VLOOKUP($D269,'Retail Rates'!$B$7:$D$38,3,FALSE)</f>
        <v>FT-I-PM</v>
      </c>
      <c r="D269" s="90" t="s">
        <v>54</v>
      </c>
      <c r="E269" s="90" t="s">
        <v>55</v>
      </c>
      <c r="F269" s="90" t="s">
        <v>663</v>
      </c>
      <c r="G269" s="90" t="s">
        <v>917</v>
      </c>
      <c r="H269" s="305">
        <v>5</v>
      </c>
      <c r="I269" s="94"/>
      <c r="J269" s="94"/>
      <c r="K269" s="94"/>
      <c r="L269" s="94"/>
      <c r="M269" s="94"/>
      <c r="N269" s="95">
        <v>0</v>
      </c>
      <c r="O269" s="95">
        <v>0</v>
      </c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5">
        <v>19264.939999999999</v>
      </c>
      <c r="AB269" s="95">
        <v>-24767.48</v>
      </c>
      <c r="AC269" s="95">
        <v>-2188.29</v>
      </c>
      <c r="AD269" s="94"/>
      <c r="AE269" s="95">
        <v>5250</v>
      </c>
      <c r="AF269" s="95">
        <v>9161.17</v>
      </c>
      <c r="AG269" s="95">
        <v>524.36</v>
      </c>
      <c r="AH269" s="94"/>
      <c r="AI269" s="95">
        <v>-1916.47</v>
      </c>
      <c r="AJ269" s="306">
        <v>-9161.17</v>
      </c>
    </row>
    <row r="270" spans="1:36" customFormat="1" ht="15.75" thickBot="1" x14ac:dyDescent="0.3">
      <c r="A270" s="90" t="s">
        <v>871</v>
      </c>
      <c r="B270" s="626" t="str">
        <f>VLOOKUP($D270,'Retail Rates'!$B$7:$D$38,2,FALSE)</f>
        <v>996</v>
      </c>
      <c r="C270" s="626" t="str">
        <f>VLOOKUP($D270,'Retail Rates'!$B$7:$D$38,3,FALSE)</f>
        <v>SPC-LGE</v>
      </c>
      <c r="D270" s="90" t="s">
        <v>45</v>
      </c>
      <c r="E270" s="90" t="s">
        <v>46</v>
      </c>
      <c r="F270" s="90" t="s">
        <v>165</v>
      </c>
      <c r="G270" s="90" t="s">
        <v>918</v>
      </c>
      <c r="H270" s="304">
        <v>1</v>
      </c>
      <c r="I270" s="93">
        <v>201342</v>
      </c>
      <c r="J270" s="92"/>
      <c r="K270" s="93">
        <v>180</v>
      </c>
      <c r="L270" s="92"/>
      <c r="M270" s="93">
        <v>6702.68</v>
      </c>
      <c r="N270" s="93">
        <v>0</v>
      </c>
      <c r="O270" s="93">
        <v>0</v>
      </c>
      <c r="P270" s="93">
        <v>70731.44</v>
      </c>
      <c r="Q270" s="92"/>
      <c r="R270" s="92"/>
      <c r="S270" s="92"/>
      <c r="T270" s="93">
        <v>259.54000000000002</v>
      </c>
      <c r="U270" s="92"/>
      <c r="V270" s="92"/>
      <c r="W270" s="93">
        <v>186513.62</v>
      </c>
      <c r="X270" s="93">
        <v>264387.28000000003</v>
      </c>
      <c r="Y270" s="92"/>
      <c r="Z270" s="92"/>
      <c r="AA270" s="92"/>
      <c r="AB270" s="92"/>
      <c r="AC270" s="92"/>
      <c r="AD270" s="92"/>
      <c r="AE270" s="92"/>
      <c r="AF270" s="92"/>
      <c r="AG270" s="93">
        <v>0</v>
      </c>
      <c r="AH270" s="92"/>
      <c r="AI270" s="93">
        <v>264387.28000000003</v>
      </c>
      <c r="AJ270" s="93">
        <v>0</v>
      </c>
    </row>
    <row r="271" spans="1:36" customFormat="1" ht="15.75" thickBot="1" x14ac:dyDescent="0.3">
      <c r="A271" s="90" t="s">
        <v>871</v>
      </c>
      <c r="B271" s="626" t="str">
        <f>VLOOKUP($D271,'Retail Rates'!$B$7:$D$38,2,FALSE)</f>
        <v>997</v>
      </c>
      <c r="C271" s="626" t="str">
        <f>VLOOKUP($D271,'Retail Rates'!$B$7:$D$38,3,FALSE)</f>
        <v>SPC-P</v>
      </c>
      <c r="D271" s="90" t="s">
        <v>57</v>
      </c>
      <c r="E271" s="90" t="s">
        <v>58</v>
      </c>
      <c r="F271" s="90" t="s">
        <v>664</v>
      </c>
      <c r="G271" s="90" t="s">
        <v>917</v>
      </c>
      <c r="H271" s="305">
        <v>1</v>
      </c>
      <c r="I271" s="95">
        <v>186601</v>
      </c>
      <c r="J271" s="94"/>
      <c r="K271" s="94"/>
      <c r="L271" s="94"/>
      <c r="M271" s="94"/>
      <c r="N271" s="95">
        <v>0</v>
      </c>
      <c r="O271" s="95">
        <v>0</v>
      </c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5">
        <v>108359.91</v>
      </c>
      <c r="AB271" s="95">
        <v>-292.26</v>
      </c>
      <c r="AC271" s="95">
        <v>-56.42</v>
      </c>
      <c r="AD271" s="94"/>
      <c r="AE271" s="94"/>
      <c r="AF271" s="95">
        <v>138.94</v>
      </c>
      <c r="AG271" s="95">
        <v>0</v>
      </c>
      <c r="AH271" s="94"/>
      <c r="AI271" s="95">
        <v>108011.23</v>
      </c>
      <c r="AJ271" s="306">
        <v>-138.94</v>
      </c>
    </row>
    <row r="272" spans="1:36" customFormat="1" ht="15.75" thickBot="1" x14ac:dyDescent="0.3">
      <c r="A272" s="90" t="s">
        <v>871</v>
      </c>
      <c r="B272" s="626" t="str">
        <f>VLOOKUP($D272,'Retail Rates'!$B$7:$D$38,2,FALSE)</f>
        <v>811</v>
      </c>
      <c r="C272" s="626" t="str">
        <f>VLOOKUP($D272,'Retail Rates'!$B$7:$D$38,3,FALSE)</f>
        <v>RGS</v>
      </c>
      <c r="D272" s="90" t="s">
        <v>35</v>
      </c>
      <c r="E272" s="90" t="s">
        <v>36</v>
      </c>
      <c r="F272" s="90" t="s">
        <v>17</v>
      </c>
      <c r="G272" s="90" t="s">
        <v>918</v>
      </c>
      <c r="H272" s="304">
        <v>11</v>
      </c>
      <c r="I272" s="93">
        <v>163</v>
      </c>
      <c r="J272" s="92"/>
      <c r="K272" s="93">
        <v>148.5</v>
      </c>
      <c r="L272" s="92"/>
      <c r="M272" s="93">
        <v>46.77</v>
      </c>
      <c r="N272" s="93">
        <v>0</v>
      </c>
      <c r="O272" s="93">
        <v>0</v>
      </c>
      <c r="P272" s="93">
        <v>55.27</v>
      </c>
      <c r="Q272" s="93">
        <v>1.76</v>
      </c>
      <c r="R272" s="92"/>
      <c r="S272" s="93">
        <v>2.75</v>
      </c>
      <c r="T272" s="93">
        <v>55.32</v>
      </c>
      <c r="U272" s="93">
        <v>0</v>
      </c>
      <c r="V272" s="92"/>
      <c r="W272" s="92"/>
      <c r="X272" s="93">
        <v>307.62</v>
      </c>
      <c r="Y272" s="92"/>
      <c r="Z272" s="92"/>
      <c r="AA272" s="92"/>
      <c r="AB272" s="92"/>
      <c r="AC272" s="92"/>
      <c r="AD272" s="92"/>
      <c r="AE272" s="92"/>
      <c r="AF272" s="92"/>
      <c r="AG272" s="93">
        <v>16.86</v>
      </c>
      <c r="AH272" s="92"/>
      <c r="AI272" s="93">
        <v>327.23</v>
      </c>
      <c r="AJ272" s="93">
        <v>0</v>
      </c>
    </row>
    <row r="273" spans="1:36" customFormat="1" ht="15.75" thickBot="1" x14ac:dyDescent="0.3">
      <c r="A273" s="90" t="s">
        <v>871</v>
      </c>
      <c r="B273" s="626" t="str">
        <f>VLOOKUP($D273,'Retail Rates'!$B$7:$D$38,2,FALSE)</f>
        <v>811</v>
      </c>
      <c r="C273" s="626" t="str">
        <f>VLOOKUP($D273,'Retail Rates'!$B$7:$D$38,3,FALSE)</f>
        <v>RGS</v>
      </c>
      <c r="D273" s="90" t="s">
        <v>35</v>
      </c>
      <c r="E273" s="90" t="s">
        <v>36</v>
      </c>
      <c r="F273" s="90" t="s">
        <v>20</v>
      </c>
      <c r="G273" s="90" t="s">
        <v>917</v>
      </c>
      <c r="H273" s="305">
        <v>1</v>
      </c>
      <c r="I273" s="95">
        <v>29</v>
      </c>
      <c r="J273" s="94"/>
      <c r="K273" s="95">
        <v>13.5</v>
      </c>
      <c r="L273" s="94"/>
      <c r="M273" s="95">
        <v>8.32</v>
      </c>
      <c r="N273" s="95">
        <v>0</v>
      </c>
      <c r="O273" s="95">
        <v>0</v>
      </c>
      <c r="P273" s="95">
        <v>9.3800000000000008</v>
      </c>
      <c r="Q273" s="95">
        <v>0.31</v>
      </c>
      <c r="R273" s="95">
        <v>0.77</v>
      </c>
      <c r="S273" s="95">
        <v>0.25</v>
      </c>
      <c r="T273" s="95">
        <v>4.8499999999999996</v>
      </c>
      <c r="U273" s="95">
        <v>0</v>
      </c>
      <c r="V273" s="94"/>
      <c r="W273" s="94"/>
      <c r="X273" s="95">
        <v>37.130000000000003</v>
      </c>
      <c r="Y273" s="94"/>
      <c r="Z273" s="94"/>
      <c r="AA273" s="94"/>
      <c r="AB273" s="94"/>
      <c r="AC273" s="94"/>
      <c r="AD273" s="94"/>
      <c r="AE273" s="94"/>
      <c r="AF273" s="94"/>
      <c r="AG273" s="95">
        <v>0</v>
      </c>
      <c r="AH273" s="94"/>
      <c r="AI273" s="95">
        <v>37.380000000000003</v>
      </c>
      <c r="AJ273" s="95">
        <v>0</v>
      </c>
    </row>
    <row r="274" spans="1:36" customFormat="1" ht="15.75" thickBot="1" x14ac:dyDescent="0.3">
      <c r="A274" s="90" t="s">
        <v>871</v>
      </c>
      <c r="B274" s="626" t="str">
        <f>VLOOKUP($D274,'Retail Rates'!$B$7:$D$38,2,FALSE)</f>
        <v>811</v>
      </c>
      <c r="C274" s="626" t="str">
        <f>VLOOKUP($D274,'Retail Rates'!$B$7:$D$38,3,FALSE)</f>
        <v>RGS</v>
      </c>
      <c r="D274" s="90" t="s">
        <v>35</v>
      </c>
      <c r="E274" s="90" t="s">
        <v>36</v>
      </c>
      <c r="F274" s="90" t="s">
        <v>20</v>
      </c>
      <c r="G274" s="90" t="s">
        <v>918</v>
      </c>
      <c r="H274" s="304">
        <v>60</v>
      </c>
      <c r="I274" s="93">
        <v>1011</v>
      </c>
      <c r="J274" s="92"/>
      <c r="K274" s="93">
        <v>803.25</v>
      </c>
      <c r="L274" s="92"/>
      <c r="M274" s="93">
        <v>290.08999999999997</v>
      </c>
      <c r="N274" s="93">
        <v>0</v>
      </c>
      <c r="O274" s="93">
        <v>0</v>
      </c>
      <c r="P274" s="93">
        <v>342.85</v>
      </c>
      <c r="Q274" s="93">
        <v>10.95</v>
      </c>
      <c r="R274" s="92"/>
      <c r="S274" s="93">
        <v>15</v>
      </c>
      <c r="T274" s="93">
        <v>298.36</v>
      </c>
      <c r="U274" s="93">
        <v>0</v>
      </c>
      <c r="V274" s="92"/>
      <c r="W274" s="92"/>
      <c r="X274" s="93">
        <v>1745.5</v>
      </c>
      <c r="Y274" s="92"/>
      <c r="Z274" s="92"/>
      <c r="AA274" s="92"/>
      <c r="AB274" s="92"/>
      <c r="AC274" s="92"/>
      <c r="AD274" s="92"/>
      <c r="AE274" s="92"/>
      <c r="AF274" s="92"/>
      <c r="AG274" s="93">
        <v>1.33</v>
      </c>
      <c r="AH274" s="92"/>
      <c r="AI274" s="93">
        <v>1761.83</v>
      </c>
      <c r="AJ274" s="93">
        <v>0</v>
      </c>
    </row>
    <row r="275" spans="1:36" customFormat="1" ht="15.75" thickBot="1" x14ac:dyDescent="0.3">
      <c r="A275" s="90" t="s">
        <v>871</v>
      </c>
      <c r="B275" s="626" t="str">
        <f>VLOOKUP($D275,'Retail Rates'!$B$7:$D$38,2,FALSE)</f>
        <v>811</v>
      </c>
      <c r="C275" s="626" t="str">
        <f>VLOOKUP($D275,'Retail Rates'!$B$7:$D$38,3,FALSE)</f>
        <v>RGS</v>
      </c>
      <c r="D275" s="90" t="s">
        <v>35</v>
      </c>
      <c r="E275" s="90" t="s">
        <v>36</v>
      </c>
      <c r="F275" s="90" t="s">
        <v>28</v>
      </c>
      <c r="G275" s="90" t="s">
        <v>660</v>
      </c>
      <c r="H275" s="304">
        <v>1</v>
      </c>
      <c r="I275" s="93">
        <v>0</v>
      </c>
      <c r="J275" s="92"/>
      <c r="K275" s="93">
        <v>-6.3</v>
      </c>
      <c r="L275" s="92"/>
      <c r="M275" s="93">
        <v>0</v>
      </c>
      <c r="N275" s="92"/>
      <c r="O275" s="92"/>
      <c r="P275" s="93">
        <v>0</v>
      </c>
      <c r="Q275" s="93">
        <v>0</v>
      </c>
      <c r="R275" s="92"/>
      <c r="S275" s="93">
        <v>-0.25</v>
      </c>
      <c r="T275" s="93">
        <v>-1.06</v>
      </c>
      <c r="U275" s="92"/>
      <c r="V275" s="92"/>
      <c r="W275" s="92"/>
      <c r="X275" s="93">
        <v>-7.36</v>
      </c>
      <c r="Y275" s="92"/>
      <c r="Z275" s="92"/>
      <c r="AA275" s="92"/>
      <c r="AB275" s="92"/>
      <c r="AC275" s="92"/>
      <c r="AD275" s="92"/>
      <c r="AE275" s="92"/>
      <c r="AF275" s="92"/>
      <c r="AG275" s="93">
        <v>0</v>
      </c>
      <c r="AH275" s="92"/>
      <c r="AI275" s="93">
        <v>-7.61</v>
      </c>
      <c r="AJ275" s="93">
        <v>0</v>
      </c>
    </row>
    <row r="276" spans="1:36" customFormat="1" ht="15.75" thickBot="1" x14ac:dyDescent="0.3">
      <c r="A276" s="90" t="s">
        <v>871</v>
      </c>
      <c r="B276" s="626" t="str">
        <f>VLOOKUP($D276,'Retail Rates'!$B$7:$D$38,2,FALSE)</f>
        <v>811</v>
      </c>
      <c r="C276" s="626" t="str">
        <f>VLOOKUP($D276,'Retail Rates'!$B$7:$D$38,3,FALSE)</f>
        <v>RGS</v>
      </c>
      <c r="D276" s="90" t="s">
        <v>35</v>
      </c>
      <c r="E276" s="90" t="s">
        <v>36</v>
      </c>
      <c r="F276" s="90" t="s">
        <v>28</v>
      </c>
      <c r="G276" s="90" t="s">
        <v>665</v>
      </c>
      <c r="H276" s="305">
        <v>1</v>
      </c>
      <c r="I276" s="95">
        <v>0</v>
      </c>
      <c r="J276" s="94"/>
      <c r="K276" s="95">
        <v>-13.5</v>
      </c>
      <c r="L276" s="94"/>
      <c r="M276" s="95">
        <v>0</v>
      </c>
      <c r="N276" s="95">
        <v>0</v>
      </c>
      <c r="O276" s="94"/>
      <c r="P276" s="95">
        <v>0</v>
      </c>
      <c r="Q276" s="95">
        <v>0</v>
      </c>
      <c r="R276" s="94"/>
      <c r="S276" s="95">
        <v>-0.25</v>
      </c>
      <c r="T276" s="95">
        <v>-2.27</v>
      </c>
      <c r="U276" s="95">
        <v>0</v>
      </c>
      <c r="V276" s="94"/>
      <c r="W276" s="94"/>
      <c r="X276" s="95">
        <v>-15.77</v>
      </c>
      <c r="Y276" s="94"/>
      <c r="Z276" s="94"/>
      <c r="AA276" s="94"/>
      <c r="AB276" s="94"/>
      <c r="AC276" s="94"/>
      <c r="AD276" s="94"/>
      <c r="AE276" s="94"/>
      <c r="AF276" s="94"/>
      <c r="AG276" s="95">
        <v>0</v>
      </c>
      <c r="AH276" s="94"/>
      <c r="AI276" s="95">
        <v>-16.02</v>
      </c>
      <c r="AJ276" s="95">
        <v>0</v>
      </c>
    </row>
    <row r="277" spans="1:36" customFormat="1" ht="15.75" thickBot="1" x14ac:dyDescent="0.3">
      <c r="A277" s="90" t="s">
        <v>871</v>
      </c>
      <c r="B277" s="626" t="str">
        <f>VLOOKUP($D277,'Retail Rates'!$B$7:$D$38,2,FALSE)</f>
        <v>811</v>
      </c>
      <c r="C277" s="626" t="str">
        <f>VLOOKUP($D277,'Retail Rates'!$B$7:$D$38,3,FALSE)</f>
        <v>RGS</v>
      </c>
      <c r="D277" s="90" t="s">
        <v>35</v>
      </c>
      <c r="E277" s="90" t="s">
        <v>36</v>
      </c>
      <c r="F277" s="90" t="s">
        <v>28</v>
      </c>
      <c r="G277" s="90" t="s">
        <v>713</v>
      </c>
      <c r="H277" s="304">
        <v>1</v>
      </c>
      <c r="I277" s="93">
        <v>0</v>
      </c>
      <c r="J277" s="92"/>
      <c r="K277" s="93">
        <v>-13.5</v>
      </c>
      <c r="L277" s="92"/>
      <c r="M277" s="93">
        <v>0</v>
      </c>
      <c r="N277" s="93">
        <v>0</v>
      </c>
      <c r="O277" s="92"/>
      <c r="P277" s="93">
        <v>0</v>
      </c>
      <c r="Q277" s="93">
        <v>0</v>
      </c>
      <c r="R277" s="92"/>
      <c r="S277" s="93">
        <v>-0.25</v>
      </c>
      <c r="T277" s="93">
        <v>-2.27</v>
      </c>
      <c r="U277" s="93">
        <v>0</v>
      </c>
      <c r="V277" s="92"/>
      <c r="W277" s="92"/>
      <c r="X277" s="93">
        <v>-15.77</v>
      </c>
      <c r="Y277" s="92"/>
      <c r="Z277" s="92"/>
      <c r="AA277" s="92"/>
      <c r="AB277" s="92"/>
      <c r="AC277" s="92"/>
      <c r="AD277" s="92"/>
      <c r="AE277" s="92"/>
      <c r="AF277" s="92"/>
      <c r="AG277" s="93">
        <v>0</v>
      </c>
      <c r="AH277" s="92"/>
      <c r="AI277" s="93">
        <v>-16.02</v>
      </c>
      <c r="AJ277" s="93">
        <v>0</v>
      </c>
    </row>
    <row r="278" spans="1:36" customFormat="1" ht="15.75" thickBot="1" x14ac:dyDescent="0.3">
      <c r="A278" s="90" t="s">
        <v>871</v>
      </c>
      <c r="B278" s="626" t="str">
        <f>VLOOKUP($D278,'Retail Rates'!$B$7:$D$38,2,FALSE)</f>
        <v>811</v>
      </c>
      <c r="C278" s="626" t="str">
        <f>VLOOKUP($D278,'Retail Rates'!$B$7:$D$38,3,FALSE)</f>
        <v>RGS</v>
      </c>
      <c r="D278" s="90" t="s">
        <v>35</v>
      </c>
      <c r="E278" s="90" t="s">
        <v>36</v>
      </c>
      <c r="F278" s="90" t="s">
        <v>28</v>
      </c>
      <c r="G278" s="90" t="s">
        <v>714</v>
      </c>
      <c r="H278" s="305">
        <v>1</v>
      </c>
      <c r="I278" s="95">
        <v>0</v>
      </c>
      <c r="J278" s="94"/>
      <c r="K278" s="95">
        <v>-13.5</v>
      </c>
      <c r="L278" s="94"/>
      <c r="M278" s="95">
        <v>0</v>
      </c>
      <c r="N278" s="95">
        <v>0</v>
      </c>
      <c r="O278" s="94"/>
      <c r="P278" s="95">
        <v>0</v>
      </c>
      <c r="Q278" s="95">
        <v>0</v>
      </c>
      <c r="R278" s="94"/>
      <c r="S278" s="95">
        <v>-0.25</v>
      </c>
      <c r="T278" s="95">
        <v>-2.27</v>
      </c>
      <c r="U278" s="95">
        <v>0</v>
      </c>
      <c r="V278" s="94"/>
      <c r="W278" s="94"/>
      <c r="X278" s="95">
        <v>-15.77</v>
      </c>
      <c r="Y278" s="94"/>
      <c r="Z278" s="94"/>
      <c r="AA278" s="94"/>
      <c r="AB278" s="94"/>
      <c r="AC278" s="94"/>
      <c r="AD278" s="94"/>
      <c r="AE278" s="94"/>
      <c r="AF278" s="94"/>
      <c r="AG278" s="95">
        <v>0</v>
      </c>
      <c r="AH278" s="94"/>
      <c r="AI278" s="95">
        <v>-16.02</v>
      </c>
      <c r="AJ278" s="95">
        <v>0</v>
      </c>
    </row>
    <row r="279" spans="1:36" customFormat="1" ht="15.75" thickBot="1" x14ac:dyDescent="0.3">
      <c r="A279" s="90" t="s">
        <v>871</v>
      </c>
      <c r="B279" s="626" t="str">
        <f>VLOOKUP($D279,'Retail Rates'!$B$7:$D$38,2,FALSE)</f>
        <v>811</v>
      </c>
      <c r="C279" s="626" t="str">
        <f>VLOOKUP($D279,'Retail Rates'!$B$7:$D$38,3,FALSE)</f>
        <v>RGS</v>
      </c>
      <c r="D279" s="90" t="s">
        <v>35</v>
      </c>
      <c r="E279" s="90" t="s">
        <v>36</v>
      </c>
      <c r="F279" s="90" t="s">
        <v>28</v>
      </c>
      <c r="G279" s="90" t="s">
        <v>721</v>
      </c>
      <c r="H279" s="304">
        <v>1</v>
      </c>
      <c r="I279" s="93">
        <v>0</v>
      </c>
      <c r="J279" s="92"/>
      <c r="K279" s="93">
        <v>-13.5</v>
      </c>
      <c r="L279" s="92"/>
      <c r="M279" s="93">
        <v>0</v>
      </c>
      <c r="N279" s="93">
        <v>0</v>
      </c>
      <c r="O279" s="92"/>
      <c r="P279" s="93">
        <v>0</v>
      </c>
      <c r="Q279" s="93">
        <v>0</v>
      </c>
      <c r="R279" s="92"/>
      <c r="S279" s="93">
        <v>-0.25</v>
      </c>
      <c r="T279" s="93">
        <v>-2.27</v>
      </c>
      <c r="U279" s="93">
        <v>0</v>
      </c>
      <c r="V279" s="92"/>
      <c r="W279" s="92"/>
      <c r="X279" s="93">
        <v>-15.77</v>
      </c>
      <c r="Y279" s="92"/>
      <c r="Z279" s="92"/>
      <c r="AA279" s="92"/>
      <c r="AB279" s="92"/>
      <c r="AC279" s="92"/>
      <c r="AD279" s="92"/>
      <c r="AE279" s="92"/>
      <c r="AF279" s="92"/>
      <c r="AG279" s="93">
        <v>0</v>
      </c>
      <c r="AH279" s="92"/>
      <c r="AI279" s="93">
        <v>-16.02</v>
      </c>
      <c r="AJ279" s="93">
        <v>0</v>
      </c>
    </row>
    <row r="280" spans="1:36" customFormat="1" ht="15.75" thickBot="1" x14ac:dyDescent="0.3">
      <c r="A280" s="90" t="s">
        <v>871</v>
      </c>
      <c r="B280" s="626" t="str">
        <f>VLOOKUP($D280,'Retail Rates'!$B$7:$D$38,2,FALSE)</f>
        <v>811</v>
      </c>
      <c r="C280" s="626" t="str">
        <f>VLOOKUP($D280,'Retail Rates'!$B$7:$D$38,3,FALSE)</f>
        <v>RGS</v>
      </c>
      <c r="D280" s="90" t="s">
        <v>35</v>
      </c>
      <c r="E280" s="90" t="s">
        <v>36</v>
      </c>
      <c r="F280" s="90" t="s">
        <v>28</v>
      </c>
      <c r="G280" s="90" t="s">
        <v>722</v>
      </c>
      <c r="H280" s="305">
        <v>1</v>
      </c>
      <c r="I280" s="95">
        <v>0</v>
      </c>
      <c r="J280" s="94"/>
      <c r="K280" s="95">
        <v>-13.5</v>
      </c>
      <c r="L280" s="94"/>
      <c r="M280" s="95">
        <v>0</v>
      </c>
      <c r="N280" s="95">
        <v>0</v>
      </c>
      <c r="O280" s="94"/>
      <c r="P280" s="95">
        <v>0</v>
      </c>
      <c r="Q280" s="95">
        <v>0</v>
      </c>
      <c r="R280" s="94"/>
      <c r="S280" s="95">
        <v>-0.25</v>
      </c>
      <c r="T280" s="95">
        <v>-2.27</v>
      </c>
      <c r="U280" s="95">
        <v>0</v>
      </c>
      <c r="V280" s="94"/>
      <c r="W280" s="94"/>
      <c r="X280" s="95">
        <v>-15.77</v>
      </c>
      <c r="Y280" s="94"/>
      <c r="Z280" s="94"/>
      <c r="AA280" s="94"/>
      <c r="AB280" s="94"/>
      <c r="AC280" s="94"/>
      <c r="AD280" s="94"/>
      <c r="AE280" s="94"/>
      <c r="AF280" s="94"/>
      <c r="AG280" s="95">
        <v>0</v>
      </c>
      <c r="AH280" s="94"/>
      <c r="AI280" s="95">
        <v>-16.02</v>
      </c>
      <c r="AJ280" s="95">
        <v>0</v>
      </c>
    </row>
    <row r="281" spans="1:36" customFormat="1" ht="15.75" thickBot="1" x14ac:dyDescent="0.3">
      <c r="A281" s="90" t="s">
        <v>871</v>
      </c>
      <c r="B281" s="626" t="str">
        <f>VLOOKUP($D281,'Retail Rates'!$B$7:$D$38,2,FALSE)</f>
        <v>811</v>
      </c>
      <c r="C281" s="626" t="str">
        <f>VLOOKUP($D281,'Retail Rates'!$B$7:$D$38,3,FALSE)</f>
        <v>RGS</v>
      </c>
      <c r="D281" s="90" t="s">
        <v>35</v>
      </c>
      <c r="E281" s="90" t="s">
        <v>36</v>
      </c>
      <c r="F281" s="90" t="s">
        <v>28</v>
      </c>
      <c r="G281" s="90" t="s">
        <v>723</v>
      </c>
      <c r="H281" s="304">
        <v>1</v>
      </c>
      <c r="I281" s="93">
        <v>0</v>
      </c>
      <c r="J281" s="92"/>
      <c r="K281" s="93">
        <v>-13.5</v>
      </c>
      <c r="L281" s="92"/>
      <c r="M281" s="93">
        <v>0</v>
      </c>
      <c r="N281" s="93">
        <v>0</v>
      </c>
      <c r="O281" s="92"/>
      <c r="P281" s="93">
        <v>0</v>
      </c>
      <c r="Q281" s="93">
        <v>0</v>
      </c>
      <c r="R281" s="92"/>
      <c r="S281" s="93">
        <v>-0.25</v>
      </c>
      <c r="T281" s="93">
        <v>-2.27</v>
      </c>
      <c r="U281" s="93">
        <v>0</v>
      </c>
      <c r="V281" s="92"/>
      <c r="W281" s="92"/>
      <c r="X281" s="93">
        <v>-15.77</v>
      </c>
      <c r="Y281" s="92"/>
      <c r="Z281" s="92"/>
      <c r="AA281" s="92"/>
      <c r="AB281" s="92"/>
      <c r="AC281" s="92"/>
      <c r="AD281" s="92"/>
      <c r="AE281" s="92"/>
      <c r="AF281" s="92"/>
      <c r="AG281" s="93">
        <v>0</v>
      </c>
      <c r="AH281" s="92"/>
      <c r="AI281" s="93">
        <v>-16.02</v>
      </c>
      <c r="AJ281" s="93">
        <v>0</v>
      </c>
    </row>
    <row r="282" spans="1:36" customFormat="1" ht="15.75" thickBot="1" x14ac:dyDescent="0.3">
      <c r="A282" s="90" t="s">
        <v>871</v>
      </c>
      <c r="B282" s="626" t="str">
        <f>VLOOKUP($D282,'Retail Rates'!$B$7:$D$38,2,FALSE)</f>
        <v>811</v>
      </c>
      <c r="C282" s="626" t="str">
        <f>VLOOKUP($D282,'Retail Rates'!$B$7:$D$38,3,FALSE)</f>
        <v>RGS</v>
      </c>
      <c r="D282" s="90" t="s">
        <v>35</v>
      </c>
      <c r="E282" s="90" t="s">
        <v>36</v>
      </c>
      <c r="F282" s="90" t="s">
        <v>28</v>
      </c>
      <c r="G282" s="90" t="s">
        <v>724</v>
      </c>
      <c r="H282" s="305">
        <v>1</v>
      </c>
      <c r="I282" s="95">
        <v>0</v>
      </c>
      <c r="J282" s="94"/>
      <c r="K282" s="95">
        <v>-13.5</v>
      </c>
      <c r="L282" s="94"/>
      <c r="M282" s="95">
        <v>0</v>
      </c>
      <c r="N282" s="95">
        <v>0</v>
      </c>
      <c r="O282" s="94"/>
      <c r="P282" s="95">
        <v>0</v>
      </c>
      <c r="Q282" s="95">
        <v>0</v>
      </c>
      <c r="R282" s="94"/>
      <c r="S282" s="95">
        <v>-0.25</v>
      </c>
      <c r="T282" s="95">
        <v>-2.27</v>
      </c>
      <c r="U282" s="95">
        <v>0</v>
      </c>
      <c r="V282" s="94"/>
      <c r="W282" s="94"/>
      <c r="X282" s="95">
        <v>-15.77</v>
      </c>
      <c r="Y282" s="94"/>
      <c r="Z282" s="94"/>
      <c r="AA282" s="94"/>
      <c r="AB282" s="94"/>
      <c r="AC282" s="94"/>
      <c r="AD282" s="94"/>
      <c r="AE282" s="94"/>
      <c r="AF282" s="94"/>
      <c r="AG282" s="95">
        <v>0</v>
      </c>
      <c r="AH282" s="94"/>
      <c r="AI282" s="95">
        <v>-16.02</v>
      </c>
      <c r="AJ282" s="95">
        <v>0</v>
      </c>
    </row>
    <row r="283" spans="1:36" customFormat="1" ht="15.75" thickBot="1" x14ac:dyDescent="0.3">
      <c r="A283" s="90" t="s">
        <v>871</v>
      </c>
      <c r="B283" s="626" t="str">
        <f>VLOOKUP($D283,'Retail Rates'!$B$7:$D$38,2,FALSE)</f>
        <v>811</v>
      </c>
      <c r="C283" s="626" t="str">
        <f>VLOOKUP($D283,'Retail Rates'!$B$7:$D$38,3,FALSE)</f>
        <v>RGS</v>
      </c>
      <c r="D283" s="90" t="s">
        <v>35</v>
      </c>
      <c r="E283" s="90" t="s">
        <v>36</v>
      </c>
      <c r="F283" s="90" t="s">
        <v>28</v>
      </c>
      <c r="G283" s="90" t="s">
        <v>725</v>
      </c>
      <c r="H283" s="304">
        <v>1</v>
      </c>
      <c r="I283" s="93">
        <v>0</v>
      </c>
      <c r="J283" s="92"/>
      <c r="K283" s="93">
        <v>-13.5</v>
      </c>
      <c r="L283" s="92"/>
      <c r="M283" s="93">
        <v>0</v>
      </c>
      <c r="N283" s="93">
        <v>0</v>
      </c>
      <c r="O283" s="92"/>
      <c r="P283" s="93">
        <v>0</v>
      </c>
      <c r="Q283" s="93">
        <v>0</v>
      </c>
      <c r="R283" s="92"/>
      <c r="S283" s="93">
        <v>-0.25</v>
      </c>
      <c r="T283" s="93">
        <v>-2.27</v>
      </c>
      <c r="U283" s="93">
        <v>0</v>
      </c>
      <c r="V283" s="92"/>
      <c r="W283" s="92"/>
      <c r="X283" s="93">
        <v>-15.77</v>
      </c>
      <c r="Y283" s="92"/>
      <c r="Z283" s="92"/>
      <c r="AA283" s="92"/>
      <c r="AB283" s="92"/>
      <c r="AC283" s="92"/>
      <c r="AD283" s="92"/>
      <c r="AE283" s="92"/>
      <c r="AF283" s="92"/>
      <c r="AG283" s="93">
        <v>0</v>
      </c>
      <c r="AH283" s="92"/>
      <c r="AI283" s="93">
        <v>-16.02</v>
      </c>
      <c r="AJ283" s="93">
        <v>0</v>
      </c>
    </row>
    <row r="284" spans="1:36" customFormat="1" ht="15.75" thickBot="1" x14ac:dyDescent="0.3">
      <c r="A284" s="90" t="s">
        <v>871</v>
      </c>
      <c r="B284" s="626" t="str">
        <f>VLOOKUP($D284,'Retail Rates'!$B$7:$D$38,2,FALSE)</f>
        <v>811</v>
      </c>
      <c r="C284" s="626" t="str">
        <f>VLOOKUP($D284,'Retail Rates'!$B$7:$D$38,3,FALSE)</f>
        <v>RGS</v>
      </c>
      <c r="D284" s="90" t="s">
        <v>35</v>
      </c>
      <c r="E284" s="90" t="s">
        <v>36</v>
      </c>
      <c r="F284" s="90" t="s">
        <v>28</v>
      </c>
      <c r="G284" s="90" t="s">
        <v>758</v>
      </c>
      <c r="H284" s="305">
        <v>1</v>
      </c>
      <c r="I284" s="95">
        <v>0</v>
      </c>
      <c r="J284" s="94"/>
      <c r="K284" s="95">
        <v>-13.5</v>
      </c>
      <c r="L284" s="94"/>
      <c r="M284" s="95">
        <v>0</v>
      </c>
      <c r="N284" s="95">
        <v>0</v>
      </c>
      <c r="O284" s="94"/>
      <c r="P284" s="95">
        <v>0</v>
      </c>
      <c r="Q284" s="95">
        <v>0</v>
      </c>
      <c r="R284" s="94"/>
      <c r="S284" s="95">
        <v>-0.25</v>
      </c>
      <c r="T284" s="95">
        <v>-2.29</v>
      </c>
      <c r="U284" s="95">
        <v>0</v>
      </c>
      <c r="V284" s="94"/>
      <c r="W284" s="94"/>
      <c r="X284" s="95">
        <v>-15.79</v>
      </c>
      <c r="Y284" s="94"/>
      <c r="Z284" s="94"/>
      <c r="AA284" s="94"/>
      <c r="AB284" s="94"/>
      <c r="AC284" s="94"/>
      <c r="AD284" s="94"/>
      <c r="AE284" s="94"/>
      <c r="AF284" s="94"/>
      <c r="AG284" s="95">
        <v>0</v>
      </c>
      <c r="AH284" s="94"/>
      <c r="AI284" s="95">
        <v>-16.04</v>
      </c>
      <c r="AJ284" s="95">
        <v>0</v>
      </c>
    </row>
    <row r="285" spans="1:36" customFormat="1" ht="15.75" thickBot="1" x14ac:dyDescent="0.3">
      <c r="A285" s="90" t="s">
        <v>871</v>
      </c>
      <c r="B285" s="626" t="str">
        <f>VLOOKUP($D285,'Retail Rates'!$B$7:$D$38,2,FALSE)</f>
        <v>811</v>
      </c>
      <c r="C285" s="626" t="str">
        <f>VLOOKUP($D285,'Retail Rates'!$B$7:$D$38,3,FALSE)</f>
        <v>RGS</v>
      </c>
      <c r="D285" s="90" t="s">
        <v>35</v>
      </c>
      <c r="E285" s="90" t="s">
        <v>36</v>
      </c>
      <c r="F285" s="90" t="s">
        <v>28</v>
      </c>
      <c r="G285" s="90" t="s">
        <v>759</v>
      </c>
      <c r="H285" s="304">
        <v>1</v>
      </c>
      <c r="I285" s="93">
        <v>0</v>
      </c>
      <c r="J285" s="92"/>
      <c r="K285" s="93">
        <v>-13.5</v>
      </c>
      <c r="L285" s="92"/>
      <c r="M285" s="93">
        <v>0</v>
      </c>
      <c r="N285" s="93">
        <v>0</v>
      </c>
      <c r="O285" s="92"/>
      <c r="P285" s="93">
        <v>0</v>
      </c>
      <c r="Q285" s="93">
        <v>0</v>
      </c>
      <c r="R285" s="92"/>
      <c r="S285" s="93">
        <v>-0.25</v>
      </c>
      <c r="T285" s="93">
        <v>-2.35</v>
      </c>
      <c r="U285" s="93">
        <v>0</v>
      </c>
      <c r="V285" s="92"/>
      <c r="W285" s="92"/>
      <c r="X285" s="93">
        <v>-15.85</v>
      </c>
      <c r="Y285" s="92"/>
      <c r="Z285" s="92"/>
      <c r="AA285" s="92"/>
      <c r="AB285" s="92"/>
      <c r="AC285" s="92"/>
      <c r="AD285" s="92"/>
      <c r="AE285" s="92"/>
      <c r="AF285" s="92"/>
      <c r="AG285" s="93">
        <v>0</v>
      </c>
      <c r="AH285" s="92"/>
      <c r="AI285" s="93">
        <v>-16.100000000000001</v>
      </c>
      <c r="AJ285" s="93">
        <v>0</v>
      </c>
    </row>
    <row r="286" spans="1:36" customFormat="1" ht="15.75" thickBot="1" x14ac:dyDescent="0.3">
      <c r="A286" s="90" t="s">
        <v>871</v>
      </c>
      <c r="B286" s="626" t="str">
        <f>VLOOKUP($D286,'Retail Rates'!$B$7:$D$38,2,FALSE)</f>
        <v>811</v>
      </c>
      <c r="C286" s="626" t="str">
        <f>VLOOKUP($D286,'Retail Rates'!$B$7:$D$38,3,FALSE)</f>
        <v>RGS</v>
      </c>
      <c r="D286" s="90" t="s">
        <v>35</v>
      </c>
      <c r="E286" s="90" t="s">
        <v>36</v>
      </c>
      <c r="F286" s="90" t="s">
        <v>28</v>
      </c>
      <c r="G286" s="90" t="s">
        <v>760</v>
      </c>
      <c r="H286" s="305">
        <v>1</v>
      </c>
      <c r="I286" s="95">
        <v>0</v>
      </c>
      <c r="J286" s="94"/>
      <c r="K286" s="95">
        <v>-13.5</v>
      </c>
      <c r="L286" s="94"/>
      <c r="M286" s="95">
        <v>0</v>
      </c>
      <c r="N286" s="95">
        <v>0</v>
      </c>
      <c r="O286" s="94"/>
      <c r="P286" s="95">
        <v>0</v>
      </c>
      <c r="Q286" s="95">
        <v>0</v>
      </c>
      <c r="R286" s="94"/>
      <c r="S286" s="95">
        <v>-0.25</v>
      </c>
      <c r="T286" s="95">
        <v>-2.35</v>
      </c>
      <c r="U286" s="95">
        <v>0</v>
      </c>
      <c r="V286" s="94"/>
      <c r="W286" s="94"/>
      <c r="X286" s="95">
        <v>-15.85</v>
      </c>
      <c r="Y286" s="94"/>
      <c r="Z286" s="94"/>
      <c r="AA286" s="94"/>
      <c r="AB286" s="94"/>
      <c r="AC286" s="94"/>
      <c r="AD286" s="94"/>
      <c r="AE286" s="94"/>
      <c r="AF286" s="94"/>
      <c r="AG286" s="95">
        <v>0</v>
      </c>
      <c r="AH286" s="94"/>
      <c r="AI286" s="95">
        <v>-16.100000000000001</v>
      </c>
      <c r="AJ286" s="95">
        <v>0</v>
      </c>
    </row>
    <row r="287" spans="1:36" customFormat="1" ht="15.75" thickBot="1" x14ac:dyDescent="0.3">
      <c r="A287" s="90" t="s">
        <v>871</v>
      </c>
      <c r="B287" s="626" t="str">
        <f>VLOOKUP($D287,'Retail Rates'!$B$7:$D$38,2,FALSE)</f>
        <v>811</v>
      </c>
      <c r="C287" s="626" t="str">
        <f>VLOOKUP($D287,'Retail Rates'!$B$7:$D$38,3,FALSE)</f>
        <v>RGS</v>
      </c>
      <c r="D287" s="90" t="s">
        <v>35</v>
      </c>
      <c r="E287" s="90" t="s">
        <v>36</v>
      </c>
      <c r="F287" s="90" t="s">
        <v>28</v>
      </c>
      <c r="G287" s="90" t="s">
        <v>768</v>
      </c>
      <c r="H287" s="304">
        <v>1</v>
      </c>
      <c r="I287" s="93">
        <v>0</v>
      </c>
      <c r="J287" s="92"/>
      <c r="K287" s="93">
        <v>-13.5</v>
      </c>
      <c r="L287" s="92"/>
      <c r="M287" s="93">
        <v>0</v>
      </c>
      <c r="N287" s="93">
        <v>0</v>
      </c>
      <c r="O287" s="92"/>
      <c r="P287" s="93">
        <v>0</v>
      </c>
      <c r="Q287" s="93">
        <v>0</v>
      </c>
      <c r="R287" s="92"/>
      <c r="S287" s="93">
        <v>-0.25</v>
      </c>
      <c r="T287" s="93">
        <v>-2.35</v>
      </c>
      <c r="U287" s="93">
        <v>0</v>
      </c>
      <c r="V287" s="92"/>
      <c r="W287" s="92"/>
      <c r="X287" s="93">
        <v>-15.85</v>
      </c>
      <c r="Y287" s="92"/>
      <c r="Z287" s="92"/>
      <c r="AA287" s="92"/>
      <c r="AB287" s="92"/>
      <c r="AC287" s="92"/>
      <c r="AD287" s="92"/>
      <c r="AE287" s="92"/>
      <c r="AF287" s="92"/>
      <c r="AG287" s="93">
        <v>0</v>
      </c>
      <c r="AH287" s="92"/>
      <c r="AI287" s="93">
        <v>-16.100000000000001</v>
      </c>
      <c r="AJ287" s="93">
        <v>0</v>
      </c>
    </row>
    <row r="288" spans="1:36" customFormat="1" ht="15.75" thickBot="1" x14ac:dyDescent="0.3">
      <c r="A288" s="90" t="s">
        <v>871</v>
      </c>
      <c r="B288" s="626" t="str">
        <f>VLOOKUP($D288,'Retail Rates'!$B$7:$D$38,2,FALSE)</f>
        <v>811</v>
      </c>
      <c r="C288" s="626" t="str">
        <f>VLOOKUP($D288,'Retail Rates'!$B$7:$D$38,3,FALSE)</f>
        <v>RGS</v>
      </c>
      <c r="D288" s="90" t="s">
        <v>35</v>
      </c>
      <c r="E288" s="90" t="s">
        <v>36</v>
      </c>
      <c r="F288" s="90" t="s">
        <v>28</v>
      </c>
      <c r="G288" s="90" t="s">
        <v>769</v>
      </c>
      <c r="H288" s="305">
        <v>1</v>
      </c>
      <c r="I288" s="95">
        <v>0</v>
      </c>
      <c r="J288" s="94"/>
      <c r="K288" s="95">
        <v>-13.5</v>
      </c>
      <c r="L288" s="94"/>
      <c r="M288" s="95">
        <v>0</v>
      </c>
      <c r="N288" s="95">
        <v>0</v>
      </c>
      <c r="O288" s="94"/>
      <c r="P288" s="95">
        <v>0</v>
      </c>
      <c r="Q288" s="95">
        <v>0</v>
      </c>
      <c r="R288" s="94"/>
      <c r="S288" s="95">
        <v>-0.25</v>
      </c>
      <c r="T288" s="95">
        <v>-1.97</v>
      </c>
      <c r="U288" s="95">
        <v>0</v>
      </c>
      <c r="V288" s="94"/>
      <c r="W288" s="94"/>
      <c r="X288" s="95">
        <v>-15.47</v>
      </c>
      <c r="Y288" s="94"/>
      <c r="Z288" s="94"/>
      <c r="AA288" s="94"/>
      <c r="AB288" s="94"/>
      <c r="AC288" s="94"/>
      <c r="AD288" s="94"/>
      <c r="AE288" s="94"/>
      <c r="AF288" s="94"/>
      <c r="AG288" s="95">
        <v>0</v>
      </c>
      <c r="AH288" s="94"/>
      <c r="AI288" s="95">
        <v>-15.72</v>
      </c>
      <c r="AJ288" s="95">
        <v>0</v>
      </c>
    </row>
    <row r="289" spans="1:36" customFormat="1" ht="15.75" thickBot="1" x14ac:dyDescent="0.3">
      <c r="A289" s="90" t="s">
        <v>871</v>
      </c>
      <c r="B289" s="626" t="str">
        <f>VLOOKUP($D289,'Retail Rates'!$B$7:$D$38,2,FALSE)</f>
        <v>811</v>
      </c>
      <c r="C289" s="626" t="str">
        <f>VLOOKUP($D289,'Retail Rates'!$B$7:$D$38,3,FALSE)</f>
        <v>RGS</v>
      </c>
      <c r="D289" s="90" t="s">
        <v>35</v>
      </c>
      <c r="E289" s="90" t="s">
        <v>36</v>
      </c>
      <c r="F289" s="90" t="s">
        <v>28</v>
      </c>
      <c r="G289" s="90" t="s">
        <v>771</v>
      </c>
      <c r="H289" s="304">
        <v>1</v>
      </c>
      <c r="I289" s="93">
        <v>0</v>
      </c>
      <c r="J289" s="92"/>
      <c r="K289" s="93">
        <v>-13.5</v>
      </c>
      <c r="L289" s="92"/>
      <c r="M289" s="93">
        <v>0</v>
      </c>
      <c r="N289" s="93">
        <v>0</v>
      </c>
      <c r="O289" s="92"/>
      <c r="P289" s="93">
        <v>0</v>
      </c>
      <c r="Q289" s="93">
        <v>0</v>
      </c>
      <c r="R289" s="92"/>
      <c r="S289" s="93">
        <v>-0.25</v>
      </c>
      <c r="T289" s="93">
        <v>-1.08</v>
      </c>
      <c r="U289" s="93">
        <v>0</v>
      </c>
      <c r="V289" s="92"/>
      <c r="W289" s="92"/>
      <c r="X289" s="93">
        <v>-14.58</v>
      </c>
      <c r="Y289" s="92"/>
      <c r="Z289" s="92"/>
      <c r="AA289" s="92"/>
      <c r="AB289" s="92"/>
      <c r="AC289" s="92"/>
      <c r="AD289" s="92"/>
      <c r="AE289" s="92"/>
      <c r="AF289" s="92"/>
      <c r="AG289" s="93">
        <v>0</v>
      </c>
      <c r="AH289" s="92"/>
      <c r="AI289" s="93">
        <v>-14.83</v>
      </c>
      <c r="AJ289" s="93">
        <v>0</v>
      </c>
    </row>
    <row r="290" spans="1:36" customFormat="1" ht="15.75" thickBot="1" x14ac:dyDescent="0.3">
      <c r="A290" s="90" t="s">
        <v>871</v>
      </c>
      <c r="B290" s="626" t="str">
        <f>VLOOKUP($D290,'Retail Rates'!$B$7:$D$38,2,FALSE)</f>
        <v>811</v>
      </c>
      <c r="C290" s="626" t="str">
        <f>VLOOKUP($D290,'Retail Rates'!$B$7:$D$38,3,FALSE)</f>
        <v>RGS</v>
      </c>
      <c r="D290" s="90" t="s">
        <v>35</v>
      </c>
      <c r="E290" s="90" t="s">
        <v>36</v>
      </c>
      <c r="F290" s="90" t="s">
        <v>28</v>
      </c>
      <c r="G290" s="90" t="s">
        <v>783</v>
      </c>
      <c r="H290" s="305">
        <v>1</v>
      </c>
      <c r="I290" s="95">
        <v>0</v>
      </c>
      <c r="J290" s="94"/>
      <c r="K290" s="95">
        <v>-13.5</v>
      </c>
      <c r="L290" s="94"/>
      <c r="M290" s="95">
        <v>0</v>
      </c>
      <c r="N290" s="95">
        <v>0</v>
      </c>
      <c r="O290" s="94"/>
      <c r="P290" s="95">
        <v>0</v>
      </c>
      <c r="Q290" s="95">
        <v>0</v>
      </c>
      <c r="R290" s="94"/>
      <c r="S290" s="95">
        <v>-0.25</v>
      </c>
      <c r="T290" s="95">
        <v>-1.08</v>
      </c>
      <c r="U290" s="95">
        <v>0</v>
      </c>
      <c r="V290" s="94"/>
      <c r="W290" s="94"/>
      <c r="X290" s="95">
        <v>-14.58</v>
      </c>
      <c r="Y290" s="94"/>
      <c r="Z290" s="94"/>
      <c r="AA290" s="94"/>
      <c r="AB290" s="94"/>
      <c r="AC290" s="94"/>
      <c r="AD290" s="94"/>
      <c r="AE290" s="94"/>
      <c r="AF290" s="94"/>
      <c r="AG290" s="95">
        <v>0</v>
      </c>
      <c r="AH290" s="94"/>
      <c r="AI290" s="95">
        <v>-14.83</v>
      </c>
      <c r="AJ290" s="95">
        <v>0</v>
      </c>
    </row>
    <row r="291" spans="1:36" customFormat="1" ht="15.75" thickBot="1" x14ac:dyDescent="0.3">
      <c r="A291" s="90" t="s">
        <v>871</v>
      </c>
      <c r="B291" s="626" t="str">
        <f>VLOOKUP($D291,'Retail Rates'!$B$7:$D$38,2,FALSE)</f>
        <v>811</v>
      </c>
      <c r="C291" s="626" t="str">
        <f>VLOOKUP($D291,'Retail Rates'!$B$7:$D$38,3,FALSE)</f>
        <v>RGS</v>
      </c>
      <c r="D291" s="90" t="s">
        <v>35</v>
      </c>
      <c r="E291" s="90" t="s">
        <v>36</v>
      </c>
      <c r="F291" s="90" t="s">
        <v>28</v>
      </c>
      <c r="G291" s="90" t="s">
        <v>798</v>
      </c>
      <c r="H291" s="304">
        <v>1</v>
      </c>
      <c r="I291" s="93">
        <v>0</v>
      </c>
      <c r="J291" s="92"/>
      <c r="K291" s="93">
        <v>-13.5</v>
      </c>
      <c r="L291" s="92"/>
      <c r="M291" s="93">
        <v>0</v>
      </c>
      <c r="N291" s="93">
        <v>0</v>
      </c>
      <c r="O291" s="92"/>
      <c r="P291" s="93">
        <v>0</v>
      </c>
      <c r="Q291" s="93">
        <v>0</v>
      </c>
      <c r="R291" s="92"/>
      <c r="S291" s="93">
        <v>-0.25</v>
      </c>
      <c r="T291" s="93">
        <v>-1.08</v>
      </c>
      <c r="U291" s="93">
        <v>0</v>
      </c>
      <c r="V291" s="92"/>
      <c r="W291" s="92"/>
      <c r="X291" s="93">
        <v>-14.58</v>
      </c>
      <c r="Y291" s="92"/>
      <c r="Z291" s="92"/>
      <c r="AA291" s="92"/>
      <c r="AB291" s="92"/>
      <c r="AC291" s="92"/>
      <c r="AD291" s="92"/>
      <c r="AE291" s="92"/>
      <c r="AF291" s="92"/>
      <c r="AG291" s="93">
        <v>0</v>
      </c>
      <c r="AH291" s="92"/>
      <c r="AI291" s="93">
        <v>-14.83</v>
      </c>
      <c r="AJ291" s="93">
        <v>0</v>
      </c>
    </row>
    <row r="292" spans="1:36" customFormat="1" ht="15.75" thickBot="1" x14ac:dyDescent="0.3">
      <c r="A292" s="90" t="s">
        <v>871</v>
      </c>
      <c r="B292" s="626" t="str">
        <f>VLOOKUP($D292,'Retail Rates'!$B$7:$D$38,2,FALSE)</f>
        <v>811</v>
      </c>
      <c r="C292" s="626" t="str">
        <f>VLOOKUP($D292,'Retail Rates'!$B$7:$D$38,3,FALSE)</f>
        <v>RGS</v>
      </c>
      <c r="D292" s="90" t="s">
        <v>35</v>
      </c>
      <c r="E292" s="90" t="s">
        <v>36</v>
      </c>
      <c r="F292" s="90" t="s">
        <v>28</v>
      </c>
      <c r="G292" s="90" t="s">
        <v>897</v>
      </c>
      <c r="H292" s="305">
        <v>2</v>
      </c>
      <c r="I292" s="95">
        <v>0</v>
      </c>
      <c r="J292" s="94"/>
      <c r="K292" s="95">
        <v>-19.8</v>
      </c>
      <c r="L292" s="94"/>
      <c r="M292" s="95">
        <v>0</v>
      </c>
      <c r="N292" s="95">
        <v>0</v>
      </c>
      <c r="O292" s="94"/>
      <c r="P292" s="95">
        <v>0</v>
      </c>
      <c r="Q292" s="95">
        <v>0</v>
      </c>
      <c r="R292" s="94"/>
      <c r="S292" s="95">
        <v>-0.5</v>
      </c>
      <c r="T292" s="95">
        <v>-1.58</v>
      </c>
      <c r="U292" s="95">
        <v>0</v>
      </c>
      <c r="V292" s="94"/>
      <c r="W292" s="94"/>
      <c r="X292" s="95">
        <v>-21.38</v>
      </c>
      <c r="Y292" s="94"/>
      <c r="Z292" s="94"/>
      <c r="AA292" s="94"/>
      <c r="AB292" s="94"/>
      <c r="AC292" s="94"/>
      <c r="AD292" s="94"/>
      <c r="AE292" s="94"/>
      <c r="AF292" s="94"/>
      <c r="AG292" s="95">
        <v>0</v>
      </c>
      <c r="AH292" s="94"/>
      <c r="AI292" s="95">
        <v>-21.88</v>
      </c>
      <c r="AJ292" s="95">
        <v>0</v>
      </c>
    </row>
    <row r="293" spans="1:36" customFormat="1" ht="15.75" thickBot="1" x14ac:dyDescent="0.3">
      <c r="A293" s="90" t="s">
        <v>871</v>
      </c>
      <c r="B293" s="626" t="str">
        <f>VLOOKUP($D293,'Retail Rates'!$B$7:$D$38,2,FALSE)</f>
        <v>811</v>
      </c>
      <c r="C293" s="626" t="str">
        <f>VLOOKUP($D293,'Retail Rates'!$B$7:$D$38,3,FALSE)</f>
        <v>RGS</v>
      </c>
      <c r="D293" s="90" t="s">
        <v>35</v>
      </c>
      <c r="E293" s="90" t="s">
        <v>36</v>
      </c>
      <c r="F293" s="90" t="s">
        <v>28</v>
      </c>
      <c r="G293" s="90" t="s">
        <v>898</v>
      </c>
      <c r="H293" s="304">
        <v>2</v>
      </c>
      <c r="I293" s="93">
        <v>0</v>
      </c>
      <c r="J293" s="92"/>
      <c r="K293" s="93">
        <v>-27</v>
      </c>
      <c r="L293" s="92"/>
      <c r="M293" s="93">
        <v>0</v>
      </c>
      <c r="N293" s="93">
        <v>0</v>
      </c>
      <c r="O293" s="92"/>
      <c r="P293" s="93">
        <v>0</v>
      </c>
      <c r="Q293" s="93">
        <v>0</v>
      </c>
      <c r="R293" s="92"/>
      <c r="S293" s="93">
        <v>-0.5</v>
      </c>
      <c r="T293" s="93">
        <v>-2.16</v>
      </c>
      <c r="U293" s="93">
        <v>0</v>
      </c>
      <c r="V293" s="92"/>
      <c r="W293" s="92"/>
      <c r="X293" s="93">
        <v>-29.16</v>
      </c>
      <c r="Y293" s="92"/>
      <c r="Z293" s="92"/>
      <c r="AA293" s="92"/>
      <c r="AB293" s="92"/>
      <c r="AC293" s="92"/>
      <c r="AD293" s="92"/>
      <c r="AE293" s="92"/>
      <c r="AF293" s="92"/>
      <c r="AG293" s="93">
        <v>0</v>
      </c>
      <c r="AH293" s="92"/>
      <c r="AI293" s="93">
        <v>-29.66</v>
      </c>
      <c r="AJ293" s="93">
        <v>0</v>
      </c>
    </row>
    <row r="294" spans="1:36" customFormat="1" ht="15.75" thickBot="1" x14ac:dyDescent="0.3">
      <c r="A294" s="90" t="s">
        <v>871</v>
      </c>
      <c r="B294" s="626" t="str">
        <f>VLOOKUP($D294,'Retail Rates'!$B$7:$D$38,2,FALSE)</f>
        <v>811</v>
      </c>
      <c r="C294" s="626" t="str">
        <f>VLOOKUP($D294,'Retail Rates'!$B$7:$D$38,3,FALSE)</f>
        <v>RGS</v>
      </c>
      <c r="D294" s="90" t="s">
        <v>35</v>
      </c>
      <c r="E294" s="90" t="s">
        <v>36</v>
      </c>
      <c r="F294" s="90" t="s">
        <v>28</v>
      </c>
      <c r="G294" s="90" t="s">
        <v>899</v>
      </c>
      <c r="H294" s="305">
        <v>3</v>
      </c>
      <c r="I294" s="95">
        <v>-2</v>
      </c>
      <c r="J294" s="94"/>
      <c r="K294" s="95">
        <v>-27</v>
      </c>
      <c r="L294" s="94"/>
      <c r="M294" s="95">
        <v>-0.53</v>
      </c>
      <c r="N294" s="95">
        <v>0</v>
      </c>
      <c r="O294" s="95">
        <v>0</v>
      </c>
      <c r="P294" s="95">
        <v>-1.1200000000000001</v>
      </c>
      <c r="Q294" s="95">
        <v>-0.03</v>
      </c>
      <c r="R294" s="95">
        <v>-0.1</v>
      </c>
      <c r="S294" s="95">
        <v>-0.5</v>
      </c>
      <c r="T294" s="95">
        <v>-2.16</v>
      </c>
      <c r="U294" s="95">
        <v>0</v>
      </c>
      <c r="V294" s="94"/>
      <c r="W294" s="94"/>
      <c r="X294" s="95">
        <v>-30.94</v>
      </c>
      <c r="Y294" s="94"/>
      <c r="Z294" s="94"/>
      <c r="AA294" s="94"/>
      <c r="AB294" s="94"/>
      <c r="AC294" s="94"/>
      <c r="AD294" s="94"/>
      <c r="AE294" s="94"/>
      <c r="AF294" s="94"/>
      <c r="AG294" s="95">
        <v>0</v>
      </c>
      <c r="AH294" s="94"/>
      <c r="AI294" s="95">
        <v>-31.44</v>
      </c>
      <c r="AJ294" s="95">
        <v>0</v>
      </c>
    </row>
    <row r="295" spans="1:36" customFormat="1" ht="15.75" thickBot="1" x14ac:dyDescent="0.3">
      <c r="A295" s="90" t="s">
        <v>871</v>
      </c>
      <c r="B295" s="626" t="str">
        <f>VLOOKUP($D295,'Retail Rates'!$B$7:$D$38,2,FALSE)</f>
        <v>811</v>
      </c>
      <c r="C295" s="626" t="str">
        <f>VLOOKUP($D295,'Retail Rates'!$B$7:$D$38,3,FALSE)</f>
        <v>RGS</v>
      </c>
      <c r="D295" s="90" t="s">
        <v>35</v>
      </c>
      <c r="E295" s="90" t="s">
        <v>36</v>
      </c>
      <c r="F295" s="90" t="s">
        <v>28</v>
      </c>
      <c r="G295" s="90" t="s">
        <v>900</v>
      </c>
      <c r="H295" s="304">
        <v>3</v>
      </c>
      <c r="I295" s="93">
        <v>-3</v>
      </c>
      <c r="J295" s="92"/>
      <c r="K295" s="93">
        <v>-26.74</v>
      </c>
      <c r="L295" s="92"/>
      <c r="M295" s="93">
        <v>-0.79</v>
      </c>
      <c r="N295" s="93">
        <v>-0.64</v>
      </c>
      <c r="O295" s="93">
        <v>0.26</v>
      </c>
      <c r="P295" s="93">
        <v>-1.68</v>
      </c>
      <c r="Q295" s="93">
        <v>-0.05</v>
      </c>
      <c r="R295" s="93">
        <v>-0.41</v>
      </c>
      <c r="S295" s="93">
        <v>-0.5</v>
      </c>
      <c r="T295" s="93">
        <v>-2.16</v>
      </c>
      <c r="U295" s="93">
        <v>0</v>
      </c>
      <c r="V295" s="92"/>
      <c r="W295" s="92"/>
      <c r="X295" s="93">
        <v>-31.83</v>
      </c>
      <c r="Y295" s="92"/>
      <c r="Z295" s="92"/>
      <c r="AA295" s="92"/>
      <c r="AB295" s="92"/>
      <c r="AC295" s="92"/>
      <c r="AD295" s="92"/>
      <c r="AE295" s="92"/>
      <c r="AF295" s="92"/>
      <c r="AG295" s="93">
        <v>0</v>
      </c>
      <c r="AH295" s="92"/>
      <c r="AI295" s="93">
        <v>-32.97</v>
      </c>
      <c r="AJ295" s="306">
        <v>-0.26</v>
      </c>
    </row>
    <row r="296" spans="1:36" customFormat="1" ht="15.75" thickBot="1" x14ac:dyDescent="0.3">
      <c r="A296" s="90" t="s">
        <v>871</v>
      </c>
      <c r="B296" s="626" t="str">
        <f>VLOOKUP($D296,'Retail Rates'!$B$7:$D$38,2,FALSE)</f>
        <v>811</v>
      </c>
      <c r="C296" s="626" t="str">
        <f>VLOOKUP($D296,'Retail Rates'!$B$7:$D$38,3,FALSE)</f>
        <v>RGS</v>
      </c>
      <c r="D296" s="90" t="s">
        <v>35</v>
      </c>
      <c r="E296" s="90" t="s">
        <v>36</v>
      </c>
      <c r="F296" s="90" t="s">
        <v>28</v>
      </c>
      <c r="G296" s="90" t="s">
        <v>901</v>
      </c>
      <c r="H296" s="305">
        <v>3</v>
      </c>
      <c r="I296" s="95">
        <v>-3</v>
      </c>
      <c r="J296" s="94"/>
      <c r="K296" s="95">
        <v>-26.74</v>
      </c>
      <c r="L296" s="94"/>
      <c r="M296" s="95">
        <v>-0.79</v>
      </c>
      <c r="N296" s="95">
        <v>-0.65</v>
      </c>
      <c r="O296" s="95">
        <v>0.26</v>
      </c>
      <c r="P296" s="95">
        <v>-1.68</v>
      </c>
      <c r="Q296" s="95">
        <v>-0.06</v>
      </c>
      <c r="R296" s="95">
        <v>-0.09</v>
      </c>
      <c r="S296" s="95">
        <v>-0.5</v>
      </c>
      <c r="T296" s="95">
        <v>-3.03</v>
      </c>
      <c r="U296" s="95">
        <v>0</v>
      </c>
      <c r="V296" s="94"/>
      <c r="W296" s="94"/>
      <c r="X296" s="95">
        <v>-32.39</v>
      </c>
      <c r="Y296" s="94"/>
      <c r="Z296" s="94"/>
      <c r="AA296" s="94"/>
      <c r="AB296" s="94"/>
      <c r="AC296" s="94"/>
      <c r="AD296" s="94"/>
      <c r="AE296" s="94"/>
      <c r="AF296" s="94"/>
      <c r="AG296" s="95">
        <v>0</v>
      </c>
      <c r="AH296" s="94"/>
      <c r="AI296" s="95">
        <v>-33.54</v>
      </c>
      <c r="AJ296" s="306">
        <v>-0.26</v>
      </c>
    </row>
    <row r="297" spans="1:36" customFormat="1" ht="15.75" thickBot="1" x14ac:dyDescent="0.3">
      <c r="A297" s="90" t="s">
        <v>871</v>
      </c>
      <c r="B297" s="626" t="str">
        <f>VLOOKUP($D297,'Retail Rates'!$B$7:$D$38,2,FALSE)</f>
        <v>811</v>
      </c>
      <c r="C297" s="626" t="str">
        <f>VLOOKUP($D297,'Retail Rates'!$B$7:$D$38,3,FALSE)</f>
        <v>RGS</v>
      </c>
      <c r="D297" s="90" t="s">
        <v>35</v>
      </c>
      <c r="E297" s="90" t="s">
        <v>36</v>
      </c>
      <c r="F297" s="90" t="s">
        <v>28</v>
      </c>
      <c r="G297" s="90" t="s">
        <v>902</v>
      </c>
      <c r="H297" s="304">
        <v>3</v>
      </c>
      <c r="I297" s="93">
        <v>-3</v>
      </c>
      <c r="J297" s="92"/>
      <c r="K297" s="93">
        <v>-26.74</v>
      </c>
      <c r="L297" s="92"/>
      <c r="M297" s="93">
        <v>-0.79</v>
      </c>
      <c r="N297" s="93">
        <v>-0.7</v>
      </c>
      <c r="O297" s="93">
        <v>0.26</v>
      </c>
      <c r="P297" s="93">
        <v>-1.5</v>
      </c>
      <c r="Q297" s="93">
        <v>-0.06</v>
      </c>
      <c r="R297" s="93">
        <v>-0.54</v>
      </c>
      <c r="S297" s="93">
        <v>-0.5</v>
      </c>
      <c r="T297" s="93">
        <v>-5.0599999999999996</v>
      </c>
      <c r="U297" s="93">
        <v>0</v>
      </c>
      <c r="V297" s="92"/>
      <c r="W297" s="92"/>
      <c r="X297" s="93">
        <v>-34.69</v>
      </c>
      <c r="Y297" s="92"/>
      <c r="Z297" s="92"/>
      <c r="AA297" s="92"/>
      <c r="AB297" s="92"/>
      <c r="AC297" s="92"/>
      <c r="AD297" s="92"/>
      <c r="AE297" s="92"/>
      <c r="AF297" s="92"/>
      <c r="AG297" s="93">
        <v>0</v>
      </c>
      <c r="AH297" s="92"/>
      <c r="AI297" s="93">
        <v>-35.89</v>
      </c>
      <c r="AJ297" s="306">
        <v>-0.26</v>
      </c>
    </row>
    <row r="298" spans="1:36" customFormat="1" ht="15.75" thickBot="1" x14ac:dyDescent="0.3">
      <c r="A298" s="90" t="s">
        <v>871</v>
      </c>
      <c r="B298" s="626" t="str">
        <f>VLOOKUP($D298,'Retail Rates'!$B$7:$D$38,2,FALSE)</f>
        <v>811</v>
      </c>
      <c r="C298" s="626" t="str">
        <f>VLOOKUP($D298,'Retail Rates'!$B$7:$D$38,3,FALSE)</f>
        <v>RGS</v>
      </c>
      <c r="D298" s="90" t="s">
        <v>35</v>
      </c>
      <c r="E298" s="90" t="s">
        <v>36</v>
      </c>
      <c r="F298" s="90" t="s">
        <v>28</v>
      </c>
      <c r="G298" s="90" t="s">
        <v>903</v>
      </c>
      <c r="H298" s="305">
        <v>3</v>
      </c>
      <c r="I298" s="95">
        <v>-2</v>
      </c>
      <c r="J298" s="94"/>
      <c r="K298" s="95">
        <v>-26.74</v>
      </c>
      <c r="L298" s="94"/>
      <c r="M298" s="95">
        <v>-0.53</v>
      </c>
      <c r="N298" s="95">
        <v>-0.67</v>
      </c>
      <c r="O298" s="95">
        <v>0.26</v>
      </c>
      <c r="P298" s="95">
        <v>-1</v>
      </c>
      <c r="Q298" s="95">
        <v>-0.04</v>
      </c>
      <c r="R298" s="95">
        <v>7.0000000000000007E-2</v>
      </c>
      <c r="S298" s="95">
        <v>-0.5</v>
      </c>
      <c r="T298" s="95">
        <v>-5.0599999999999996</v>
      </c>
      <c r="U298" s="95">
        <v>0</v>
      </c>
      <c r="V298" s="94"/>
      <c r="W298" s="94"/>
      <c r="X298" s="95">
        <v>-33.299999999999997</v>
      </c>
      <c r="Y298" s="94"/>
      <c r="Z298" s="94"/>
      <c r="AA298" s="94"/>
      <c r="AB298" s="94"/>
      <c r="AC298" s="94"/>
      <c r="AD298" s="94"/>
      <c r="AE298" s="94"/>
      <c r="AF298" s="94"/>
      <c r="AG298" s="95">
        <v>0</v>
      </c>
      <c r="AH298" s="94"/>
      <c r="AI298" s="95">
        <v>-34.47</v>
      </c>
      <c r="AJ298" s="306">
        <v>-0.26</v>
      </c>
    </row>
    <row r="299" spans="1:36" customFormat="1" ht="15.75" thickBot="1" x14ac:dyDescent="0.3">
      <c r="A299" s="90" t="s">
        <v>871</v>
      </c>
      <c r="B299" s="626" t="str">
        <f>VLOOKUP($D299,'Retail Rates'!$B$7:$D$38,2,FALSE)</f>
        <v>811</v>
      </c>
      <c r="C299" s="626" t="str">
        <f>VLOOKUP($D299,'Retail Rates'!$B$7:$D$38,3,FALSE)</f>
        <v>RGS</v>
      </c>
      <c r="D299" s="90" t="s">
        <v>35</v>
      </c>
      <c r="E299" s="90" t="s">
        <v>36</v>
      </c>
      <c r="F299" s="90" t="s">
        <v>28</v>
      </c>
      <c r="G299" s="90" t="s">
        <v>904</v>
      </c>
      <c r="H299" s="304">
        <v>7</v>
      </c>
      <c r="I299" s="93">
        <v>67</v>
      </c>
      <c r="J299" s="92"/>
      <c r="K299" s="93">
        <v>-26.74</v>
      </c>
      <c r="L299" s="92"/>
      <c r="M299" s="93">
        <v>17.7</v>
      </c>
      <c r="N299" s="93">
        <v>0.48</v>
      </c>
      <c r="O299" s="93">
        <v>0.26</v>
      </c>
      <c r="P299" s="93">
        <v>33.47</v>
      </c>
      <c r="Q299" s="93">
        <v>0.87</v>
      </c>
      <c r="R299" s="93">
        <v>3.87</v>
      </c>
      <c r="S299" s="93">
        <v>-0.5</v>
      </c>
      <c r="T299" s="93">
        <v>-5.0599999999999996</v>
      </c>
      <c r="U299" s="93">
        <v>0</v>
      </c>
      <c r="V299" s="92"/>
      <c r="W299" s="92"/>
      <c r="X299" s="93">
        <v>24.11</v>
      </c>
      <c r="Y299" s="92"/>
      <c r="Z299" s="92"/>
      <c r="AA299" s="92"/>
      <c r="AB299" s="92"/>
      <c r="AC299" s="92"/>
      <c r="AD299" s="92"/>
      <c r="AE299" s="92"/>
      <c r="AF299" s="92"/>
      <c r="AG299" s="93">
        <v>0</v>
      </c>
      <c r="AH299" s="92"/>
      <c r="AI299" s="93">
        <v>24.09</v>
      </c>
      <c r="AJ299" s="306">
        <v>-0.26</v>
      </c>
    </row>
    <row r="300" spans="1:36" customFormat="1" ht="15.75" thickBot="1" x14ac:dyDescent="0.3">
      <c r="A300" s="90" t="s">
        <v>871</v>
      </c>
      <c r="B300" s="626" t="str">
        <f>VLOOKUP($D300,'Retail Rates'!$B$7:$D$38,2,FALSE)</f>
        <v>811</v>
      </c>
      <c r="C300" s="626" t="str">
        <f>VLOOKUP($D300,'Retail Rates'!$B$7:$D$38,3,FALSE)</f>
        <v>RGS</v>
      </c>
      <c r="D300" s="90" t="s">
        <v>35</v>
      </c>
      <c r="E300" s="90" t="s">
        <v>36</v>
      </c>
      <c r="F300" s="90" t="s">
        <v>28</v>
      </c>
      <c r="G300" s="90" t="s">
        <v>905</v>
      </c>
      <c r="H300" s="305">
        <v>7</v>
      </c>
      <c r="I300" s="95">
        <v>32</v>
      </c>
      <c r="J300" s="94"/>
      <c r="K300" s="95">
        <v>-13.37</v>
      </c>
      <c r="L300" s="94"/>
      <c r="M300" s="95">
        <v>8.4499999999999993</v>
      </c>
      <c r="N300" s="95">
        <v>0.14000000000000001</v>
      </c>
      <c r="O300" s="95">
        <v>0.13</v>
      </c>
      <c r="P300" s="95">
        <v>13.65</v>
      </c>
      <c r="Q300" s="95">
        <v>0.42</v>
      </c>
      <c r="R300" s="94"/>
      <c r="S300" s="95">
        <v>-0.25</v>
      </c>
      <c r="T300" s="95">
        <v>-2.2000000000000002</v>
      </c>
      <c r="U300" s="95">
        <v>0</v>
      </c>
      <c r="V300" s="94"/>
      <c r="W300" s="94"/>
      <c r="X300" s="95">
        <v>6.95</v>
      </c>
      <c r="Y300" s="94"/>
      <c r="Z300" s="94"/>
      <c r="AA300" s="94"/>
      <c r="AB300" s="94"/>
      <c r="AC300" s="94"/>
      <c r="AD300" s="94"/>
      <c r="AE300" s="94"/>
      <c r="AF300" s="94"/>
      <c r="AG300" s="95">
        <v>0</v>
      </c>
      <c r="AH300" s="94"/>
      <c r="AI300" s="95">
        <v>6.84</v>
      </c>
      <c r="AJ300" s="306">
        <v>-0.13</v>
      </c>
    </row>
    <row r="301" spans="1:36" customFormat="1" ht="15.75" thickBot="1" x14ac:dyDescent="0.3">
      <c r="A301" s="90" t="s">
        <v>871</v>
      </c>
      <c r="B301" s="626" t="str">
        <f>VLOOKUP($D301,'Retail Rates'!$B$7:$D$38,2,FALSE)</f>
        <v>811</v>
      </c>
      <c r="C301" s="626" t="str">
        <f>VLOOKUP($D301,'Retail Rates'!$B$7:$D$38,3,FALSE)</f>
        <v>RGS</v>
      </c>
      <c r="D301" s="90" t="s">
        <v>35</v>
      </c>
      <c r="E301" s="90" t="s">
        <v>36</v>
      </c>
      <c r="F301" s="90" t="s">
        <v>28</v>
      </c>
      <c r="G301" s="90" t="s">
        <v>906</v>
      </c>
      <c r="H301" s="304">
        <v>7</v>
      </c>
      <c r="I301" s="93">
        <v>32</v>
      </c>
      <c r="J301" s="92"/>
      <c r="K301" s="93">
        <v>-13.37</v>
      </c>
      <c r="L301" s="92"/>
      <c r="M301" s="93">
        <v>8.4600000000000009</v>
      </c>
      <c r="N301" s="93">
        <v>7.0000000000000007E-2</v>
      </c>
      <c r="O301" s="93">
        <v>0.13</v>
      </c>
      <c r="P301" s="93">
        <v>13.31</v>
      </c>
      <c r="Q301" s="93">
        <v>0.42</v>
      </c>
      <c r="R301" s="92"/>
      <c r="S301" s="93">
        <v>-0.25</v>
      </c>
      <c r="T301" s="93">
        <v>-3.77</v>
      </c>
      <c r="U301" s="93">
        <v>0</v>
      </c>
      <c r="V301" s="92"/>
      <c r="W301" s="92"/>
      <c r="X301" s="93">
        <v>5.05</v>
      </c>
      <c r="Y301" s="92"/>
      <c r="Z301" s="92"/>
      <c r="AA301" s="92"/>
      <c r="AB301" s="92"/>
      <c r="AC301" s="92"/>
      <c r="AD301" s="92"/>
      <c r="AE301" s="92"/>
      <c r="AF301" s="92"/>
      <c r="AG301" s="93">
        <v>0</v>
      </c>
      <c r="AH301" s="92"/>
      <c r="AI301" s="93">
        <v>4.87</v>
      </c>
      <c r="AJ301" s="306">
        <v>-0.13</v>
      </c>
    </row>
    <row r="302" spans="1:36" customFormat="1" ht="15.75" thickBot="1" x14ac:dyDescent="0.3">
      <c r="A302" s="90" t="s">
        <v>871</v>
      </c>
      <c r="B302" s="626" t="str">
        <f>VLOOKUP($D302,'Retail Rates'!$B$7:$D$38,2,FALSE)</f>
        <v>811</v>
      </c>
      <c r="C302" s="626" t="str">
        <f>VLOOKUP($D302,'Retail Rates'!$B$7:$D$38,3,FALSE)</f>
        <v>RGS</v>
      </c>
      <c r="D302" s="90" t="s">
        <v>35</v>
      </c>
      <c r="E302" s="90" t="s">
        <v>36</v>
      </c>
      <c r="F302" s="90" t="s">
        <v>28</v>
      </c>
      <c r="G302" s="90" t="s">
        <v>907</v>
      </c>
      <c r="H302" s="305">
        <v>9</v>
      </c>
      <c r="I302" s="95">
        <v>31</v>
      </c>
      <c r="J302" s="94"/>
      <c r="K302" s="95">
        <v>-27</v>
      </c>
      <c r="L302" s="94"/>
      <c r="M302" s="95">
        <v>8.7799999999999994</v>
      </c>
      <c r="N302" s="95">
        <v>-0.28000000000000003</v>
      </c>
      <c r="O302" s="95">
        <v>0</v>
      </c>
      <c r="P302" s="95">
        <v>12.9</v>
      </c>
      <c r="Q302" s="95">
        <v>0.26</v>
      </c>
      <c r="R302" s="94"/>
      <c r="S302" s="95">
        <v>-0.5</v>
      </c>
      <c r="T302" s="95">
        <v>-7.54</v>
      </c>
      <c r="U302" s="95">
        <v>0</v>
      </c>
      <c r="V302" s="94"/>
      <c r="W302" s="94"/>
      <c r="X302" s="95">
        <v>-12.6</v>
      </c>
      <c r="Y302" s="94"/>
      <c r="Z302" s="94"/>
      <c r="AA302" s="94"/>
      <c r="AB302" s="94"/>
      <c r="AC302" s="94"/>
      <c r="AD302" s="94"/>
      <c r="AE302" s="94"/>
      <c r="AF302" s="94"/>
      <c r="AG302" s="95">
        <v>0</v>
      </c>
      <c r="AH302" s="94"/>
      <c r="AI302" s="95">
        <v>-13.38</v>
      </c>
      <c r="AJ302" s="95">
        <v>0</v>
      </c>
    </row>
    <row r="303" spans="1:36" customFormat="1" ht="15.75" thickBot="1" x14ac:dyDescent="0.3">
      <c r="A303" s="90" t="s">
        <v>871</v>
      </c>
      <c r="B303" s="626" t="str">
        <f>VLOOKUP($D303,'Retail Rates'!$B$7:$D$38,2,FALSE)</f>
        <v>811</v>
      </c>
      <c r="C303" s="626" t="str">
        <f>VLOOKUP($D303,'Retail Rates'!$B$7:$D$38,3,FALSE)</f>
        <v>RGS</v>
      </c>
      <c r="D303" s="90" t="s">
        <v>35</v>
      </c>
      <c r="E303" s="90" t="s">
        <v>36</v>
      </c>
      <c r="F303" s="90" t="s">
        <v>28</v>
      </c>
      <c r="G303" s="90" t="s">
        <v>908</v>
      </c>
      <c r="H303" s="304">
        <v>10</v>
      </c>
      <c r="I303" s="93">
        <v>23</v>
      </c>
      <c r="J303" s="92"/>
      <c r="K303" s="93">
        <v>-40.5</v>
      </c>
      <c r="L303" s="92"/>
      <c r="M303" s="93">
        <v>6.59</v>
      </c>
      <c r="N303" s="93">
        <v>-0.78</v>
      </c>
      <c r="O303" s="93">
        <v>0</v>
      </c>
      <c r="P303" s="93">
        <v>7.56</v>
      </c>
      <c r="Q303" s="93">
        <v>0.19</v>
      </c>
      <c r="R303" s="92"/>
      <c r="S303" s="93">
        <v>-0.75</v>
      </c>
      <c r="T303" s="93">
        <v>-11.31</v>
      </c>
      <c r="U303" s="93">
        <v>0</v>
      </c>
      <c r="V303" s="92"/>
      <c r="W303" s="92"/>
      <c r="X303" s="93">
        <v>-37.47</v>
      </c>
      <c r="Y303" s="92"/>
      <c r="Z303" s="92"/>
      <c r="AA303" s="92"/>
      <c r="AB303" s="92"/>
      <c r="AC303" s="92"/>
      <c r="AD303" s="92"/>
      <c r="AE303" s="92"/>
      <c r="AF303" s="92"/>
      <c r="AG303" s="93">
        <v>0</v>
      </c>
      <c r="AH303" s="92"/>
      <c r="AI303" s="93">
        <v>-39</v>
      </c>
      <c r="AJ303" s="93">
        <v>0</v>
      </c>
    </row>
    <row r="304" spans="1:36" customFormat="1" ht="15.75" thickBot="1" x14ac:dyDescent="0.3">
      <c r="A304" s="90" t="s">
        <v>871</v>
      </c>
      <c r="B304" s="626" t="str">
        <f>VLOOKUP($D304,'Retail Rates'!$B$7:$D$38,2,FALSE)</f>
        <v>811</v>
      </c>
      <c r="C304" s="626" t="str">
        <f>VLOOKUP($D304,'Retail Rates'!$B$7:$D$38,3,FALSE)</f>
        <v>RGS</v>
      </c>
      <c r="D304" s="90" t="s">
        <v>35</v>
      </c>
      <c r="E304" s="90" t="s">
        <v>36</v>
      </c>
      <c r="F304" s="90" t="s">
        <v>28</v>
      </c>
      <c r="G304" s="90" t="s">
        <v>909</v>
      </c>
      <c r="H304" s="305">
        <v>11</v>
      </c>
      <c r="I304" s="95">
        <v>43</v>
      </c>
      <c r="J304" s="94"/>
      <c r="K304" s="95">
        <v>-40.5</v>
      </c>
      <c r="L304" s="94"/>
      <c r="M304" s="95">
        <v>12.33</v>
      </c>
      <c r="N304" s="95">
        <v>-0.56000000000000005</v>
      </c>
      <c r="O304" s="95">
        <v>0</v>
      </c>
      <c r="P304" s="95">
        <v>12.82</v>
      </c>
      <c r="Q304" s="95">
        <v>0.36</v>
      </c>
      <c r="R304" s="94"/>
      <c r="S304" s="95">
        <v>-0.75</v>
      </c>
      <c r="T304" s="95">
        <v>-11.31</v>
      </c>
      <c r="U304" s="95">
        <v>0</v>
      </c>
      <c r="V304" s="94"/>
      <c r="W304" s="94"/>
      <c r="X304" s="95">
        <v>-26.3</v>
      </c>
      <c r="Y304" s="94"/>
      <c r="Z304" s="94"/>
      <c r="AA304" s="94"/>
      <c r="AB304" s="94"/>
      <c r="AC304" s="94"/>
      <c r="AD304" s="94"/>
      <c r="AE304" s="94"/>
      <c r="AF304" s="94"/>
      <c r="AG304" s="95">
        <v>0</v>
      </c>
      <c r="AH304" s="94"/>
      <c r="AI304" s="95">
        <v>-27.61</v>
      </c>
      <c r="AJ304" s="95">
        <v>0</v>
      </c>
    </row>
    <row r="305" spans="1:36" customFormat="1" ht="15.75" thickBot="1" x14ac:dyDescent="0.3">
      <c r="A305" s="90" t="s">
        <v>871</v>
      </c>
      <c r="B305" s="626" t="str">
        <f>VLOOKUP($D305,'Retail Rates'!$B$7:$D$38,2,FALSE)</f>
        <v>811</v>
      </c>
      <c r="C305" s="626" t="str">
        <f>VLOOKUP($D305,'Retail Rates'!$B$7:$D$38,3,FALSE)</f>
        <v>RGS</v>
      </c>
      <c r="D305" s="90" t="s">
        <v>35</v>
      </c>
      <c r="E305" s="90" t="s">
        <v>36</v>
      </c>
      <c r="F305" s="90" t="s">
        <v>28</v>
      </c>
      <c r="G305" s="90" t="s">
        <v>910</v>
      </c>
      <c r="H305" s="304">
        <v>12</v>
      </c>
      <c r="I305" s="93">
        <v>90</v>
      </c>
      <c r="J305" s="92"/>
      <c r="K305" s="93">
        <v>-40.5</v>
      </c>
      <c r="L305" s="92"/>
      <c r="M305" s="93">
        <v>25.81</v>
      </c>
      <c r="N305" s="93">
        <v>-0.14000000000000001</v>
      </c>
      <c r="O305" s="93">
        <v>0</v>
      </c>
      <c r="P305" s="93">
        <v>26.82</v>
      </c>
      <c r="Q305" s="93">
        <v>0.75</v>
      </c>
      <c r="R305" s="92"/>
      <c r="S305" s="93">
        <v>-0.75</v>
      </c>
      <c r="T305" s="93">
        <v>-11.31</v>
      </c>
      <c r="U305" s="93">
        <v>0</v>
      </c>
      <c r="V305" s="92"/>
      <c r="W305" s="92"/>
      <c r="X305" s="93">
        <v>1.57</v>
      </c>
      <c r="Y305" s="92"/>
      <c r="Z305" s="92"/>
      <c r="AA305" s="92"/>
      <c r="AB305" s="92"/>
      <c r="AC305" s="92"/>
      <c r="AD305" s="92"/>
      <c r="AE305" s="92"/>
      <c r="AF305" s="92"/>
      <c r="AG305" s="93">
        <v>0.2</v>
      </c>
      <c r="AH305" s="92"/>
      <c r="AI305" s="93">
        <v>0.88</v>
      </c>
      <c r="AJ305" s="93">
        <v>0</v>
      </c>
    </row>
    <row r="306" spans="1:36" customFormat="1" ht="15.75" thickBot="1" x14ac:dyDescent="0.3">
      <c r="A306" s="90" t="s">
        <v>871</v>
      </c>
      <c r="B306" s="626" t="str">
        <f>VLOOKUP($D306,'Retail Rates'!$B$7:$D$38,2,FALSE)</f>
        <v>811</v>
      </c>
      <c r="C306" s="626" t="str">
        <f>VLOOKUP($D306,'Retail Rates'!$B$7:$D$38,3,FALSE)</f>
        <v>RGS</v>
      </c>
      <c r="D306" s="90" t="s">
        <v>35</v>
      </c>
      <c r="E306" s="90" t="s">
        <v>36</v>
      </c>
      <c r="F306" s="90" t="s">
        <v>28</v>
      </c>
      <c r="G306" s="90" t="s">
        <v>911</v>
      </c>
      <c r="H306" s="305">
        <v>18</v>
      </c>
      <c r="I306" s="95">
        <v>299</v>
      </c>
      <c r="J306" s="94"/>
      <c r="K306" s="95">
        <v>-40.5</v>
      </c>
      <c r="L306" s="94"/>
      <c r="M306" s="95">
        <v>85.8</v>
      </c>
      <c r="N306" s="95">
        <v>3.18</v>
      </c>
      <c r="O306" s="95">
        <v>0</v>
      </c>
      <c r="P306" s="95">
        <v>97.3</v>
      </c>
      <c r="Q306" s="95">
        <v>2.5099999999999998</v>
      </c>
      <c r="R306" s="95">
        <v>37.08</v>
      </c>
      <c r="S306" s="95">
        <v>-0.75</v>
      </c>
      <c r="T306" s="95">
        <v>-11.31</v>
      </c>
      <c r="U306" s="95">
        <v>0</v>
      </c>
      <c r="V306" s="94"/>
      <c r="W306" s="94"/>
      <c r="X306" s="95">
        <v>170.88</v>
      </c>
      <c r="Y306" s="94"/>
      <c r="Z306" s="94"/>
      <c r="AA306" s="94"/>
      <c r="AB306" s="94"/>
      <c r="AC306" s="94"/>
      <c r="AD306" s="94"/>
      <c r="AE306" s="94"/>
      <c r="AF306" s="94"/>
      <c r="AG306" s="95">
        <v>0.34</v>
      </c>
      <c r="AH306" s="94"/>
      <c r="AI306" s="95">
        <v>173.65</v>
      </c>
      <c r="AJ306" s="95">
        <v>0</v>
      </c>
    </row>
    <row r="307" spans="1:36" customFormat="1" ht="15.75" thickBot="1" x14ac:dyDescent="0.3">
      <c r="A307" s="90" t="s">
        <v>871</v>
      </c>
      <c r="B307" s="626" t="str">
        <f>VLOOKUP($D307,'Retail Rates'!$B$7:$D$38,2,FALSE)</f>
        <v>811</v>
      </c>
      <c r="C307" s="626" t="str">
        <f>VLOOKUP($D307,'Retail Rates'!$B$7:$D$38,3,FALSE)</f>
        <v>RGS</v>
      </c>
      <c r="D307" s="90" t="s">
        <v>35</v>
      </c>
      <c r="E307" s="90" t="s">
        <v>36</v>
      </c>
      <c r="F307" s="90" t="s">
        <v>28</v>
      </c>
      <c r="G307" s="90" t="s">
        <v>912</v>
      </c>
      <c r="H307" s="304">
        <v>26</v>
      </c>
      <c r="I307" s="93">
        <v>1036</v>
      </c>
      <c r="J307" s="92"/>
      <c r="K307" s="93">
        <v>-40.5</v>
      </c>
      <c r="L307" s="92"/>
      <c r="M307" s="93">
        <v>297.26</v>
      </c>
      <c r="N307" s="93">
        <v>11.55</v>
      </c>
      <c r="O307" s="93">
        <v>0</v>
      </c>
      <c r="P307" s="93">
        <v>352.92</v>
      </c>
      <c r="Q307" s="93">
        <v>8.68</v>
      </c>
      <c r="R307" s="93">
        <v>138.55000000000001</v>
      </c>
      <c r="S307" s="93">
        <v>-0.75</v>
      </c>
      <c r="T307" s="93">
        <v>-11.31</v>
      </c>
      <c r="U307" s="93">
        <v>0</v>
      </c>
      <c r="V307" s="92"/>
      <c r="W307" s="92"/>
      <c r="X307" s="93">
        <v>745.6</v>
      </c>
      <c r="Y307" s="92"/>
      <c r="Z307" s="92"/>
      <c r="AA307" s="92"/>
      <c r="AB307" s="92"/>
      <c r="AC307" s="92"/>
      <c r="AD307" s="92"/>
      <c r="AE307" s="92"/>
      <c r="AF307" s="92"/>
      <c r="AG307" s="93">
        <v>5</v>
      </c>
      <c r="AH307" s="92"/>
      <c r="AI307" s="93">
        <v>761.4</v>
      </c>
      <c r="AJ307" s="93">
        <v>0</v>
      </c>
    </row>
    <row r="308" spans="1:36" customFormat="1" ht="15.75" thickBot="1" x14ac:dyDescent="0.3">
      <c r="A308" s="90" t="s">
        <v>871</v>
      </c>
      <c r="B308" s="626" t="str">
        <f>VLOOKUP($D308,'Retail Rates'!$B$7:$D$38,2,FALSE)</f>
        <v>811</v>
      </c>
      <c r="C308" s="626" t="str">
        <f>VLOOKUP($D308,'Retail Rates'!$B$7:$D$38,3,FALSE)</f>
        <v>RGS</v>
      </c>
      <c r="D308" s="90" t="s">
        <v>35</v>
      </c>
      <c r="E308" s="90" t="s">
        <v>36</v>
      </c>
      <c r="F308" s="90" t="s">
        <v>28</v>
      </c>
      <c r="G308" s="90" t="s">
        <v>913</v>
      </c>
      <c r="H308" s="305">
        <v>48</v>
      </c>
      <c r="I308" s="95">
        <v>974</v>
      </c>
      <c r="J308" s="94"/>
      <c r="K308" s="95">
        <v>-24.3</v>
      </c>
      <c r="L308" s="94"/>
      <c r="M308" s="95">
        <v>279.48</v>
      </c>
      <c r="N308" s="95">
        <v>8.25</v>
      </c>
      <c r="O308" s="95">
        <v>0</v>
      </c>
      <c r="P308" s="95">
        <v>331.71</v>
      </c>
      <c r="Q308" s="95">
        <v>8.84</v>
      </c>
      <c r="R308" s="95">
        <v>108.99</v>
      </c>
      <c r="S308" s="95">
        <v>-0.25</v>
      </c>
      <c r="T308" s="95">
        <v>-6.78</v>
      </c>
      <c r="U308" s="95">
        <v>0</v>
      </c>
      <c r="V308" s="94"/>
      <c r="W308" s="94"/>
      <c r="X308" s="95">
        <v>697.94</v>
      </c>
      <c r="Y308" s="94"/>
      <c r="Z308" s="94"/>
      <c r="AA308" s="94"/>
      <c r="AB308" s="94"/>
      <c r="AC308" s="94"/>
      <c r="AD308" s="94"/>
      <c r="AE308" s="94"/>
      <c r="AF308" s="94"/>
      <c r="AG308" s="95">
        <v>5.89</v>
      </c>
      <c r="AH308" s="94"/>
      <c r="AI308" s="95">
        <v>711.83</v>
      </c>
      <c r="AJ308" s="95">
        <v>0</v>
      </c>
    </row>
    <row r="309" spans="1:36" customFormat="1" ht="15.75" thickBot="1" x14ac:dyDescent="0.3">
      <c r="A309" s="90" t="s">
        <v>871</v>
      </c>
      <c r="B309" s="626" t="str">
        <f>VLOOKUP($D309,'Retail Rates'!$B$7:$D$38,2,FALSE)</f>
        <v>811</v>
      </c>
      <c r="C309" s="626" t="str">
        <f>VLOOKUP($D309,'Retail Rates'!$B$7:$D$38,3,FALSE)</f>
        <v>RGS</v>
      </c>
      <c r="D309" s="90" t="s">
        <v>35</v>
      </c>
      <c r="E309" s="90" t="s">
        <v>36</v>
      </c>
      <c r="F309" s="90" t="s">
        <v>28</v>
      </c>
      <c r="G309" s="90" t="s">
        <v>914</v>
      </c>
      <c r="H309" s="304">
        <v>97</v>
      </c>
      <c r="I309" s="93">
        <v>1123</v>
      </c>
      <c r="J309" s="92"/>
      <c r="K309" s="93">
        <v>-16.649999999999999</v>
      </c>
      <c r="L309" s="92"/>
      <c r="M309" s="93">
        <v>322.23</v>
      </c>
      <c r="N309" s="93">
        <v>11.99</v>
      </c>
      <c r="O309" s="93">
        <v>0</v>
      </c>
      <c r="P309" s="93">
        <v>374.72</v>
      </c>
      <c r="Q309" s="93">
        <v>10.119999999999999</v>
      </c>
      <c r="R309" s="93">
        <v>4.46</v>
      </c>
      <c r="S309" s="93">
        <v>-0.25</v>
      </c>
      <c r="T309" s="93">
        <v>-4.1100000000000003</v>
      </c>
      <c r="U309" s="93">
        <v>0</v>
      </c>
      <c r="V309" s="92"/>
      <c r="W309" s="92"/>
      <c r="X309" s="93">
        <v>690.77</v>
      </c>
      <c r="Y309" s="92"/>
      <c r="Z309" s="92"/>
      <c r="AA309" s="92"/>
      <c r="AB309" s="92"/>
      <c r="AC309" s="92"/>
      <c r="AD309" s="92"/>
      <c r="AE309" s="92"/>
      <c r="AF309" s="92"/>
      <c r="AG309" s="93">
        <v>-2.0099999999999998</v>
      </c>
      <c r="AH309" s="92"/>
      <c r="AI309" s="93">
        <v>700.5</v>
      </c>
      <c r="AJ309" s="93">
        <v>0</v>
      </c>
    </row>
    <row r="310" spans="1:36" customFormat="1" ht="15.75" thickBot="1" x14ac:dyDescent="0.3">
      <c r="A310" s="90" t="s">
        <v>871</v>
      </c>
      <c r="B310" s="626" t="str">
        <f>VLOOKUP($D310,'Retail Rates'!$B$7:$D$38,2,FALSE)</f>
        <v>811</v>
      </c>
      <c r="C310" s="626" t="str">
        <f>VLOOKUP($D310,'Retail Rates'!$B$7:$D$38,3,FALSE)</f>
        <v>RGS</v>
      </c>
      <c r="D310" s="90" t="s">
        <v>35</v>
      </c>
      <c r="E310" s="90" t="s">
        <v>36</v>
      </c>
      <c r="F310" s="90" t="s">
        <v>28</v>
      </c>
      <c r="G310" s="90" t="s">
        <v>915</v>
      </c>
      <c r="H310" s="305">
        <v>292</v>
      </c>
      <c r="I310" s="95">
        <v>-10821</v>
      </c>
      <c r="J310" s="94"/>
      <c r="K310" s="95">
        <v>-141.75</v>
      </c>
      <c r="L310" s="94"/>
      <c r="M310" s="95">
        <v>-3104.8</v>
      </c>
      <c r="N310" s="95">
        <v>-114.41</v>
      </c>
      <c r="O310" s="95">
        <v>0</v>
      </c>
      <c r="P310" s="95">
        <v>-3499.88</v>
      </c>
      <c r="Q310" s="95">
        <v>-98.17</v>
      </c>
      <c r="R310" s="95">
        <v>-988.35</v>
      </c>
      <c r="S310" s="95">
        <v>-2.25</v>
      </c>
      <c r="T310" s="95">
        <v>-50.91</v>
      </c>
      <c r="U310" s="95">
        <v>0</v>
      </c>
      <c r="V310" s="94"/>
      <c r="W310" s="94"/>
      <c r="X310" s="95">
        <v>-7883.86</v>
      </c>
      <c r="Y310" s="94"/>
      <c r="Z310" s="94"/>
      <c r="AA310" s="94"/>
      <c r="AB310" s="94"/>
      <c r="AC310" s="94"/>
      <c r="AD310" s="94"/>
      <c r="AE310" s="94"/>
      <c r="AF310" s="94"/>
      <c r="AG310" s="95">
        <v>-19.059999999999999</v>
      </c>
      <c r="AH310" s="94"/>
      <c r="AI310" s="95">
        <v>-8019.58</v>
      </c>
      <c r="AJ310" s="95">
        <v>0</v>
      </c>
    </row>
    <row r="311" spans="1:36" customFormat="1" ht="15.75" thickBot="1" x14ac:dyDescent="0.3">
      <c r="A311" s="90" t="s">
        <v>871</v>
      </c>
      <c r="B311" s="626" t="str">
        <f>VLOOKUP($D311,'Retail Rates'!$B$7:$D$38,2,FALSE)</f>
        <v>811</v>
      </c>
      <c r="C311" s="626" t="str">
        <f>VLOOKUP($D311,'Retail Rates'!$B$7:$D$38,3,FALSE)</f>
        <v>RGS</v>
      </c>
      <c r="D311" s="90" t="s">
        <v>35</v>
      </c>
      <c r="E311" s="90" t="s">
        <v>36</v>
      </c>
      <c r="F311" s="90" t="s">
        <v>28</v>
      </c>
      <c r="G311" s="90" t="s">
        <v>917</v>
      </c>
      <c r="H311" s="304">
        <v>1263</v>
      </c>
      <c r="I311" s="93">
        <v>-31301</v>
      </c>
      <c r="J311" s="92"/>
      <c r="K311" s="93">
        <v>2551.96</v>
      </c>
      <c r="L311" s="92"/>
      <c r="M311" s="93">
        <v>-8981.23</v>
      </c>
      <c r="N311" s="93">
        <v>-14.59</v>
      </c>
      <c r="O311" s="93">
        <v>0</v>
      </c>
      <c r="P311" s="93">
        <v>-10123.19</v>
      </c>
      <c r="Q311" s="93">
        <v>-339.36</v>
      </c>
      <c r="R311" s="93">
        <v>-4130.21</v>
      </c>
      <c r="S311" s="93">
        <v>66.25</v>
      </c>
      <c r="T311" s="93">
        <v>917.93</v>
      </c>
      <c r="U311" s="93">
        <v>0</v>
      </c>
      <c r="V311" s="92"/>
      <c r="W311" s="92"/>
      <c r="X311" s="93">
        <v>-20104.099999999999</v>
      </c>
      <c r="Y311" s="92"/>
      <c r="Z311" s="92"/>
      <c r="AA311" s="92"/>
      <c r="AB311" s="92"/>
      <c r="AC311" s="92"/>
      <c r="AD311" s="92"/>
      <c r="AE311" s="92"/>
      <c r="AF311" s="92"/>
      <c r="AG311" s="93">
        <v>-62.87</v>
      </c>
      <c r="AH311" s="92"/>
      <c r="AI311" s="93">
        <v>-20115.310000000001</v>
      </c>
      <c r="AJ311" s="93">
        <v>0</v>
      </c>
    </row>
    <row r="312" spans="1:36" customFormat="1" ht="15.75" thickBot="1" x14ac:dyDescent="0.3">
      <c r="A312" s="90" t="s">
        <v>871</v>
      </c>
      <c r="B312" s="626" t="str">
        <f>VLOOKUP($D312,'Retail Rates'!$B$7:$D$38,2,FALSE)</f>
        <v>811</v>
      </c>
      <c r="C312" s="626" t="str">
        <f>VLOOKUP($D312,'Retail Rates'!$B$7:$D$38,3,FALSE)</f>
        <v>RGS</v>
      </c>
      <c r="D312" s="90" t="s">
        <v>35</v>
      </c>
      <c r="E312" s="90" t="s">
        <v>36</v>
      </c>
      <c r="F312" s="90" t="s">
        <v>28</v>
      </c>
      <c r="G312" s="90" t="s">
        <v>918</v>
      </c>
      <c r="H312" s="305">
        <v>295735</v>
      </c>
      <c r="I312" s="95">
        <v>7350828</v>
      </c>
      <c r="J312" s="94"/>
      <c r="K312" s="95">
        <v>3984537.64</v>
      </c>
      <c r="L312" s="94"/>
      <c r="M312" s="95">
        <v>2109139.33</v>
      </c>
      <c r="N312" s="95">
        <v>2597.9</v>
      </c>
      <c r="O312" s="95">
        <v>0</v>
      </c>
      <c r="P312" s="95">
        <v>2475922.79</v>
      </c>
      <c r="Q312" s="95">
        <v>79742.259999999995</v>
      </c>
      <c r="R312" s="94"/>
      <c r="S312" s="95">
        <v>74480.5</v>
      </c>
      <c r="T312" s="95">
        <v>1479471.39</v>
      </c>
      <c r="U312" s="95">
        <v>0</v>
      </c>
      <c r="V312" s="94"/>
      <c r="W312" s="94"/>
      <c r="X312" s="95">
        <v>10128813.41</v>
      </c>
      <c r="Y312" s="94"/>
      <c r="Z312" s="94"/>
      <c r="AA312" s="94"/>
      <c r="AB312" s="94"/>
      <c r="AC312" s="94"/>
      <c r="AD312" s="94"/>
      <c r="AE312" s="94"/>
      <c r="AF312" s="94"/>
      <c r="AG312" s="95">
        <v>42413.5</v>
      </c>
      <c r="AH312" s="94"/>
      <c r="AI312" s="95">
        <v>10248305.310000001</v>
      </c>
      <c r="AJ312" s="95">
        <v>0</v>
      </c>
    </row>
    <row r="313" spans="1:36" customFormat="1" ht="15.75" thickBot="1" x14ac:dyDescent="0.3">
      <c r="A313" s="90" t="s">
        <v>871</v>
      </c>
      <c r="B313" s="626" t="str">
        <f>VLOOKUP($D313,'Retail Rates'!$B$7:$D$38,2,FALSE)</f>
        <v>840</v>
      </c>
      <c r="C313" s="626" t="str">
        <f>VLOOKUP($D313,'Retail Rates'!$B$7:$D$38,3,FALSE)</f>
        <v>RGS</v>
      </c>
      <c r="D313" s="90" t="s">
        <v>37</v>
      </c>
      <c r="E313" s="90" t="s">
        <v>38</v>
      </c>
      <c r="F313" s="90" t="s">
        <v>20</v>
      </c>
      <c r="G313" s="90" t="s">
        <v>918</v>
      </c>
      <c r="H313" s="304">
        <v>1</v>
      </c>
      <c r="I313" s="93">
        <v>103</v>
      </c>
      <c r="J313" s="92"/>
      <c r="K313" s="93">
        <v>13.5</v>
      </c>
      <c r="L313" s="92"/>
      <c r="M313" s="93">
        <v>29.55</v>
      </c>
      <c r="N313" s="93">
        <v>0</v>
      </c>
      <c r="O313" s="92"/>
      <c r="P313" s="93">
        <v>34.57</v>
      </c>
      <c r="Q313" s="93">
        <v>1.1200000000000001</v>
      </c>
      <c r="R313" s="92"/>
      <c r="S313" s="92"/>
      <c r="T313" s="93">
        <v>4.99</v>
      </c>
      <c r="U313" s="93">
        <v>0</v>
      </c>
      <c r="V313" s="92"/>
      <c r="W313" s="92"/>
      <c r="X313" s="93">
        <v>83.73</v>
      </c>
      <c r="Y313" s="92"/>
      <c r="Z313" s="92"/>
      <c r="AA313" s="92"/>
      <c r="AB313" s="92"/>
      <c r="AC313" s="92"/>
      <c r="AD313" s="92"/>
      <c r="AE313" s="92"/>
      <c r="AF313" s="92"/>
      <c r="AG313" s="93">
        <v>0</v>
      </c>
      <c r="AH313" s="92"/>
      <c r="AI313" s="93">
        <v>83.73</v>
      </c>
      <c r="AJ313" s="93">
        <v>0</v>
      </c>
    </row>
    <row r="314" spans="1:36" customFormat="1" ht="15.75" thickBot="1" x14ac:dyDescent="0.3">
      <c r="A314" s="90" t="s">
        <v>871</v>
      </c>
      <c r="B314" s="626" t="str">
        <f>VLOOKUP($D314,'Retail Rates'!$B$7:$D$38,2,FALSE)</f>
        <v>840</v>
      </c>
      <c r="C314" s="626" t="str">
        <f>VLOOKUP($D314,'Retail Rates'!$B$7:$D$38,3,FALSE)</f>
        <v>RGS</v>
      </c>
      <c r="D314" s="90" t="s">
        <v>37</v>
      </c>
      <c r="E314" s="90" t="s">
        <v>38</v>
      </c>
      <c r="F314" s="90" t="s">
        <v>28</v>
      </c>
      <c r="G314" s="90" t="s">
        <v>918</v>
      </c>
      <c r="H314" s="305">
        <v>2</v>
      </c>
      <c r="I314" s="95">
        <v>243</v>
      </c>
      <c r="J314" s="94"/>
      <c r="K314" s="95">
        <v>27</v>
      </c>
      <c r="L314" s="94"/>
      <c r="M314" s="95">
        <v>69.73</v>
      </c>
      <c r="N314" s="95">
        <v>0</v>
      </c>
      <c r="O314" s="95">
        <v>0</v>
      </c>
      <c r="P314" s="95">
        <v>83.44</v>
      </c>
      <c r="Q314" s="95">
        <v>2.63</v>
      </c>
      <c r="R314" s="94"/>
      <c r="S314" s="94"/>
      <c r="T314" s="95">
        <v>10.130000000000001</v>
      </c>
      <c r="U314" s="95">
        <v>0</v>
      </c>
      <c r="V314" s="94"/>
      <c r="W314" s="94"/>
      <c r="X314" s="95">
        <v>192.93</v>
      </c>
      <c r="Y314" s="94"/>
      <c r="Z314" s="94"/>
      <c r="AA314" s="94"/>
      <c r="AB314" s="94"/>
      <c r="AC314" s="94"/>
      <c r="AD314" s="94"/>
      <c r="AE314" s="94"/>
      <c r="AF314" s="94"/>
      <c r="AG314" s="95">
        <v>0</v>
      </c>
      <c r="AH314" s="94"/>
      <c r="AI314" s="95">
        <v>192.93</v>
      </c>
      <c r="AJ314" s="95">
        <v>0</v>
      </c>
    </row>
    <row r="315" spans="1:36" customFormat="1" ht="15.75" thickBot="1" x14ac:dyDescent="0.3">
      <c r="A315" s="90" t="s">
        <v>871</v>
      </c>
      <c r="B315" s="626" t="str">
        <f>VLOOKUP($D315,'Retail Rates'!$B$7:$D$38,2,FALSE)</f>
        <v>861</v>
      </c>
      <c r="C315" s="626" t="str">
        <f>VLOOKUP($D315,'Retail Rates'!$B$7:$D$38,3,FALSE)</f>
        <v>CGS</v>
      </c>
      <c r="D315" s="90" t="s">
        <v>29</v>
      </c>
      <c r="E315" s="90" t="s">
        <v>30</v>
      </c>
      <c r="F315" s="90" t="s">
        <v>17</v>
      </c>
      <c r="G315" s="90" t="s">
        <v>918</v>
      </c>
      <c r="H315" s="305">
        <v>609</v>
      </c>
      <c r="I315" s="95">
        <v>612</v>
      </c>
      <c r="J315" s="94"/>
      <c r="K315" s="95">
        <v>24760</v>
      </c>
      <c r="L315" s="94"/>
      <c r="M315" s="95">
        <v>134.55000000000001</v>
      </c>
      <c r="N315" s="95">
        <v>2.44</v>
      </c>
      <c r="O315" s="95">
        <v>0</v>
      </c>
      <c r="P315" s="95">
        <v>204.08</v>
      </c>
      <c r="Q315" s="95">
        <v>0</v>
      </c>
      <c r="R315" s="94"/>
      <c r="S315" s="94"/>
      <c r="T315" s="94"/>
      <c r="U315" s="95">
        <v>0</v>
      </c>
      <c r="V315" s="94"/>
      <c r="W315" s="94"/>
      <c r="X315" s="95">
        <v>25098.63</v>
      </c>
      <c r="Y315" s="94"/>
      <c r="Z315" s="94"/>
      <c r="AA315" s="94"/>
      <c r="AB315" s="94"/>
      <c r="AC315" s="94"/>
      <c r="AD315" s="94"/>
      <c r="AE315" s="94"/>
      <c r="AF315" s="94"/>
      <c r="AG315" s="95">
        <v>1588.61</v>
      </c>
      <c r="AH315" s="94"/>
      <c r="AI315" s="95">
        <v>26689.68</v>
      </c>
      <c r="AJ315" s="95">
        <v>0</v>
      </c>
    </row>
    <row r="316" spans="1:36" customFormat="1" ht="15.75" thickBot="1" x14ac:dyDescent="0.3">
      <c r="A316" s="90" t="s">
        <v>999</v>
      </c>
      <c r="B316" s="626" t="str">
        <f>VLOOKUP($D316,'Retail Rates'!$B$7:$D$38,2,FALSE)</f>
        <v>851</v>
      </c>
      <c r="C316" s="626" t="str">
        <f>VLOOKUP($D316,'Retail Rates'!$B$7:$D$38,3,FALSE)</f>
        <v>CGS</v>
      </c>
      <c r="D316" s="90" t="s">
        <v>26</v>
      </c>
      <c r="E316" s="90" t="s">
        <v>875</v>
      </c>
      <c r="F316" s="90" t="s">
        <v>17</v>
      </c>
      <c r="G316" s="90" t="s">
        <v>652</v>
      </c>
      <c r="H316" s="304">
        <v>1</v>
      </c>
      <c r="I316" s="93">
        <v>0</v>
      </c>
      <c r="J316" s="92"/>
      <c r="K316" s="93">
        <v>-22</v>
      </c>
      <c r="L316" s="92"/>
      <c r="M316" s="93">
        <v>0</v>
      </c>
      <c r="N316" s="93">
        <v>0</v>
      </c>
      <c r="O316" s="92"/>
      <c r="P316" s="93">
        <v>0</v>
      </c>
      <c r="Q316" s="93">
        <v>0</v>
      </c>
      <c r="R316" s="92"/>
      <c r="S316" s="92"/>
      <c r="T316" s="92"/>
      <c r="U316" s="93">
        <v>0</v>
      </c>
      <c r="V316" s="92"/>
      <c r="W316" s="92"/>
      <c r="X316" s="93">
        <v>-22</v>
      </c>
      <c r="Y316" s="92"/>
      <c r="Z316" s="92"/>
      <c r="AA316" s="92"/>
      <c r="AB316" s="92"/>
      <c r="AC316" s="92"/>
      <c r="AD316" s="92"/>
      <c r="AE316" s="92"/>
      <c r="AF316" s="92"/>
      <c r="AG316" s="93">
        <v>-1.32</v>
      </c>
      <c r="AH316" s="92"/>
      <c r="AI316" s="93">
        <v>-23.32</v>
      </c>
      <c r="AJ316" s="93">
        <v>0</v>
      </c>
    </row>
    <row r="317" spans="1:36" customFormat="1" ht="15.75" thickBot="1" x14ac:dyDescent="0.3">
      <c r="A317" s="90" t="s">
        <v>999</v>
      </c>
      <c r="B317" s="626" t="str">
        <f>VLOOKUP($D317,'Retail Rates'!$B$7:$D$38,2,FALSE)</f>
        <v>851</v>
      </c>
      <c r="C317" s="626" t="str">
        <f>VLOOKUP($D317,'Retail Rates'!$B$7:$D$38,3,FALSE)</f>
        <v>CGS</v>
      </c>
      <c r="D317" s="90" t="s">
        <v>26</v>
      </c>
      <c r="E317" s="90" t="s">
        <v>875</v>
      </c>
      <c r="F317" s="90" t="s">
        <v>17</v>
      </c>
      <c r="G317" s="90" t="s">
        <v>653</v>
      </c>
      <c r="H317" s="305">
        <v>1</v>
      </c>
      <c r="I317" s="95">
        <v>0</v>
      </c>
      <c r="J317" s="94"/>
      <c r="K317" s="95">
        <v>-30</v>
      </c>
      <c r="L317" s="94"/>
      <c r="M317" s="95">
        <v>0</v>
      </c>
      <c r="N317" s="95">
        <v>0</v>
      </c>
      <c r="O317" s="94"/>
      <c r="P317" s="95">
        <v>0</v>
      </c>
      <c r="Q317" s="95">
        <v>0</v>
      </c>
      <c r="R317" s="94"/>
      <c r="S317" s="94"/>
      <c r="T317" s="94"/>
      <c r="U317" s="95">
        <v>0</v>
      </c>
      <c r="V317" s="94"/>
      <c r="W317" s="94"/>
      <c r="X317" s="95">
        <v>-30</v>
      </c>
      <c r="Y317" s="94"/>
      <c r="Z317" s="94"/>
      <c r="AA317" s="94"/>
      <c r="AB317" s="94"/>
      <c r="AC317" s="94"/>
      <c r="AD317" s="94"/>
      <c r="AE317" s="94"/>
      <c r="AF317" s="94"/>
      <c r="AG317" s="95">
        <v>-1.8</v>
      </c>
      <c r="AH317" s="94"/>
      <c r="AI317" s="95">
        <v>-31.8</v>
      </c>
      <c r="AJ317" s="95">
        <v>0</v>
      </c>
    </row>
    <row r="318" spans="1:36" customFormat="1" ht="15.75" thickBot="1" x14ac:dyDescent="0.3">
      <c r="A318" s="90" t="s">
        <v>999</v>
      </c>
      <c r="B318" s="626" t="str">
        <f>VLOOKUP($D318,'Retail Rates'!$B$7:$D$38,2,FALSE)</f>
        <v>851</v>
      </c>
      <c r="C318" s="626" t="str">
        <f>VLOOKUP($D318,'Retail Rates'!$B$7:$D$38,3,FALSE)</f>
        <v>CGS</v>
      </c>
      <c r="D318" s="90" t="s">
        <v>26</v>
      </c>
      <c r="E318" s="90" t="s">
        <v>875</v>
      </c>
      <c r="F318" s="90" t="s">
        <v>17</v>
      </c>
      <c r="G318" s="90" t="s">
        <v>654</v>
      </c>
      <c r="H318" s="304">
        <v>1</v>
      </c>
      <c r="I318" s="93">
        <v>0</v>
      </c>
      <c r="J318" s="92"/>
      <c r="K318" s="93">
        <v>-30</v>
      </c>
      <c r="L318" s="92"/>
      <c r="M318" s="93">
        <v>0</v>
      </c>
      <c r="N318" s="93">
        <v>0</v>
      </c>
      <c r="O318" s="92"/>
      <c r="P318" s="93">
        <v>0</v>
      </c>
      <c r="Q318" s="93">
        <v>0</v>
      </c>
      <c r="R318" s="92"/>
      <c r="S318" s="92"/>
      <c r="T318" s="92"/>
      <c r="U318" s="93">
        <v>0</v>
      </c>
      <c r="V318" s="92"/>
      <c r="W318" s="92"/>
      <c r="X318" s="93">
        <v>-30</v>
      </c>
      <c r="Y318" s="92"/>
      <c r="Z318" s="92"/>
      <c r="AA318" s="92"/>
      <c r="AB318" s="92"/>
      <c r="AC318" s="92"/>
      <c r="AD318" s="92"/>
      <c r="AE318" s="92"/>
      <c r="AF318" s="92"/>
      <c r="AG318" s="93">
        <v>-1.8</v>
      </c>
      <c r="AH318" s="92"/>
      <c r="AI318" s="93">
        <v>-31.8</v>
      </c>
      <c r="AJ318" s="93">
        <v>0</v>
      </c>
    </row>
    <row r="319" spans="1:36" customFormat="1" ht="15.75" thickBot="1" x14ac:dyDescent="0.3">
      <c r="A319" s="90" t="s">
        <v>999</v>
      </c>
      <c r="B319" s="626" t="str">
        <f>VLOOKUP($D319,'Retail Rates'!$B$7:$D$38,2,FALSE)</f>
        <v>851</v>
      </c>
      <c r="C319" s="626" t="str">
        <f>VLOOKUP($D319,'Retail Rates'!$B$7:$D$38,3,FALSE)</f>
        <v>CGS</v>
      </c>
      <c r="D319" s="90" t="s">
        <v>26</v>
      </c>
      <c r="E319" s="90" t="s">
        <v>875</v>
      </c>
      <c r="F319" s="90" t="s">
        <v>17</v>
      </c>
      <c r="G319" s="90" t="s">
        <v>655</v>
      </c>
      <c r="H319" s="305">
        <v>1</v>
      </c>
      <c r="I319" s="95">
        <v>0</v>
      </c>
      <c r="J319" s="94"/>
      <c r="K319" s="95">
        <v>-30</v>
      </c>
      <c r="L319" s="94"/>
      <c r="M319" s="95">
        <v>0</v>
      </c>
      <c r="N319" s="95">
        <v>0</v>
      </c>
      <c r="O319" s="94"/>
      <c r="P319" s="95">
        <v>0</v>
      </c>
      <c r="Q319" s="95">
        <v>0</v>
      </c>
      <c r="R319" s="94"/>
      <c r="S319" s="94"/>
      <c r="T319" s="94"/>
      <c r="U319" s="95">
        <v>0</v>
      </c>
      <c r="V319" s="94"/>
      <c r="W319" s="94"/>
      <c r="X319" s="95">
        <v>-30</v>
      </c>
      <c r="Y319" s="94"/>
      <c r="Z319" s="94"/>
      <c r="AA319" s="94"/>
      <c r="AB319" s="94"/>
      <c r="AC319" s="94"/>
      <c r="AD319" s="94"/>
      <c r="AE319" s="94"/>
      <c r="AF319" s="94"/>
      <c r="AG319" s="95">
        <v>-1.8</v>
      </c>
      <c r="AH319" s="94"/>
      <c r="AI319" s="95">
        <v>-31.8</v>
      </c>
      <c r="AJ319" s="95">
        <v>0</v>
      </c>
    </row>
    <row r="320" spans="1:36" customFormat="1" ht="15.75" thickBot="1" x14ac:dyDescent="0.3">
      <c r="A320" s="90" t="s">
        <v>999</v>
      </c>
      <c r="B320" s="626" t="str">
        <f>VLOOKUP($D320,'Retail Rates'!$B$7:$D$38,2,FALSE)</f>
        <v>851</v>
      </c>
      <c r="C320" s="626" t="str">
        <f>VLOOKUP($D320,'Retail Rates'!$B$7:$D$38,3,FALSE)</f>
        <v>CGS</v>
      </c>
      <c r="D320" s="90" t="s">
        <v>26</v>
      </c>
      <c r="E320" s="90" t="s">
        <v>875</v>
      </c>
      <c r="F320" s="90" t="s">
        <v>17</v>
      </c>
      <c r="G320" s="90" t="s">
        <v>656</v>
      </c>
      <c r="H320" s="304">
        <v>1</v>
      </c>
      <c r="I320" s="93">
        <v>0</v>
      </c>
      <c r="J320" s="92"/>
      <c r="K320" s="93">
        <v>-30</v>
      </c>
      <c r="L320" s="92"/>
      <c r="M320" s="93">
        <v>0</v>
      </c>
      <c r="N320" s="93">
        <v>0</v>
      </c>
      <c r="O320" s="92"/>
      <c r="P320" s="93">
        <v>0</v>
      </c>
      <c r="Q320" s="93">
        <v>0</v>
      </c>
      <c r="R320" s="92"/>
      <c r="S320" s="92"/>
      <c r="T320" s="92"/>
      <c r="U320" s="93">
        <v>0</v>
      </c>
      <c r="V320" s="92"/>
      <c r="W320" s="92"/>
      <c r="X320" s="93">
        <v>-30</v>
      </c>
      <c r="Y320" s="92"/>
      <c r="Z320" s="92"/>
      <c r="AA320" s="92"/>
      <c r="AB320" s="92"/>
      <c r="AC320" s="92"/>
      <c r="AD320" s="92"/>
      <c r="AE320" s="92"/>
      <c r="AF320" s="92"/>
      <c r="AG320" s="93">
        <v>-1.8</v>
      </c>
      <c r="AH320" s="92"/>
      <c r="AI320" s="93">
        <v>-31.8</v>
      </c>
      <c r="AJ320" s="93">
        <v>0</v>
      </c>
    </row>
    <row r="321" spans="1:36" customFormat="1" ht="15.75" thickBot="1" x14ac:dyDescent="0.3">
      <c r="A321" s="90" t="s">
        <v>999</v>
      </c>
      <c r="B321" s="626" t="str">
        <f>VLOOKUP($D321,'Retail Rates'!$B$7:$D$38,2,FALSE)</f>
        <v>851</v>
      </c>
      <c r="C321" s="626" t="str">
        <f>VLOOKUP($D321,'Retail Rates'!$B$7:$D$38,3,FALSE)</f>
        <v>CGS</v>
      </c>
      <c r="D321" s="90" t="s">
        <v>26</v>
      </c>
      <c r="E321" s="90" t="s">
        <v>875</v>
      </c>
      <c r="F321" s="90" t="s">
        <v>17</v>
      </c>
      <c r="G321" s="90" t="s">
        <v>657</v>
      </c>
      <c r="H321" s="305">
        <v>1</v>
      </c>
      <c r="I321" s="95">
        <v>0</v>
      </c>
      <c r="J321" s="94"/>
      <c r="K321" s="95">
        <v>-33.479999999999997</v>
      </c>
      <c r="L321" s="94"/>
      <c r="M321" s="95">
        <v>0</v>
      </c>
      <c r="N321" s="95">
        <v>0</v>
      </c>
      <c r="O321" s="94"/>
      <c r="P321" s="95">
        <v>0</v>
      </c>
      <c r="Q321" s="95">
        <v>0</v>
      </c>
      <c r="R321" s="94"/>
      <c r="S321" s="94"/>
      <c r="T321" s="95">
        <v>-7.83</v>
      </c>
      <c r="U321" s="95">
        <v>0</v>
      </c>
      <c r="V321" s="94"/>
      <c r="W321" s="94"/>
      <c r="X321" s="95">
        <v>-41.31</v>
      </c>
      <c r="Y321" s="94"/>
      <c r="Z321" s="94"/>
      <c r="AA321" s="94"/>
      <c r="AB321" s="94"/>
      <c r="AC321" s="94"/>
      <c r="AD321" s="94"/>
      <c r="AE321" s="94"/>
      <c r="AF321" s="94"/>
      <c r="AG321" s="95">
        <v>-2.48</v>
      </c>
      <c r="AH321" s="94"/>
      <c r="AI321" s="95">
        <v>-43.79</v>
      </c>
      <c r="AJ321" s="95">
        <v>0</v>
      </c>
    </row>
    <row r="322" spans="1:36" customFormat="1" ht="15.75" thickBot="1" x14ac:dyDescent="0.3">
      <c r="A322" s="90" t="s">
        <v>999</v>
      </c>
      <c r="B322" s="626" t="str">
        <f>VLOOKUP($D322,'Retail Rates'!$B$7:$D$38,2,FALSE)</f>
        <v>851</v>
      </c>
      <c r="C322" s="626" t="str">
        <f>VLOOKUP($D322,'Retail Rates'!$B$7:$D$38,3,FALSE)</f>
        <v>CGS</v>
      </c>
      <c r="D322" s="90" t="s">
        <v>26</v>
      </c>
      <c r="E322" s="90" t="s">
        <v>875</v>
      </c>
      <c r="F322" s="90" t="s">
        <v>17</v>
      </c>
      <c r="G322" s="90" t="s">
        <v>658</v>
      </c>
      <c r="H322" s="304">
        <v>1</v>
      </c>
      <c r="I322" s="93">
        <v>0</v>
      </c>
      <c r="J322" s="92"/>
      <c r="K322" s="93">
        <v>-35</v>
      </c>
      <c r="L322" s="92"/>
      <c r="M322" s="93">
        <v>0</v>
      </c>
      <c r="N322" s="93">
        <v>0</v>
      </c>
      <c r="O322" s="92"/>
      <c r="P322" s="93">
        <v>0</v>
      </c>
      <c r="Q322" s="93">
        <v>0</v>
      </c>
      <c r="R322" s="92"/>
      <c r="S322" s="92"/>
      <c r="T322" s="93">
        <v>-11.24</v>
      </c>
      <c r="U322" s="93">
        <v>0</v>
      </c>
      <c r="V322" s="92"/>
      <c r="W322" s="92"/>
      <c r="X322" s="93">
        <v>-46.24</v>
      </c>
      <c r="Y322" s="92"/>
      <c r="Z322" s="92"/>
      <c r="AA322" s="92"/>
      <c r="AB322" s="92"/>
      <c r="AC322" s="92"/>
      <c r="AD322" s="92"/>
      <c r="AE322" s="92"/>
      <c r="AF322" s="92"/>
      <c r="AG322" s="93">
        <v>-2.77</v>
      </c>
      <c r="AH322" s="92"/>
      <c r="AI322" s="93">
        <v>-49.01</v>
      </c>
      <c r="AJ322" s="93">
        <v>0</v>
      </c>
    </row>
    <row r="323" spans="1:36" customFormat="1" ht="15.75" thickBot="1" x14ac:dyDescent="0.3">
      <c r="A323" s="90" t="s">
        <v>999</v>
      </c>
      <c r="B323" s="626" t="str">
        <f>VLOOKUP($D323,'Retail Rates'!$B$7:$D$38,2,FALSE)</f>
        <v>851</v>
      </c>
      <c r="C323" s="626" t="str">
        <f>VLOOKUP($D323,'Retail Rates'!$B$7:$D$38,3,FALSE)</f>
        <v>CGS</v>
      </c>
      <c r="D323" s="90" t="s">
        <v>26</v>
      </c>
      <c r="E323" s="90" t="s">
        <v>875</v>
      </c>
      <c r="F323" s="90" t="s">
        <v>17</v>
      </c>
      <c r="G323" s="90" t="s">
        <v>659</v>
      </c>
      <c r="H323" s="305">
        <v>1</v>
      </c>
      <c r="I323" s="95">
        <v>0</v>
      </c>
      <c r="J323" s="94"/>
      <c r="K323" s="95">
        <v>-35</v>
      </c>
      <c r="L323" s="94"/>
      <c r="M323" s="95">
        <v>0</v>
      </c>
      <c r="N323" s="95">
        <v>0</v>
      </c>
      <c r="O323" s="94"/>
      <c r="P323" s="95">
        <v>0</v>
      </c>
      <c r="Q323" s="95">
        <v>0</v>
      </c>
      <c r="R323" s="94"/>
      <c r="S323" s="94"/>
      <c r="T323" s="95">
        <v>-11.24</v>
      </c>
      <c r="U323" s="95">
        <v>0</v>
      </c>
      <c r="V323" s="94"/>
      <c r="W323" s="94"/>
      <c r="X323" s="95">
        <v>-46.24</v>
      </c>
      <c r="Y323" s="94"/>
      <c r="Z323" s="94"/>
      <c r="AA323" s="94"/>
      <c r="AB323" s="94"/>
      <c r="AC323" s="94"/>
      <c r="AD323" s="94"/>
      <c r="AE323" s="94"/>
      <c r="AF323" s="94"/>
      <c r="AG323" s="95">
        <v>-2.77</v>
      </c>
      <c r="AH323" s="94"/>
      <c r="AI323" s="95">
        <v>-49.01</v>
      </c>
      <c r="AJ323" s="95">
        <v>0</v>
      </c>
    </row>
    <row r="324" spans="1:36" customFormat="1" ht="15.75" thickBot="1" x14ac:dyDescent="0.3">
      <c r="A324" s="90" t="s">
        <v>999</v>
      </c>
      <c r="B324" s="626" t="str">
        <f>VLOOKUP($D324,'Retail Rates'!$B$7:$D$38,2,FALSE)</f>
        <v>851</v>
      </c>
      <c r="C324" s="626" t="str">
        <f>VLOOKUP($D324,'Retail Rates'!$B$7:$D$38,3,FALSE)</f>
        <v>CGS</v>
      </c>
      <c r="D324" s="90" t="s">
        <v>26</v>
      </c>
      <c r="E324" s="90" t="s">
        <v>875</v>
      </c>
      <c r="F324" s="90" t="s">
        <v>17</v>
      </c>
      <c r="G324" s="90" t="s">
        <v>660</v>
      </c>
      <c r="H324" s="304">
        <v>1</v>
      </c>
      <c r="I324" s="93">
        <v>0</v>
      </c>
      <c r="J324" s="92"/>
      <c r="K324" s="93">
        <v>-35</v>
      </c>
      <c r="L324" s="92"/>
      <c r="M324" s="93">
        <v>0</v>
      </c>
      <c r="N324" s="93">
        <v>0</v>
      </c>
      <c r="O324" s="92"/>
      <c r="P324" s="93">
        <v>0</v>
      </c>
      <c r="Q324" s="93">
        <v>0</v>
      </c>
      <c r="R324" s="92"/>
      <c r="S324" s="92"/>
      <c r="T324" s="93">
        <v>-11.24</v>
      </c>
      <c r="U324" s="93">
        <v>0</v>
      </c>
      <c r="V324" s="92"/>
      <c r="W324" s="92"/>
      <c r="X324" s="93">
        <v>-46.24</v>
      </c>
      <c r="Y324" s="92"/>
      <c r="Z324" s="92"/>
      <c r="AA324" s="92"/>
      <c r="AB324" s="92"/>
      <c r="AC324" s="92"/>
      <c r="AD324" s="92"/>
      <c r="AE324" s="92"/>
      <c r="AF324" s="92"/>
      <c r="AG324" s="93">
        <v>-2.77</v>
      </c>
      <c r="AH324" s="92"/>
      <c r="AI324" s="93">
        <v>-49.01</v>
      </c>
      <c r="AJ324" s="93">
        <v>0</v>
      </c>
    </row>
    <row r="325" spans="1:36" customFormat="1" ht="15.75" thickBot="1" x14ac:dyDescent="0.3">
      <c r="A325" s="90" t="s">
        <v>999</v>
      </c>
      <c r="B325" s="626" t="str">
        <f>VLOOKUP($D325,'Retail Rates'!$B$7:$D$38,2,FALSE)</f>
        <v>851</v>
      </c>
      <c r="C325" s="626" t="str">
        <f>VLOOKUP($D325,'Retail Rates'!$B$7:$D$38,3,FALSE)</f>
        <v>CGS</v>
      </c>
      <c r="D325" s="90" t="s">
        <v>26</v>
      </c>
      <c r="E325" s="90" t="s">
        <v>875</v>
      </c>
      <c r="F325" s="90" t="s">
        <v>17</v>
      </c>
      <c r="G325" s="90" t="s">
        <v>665</v>
      </c>
      <c r="H325" s="305">
        <v>1</v>
      </c>
      <c r="I325" s="95">
        <v>0</v>
      </c>
      <c r="J325" s="94"/>
      <c r="K325" s="95">
        <v>-35</v>
      </c>
      <c r="L325" s="94"/>
      <c r="M325" s="95">
        <v>0</v>
      </c>
      <c r="N325" s="95">
        <v>0</v>
      </c>
      <c r="O325" s="94"/>
      <c r="P325" s="95">
        <v>0</v>
      </c>
      <c r="Q325" s="95">
        <v>0</v>
      </c>
      <c r="R325" s="94"/>
      <c r="S325" s="94"/>
      <c r="T325" s="95">
        <v>-11.24</v>
      </c>
      <c r="U325" s="95">
        <v>0</v>
      </c>
      <c r="V325" s="94"/>
      <c r="W325" s="94"/>
      <c r="X325" s="95">
        <v>-46.24</v>
      </c>
      <c r="Y325" s="94"/>
      <c r="Z325" s="94"/>
      <c r="AA325" s="94"/>
      <c r="AB325" s="94"/>
      <c r="AC325" s="94"/>
      <c r="AD325" s="94"/>
      <c r="AE325" s="94"/>
      <c r="AF325" s="94"/>
      <c r="AG325" s="95">
        <v>-2.77</v>
      </c>
      <c r="AH325" s="94"/>
      <c r="AI325" s="95">
        <v>-49.01</v>
      </c>
      <c r="AJ325" s="95">
        <v>0</v>
      </c>
    </row>
    <row r="326" spans="1:36" customFormat="1" ht="15.75" thickBot="1" x14ac:dyDescent="0.3">
      <c r="A326" s="90" t="s">
        <v>999</v>
      </c>
      <c r="B326" s="626" t="str">
        <f>VLOOKUP($D326,'Retail Rates'!$B$7:$D$38,2,FALSE)</f>
        <v>851</v>
      </c>
      <c r="C326" s="626" t="str">
        <f>VLOOKUP($D326,'Retail Rates'!$B$7:$D$38,3,FALSE)</f>
        <v>CGS</v>
      </c>
      <c r="D326" s="90" t="s">
        <v>26</v>
      </c>
      <c r="E326" s="90" t="s">
        <v>875</v>
      </c>
      <c r="F326" s="90" t="s">
        <v>17</v>
      </c>
      <c r="G326" s="90" t="s">
        <v>713</v>
      </c>
      <c r="H326" s="304">
        <v>1</v>
      </c>
      <c r="I326" s="93">
        <v>0</v>
      </c>
      <c r="J326" s="92"/>
      <c r="K326" s="93">
        <v>-35</v>
      </c>
      <c r="L326" s="92"/>
      <c r="M326" s="93">
        <v>0</v>
      </c>
      <c r="N326" s="93">
        <v>0</v>
      </c>
      <c r="O326" s="92"/>
      <c r="P326" s="93">
        <v>0</v>
      </c>
      <c r="Q326" s="93">
        <v>0</v>
      </c>
      <c r="R326" s="92"/>
      <c r="S326" s="92"/>
      <c r="T326" s="93">
        <v>-11.24</v>
      </c>
      <c r="U326" s="93">
        <v>0</v>
      </c>
      <c r="V326" s="92"/>
      <c r="W326" s="92"/>
      <c r="X326" s="93">
        <v>-46.24</v>
      </c>
      <c r="Y326" s="92"/>
      <c r="Z326" s="92"/>
      <c r="AA326" s="92"/>
      <c r="AB326" s="92"/>
      <c r="AC326" s="92"/>
      <c r="AD326" s="92"/>
      <c r="AE326" s="92"/>
      <c r="AF326" s="92"/>
      <c r="AG326" s="93">
        <v>-2.77</v>
      </c>
      <c r="AH326" s="92"/>
      <c r="AI326" s="93">
        <v>-49.01</v>
      </c>
      <c r="AJ326" s="93">
        <v>0</v>
      </c>
    </row>
    <row r="327" spans="1:36" customFormat="1" ht="15.75" thickBot="1" x14ac:dyDescent="0.3">
      <c r="A327" s="90" t="s">
        <v>999</v>
      </c>
      <c r="B327" s="626" t="str">
        <f>VLOOKUP($D327,'Retail Rates'!$B$7:$D$38,2,FALSE)</f>
        <v>851</v>
      </c>
      <c r="C327" s="626" t="str">
        <f>VLOOKUP($D327,'Retail Rates'!$B$7:$D$38,3,FALSE)</f>
        <v>CGS</v>
      </c>
      <c r="D327" s="90" t="s">
        <v>26</v>
      </c>
      <c r="E327" s="90" t="s">
        <v>875</v>
      </c>
      <c r="F327" s="90" t="s">
        <v>17</v>
      </c>
      <c r="G327" s="90" t="s">
        <v>714</v>
      </c>
      <c r="H327" s="305">
        <v>1</v>
      </c>
      <c r="I327" s="95">
        <v>0</v>
      </c>
      <c r="J327" s="94"/>
      <c r="K327" s="95">
        <v>-35</v>
      </c>
      <c r="L327" s="94"/>
      <c r="M327" s="95">
        <v>0</v>
      </c>
      <c r="N327" s="95">
        <v>0</v>
      </c>
      <c r="O327" s="94"/>
      <c r="P327" s="95">
        <v>0</v>
      </c>
      <c r="Q327" s="95">
        <v>0</v>
      </c>
      <c r="R327" s="94"/>
      <c r="S327" s="94"/>
      <c r="T327" s="95">
        <v>-11.24</v>
      </c>
      <c r="U327" s="95">
        <v>0</v>
      </c>
      <c r="V327" s="94"/>
      <c r="W327" s="94"/>
      <c r="X327" s="95">
        <v>-46.24</v>
      </c>
      <c r="Y327" s="94"/>
      <c r="Z327" s="94"/>
      <c r="AA327" s="94"/>
      <c r="AB327" s="94"/>
      <c r="AC327" s="94"/>
      <c r="AD327" s="94"/>
      <c r="AE327" s="94"/>
      <c r="AF327" s="94"/>
      <c r="AG327" s="95">
        <v>-2.77</v>
      </c>
      <c r="AH327" s="94"/>
      <c r="AI327" s="95">
        <v>-49.01</v>
      </c>
      <c r="AJ327" s="95">
        <v>0</v>
      </c>
    </row>
    <row r="328" spans="1:36" customFormat="1" ht="15.75" thickBot="1" x14ac:dyDescent="0.3">
      <c r="A328" s="90" t="s">
        <v>999</v>
      </c>
      <c r="B328" s="626" t="str">
        <f>VLOOKUP($D328,'Retail Rates'!$B$7:$D$38,2,FALSE)</f>
        <v>851</v>
      </c>
      <c r="C328" s="626" t="str">
        <f>VLOOKUP($D328,'Retail Rates'!$B$7:$D$38,3,FALSE)</f>
        <v>CGS</v>
      </c>
      <c r="D328" s="90" t="s">
        <v>26</v>
      </c>
      <c r="E328" s="90" t="s">
        <v>875</v>
      </c>
      <c r="F328" s="90" t="s">
        <v>17</v>
      </c>
      <c r="G328" s="90" t="s">
        <v>721</v>
      </c>
      <c r="H328" s="304">
        <v>1</v>
      </c>
      <c r="I328" s="93">
        <v>0</v>
      </c>
      <c r="J328" s="92"/>
      <c r="K328" s="93">
        <v>-35</v>
      </c>
      <c r="L328" s="92"/>
      <c r="M328" s="93">
        <v>0</v>
      </c>
      <c r="N328" s="93">
        <v>0</v>
      </c>
      <c r="O328" s="92"/>
      <c r="P328" s="93">
        <v>0</v>
      </c>
      <c r="Q328" s="93">
        <v>0</v>
      </c>
      <c r="R328" s="92"/>
      <c r="S328" s="92"/>
      <c r="T328" s="93">
        <v>-11.24</v>
      </c>
      <c r="U328" s="93">
        <v>0</v>
      </c>
      <c r="V328" s="92"/>
      <c r="W328" s="92"/>
      <c r="X328" s="93">
        <v>-46.24</v>
      </c>
      <c r="Y328" s="92"/>
      <c r="Z328" s="92"/>
      <c r="AA328" s="92"/>
      <c r="AB328" s="92"/>
      <c r="AC328" s="92"/>
      <c r="AD328" s="92"/>
      <c r="AE328" s="92"/>
      <c r="AF328" s="92"/>
      <c r="AG328" s="93">
        <v>-2.77</v>
      </c>
      <c r="AH328" s="92"/>
      <c r="AI328" s="93">
        <v>-49.01</v>
      </c>
      <c r="AJ328" s="93">
        <v>0</v>
      </c>
    </row>
    <row r="329" spans="1:36" customFormat="1" ht="15.75" thickBot="1" x14ac:dyDescent="0.3">
      <c r="A329" s="90" t="s">
        <v>999</v>
      </c>
      <c r="B329" s="626" t="str">
        <f>VLOOKUP($D329,'Retail Rates'!$B$7:$D$38,2,FALSE)</f>
        <v>851</v>
      </c>
      <c r="C329" s="626" t="str">
        <f>VLOOKUP($D329,'Retail Rates'!$B$7:$D$38,3,FALSE)</f>
        <v>CGS</v>
      </c>
      <c r="D329" s="90" t="s">
        <v>26</v>
      </c>
      <c r="E329" s="90" t="s">
        <v>875</v>
      </c>
      <c r="F329" s="90" t="s">
        <v>17</v>
      </c>
      <c r="G329" s="90" t="s">
        <v>722</v>
      </c>
      <c r="H329" s="305">
        <v>1</v>
      </c>
      <c r="I329" s="95">
        <v>0</v>
      </c>
      <c r="J329" s="94"/>
      <c r="K329" s="95">
        <v>-35</v>
      </c>
      <c r="L329" s="94"/>
      <c r="M329" s="95">
        <v>0</v>
      </c>
      <c r="N329" s="95">
        <v>0</v>
      </c>
      <c r="O329" s="94"/>
      <c r="P329" s="95">
        <v>0</v>
      </c>
      <c r="Q329" s="95">
        <v>0</v>
      </c>
      <c r="R329" s="94"/>
      <c r="S329" s="94"/>
      <c r="T329" s="95">
        <v>-11.24</v>
      </c>
      <c r="U329" s="95">
        <v>0</v>
      </c>
      <c r="V329" s="94"/>
      <c r="W329" s="94"/>
      <c r="X329" s="95">
        <v>-46.24</v>
      </c>
      <c r="Y329" s="94"/>
      <c r="Z329" s="94"/>
      <c r="AA329" s="94"/>
      <c r="AB329" s="94"/>
      <c r="AC329" s="94"/>
      <c r="AD329" s="94"/>
      <c r="AE329" s="94"/>
      <c r="AF329" s="94"/>
      <c r="AG329" s="95">
        <v>-2.77</v>
      </c>
      <c r="AH329" s="94"/>
      <c r="AI329" s="95">
        <v>-49.01</v>
      </c>
      <c r="AJ329" s="95">
        <v>0</v>
      </c>
    </row>
    <row r="330" spans="1:36" customFormat="1" ht="15.75" thickBot="1" x14ac:dyDescent="0.3">
      <c r="A330" s="90" t="s">
        <v>999</v>
      </c>
      <c r="B330" s="626" t="str">
        <f>VLOOKUP($D330,'Retail Rates'!$B$7:$D$38,2,FALSE)</f>
        <v>851</v>
      </c>
      <c r="C330" s="626" t="str">
        <f>VLOOKUP($D330,'Retail Rates'!$B$7:$D$38,3,FALSE)</f>
        <v>CGS</v>
      </c>
      <c r="D330" s="90" t="s">
        <v>26</v>
      </c>
      <c r="E330" s="90" t="s">
        <v>875</v>
      </c>
      <c r="F330" s="90" t="s">
        <v>17</v>
      </c>
      <c r="G330" s="90" t="s">
        <v>723</v>
      </c>
      <c r="H330" s="304">
        <v>1</v>
      </c>
      <c r="I330" s="93">
        <v>0</v>
      </c>
      <c r="J330" s="92"/>
      <c r="K330" s="93">
        <v>-35</v>
      </c>
      <c r="L330" s="92"/>
      <c r="M330" s="93">
        <v>0</v>
      </c>
      <c r="N330" s="93">
        <v>0</v>
      </c>
      <c r="O330" s="92"/>
      <c r="P330" s="93">
        <v>0</v>
      </c>
      <c r="Q330" s="93">
        <v>0</v>
      </c>
      <c r="R330" s="92"/>
      <c r="S330" s="92"/>
      <c r="T330" s="93">
        <v>-11.24</v>
      </c>
      <c r="U330" s="93">
        <v>0</v>
      </c>
      <c r="V330" s="92"/>
      <c r="W330" s="92"/>
      <c r="X330" s="93">
        <v>-46.24</v>
      </c>
      <c r="Y330" s="92"/>
      <c r="Z330" s="92"/>
      <c r="AA330" s="92"/>
      <c r="AB330" s="92"/>
      <c r="AC330" s="92"/>
      <c r="AD330" s="92"/>
      <c r="AE330" s="92"/>
      <c r="AF330" s="92"/>
      <c r="AG330" s="93">
        <v>-2.77</v>
      </c>
      <c r="AH330" s="92"/>
      <c r="AI330" s="93">
        <v>-49.01</v>
      </c>
      <c r="AJ330" s="93">
        <v>0</v>
      </c>
    </row>
    <row r="331" spans="1:36" customFormat="1" ht="15.75" thickBot="1" x14ac:dyDescent="0.3">
      <c r="A331" s="90" t="s">
        <v>999</v>
      </c>
      <c r="B331" s="626" t="str">
        <f>VLOOKUP($D331,'Retail Rates'!$B$7:$D$38,2,FALSE)</f>
        <v>851</v>
      </c>
      <c r="C331" s="626" t="str">
        <f>VLOOKUP($D331,'Retail Rates'!$B$7:$D$38,3,FALSE)</f>
        <v>CGS</v>
      </c>
      <c r="D331" s="90" t="s">
        <v>26</v>
      </c>
      <c r="E331" s="90" t="s">
        <v>875</v>
      </c>
      <c r="F331" s="90" t="s">
        <v>17</v>
      </c>
      <c r="G331" s="90" t="s">
        <v>724</v>
      </c>
      <c r="H331" s="305">
        <v>1</v>
      </c>
      <c r="I331" s="95">
        <v>0</v>
      </c>
      <c r="J331" s="94"/>
      <c r="K331" s="95">
        <v>-35</v>
      </c>
      <c r="L331" s="94"/>
      <c r="M331" s="95">
        <v>0</v>
      </c>
      <c r="N331" s="95">
        <v>0</v>
      </c>
      <c r="O331" s="94"/>
      <c r="P331" s="95">
        <v>0</v>
      </c>
      <c r="Q331" s="95">
        <v>0</v>
      </c>
      <c r="R331" s="94"/>
      <c r="S331" s="94"/>
      <c r="T331" s="95">
        <v>-11.24</v>
      </c>
      <c r="U331" s="95">
        <v>0</v>
      </c>
      <c r="V331" s="94"/>
      <c r="W331" s="94"/>
      <c r="X331" s="95">
        <v>-46.24</v>
      </c>
      <c r="Y331" s="94"/>
      <c r="Z331" s="94"/>
      <c r="AA331" s="94"/>
      <c r="AB331" s="94"/>
      <c r="AC331" s="94"/>
      <c r="AD331" s="94"/>
      <c r="AE331" s="94"/>
      <c r="AF331" s="94"/>
      <c r="AG331" s="95">
        <v>-2.77</v>
      </c>
      <c r="AH331" s="94"/>
      <c r="AI331" s="95">
        <v>-49.01</v>
      </c>
      <c r="AJ331" s="95">
        <v>0</v>
      </c>
    </row>
    <row r="332" spans="1:36" customFormat="1" ht="15.75" thickBot="1" x14ac:dyDescent="0.3">
      <c r="A332" s="90" t="s">
        <v>999</v>
      </c>
      <c r="B332" s="626" t="str">
        <f>VLOOKUP($D332,'Retail Rates'!$B$7:$D$38,2,FALSE)</f>
        <v>851</v>
      </c>
      <c r="C332" s="626" t="str">
        <f>VLOOKUP($D332,'Retail Rates'!$B$7:$D$38,3,FALSE)</f>
        <v>CGS</v>
      </c>
      <c r="D332" s="90" t="s">
        <v>26</v>
      </c>
      <c r="E332" s="90" t="s">
        <v>875</v>
      </c>
      <c r="F332" s="90" t="s">
        <v>17</v>
      </c>
      <c r="G332" s="90" t="s">
        <v>725</v>
      </c>
      <c r="H332" s="304">
        <v>1</v>
      </c>
      <c r="I332" s="93">
        <v>0</v>
      </c>
      <c r="J332" s="92"/>
      <c r="K332" s="93">
        <v>-35</v>
      </c>
      <c r="L332" s="92"/>
      <c r="M332" s="93">
        <v>0</v>
      </c>
      <c r="N332" s="93">
        <v>0</v>
      </c>
      <c r="O332" s="92"/>
      <c r="P332" s="93">
        <v>0</v>
      </c>
      <c r="Q332" s="93">
        <v>0</v>
      </c>
      <c r="R332" s="92"/>
      <c r="S332" s="92"/>
      <c r="T332" s="93">
        <v>-11.24</v>
      </c>
      <c r="U332" s="93">
        <v>0</v>
      </c>
      <c r="V332" s="92"/>
      <c r="W332" s="92"/>
      <c r="X332" s="93">
        <v>-46.24</v>
      </c>
      <c r="Y332" s="92"/>
      <c r="Z332" s="92"/>
      <c r="AA332" s="92"/>
      <c r="AB332" s="92"/>
      <c r="AC332" s="92"/>
      <c r="AD332" s="92"/>
      <c r="AE332" s="92"/>
      <c r="AF332" s="92"/>
      <c r="AG332" s="93">
        <v>-2.77</v>
      </c>
      <c r="AH332" s="92"/>
      <c r="AI332" s="93">
        <v>-49.01</v>
      </c>
      <c r="AJ332" s="93">
        <v>0</v>
      </c>
    </row>
    <row r="333" spans="1:36" customFormat="1" ht="15.75" thickBot="1" x14ac:dyDescent="0.3">
      <c r="A333" s="90" t="s">
        <v>999</v>
      </c>
      <c r="B333" s="626" t="str">
        <f>VLOOKUP($D333,'Retail Rates'!$B$7:$D$38,2,FALSE)</f>
        <v>851</v>
      </c>
      <c r="C333" s="626" t="str">
        <f>VLOOKUP($D333,'Retail Rates'!$B$7:$D$38,3,FALSE)</f>
        <v>CGS</v>
      </c>
      <c r="D333" s="90" t="s">
        <v>26</v>
      </c>
      <c r="E333" s="90" t="s">
        <v>875</v>
      </c>
      <c r="F333" s="90" t="s">
        <v>17</v>
      </c>
      <c r="G333" s="90" t="s">
        <v>758</v>
      </c>
      <c r="H333" s="305">
        <v>1</v>
      </c>
      <c r="I333" s="95">
        <v>0</v>
      </c>
      <c r="J333" s="94"/>
      <c r="K333" s="95">
        <v>-35</v>
      </c>
      <c r="L333" s="94"/>
      <c r="M333" s="95">
        <v>0</v>
      </c>
      <c r="N333" s="95">
        <v>0</v>
      </c>
      <c r="O333" s="94"/>
      <c r="P333" s="95">
        <v>0</v>
      </c>
      <c r="Q333" s="95">
        <v>0</v>
      </c>
      <c r="R333" s="94"/>
      <c r="S333" s="94"/>
      <c r="T333" s="95">
        <v>-10.74</v>
      </c>
      <c r="U333" s="95">
        <v>0</v>
      </c>
      <c r="V333" s="94"/>
      <c r="W333" s="94"/>
      <c r="X333" s="95">
        <v>-45.74</v>
      </c>
      <c r="Y333" s="94"/>
      <c r="Z333" s="94"/>
      <c r="AA333" s="94"/>
      <c r="AB333" s="94"/>
      <c r="AC333" s="94"/>
      <c r="AD333" s="94"/>
      <c r="AE333" s="94"/>
      <c r="AF333" s="94"/>
      <c r="AG333" s="95">
        <v>-2.74</v>
      </c>
      <c r="AH333" s="94"/>
      <c r="AI333" s="95">
        <v>-48.48</v>
      </c>
      <c r="AJ333" s="95">
        <v>0</v>
      </c>
    </row>
    <row r="334" spans="1:36" customFormat="1" ht="15.75" thickBot="1" x14ac:dyDescent="0.3">
      <c r="A334" s="90" t="s">
        <v>999</v>
      </c>
      <c r="B334" s="626" t="str">
        <f>VLOOKUP($D334,'Retail Rates'!$B$7:$D$38,2,FALSE)</f>
        <v>851</v>
      </c>
      <c r="C334" s="626" t="str">
        <f>VLOOKUP($D334,'Retail Rates'!$B$7:$D$38,3,FALSE)</f>
        <v>CGS</v>
      </c>
      <c r="D334" s="90" t="s">
        <v>26</v>
      </c>
      <c r="E334" s="90" t="s">
        <v>875</v>
      </c>
      <c r="F334" s="90" t="s">
        <v>17</v>
      </c>
      <c r="G334" s="90" t="s">
        <v>759</v>
      </c>
      <c r="H334" s="304">
        <v>1</v>
      </c>
      <c r="I334" s="93">
        <v>0</v>
      </c>
      <c r="J334" s="92"/>
      <c r="K334" s="93">
        <v>-35</v>
      </c>
      <c r="L334" s="92"/>
      <c r="M334" s="93">
        <v>0</v>
      </c>
      <c r="N334" s="93">
        <v>0</v>
      </c>
      <c r="O334" s="92"/>
      <c r="P334" s="93">
        <v>0</v>
      </c>
      <c r="Q334" s="93">
        <v>0</v>
      </c>
      <c r="R334" s="92"/>
      <c r="S334" s="92"/>
      <c r="T334" s="93">
        <v>-10.54</v>
      </c>
      <c r="U334" s="93">
        <v>0</v>
      </c>
      <c r="V334" s="92"/>
      <c r="W334" s="92"/>
      <c r="X334" s="93">
        <v>-45.54</v>
      </c>
      <c r="Y334" s="92"/>
      <c r="Z334" s="92"/>
      <c r="AA334" s="92"/>
      <c r="AB334" s="92"/>
      <c r="AC334" s="92"/>
      <c r="AD334" s="92"/>
      <c r="AE334" s="92"/>
      <c r="AF334" s="92"/>
      <c r="AG334" s="93">
        <v>-2.73</v>
      </c>
      <c r="AH334" s="92"/>
      <c r="AI334" s="93">
        <v>-48.27</v>
      </c>
      <c r="AJ334" s="93">
        <v>0</v>
      </c>
    </row>
    <row r="335" spans="1:36" customFormat="1" ht="15.75" thickBot="1" x14ac:dyDescent="0.3">
      <c r="A335" s="90" t="s">
        <v>999</v>
      </c>
      <c r="B335" s="626" t="str">
        <f>VLOOKUP($D335,'Retail Rates'!$B$7:$D$38,2,FALSE)</f>
        <v>851</v>
      </c>
      <c r="C335" s="626" t="str">
        <f>VLOOKUP($D335,'Retail Rates'!$B$7:$D$38,3,FALSE)</f>
        <v>CGS</v>
      </c>
      <c r="D335" s="90" t="s">
        <v>26</v>
      </c>
      <c r="E335" s="90" t="s">
        <v>875</v>
      </c>
      <c r="F335" s="90" t="s">
        <v>17</v>
      </c>
      <c r="G335" s="90" t="s">
        <v>760</v>
      </c>
      <c r="H335" s="305">
        <v>2</v>
      </c>
      <c r="I335" s="95">
        <v>0</v>
      </c>
      <c r="J335" s="94"/>
      <c r="K335" s="95">
        <v>-35</v>
      </c>
      <c r="L335" s="94"/>
      <c r="M335" s="95">
        <v>0</v>
      </c>
      <c r="N335" s="95">
        <v>0</v>
      </c>
      <c r="O335" s="94"/>
      <c r="P335" s="95">
        <v>0</v>
      </c>
      <c r="Q335" s="95">
        <v>0</v>
      </c>
      <c r="R335" s="95">
        <v>1.52</v>
      </c>
      <c r="S335" s="94"/>
      <c r="T335" s="95">
        <v>-10.54</v>
      </c>
      <c r="U335" s="95">
        <v>0</v>
      </c>
      <c r="V335" s="94"/>
      <c r="W335" s="94"/>
      <c r="X335" s="95">
        <v>-44.02</v>
      </c>
      <c r="Y335" s="94"/>
      <c r="Z335" s="94"/>
      <c r="AA335" s="94"/>
      <c r="AB335" s="94"/>
      <c r="AC335" s="94"/>
      <c r="AD335" s="94"/>
      <c r="AE335" s="94"/>
      <c r="AF335" s="94"/>
      <c r="AG335" s="95">
        <v>-2.64</v>
      </c>
      <c r="AH335" s="94"/>
      <c r="AI335" s="95">
        <v>-46.66</v>
      </c>
      <c r="AJ335" s="95">
        <v>0</v>
      </c>
    </row>
    <row r="336" spans="1:36" customFormat="1" ht="15.75" thickBot="1" x14ac:dyDescent="0.3">
      <c r="A336" s="90" t="s">
        <v>999</v>
      </c>
      <c r="B336" s="626" t="str">
        <f>VLOOKUP($D336,'Retail Rates'!$B$7:$D$38,2,FALSE)</f>
        <v>851</v>
      </c>
      <c r="C336" s="626" t="str">
        <f>VLOOKUP($D336,'Retail Rates'!$B$7:$D$38,3,FALSE)</f>
        <v>CGS</v>
      </c>
      <c r="D336" s="90" t="s">
        <v>26</v>
      </c>
      <c r="E336" s="90" t="s">
        <v>875</v>
      </c>
      <c r="F336" s="90" t="s">
        <v>17</v>
      </c>
      <c r="G336" s="90" t="s">
        <v>768</v>
      </c>
      <c r="H336" s="304">
        <v>2</v>
      </c>
      <c r="I336" s="93">
        <v>0</v>
      </c>
      <c r="J336" s="92"/>
      <c r="K336" s="93">
        <v>-35</v>
      </c>
      <c r="L336" s="92"/>
      <c r="M336" s="93">
        <v>0</v>
      </c>
      <c r="N336" s="93">
        <v>0</v>
      </c>
      <c r="O336" s="92"/>
      <c r="P336" s="93">
        <v>0</v>
      </c>
      <c r="Q336" s="93">
        <v>0</v>
      </c>
      <c r="R336" s="93">
        <v>-0.31</v>
      </c>
      <c r="S336" s="92"/>
      <c r="T336" s="93">
        <v>-10.54</v>
      </c>
      <c r="U336" s="93">
        <v>0</v>
      </c>
      <c r="V336" s="92"/>
      <c r="W336" s="92"/>
      <c r="X336" s="93">
        <v>-45.85</v>
      </c>
      <c r="Y336" s="92"/>
      <c r="Z336" s="92"/>
      <c r="AA336" s="92"/>
      <c r="AB336" s="92"/>
      <c r="AC336" s="92"/>
      <c r="AD336" s="92"/>
      <c r="AE336" s="92"/>
      <c r="AF336" s="92"/>
      <c r="AG336" s="93">
        <v>-2.75</v>
      </c>
      <c r="AH336" s="92"/>
      <c r="AI336" s="93">
        <v>-48.6</v>
      </c>
      <c r="AJ336" s="93">
        <v>0</v>
      </c>
    </row>
    <row r="337" spans="1:36" customFormat="1" ht="15.75" thickBot="1" x14ac:dyDescent="0.3">
      <c r="A337" s="90" t="s">
        <v>999</v>
      </c>
      <c r="B337" s="626" t="str">
        <f>VLOOKUP($D337,'Retail Rates'!$B$7:$D$38,2,FALSE)</f>
        <v>851</v>
      </c>
      <c r="C337" s="626" t="str">
        <f>VLOOKUP($D337,'Retail Rates'!$B$7:$D$38,3,FALSE)</f>
        <v>CGS</v>
      </c>
      <c r="D337" s="90" t="s">
        <v>26</v>
      </c>
      <c r="E337" s="90" t="s">
        <v>875</v>
      </c>
      <c r="F337" s="90" t="s">
        <v>17</v>
      </c>
      <c r="G337" s="90" t="s">
        <v>769</v>
      </c>
      <c r="H337" s="305">
        <v>2</v>
      </c>
      <c r="I337" s="95">
        <v>0</v>
      </c>
      <c r="J337" s="94"/>
      <c r="K337" s="95">
        <v>-35</v>
      </c>
      <c r="L337" s="94"/>
      <c r="M337" s="95">
        <v>0</v>
      </c>
      <c r="N337" s="95">
        <v>0</v>
      </c>
      <c r="O337" s="94"/>
      <c r="P337" s="95">
        <v>-0.08</v>
      </c>
      <c r="Q337" s="95">
        <v>0</v>
      </c>
      <c r="R337" s="94"/>
      <c r="S337" s="94"/>
      <c r="T337" s="95">
        <v>-5.61</v>
      </c>
      <c r="U337" s="95">
        <v>0</v>
      </c>
      <c r="V337" s="94"/>
      <c r="W337" s="94"/>
      <c r="X337" s="95">
        <v>-40.69</v>
      </c>
      <c r="Y337" s="94"/>
      <c r="Z337" s="94"/>
      <c r="AA337" s="94"/>
      <c r="AB337" s="94"/>
      <c r="AC337" s="94"/>
      <c r="AD337" s="94"/>
      <c r="AE337" s="94"/>
      <c r="AF337" s="94"/>
      <c r="AG337" s="95">
        <v>-2.44</v>
      </c>
      <c r="AH337" s="94"/>
      <c r="AI337" s="95">
        <v>-43.13</v>
      </c>
      <c r="AJ337" s="95">
        <v>0</v>
      </c>
    </row>
    <row r="338" spans="1:36" customFormat="1" ht="15.75" thickBot="1" x14ac:dyDescent="0.3">
      <c r="A338" s="90" t="s">
        <v>999</v>
      </c>
      <c r="B338" s="626" t="str">
        <f>VLOOKUP($D338,'Retail Rates'!$B$7:$D$38,2,FALSE)</f>
        <v>851</v>
      </c>
      <c r="C338" s="626" t="str">
        <f>VLOOKUP($D338,'Retail Rates'!$B$7:$D$38,3,FALSE)</f>
        <v>CGS</v>
      </c>
      <c r="D338" s="90" t="s">
        <v>26</v>
      </c>
      <c r="E338" s="90" t="s">
        <v>875</v>
      </c>
      <c r="F338" s="90" t="s">
        <v>17</v>
      </c>
      <c r="G338" s="90" t="s">
        <v>771</v>
      </c>
      <c r="H338" s="304">
        <v>3</v>
      </c>
      <c r="I338" s="93">
        <v>-984</v>
      </c>
      <c r="J338" s="93">
        <v>-521</v>
      </c>
      <c r="K338" s="93">
        <v>-35</v>
      </c>
      <c r="L338" s="92"/>
      <c r="M338" s="93">
        <v>-289.98</v>
      </c>
      <c r="N338" s="93">
        <v>0</v>
      </c>
      <c r="O338" s="92"/>
      <c r="P338" s="93">
        <v>-896.79</v>
      </c>
      <c r="Q338" s="93">
        <v>-1.4</v>
      </c>
      <c r="R338" s="92"/>
      <c r="S338" s="92"/>
      <c r="T338" s="93">
        <v>-4.83</v>
      </c>
      <c r="U338" s="93">
        <v>0</v>
      </c>
      <c r="V338" s="92"/>
      <c r="W338" s="92"/>
      <c r="X338" s="93">
        <v>-1228</v>
      </c>
      <c r="Y338" s="92"/>
      <c r="Z338" s="92"/>
      <c r="AA338" s="92"/>
      <c r="AB338" s="92"/>
      <c r="AC338" s="92"/>
      <c r="AD338" s="92"/>
      <c r="AE338" s="92"/>
      <c r="AF338" s="92"/>
      <c r="AG338" s="93">
        <v>-73.680000000000007</v>
      </c>
      <c r="AH338" s="92"/>
      <c r="AI338" s="93">
        <v>-1301.68</v>
      </c>
      <c r="AJ338" s="93">
        <v>0</v>
      </c>
    </row>
    <row r="339" spans="1:36" customFormat="1" ht="15.75" thickBot="1" x14ac:dyDescent="0.3">
      <c r="A339" s="90" t="s">
        <v>999</v>
      </c>
      <c r="B339" s="626" t="str">
        <f>VLOOKUP($D339,'Retail Rates'!$B$7:$D$38,2,FALSE)</f>
        <v>851</v>
      </c>
      <c r="C339" s="626" t="str">
        <f>VLOOKUP($D339,'Retail Rates'!$B$7:$D$38,3,FALSE)</f>
        <v>CGS</v>
      </c>
      <c r="D339" s="90" t="s">
        <v>26</v>
      </c>
      <c r="E339" s="90" t="s">
        <v>875</v>
      </c>
      <c r="F339" s="90" t="s">
        <v>17</v>
      </c>
      <c r="G339" s="90" t="s">
        <v>783</v>
      </c>
      <c r="H339" s="305">
        <v>3</v>
      </c>
      <c r="I339" s="95">
        <v>-987</v>
      </c>
      <c r="J339" s="95">
        <v>-92</v>
      </c>
      <c r="K339" s="95">
        <v>-35</v>
      </c>
      <c r="L339" s="94"/>
      <c r="M339" s="95">
        <v>-221.98</v>
      </c>
      <c r="N339" s="95">
        <v>0</v>
      </c>
      <c r="O339" s="94"/>
      <c r="P339" s="95">
        <v>-642.95000000000005</v>
      </c>
      <c r="Q339" s="95">
        <v>-1.01</v>
      </c>
      <c r="R339" s="94"/>
      <c r="S339" s="94"/>
      <c r="T339" s="95">
        <v>-4.83</v>
      </c>
      <c r="U339" s="95">
        <v>0</v>
      </c>
      <c r="V339" s="94"/>
      <c r="W339" s="94"/>
      <c r="X339" s="95">
        <v>-905.77</v>
      </c>
      <c r="Y339" s="94"/>
      <c r="Z339" s="94"/>
      <c r="AA339" s="94"/>
      <c r="AB339" s="94"/>
      <c r="AC339" s="94"/>
      <c r="AD339" s="94"/>
      <c r="AE339" s="94"/>
      <c r="AF339" s="94"/>
      <c r="AG339" s="95">
        <v>-54.35</v>
      </c>
      <c r="AH339" s="94"/>
      <c r="AI339" s="95">
        <v>-960.12</v>
      </c>
      <c r="AJ339" s="95">
        <v>0</v>
      </c>
    </row>
    <row r="340" spans="1:36" customFormat="1" ht="15.75" thickBot="1" x14ac:dyDescent="0.3">
      <c r="A340" s="90" t="s">
        <v>999</v>
      </c>
      <c r="B340" s="626" t="str">
        <f>VLOOKUP($D340,'Retail Rates'!$B$7:$D$38,2,FALSE)</f>
        <v>851</v>
      </c>
      <c r="C340" s="626" t="str">
        <f>VLOOKUP($D340,'Retail Rates'!$B$7:$D$38,3,FALSE)</f>
        <v>CGS</v>
      </c>
      <c r="D340" s="90" t="s">
        <v>26</v>
      </c>
      <c r="E340" s="90" t="s">
        <v>875</v>
      </c>
      <c r="F340" s="90" t="s">
        <v>17</v>
      </c>
      <c r="G340" s="90" t="s">
        <v>798</v>
      </c>
      <c r="H340" s="304">
        <v>4</v>
      </c>
      <c r="I340" s="93">
        <v>14</v>
      </c>
      <c r="J340" s="92"/>
      <c r="K340" s="93">
        <v>-70</v>
      </c>
      <c r="L340" s="92"/>
      <c r="M340" s="93">
        <v>2.94</v>
      </c>
      <c r="N340" s="93">
        <v>0</v>
      </c>
      <c r="O340" s="93">
        <v>0</v>
      </c>
      <c r="P340" s="93">
        <v>8.17</v>
      </c>
      <c r="Q340" s="93">
        <v>0.01</v>
      </c>
      <c r="R340" s="92"/>
      <c r="S340" s="92"/>
      <c r="T340" s="93">
        <v>-9.66</v>
      </c>
      <c r="U340" s="93">
        <v>0</v>
      </c>
      <c r="V340" s="92"/>
      <c r="W340" s="92"/>
      <c r="X340" s="93">
        <v>-68.540000000000006</v>
      </c>
      <c r="Y340" s="92"/>
      <c r="Z340" s="92"/>
      <c r="AA340" s="92"/>
      <c r="AB340" s="92"/>
      <c r="AC340" s="92"/>
      <c r="AD340" s="92"/>
      <c r="AE340" s="92"/>
      <c r="AF340" s="92"/>
      <c r="AG340" s="93">
        <v>-4.1100000000000003</v>
      </c>
      <c r="AH340" s="92"/>
      <c r="AI340" s="93">
        <v>-72.650000000000006</v>
      </c>
      <c r="AJ340" s="93">
        <v>0</v>
      </c>
    </row>
    <row r="341" spans="1:36" customFormat="1" ht="15.75" thickBot="1" x14ac:dyDescent="0.3">
      <c r="A341" s="90" t="s">
        <v>999</v>
      </c>
      <c r="B341" s="626" t="str">
        <f>VLOOKUP($D341,'Retail Rates'!$B$7:$D$38,2,FALSE)</f>
        <v>851</v>
      </c>
      <c r="C341" s="626" t="str">
        <f>VLOOKUP($D341,'Retail Rates'!$B$7:$D$38,3,FALSE)</f>
        <v>CGS</v>
      </c>
      <c r="D341" s="90" t="s">
        <v>26</v>
      </c>
      <c r="E341" s="90" t="s">
        <v>875</v>
      </c>
      <c r="F341" s="90" t="s">
        <v>17</v>
      </c>
      <c r="G341" s="90" t="s">
        <v>897</v>
      </c>
      <c r="H341" s="305">
        <v>4</v>
      </c>
      <c r="I341" s="95">
        <v>18</v>
      </c>
      <c r="J341" s="94"/>
      <c r="K341" s="95">
        <v>-70</v>
      </c>
      <c r="L341" s="94"/>
      <c r="M341" s="95">
        <v>3.78</v>
      </c>
      <c r="N341" s="95">
        <v>0</v>
      </c>
      <c r="O341" s="95">
        <v>0</v>
      </c>
      <c r="P341" s="95">
        <v>11.23</v>
      </c>
      <c r="Q341" s="95">
        <v>0.01</v>
      </c>
      <c r="R341" s="94"/>
      <c r="S341" s="94"/>
      <c r="T341" s="95">
        <v>-9.66</v>
      </c>
      <c r="U341" s="95">
        <v>0</v>
      </c>
      <c r="V341" s="94"/>
      <c r="W341" s="94"/>
      <c r="X341" s="95">
        <v>-64.64</v>
      </c>
      <c r="Y341" s="94"/>
      <c r="Z341" s="94"/>
      <c r="AA341" s="94"/>
      <c r="AB341" s="94"/>
      <c r="AC341" s="94"/>
      <c r="AD341" s="94"/>
      <c r="AE341" s="94"/>
      <c r="AF341" s="94"/>
      <c r="AG341" s="95">
        <v>-3.88</v>
      </c>
      <c r="AH341" s="94"/>
      <c r="AI341" s="95">
        <v>-68.52</v>
      </c>
      <c r="AJ341" s="95">
        <v>0</v>
      </c>
    </row>
    <row r="342" spans="1:36" customFormat="1" ht="15.75" thickBot="1" x14ac:dyDescent="0.3">
      <c r="A342" s="90" t="s">
        <v>999</v>
      </c>
      <c r="B342" s="626" t="str">
        <f>VLOOKUP($D342,'Retail Rates'!$B$7:$D$38,2,FALSE)</f>
        <v>851</v>
      </c>
      <c r="C342" s="626" t="str">
        <f>VLOOKUP($D342,'Retail Rates'!$B$7:$D$38,3,FALSE)</f>
        <v>CGS</v>
      </c>
      <c r="D342" s="90" t="s">
        <v>26</v>
      </c>
      <c r="E342" s="90" t="s">
        <v>875</v>
      </c>
      <c r="F342" s="90" t="s">
        <v>17</v>
      </c>
      <c r="G342" s="90" t="s">
        <v>898</v>
      </c>
      <c r="H342" s="304">
        <v>4</v>
      </c>
      <c r="I342" s="93">
        <v>-11</v>
      </c>
      <c r="J342" s="92"/>
      <c r="K342" s="93">
        <v>-70</v>
      </c>
      <c r="L342" s="92"/>
      <c r="M342" s="93">
        <v>-2.31</v>
      </c>
      <c r="N342" s="93">
        <v>0</v>
      </c>
      <c r="O342" s="93">
        <v>0</v>
      </c>
      <c r="P342" s="93">
        <v>-6.86</v>
      </c>
      <c r="Q342" s="93">
        <v>-0.01</v>
      </c>
      <c r="R342" s="92"/>
      <c r="S342" s="92"/>
      <c r="T342" s="93">
        <v>-9.66</v>
      </c>
      <c r="U342" s="93">
        <v>0</v>
      </c>
      <c r="V342" s="92"/>
      <c r="W342" s="92"/>
      <c r="X342" s="93">
        <v>-88.84</v>
      </c>
      <c r="Y342" s="92"/>
      <c r="Z342" s="92"/>
      <c r="AA342" s="92"/>
      <c r="AB342" s="92"/>
      <c r="AC342" s="92"/>
      <c r="AD342" s="92"/>
      <c r="AE342" s="92"/>
      <c r="AF342" s="92"/>
      <c r="AG342" s="93">
        <v>-5.33</v>
      </c>
      <c r="AH342" s="92"/>
      <c r="AI342" s="93">
        <v>-94.17</v>
      </c>
      <c r="AJ342" s="93">
        <v>0</v>
      </c>
    </row>
    <row r="343" spans="1:36" customFormat="1" ht="15.75" thickBot="1" x14ac:dyDescent="0.3">
      <c r="A343" s="90" t="s">
        <v>999</v>
      </c>
      <c r="B343" s="626" t="str">
        <f>VLOOKUP($D343,'Retail Rates'!$B$7:$D$38,2,FALSE)</f>
        <v>851</v>
      </c>
      <c r="C343" s="626" t="str">
        <f>VLOOKUP($D343,'Retail Rates'!$B$7:$D$38,3,FALSE)</f>
        <v>CGS</v>
      </c>
      <c r="D343" s="90" t="s">
        <v>26</v>
      </c>
      <c r="E343" s="90" t="s">
        <v>875</v>
      </c>
      <c r="F343" s="90" t="s">
        <v>17</v>
      </c>
      <c r="G343" s="90" t="s">
        <v>899</v>
      </c>
      <c r="H343" s="305">
        <v>4</v>
      </c>
      <c r="I343" s="95">
        <v>-477</v>
      </c>
      <c r="J343" s="94"/>
      <c r="K343" s="95">
        <v>-70</v>
      </c>
      <c r="L343" s="94"/>
      <c r="M343" s="95">
        <v>-100.17</v>
      </c>
      <c r="N343" s="95">
        <v>0</v>
      </c>
      <c r="O343" s="95">
        <v>0</v>
      </c>
      <c r="P343" s="95">
        <v>-296.86</v>
      </c>
      <c r="Q343" s="95">
        <v>-0.45</v>
      </c>
      <c r="R343" s="95">
        <v>1.1000000000000001</v>
      </c>
      <c r="S343" s="94"/>
      <c r="T343" s="95">
        <v>-9.66</v>
      </c>
      <c r="U343" s="95">
        <v>0</v>
      </c>
      <c r="V343" s="94"/>
      <c r="W343" s="94"/>
      <c r="X343" s="95">
        <v>-476.04</v>
      </c>
      <c r="Y343" s="94"/>
      <c r="Z343" s="94"/>
      <c r="AA343" s="94"/>
      <c r="AB343" s="94"/>
      <c r="AC343" s="94"/>
      <c r="AD343" s="94"/>
      <c r="AE343" s="94"/>
      <c r="AF343" s="94"/>
      <c r="AG343" s="95">
        <v>-28.56</v>
      </c>
      <c r="AH343" s="94"/>
      <c r="AI343" s="95">
        <v>-504.6</v>
      </c>
      <c r="AJ343" s="95">
        <v>0</v>
      </c>
    </row>
    <row r="344" spans="1:36" customFormat="1" ht="15.75" thickBot="1" x14ac:dyDescent="0.3">
      <c r="A344" s="90" t="s">
        <v>999</v>
      </c>
      <c r="B344" s="626" t="str">
        <f>VLOOKUP($D344,'Retail Rates'!$B$7:$D$38,2,FALSE)</f>
        <v>851</v>
      </c>
      <c r="C344" s="626" t="str">
        <f>VLOOKUP($D344,'Retail Rates'!$B$7:$D$38,3,FALSE)</f>
        <v>CGS</v>
      </c>
      <c r="D344" s="90" t="s">
        <v>26</v>
      </c>
      <c r="E344" s="90" t="s">
        <v>875</v>
      </c>
      <c r="F344" s="90" t="s">
        <v>17</v>
      </c>
      <c r="G344" s="90" t="s">
        <v>900</v>
      </c>
      <c r="H344" s="304">
        <v>4</v>
      </c>
      <c r="I344" s="93">
        <v>-2524</v>
      </c>
      <c r="J344" s="92"/>
      <c r="K344" s="93">
        <v>-69.87</v>
      </c>
      <c r="L344" s="92"/>
      <c r="M344" s="93">
        <v>-530.01</v>
      </c>
      <c r="N344" s="93">
        <v>-37.64</v>
      </c>
      <c r="O344" s="93">
        <v>0.13</v>
      </c>
      <c r="P344" s="93">
        <v>-1416.68</v>
      </c>
      <c r="Q344" s="93">
        <v>-2.35</v>
      </c>
      <c r="R344" s="93">
        <v>102.43</v>
      </c>
      <c r="S344" s="92"/>
      <c r="T344" s="93">
        <v>-9.66</v>
      </c>
      <c r="U344" s="93">
        <v>0</v>
      </c>
      <c r="V344" s="92"/>
      <c r="W344" s="92"/>
      <c r="X344" s="93">
        <v>-1926.14</v>
      </c>
      <c r="Y344" s="92"/>
      <c r="Z344" s="92"/>
      <c r="AA344" s="92"/>
      <c r="AB344" s="92"/>
      <c r="AC344" s="92"/>
      <c r="AD344" s="92"/>
      <c r="AE344" s="92"/>
      <c r="AF344" s="92"/>
      <c r="AG344" s="93">
        <v>-117.82</v>
      </c>
      <c r="AH344" s="92"/>
      <c r="AI344" s="93">
        <v>-2081.6</v>
      </c>
      <c r="AJ344" s="306">
        <v>-0.13</v>
      </c>
    </row>
    <row r="345" spans="1:36" customFormat="1" ht="15.75" thickBot="1" x14ac:dyDescent="0.3">
      <c r="A345" s="90" t="s">
        <v>999</v>
      </c>
      <c r="B345" s="626" t="str">
        <f>VLOOKUP($D345,'Retail Rates'!$B$7:$D$38,2,FALSE)</f>
        <v>851</v>
      </c>
      <c r="C345" s="626" t="str">
        <f>VLOOKUP($D345,'Retail Rates'!$B$7:$D$38,3,FALSE)</f>
        <v>CGS</v>
      </c>
      <c r="D345" s="90" t="s">
        <v>26</v>
      </c>
      <c r="E345" s="90" t="s">
        <v>875</v>
      </c>
      <c r="F345" s="90" t="s">
        <v>17</v>
      </c>
      <c r="G345" s="90" t="s">
        <v>901</v>
      </c>
      <c r="H345" s="305">
        <v>4</v>
      </c>
      <c r="I345" s="95">
        <v>-2646</v>
      </c>
      <c r="J345" s="94"/>
      <c r="K345" s="95">
        <v>-69.87</v>
      </c>
      <c r="L345" s="94"/>
      <c r="M345" s="95">
        <v>-555.63</v>
      </c>
      <c r="N345" s="95">
        <v>-42.78</v>
      </c>
      <c r="O345" s="95">
        <v>0.13</v>
      </c>
      <c r="P345" s="95">
        <v>-1485.15</v>
      </c>
      <c r="Q345" s="95">
        <v>-2.46</v>
      </c>
      <c r="R345" s="95">
        <v>-55.94</v>
      </c>
      <c r="S345" s="94"/>
      <c r="T345" s="95">
        <v>-16.47</v>
      </c>
      <c r="U345" s="95">
        <v>0</v>
      </c>
      <c r="V345" s="94"/>
      <c r="W345" s="94"/>
      <c r="X345" s="95">
        <v>-2185.52</v>
      </c>
      <c r="Y345" s="94"/>
      <c r="Z345" s="94"/>
      <c r="AA345" s="94"/>
      <c r="AB345" s="94"/>
      <c r="AC345" s="94"/>
      <c r="AD345" s="94"/>
      <c r="AE345" s="94"/>
      <c r="AF345" s="94"/>
      <c r="AG345" s="95">
        <v>-133.69999999999999</v>
      </c>
      <c r="AH345" s="94"/>
      <c r="AI345" s="95">
        <v>-2362</v>
      </c>
      <c r="AJ345" s="306">
        <v>-0.13</v>
      </c>
    </row>
    <row r="346" spans="1:36" customFormat="1" ht="15.75" thickBot="1" x14ac:dyDescent="0.3">
      <c r="A346" s="90" t="s">
        <v>999</v>
      </c>
      <c r="B346" s="626" t="str">
        <f>VLOOKUP($D346,'Retail Rates'!$B$7:$D$38,2,FALSE)</f>
        <v>851</v>
      </c>
      <c r="C346" s="626" t="str">
        <f>VLOOKUP($D346,'Retail Rates'!$B$7:$D$38,3,FALSE)</f>
        <v>CGS</v>
      </c>
      <c r="D346" s="90" t="s">
        <v>26</v>
      </c>
      <c r="E346" s="90" t="s">
        <v>875</v>
      </c>
      <c r="F346" s="90" t="s">
        <v>17</v>
      </c>
      <c r="G346" s="90" t="s">
        <v>902</v>
      </c>
      <c r="H346" s="304">
        <v>4</v>
      </c>
      <c r="I346" s="93">
        <v>-2579</v>
      </c>
      <c r="J346" s="92"/>
      <c r="K346" s="93">
        <v>-69.87</v>
      </c>
      <c r="L346" s="92"/>
      <c r="M346" s="93">
        <v>-541.55999999999995</v>
      </c>
      <c r="N346" s="93">
        <v>-40</v>
      </c>
      <c r="O346" s="93">
        <v>0.13</v>
      </c>
      <c r="P346" s="93">
        <v>-1431.48</v>
      </c>
      <c r="Q346" s="93">
        <v>-2.39</v>
      </c>
      <c r="R346" s="93">
        <v>16.260000000000002</v>
      </c>
      <c r="S346" s="92"/>
      <c r="T346" s="93">
        <v>-22.74</v>
      </c>
      <c r="U346" s="93">
        <v>0</v>
      </c>
      <c r="V346" s="92"/>
      <c r="W346" s="92"/>
      <c r="X346" s="93">
        <v>-2051.7800000000002</v>
      </c>
      <c r="Y346" s="92"/>
      <c r="Z346" s="92"/>
      <c r="AA346" s="92"/>
      <c r="AB346" s="92"/>
      <c r="AC346" s="92"/>
      <c r="AD346" s="92"/>
      <c r="AE346" s="92"/>
      <c r="AF346" s="92"/>
      <c r="AG346" s="93">
        <v>-125.5</v>
      </c>
      <c r="AH346" s="92"/>
      <c r="AI346" s="93">
        <v>-2217.2800000000002</v>
      </c>
      <c r="AJ346" s="306">
        <v>-0.13</v>
      </c>
    </row>
    <row r="347" spans="1:36" customFormat="1" ht="15.75" thickBot="1" x14ac:dyDescent="0.3">
      <c r="A347" s="90" t="s">
        <v>999</v>
      </c>
      <c r="B347" s="626" t="str">
        <f>VLOOKUP($D347,'Retail Rates'!$B$7:$D$38,2,FALSE)</f>
        <v>851</v>
      </c>
      <c r="C347" s="626" t="str">
        <f>VLOOKUP($D347,'Retail Rates'!$B$7:$D$38,3,FALSE)</f>
        <v>CGS</v>
      </c>
      <c r="D347" s="90" t="s">
        <v>26</v>
      </c>
      <c r="E347" s="90" t="s">
        <v>875</v>
      </c>
      <c r="F347" s="90" t="s">
        <v>17</v>
      </c>
      <c r="G347" s="90" t="s">
        <v>903</v>
      </c>
      <c r="H347" s="305">
        <v>4</v>
      </c>
      <c r="I347" s="95">
        <v>-3147</v>
      </c>
      <c r="J347" s="94"/>
      <c r="K347" s="95">
        <v>-69.87</v>
      </c>
      <c r="L347" s="94"/>
      <c r="M347" s="95">
        <v>-660.84</v>
      </c>
      <c r="N347" s="95">
        <v>-42.17</v>
      </c>
      <c r="O347" s="95">
        <v>0.13</v>
      </c>
      <c r="P347" s="95">
        <v>-1571.96</v>
      </c>
      <c r="Q347" s="95">
        <v>-2.93</v>
      </c>
      <c r="R347" s="95">
        <v>168.29</v>
      </c>
      <c r="S347" s="94"/>
      <c r="T347" s="95">
        <v>-22.74</v>
      </c>
      <c r="U347" s="95">
        <v>0</v>
      </c>
      <c r="V347" s="94"/>
      <c r="W347" s="94"/>
      <c r="X347" s="95">
        <v>-2160.0500000000002</v>
      </c>
      <c r="Y347" s="94"/>
      <c r="Z347" s="94"/>
      <c r="AA347" s="94"/>
      <c r="AB347" s="94"/>
      <c r="AC347" s="94"/>
      <c r="AD347" s="94"/>
      <c r="AE347" s="94"/>
      <c r="AF347" s="94"/>
      <c r="AG347" s="95">
        <v>-132.13</v>
      </c>
      <c r="AH347" s="94"/>
      <c r="AI347" s="95">
        <v>-2334.35</v>
      </c>
      <c r="AJ347" s="306">
        <v>-0.13</v>
      </c>
    </row>
    <row r="348" spans="1:36" customFormat="1" ht="15.75" thickBot="1" x14ac:dyDescent="0.3">
      <c r="A348" s="90" t="s">
        <v>999</v>
      </c>
      <c r="B348" s="626" t="str">
        <f>VLOOKUP($D348,'Retail Rates'!$B$7:$D$38,2,FALSE)</f>
        <v>851</v>
      </c>
      <c r="C348" s="626" t="str">
        <f>VLOOKUP($D348,'Retail Rates'!$B$7:$D$38,3,FALSE)</f>
        <v>CGS</v>
      </c>
      <c r="D348" s="90" t="s">
        <v>26</v>
      </c>
      <c r="E348" s="90" t="s">
        <v>875</v>
      </c>
      <c r="F348" s="90" t="s">
        <v>17</v>
      </c>
      <c r="G348" s="90" t="s">
        <v>904</v>
      </c>
      <c r="H348" s="304">
        <v>4</v>
      </c>
      <c r="I348" s="93">
        <v>-982</v>
      </c>
      <c r="J348" s="93">
        <v>-523</v>
      </c>
      <c r="K348" s="93">
        <v>-69.87</v>
      </c>
      <c r="L348" s="92"/>
      <c r="M348" s="93">
        <v>-289.88</v>
      </c>
      <c r="N348" s="93">
        <v>-21.76</v>
      </c>
      <c r="O348" s="93">
        <v>0.13</v>
      </c>
      <c r="P348" s="93">
        <v>-751.76</v>
      </c>
      <c r="Q348" s="93">
        <v>-0.86</v>
      </c>
      <c r="R348" s="93">
        <v>-5.01</v>
      </c>
      <c r="S348" s="92"/>
      <c r="T348" s="93">
        <v>-22.74</v>
      </c>
      <c r="U348" s="93">
        <v>0</v>
      </c>
      <c r="V348" s="92"/>
      <c r="W348" s="92"/>
      <c r="X348" s="93">
        <v>-1140.1199999999999</v>
      </c>
      <c r="Y348" s="92"/>
      <c r="Z348" s="92"/>
      <c r="AA348" s="92"/>
      <c r="AB348" s="92"/>
      <c r="AC348" s="92"/>
      <c r="AD348" s="92"/>
      <c r="AE348" s="92"/>
      <c r="AF348" s="92"/>
      <c r="AG348" s="93">
        <v>-69.709999999999994</v>
      </c>
      <c r="AH348" s="92"/>
      <c r="AI348" s="93">
        <v>-1231.5899999999999</v>
      </c>
      <c r="AJ348" s="306">
        <v>-0.13</v>
      </c>
    </row>
    <row r="349" spans="1:36" customFormat="1" ht="15.75" thickBot="1" x14ac:dyDescent="0.3">
      <c r="A349" s="90" t="s">
        <v>999</v>
      </c>
      <c r="B349" s="626" t="str">
        <f>VLOOKUP($D349,'Retail Rates'!$B$7:$D$38,2,FALSE)</f>
        <v>851</v>
      </c>
      <c r="C349" s="626" t="str">
        <f>VLOOKUP($D349,'Retail Rates'!$B$7:$D$38,3,FALSE)</f>
        <v>CGS</v>
      </c>
      <c r="D349" s="90" t="s">
        <v>26</v>
      </c>
      <c r="E349" s="90" t="s">
        <v>875</v>
      </c>
      <c r="F349" s="90" t="s">
        <v>17</v>
      </c>
      <c r="G349" s="90" t="s">
        <v>905</v>
      </c>
      <c r="H349" s="305">
        <v>4</v>
      </c>
      <c r="I349" s="95">
        <v>-987</v>
      </c>
      <c r="J349" s="95">
        <v>-91</v>
      </c>
      <c r="K349" s="95">
        <v>-69.87</v>
      </c>
      <c r="L349" s="94"/>
      <c r="M349" s="95">
        <v>-221.82</v>
      </c>
      <c r="N349" s="95">
        <v>-16.07</v>
      </c>
      <c r="O349" s="95">
        <v>0.13</v>
      </c>
      <c r="P349" s="95">
        <v>-534.87</v>
      </c>
      <c r="Q349" s="95">
        <v>-0.62</v>
      </c>
      <c r="R349" s="94"/>
      <c r="S349" s="94"/>
      <c r="T349" s="95">
        <v>-28.49</v>
      </c>
      <c r="U349" s="95">
        <v>0</v>
      </c>
      <c r="V349" s="94"/>
      <c r="W349" s="94"/>
      <c r="X349" s="95">
        <v>-855.67</v>
      </c>
      <c r="Y349" s="94"/>
      <c r="Z349" s="94"/>
      <c r="AA349" s="94"/>
      <c r="AB349" s="94"/>
      <c r="AC349" s="94"/>
      <c r="AD349" s="94"/>
      <c r="AE349" s="94"/>
      <c r="AF349" s="94"/>
      <c r="AG349" s="95">
        <v>-52.31</v>
      </c>
      <c r="AH349" s="94"/>
      <c r="AI349" s="95">
        <v>-924.05</v>
      </c>
      <c r="AJ349" s="306">
        <v>-0.13</v>
      </c>
    </row>
    <row r="350" spans="1:36" customFormat="1" ht="15.75" thickBot="1" x14ac:dyDescent="0.3">
      <c r="A350" s="90" t="s">
        <v>999</v>
      </c>
      <c r="B350" s="626" t="str">
        <f>VLOOKUP($D350,'Retail Rates'!$B$7:$D$38,2,FALSE)</f>
        <v>851</v>
      </c>
      <c r="C350" s="626" t="str">
        <f>VLOOKUP($D350,'Retail Rates'!$B$7:$D$38,3,FALSE)</f>
        <v>CGS</v>
      </c>
      <c r="D350" s="90" t="s">
        <v>26</v>
      </c>
      <c r="E350" s="90" t="s">
        <v>875</v>
      </c>
      <c r="F350" s="90" t="s">
        <v>17</v>
      </c>
      <c r="G350" s="90" t="s">
        <v>906</v>
      </c>
      <c r="H350" s="304">
        <v>4</v>
      </c>
      <c r="I350" s="93">
        <v>-985</v>
      </c>
      <c r="J350" s="93">
        <v>-196</v>
      </c>
      <c r="K350" s="93">
        <v>-69.87</v>
      </c>
      <c r="L350" s="92"/>
      <c r="M350" s="93">
        <v>-238.2</v>
      </c>
      <c r="N350" s="93">
        <v>-15.54</v>
      </c>
      <c r="O350" s="93">
        <v>0.13</v>
      </c>
      <c r="P350" s="93">
        <v>-491.26</v>
      </c>
      <c r="Q350" s="93">
        <v>-0.67</v>
      </c>
      <c r="R350" s="92"/>
      <c r="S350" s="92"/>
      <c r="T350" s="93">
        <v>-33.840000000000003</v>
      </c>
      <c r="U350" s="93">
        <v>0</v>
      </c>
      <c r="V350" s="92"/>
      <c r="W350" s="92"/>
      <c r="X350" s="93">
        <v>-833.84</v>
      </c>
      <c r="Y350" s="92"/>
      <c r="Z350" s="92"/>
      <c r="AA350" s="92"/>
      <c r="AB350" s="92"/>
      <c r="AC350" s="92"/>
      <c r="AD350" s="92"/>
      <c r="AE350" s="92"/>
      <c r="AF350" s="92"/>
      <c r="AG350" s="93">
        <v>-50.97</v>
      </c>
      <c r="AH350" s="92"/>
      <c r="AI350" s="93">
        <v>-900.35</v>
      </c>
      <c r="AJ350" s="306">
        <v>-0.13</v>
      </c>
    </row>
    <row r="351" spans="1:36" customFormat="1" ht="15.75" thickBot="1" x14ac:dyDescent="0.3">
      <c r="A351" s="90" t="s">
        <v>999</v>
      </c>
      <c r="B351" s="626" t="str">
        <f>VLOOKUP($D351,'Retail Rates'!$B$7:$D$38,2,FALSE)</f>
        <v>851</v>
      </c>
      <c r="C351" s="626" t="str">
        <f>VLOOKUP($D351,'Retail Rates'!$B$7:$D$38,3,FALSE)</f>
        <v>CGS</v>
      </c>
      <c r="D351" s="90" t="s">
        <v>26</v>
      </c>
      <c r="E351" s="90" t="s">
        <v>875</v>
      </c>
      <c r="F351" s="90" t="s">
        <v>17</v>
      </c>
      <c r="G351" s="90" t="s">
        <v>907</v>
      </c>
      <c r="H351" s="305">
        <v>4</v>
      </c>
      <c r="I351" s="95">
        <v>-1024</v>
      </c>
      <c r="J351" s="95">
        <v>-108</v>
      </c>
      <c r="K351" s="95">
        <v>-75.3</v>
      </c>
      <c r="L351" s="94"/>
      <c r="M351" s="95">
        <v>-232.52</v>
      </c>
      <c r="N351" s="95">
        <v>-15.1</v>
      </c>
      <c r="O351" s="95">
        <v>0</v>
      </c>
      <c r="P351" s="95">
        <v>-470.88</v>
      </c>
      <c r="Q351" s="95">
        <v>-0.64</v>
      </c>
      <c r="R351" s="94"/>
      <c r="S351" s="94"/>
      <c r="T351" s="95">
        <v>-33.840000000000003</v>
      </c>
      <c r="U351" s="95">
        <v>0</v>
      </c>
      <c r="V351" s="94"/>
      <c r="W351" s="94"/>
      <c r="X351" s="95">
        <v>-813.18</v>
      </c>
      <c r="Y351" s="94"/>
      <c r="Z351" s="94"/>
      <c r="AA351" s="94"/>
      <c r="AB351" s="94"/>
      <c r="AC351" s="94"/>
      <c r="AD351" s="94"/>
      <c r="AE351" s="94"/>
      <c r="AF351" s="94"/>
      <c r="AG351" s="95">
        <v>-49.7</v>
      </c>
      <c r="AH351" s="94"/>
      <c r="AI351" s="95">
        <v>-877.98</v>
      </c>
      <c r="AJ351" s="95">
        <v>0</v>
      </c>
    </row>
    <row r="352" spans="1:36" customFormat="1" ht="15.75" thickBot="1" x14ac:dyDescent="0.3">
      <c r="A352" s="90" t="s">
        <v>999</v>
      </c>
      <c r="B352" s="626" t="str">
        <f>VLOOKUP($D352,'Retail Rates'!$B$7:$D$38,2,FALSE)</f>
        <v>851</v>
      </c>
      <c r="C352" s="626" t="str">
        <f>VLOOKUP($D352,'Retail Rates'!$B$7:$D$38,3,FALSE)</f>
        <v>CGS</v>
      </c>
      <c r="D352" s="90" t="s">
        <v>26</v>
      </c>
      <c r="E352" s="90" t="s">
        <v>875</v>
      </c>
      <c r="F352" s="90" t="s">
        <v>17</v>
      </c>
      <c r="G352" s="90" t="s">
        <v>908</v>
      </c>
      <c r="H352" s="304">
        <v>4</v>
      </c>
      <c r="I352" s="93">
        <v>-983</v>
      </c>
      <c r="J352" s="93">
        <v>-239</v>
      </c>
      <c r="K352" s="93">
        <v>-80</v>
      </c>
      <c r="L352" s="92"/>
      <c r="M352" s="93">
        <v>-250.82</v>
      </c>
      <c r="N352" s="93">
        <v>-16.25</v>
      </c>
      <c r="O352" s="93">
        <v>0</v>
      </c>
      <c r="P352" s="93">
        <v>-507.49</v>
      </c>
      <c r="Q352" s="93">
        <v>-0.71</v>
      </c>
      <c r="R352" s="92"/>
      <c r="S352" s="92"/>
      <c r="T352" s="93">
        <v>-33.840000000000003</v>
      </c>
      <c r="U352" s="93">
        <v>0</v>
      </c>
      <c r="V352" s="92"/>
      <c r="W352" s="92"/>
      <c r="X352" s="93">
        <v>-872.86</v>
      </c>
      <c r="Y352" s="92"/>
      <c r="Z352" s="92"/>
      <c r="AA352" s="92"/>
      <c r="AB352" s="92"/>
      <c r="AC352" s="92"/>
      <c r="AD352" s="92"/>
      <c r="AE352" s="92"/>
      <c r="AF352" s="92"/>
      <c r="AG352" s="93">
        <v>-53.35</v>
      </c>
      <c r="AH352" s="92"/>
      <c r="AI352" s="93">
        <v>-942.46</v>
      </c>
      <c r="AJ352" s="93">
        <v>0</v>
      </c>
    </row>
    <row r="353" spans="1:36" customFormat="1" ht="15.75" thickBot="1" x14ac:dyDescent="0.3">
      <c r="A353" s="90" t="s">
        <v>999</v>
      </c>
      <c r="B353" s="626" t="str">
        <f>VLOOKUP($D353,'Retail Rates'!$B$7:$D$38,2,FALSE)</f>
        <v>851</v>
      </c>
      <c r="C353" s="626" t="str">
        <f>VLOOKUP($D353,'Retail Rates'!$B$7:$D$38,3,FALSE)</f>
        <v>CGS</v>
      </c>
      <c r="D353" s="90" t="s">
        <v>26</v>
      </c>
      <c r="E353" s="90" t="s">
        <v>875</v>
      </c>
      <c r="F353" s="90" t="s">
        <v>17</v>
      </c>
      <c r="G353" s="90" t="s">
        <v>909</v>
      </c>
      <c r="H353" s="305">
        <v>4</v>
      </c>
      <c r="I353" s="95">
        <v>-985</v>
      </c>
      <c r="J353" s="95">
        <v>-243</v>
      </c>
      <c r="K353" s="95">
        <v>-80</v>
      </c>
      <c r="L353" s="94"/>
      <c r="M353" s="95">
        <v>-251.91</v>
      </c>
      <c r="N353" s="95">
        <v>-13.43</v>
      </c>
      <c r="O353" s="95">
        <v>0</v>
      </c>
      <c r="P353" s="95">
        <v>-365.94</v>
      </c>
      <c r="Q353" s="95">
        <v>-0.7</v>
      </c>
      <c r="R353" s="94"/>
      <c r="S353" s="94"/>
      <c r="T353" s="95">
        <v>-33.840000000000003</v>
      </c>
      <c r="U353" s="95">
        <v>0</v>
      </c>
      <c r="V353" s="94"/>
      <c r="W353" s="94"/>
      <c r="X353" s="95">
        <v>-732.39</v>
      </c>
      <c r="Y353" s="94"/>
      <c r="Z353" s="94"/>
      <c r="AA353" s="94"/>
      <c r="AB353" s="94"/>
      <c r="AC353" s="94"/>
      <c r="AD353" s="94"/>
      <c r="AE353" s="94"/>
      <c r="AF353" s="94"/>
      <c r="AG353" s="95">
        <v>-44.75</v>
      </c>
      <c r="AH353" s="94"/>
      <c r="AI353" s="95">
        <v>-790.57</v>
      </c>
      <c r="AJ353" s="95">
        <v>0</v>
      </c>
    </row>
    <row r="354" spans="1:36" customFormat="1" ht="15.75" thickBot="1" x14ac:dyDescent="0.3">
      <c r="A354" s="90" t="s">
        <v>999</v>
      </c>
      <c r="B354" s="626" t="str">
        <f>VLOOKUP($D354,'Retail Rates'!$B$7:$D$38,2,FALSE)</f>
        <v>851</v>
      </c>
      <c r="C354" s="626" t="str">
        <f>VLOOKUP($D354,'Retail Rates'!$B$7:$D$38,3,FALSE)</f>
        <v>CGS</v>
      </c>
      <c r="D354" s="90" t="s">
        <v>26</v>
      </c>
      <c r="E354" s="90" t="s">
        <v>875</v>
      </c>
      <c r="F354" s="90" t="s">
        <v>17</v>
      </c>
      <c r="G354" s="90" t="s">
        <v>910</v>
      </c>
      <c r="H354" s="304">
        <v>4</v>
      </c>
      <c r="I354" s="93">
        <v>-986</v>
      </c>
      <c r="J354" s="93">
        <v>-182</v>
      </c>
      <c r="K354" s="93">
        <v>-80</v>
      </c>
      <c r="L354" s="92"/>
      <c r="M354" s="93">
        <v>-242.07</v>
      </c>
      <c r="N354" s="93">
        <v>-12.89</v>
      </c>
      <c r="O354" s="93">
        <v>0</v>
      </c>
      <c r="P354" s="93">
        <v>-348.07</v>
      </c>
      <c r="Q354" s="93">
        <v>-0.66</v>
      </c>
      <c r="R354" s="92"/>
      <c r="S354" s="92"/>
      <c r="T354" s="93">
        <v>-33.840000000000003</v>
      </c>
      <c r="U354" s="93">
        <v>0</v>
      </c>
      <c r="V354" s="92"/>
      <c r="W354" s="92"/>
      <c r="X354" s="93">
        <v>-704.64</v>
      </c>
      <c r="Y354" s="92"/>
      <c r="Z354" s="92"/>
      <c r="AA354" s="92"/>
      <c r="AB354" s="92"/>
      <c r="AC354" s="92"/>
      <c r="AD354" s="92"/>
      <c r="AE354" s="92"/>
      <c r="AF354" s="92"/>
      <c r="AG354" s="93">
        <v>-43.06</v>
      </c>
      <c r="AH354" s="92"/>
      <c r="AI354" s="93">
        <v>-760.59</v>
      </c>
      <c r="AJ354" s="93">
        <v>0</v>
      </c>
    </row>
    <row r="355" spans="1:36" customFormat="1" ht="15.75" thickBot="1" x14ac:dyDescent="0.3">
      <c r="A355" s="90" t="s">
        <v>999</v>
      </c>
      <c r="B355" s="626" t="str">
        <f>VLOOKUP($D355,'Retail Rates'!$B$7:$D$38,2,FALSE)</f>
        <v>851</v>
      </c>
      <c r="C355" s="626" t="str">
        <f>VLOOKUP($D355,'Retail Rates'!$B$7:$D$38,3,FALSE)</f>
        <v>CGS</v>
      </c>
      <c r="D355" s="90" t="s">
        <v>26</v>
      </c>
      <c r="E355" s="90" t="s">
        <v>875</v>
      </c>
      <c r="F355" s="90" t="s">
        <v>17</v>
      </c>
      <c r="G355" s="90" t="s">
        <v>911</v>
      </c>
      <c r="H355" s="305">
        <v>6</v>
      </c>
      <c r="I355" s="95">
        <v>-1065</v>
      </c>
      <c r="J355" s="94"/>
      <c r="K355" s="95">
        <v>-80</v>
      </c>
      <c r="L355" s="95">
        <v>0</v>
      </c>
      <c r="M355" s="95">
        <v>-229.03</v>
      </c>
      <c r="N355" s="95">
        <v>-11.78</v>
      </c>
      <c r="O355" s="95">
        <v>0</v>
      </c>
      <c r="P355" s="95">
        <v>-318.44</v>
      </c>
      <c r="Q355" s="95">
        <v>-0.6</v>
      </c>
      <c r="R355" s="95">
        <v>7.37</v>
      </c>
      <c r="S355" s="94"/>
      <c r="T355" s="95">
        <v>-33.840000000000003</v>
      </c>
      <c r="U355" s="95">
        <v>0</v>
      </c>
      <c r="V355" s="94"/>
      <c r="W355" s="94"/>
      <c r="X355" s="95">
        <v>-654.54</v>
      </c>
      <c r="Y355" s="94"/>
      <c r="Z355" s="94"/>
      <c r="AA355" s="94"/>
      <c r="AB355" s="94"/>
      <c r="AC355" s="94"/>
      <c r="AD355" s="94"/>
      <c r="AE355" s="94"/>
      <c r="AF355" s="94"/>
      <c r="AG355" s="95">
        <v>-39.99</v>
      </c>
      <c r="AH355" s="94"/>
      <c r="AI355" s="95">
        <v>-706.31</v>
      </c>
      <c r="AJ355" s="95">
        <v>0</v>
      </c>
    </row>
    <row r="356" spans="1:36" customFormat="1" ht="15.75" thickBot="1" x14ac:dyDescent="0.3">
      <c r="A356" s="90" t="s">
        <v>999</v>
      </c>
      <c r="B356" s="626" t="str">
        <f>VLOOKUP($D356,'Retail Rates'!$B$7:$D$38,2,FALSE)</f>
        <v>851</v>
      </c>
      <c r="C356" s="626" t="str">
        <f>VLOOKUP($D356,'Retail Rates'!$B$7:$D$38,3,FALSE)</f>
        <v>CGS</v>
      </c>
      <c r="D356" s="90" t="s">
        <v>26</v>
      </c>
      <c r="E356" s="90" t="s">
        <v>875</v>
      </c>
      <c r="F356" s="90" t="s">
        <v>17</v>
      </c>
      <c r="G356" s="90" t="s">
        <v>912</v>
      </c>
      <c r="H356" s="304">
        <v>8</v>
      </c>
      <c r="I356" s="93">
        <v>-1863</v>
      </c>
      <c r="J356" s="92"/>
      <c r="K356" s="93">
        <v>-118.67</v>
      </c>
      <c r="L356" s="93">
        <v>0</v>
      </c>
      <c r="M356" s="93">
        <v>-400.61</v>
      </c>
      <c r="N356" s="93">
        <v>-18.53</v>
      </c>
      <c r="O356" s="93">
        <v>0</v>
      </c>
      <c r="P356" s="93">
        <v>-632.91</v>
      </c>
      <c r="Q356" s="93">
        <v>-1.06</v>
      </c>
      <c r="R356" s="93">
        <v>-53.74</v>
      </c>
      <c r="S356" s="92"/>
      <c r="T356" s="93">
        <v>-50.2</v>
      </c>
      <c r="U356" s="93">
        <v>0</v>
      </c>
      <c r="V356" s="92"/>
      <c r="W356" s="92"/>
      <c r="X356" s="93">
        <v>-1257.19</v>
      </c>
      <c r="Y356" s="92"/>
      <c r="Z356" s="92"/>
      <c r="AA356" s="92"/>
      <c r="AB356" s="92"/>
      <c r="AC356" s="92"/>
      <c r="AD356" s="92"/>
      <c r="AE356" s="92"/>
      <c r="AF356" s="92"/>
      <c r="AG356" s="93">
        <v>-76.55</v>
      </c>
      <c r="AH356" s="92"/>
      <c r="AI356" s="93">
        <v>-1352.27</v>
      </c>
      <c r="AJ356" s="93">
        <v>0</v>
      </c>
    </row>
    <row r="357" spans="1:36" customFormat="1" ht="15.75" thickBot="1" x14ac:dyDescent="0.3">
      <c r="A357" s="90" t="s">
        <v>999</v>
      </c>
      <c r="B357" s="626" t="str">
        <f>VLOOKUP($D357,'Retail Rates'!$B$7:$D$38,2,FALSE)</f>
        <v>851</v>
      </c>
      <c r="C357" s="626" t="str">
        <f>VLOOKUP($D357,'Retail Rates'!$B$7:$D$38,3,FALSE)</f>
        <v>CGS</v>
      </c>
      <c r="D357" s="90" t="s">
        <v>26</v>
      </c>
      <c r="E357" s="90" t="s">
        <v>875</v>
      </c>
      <c r="F357" s="90" t="s">
        <v>17</v>
      </c>
      <c r="G357" s="90" t="s">
        <v>913</v>
      </c>
      <c r="H357" s="305">
        <v>10</v>
      </c>
      <c r="I357" s="95">
        <v>-4733</v>
      </c>
      <c r="J357" s="94"/>
      <c r="K357" s="95">
        <v>-80</v>
      </c>
      <c r="L357" s="95">
        <v>0</v>
      </c>
      <c r="M357" s="95">
        <v>-1017.8</v>
      </c>
      <c r="N357" s="95">
        <v>-52.54</v>
      </c>
      <c r="O357" s="95">
        <v>0</v>
      </c>
      <c r="P357" s="95">
        <v>-1612.31</v>
      </c>
      <c r="Q357" s="95">
        <v>-2.56</v>
      </c>
      <c r="R357" s="95">
        <v>50.04</v>
      </c>
      <c r="S357" s="94"/>
      <c r="T357" s="95">
        <v>-33.6</v>
      </c>
      <c r="U357" s="95">
        <v>0</v>
      </c>
      <c r="V357" s="94"/>
      <c r="W357" s="94"/>
      <c r="X357" s="95">
        <v>-2696.23</v>
      </c>
      <c r="Y357" s="94"/>
      <c r="Z357" s="94"/>
      <c r="AA357" s="94"/>
      <c r="AB357" s="94"/>
      <c r="AC357" s="94"/>
      <c r="AD357" s="94"/>
      <c r="AE357" s="94"/>
      <c r="AF357" s="94"/>
      <c r="AG357" s="95">
        <v>-164.93</v>
      </c>
      <c r="AH357" s="94"/>
      <c r="AI357" s="95">
        <v>-2913.7</v>
      </c>
      <c r="AJ357" s="95">
        <v>0</v>
      </c>
    </row>
    <row r="358" spans="1:36" customFormat="1" ht="15.75" thickBot="1" x14ac:dyDescent="0.3">
      <c r="A358" s="90" t="s">
        <v>999</v>
      </c>
      <c r="B358" s="626" t="str">
        <f>VLOOKUP($D358,'Retail Rates'!$B$7:$D$38,2,FALSE)</f>
        <v>851</v>
      </c>
      <c r="C358" s="626" t="str">
        <f>VLOOKUP($D358,'Retail Rates'!$B$7:$D$38,3,FALSE)</f>
        <v>CGS</v>
      </c>
      <c r="D358" s="90" t="s">
        <v>26</v>
      </c>
      <c r="E358" s="90" t="s">
        <v>875</v>
      </c>
      <c r="F358" s="90" t="s">
        <v>17</v>
      </c>
      <c r="G358" s="90" t="s">
        <v>914</v>
      </c>
      <c r="H358" s="304">
        <v>11</v>
      </c>
      <c r="I358" s="93">
        <v>-1164</v>
      </c>
      <c r="J358" s="92"/>
      <c r="K358" s="93">
        <v>-80</v>
      </c>
      <c r="L358" s="93">
        <v>0</v>
      </c>
      <c r="M358" s="93">
        <v>-250.31</v>
      </c>
      <c r="N358" s="93">
        <v>-12.89</v>
      </c>
      <c r="O358" s="93">
        <v>0</v>
      </c>
      <c r="P358" s="93">
        <v>-403.77</v>
      </c>
      <c r="Q358" s="93">
        <v>-0.61</v>
      </c>
      <c r="R358" s="93">
        <v>9.31</v>
      </c>
      <c r="S358" s="92"/>
      <c r="T358" s="93">
        <v>-46.81</v>
      </c>
      <c r="U358" s="93">
        <v>0</v>
      </c>
      <c r="V358" s="92"/>
      <c r="W358" s="92"/>
      <c r="X358" s="93">
        <v>-772.19</v>
      </c>
      <c r="Y358" s="92"/>
      <c r="Z358" s="92"/>
      <c r="AA358" s="92"/>
      <c r="AB358" s="92"/>
      <c r="AC358" s="92"/>
      <c r="AD358" s="92"/>
      <c r="AE358" s="92"/>
      <c r="AF358" s="92"/>
      <c r="AG358" s="93">
        <v>-48.89</v>
      </c>
      <c r="AH358" s="92"/>
      <c r="AI358" s="93">
        <v>-833.97</v>
      </c>
      <c r="AJ358" s="93">
        <v>0</v>
      </c>
    </row>
    <row r="359" spans="1:36" customFormat="1" ht="15.75" thickBot="1" x14ac:dyDescent="0.3">
      <c r="A359" s="90" t="s">
        <v>999</v>
      </c>
      <c r="B359" s="626" t="str">
        <f>VLOOKUP($D359,'Retail Rates'!$B$7:$D$38,2,FALSE)</f>
        <v>851</v>
      </c>
      <c r="C359" s="626" t="str">
        <f>VLOOKUP($D359,'Retail Rates'!$B$7:$D$38,3,FALSE)</f>
        <v>CGS</v>
      </c>
      <c r="D359" s="90" t="s">
        <v>26</v>
      </c>
      <c r="E359" s="90" t="s">
        <v>875</v>
      </c>
      <c r="F359" s="90" t="s">
        <v>17</v>
      </c>
      <c r="G359" s="90" t="s">
        <v>915</v>
      </c>
      <c r="H359" s="305">
        <v>16</v>
      </c>
      <c r="I359" s="95">
        <v>-3786</v>
      </c>
      <c r="J359" s="94"/>
      <c r="K359" s="95">
        <v>-141.33000000000001</v>
      </c>
      <c r="L359" s="95">
        <v>0</v>
      </c>
      <c r="M359" s="95">
        <v>-814.12</v>
      </c>
      <c r="N359" s="95">
        <v>-43.32</v>
      </c>
      <c r="O359" s="95">
        <v>0</v>
      </c>
      <c r="P359" s="95">
        <v>-1224.52</v>
      </c>
      <c r="Q359" s="95">
        <v>-2.0499999999999998</v>
      </c>
      <c r="R359" s="95">
        <v>-45.6</v>
      </c>
      <c r="S359" s="94"/>
      <c r="T359" s="95">
        <v>-91.41</v>
      </c>
      <c r="U359" s="95">
        <v>0</v>
      </c>
      <c r="V359" s="94"/>
      <c r="W359" s="94"/>
      <c r="X359" s="95">
        <v>-2319.0300000000002</v>
      </c>
      <c r="Y359" s="94"/>
      <c r="Z359" s="94"/>
      <c r="AA359" s="94"/>
      <c r="AB359" s="94"/>
      <c r="AC359" s="94"/>
      <c r="AD359" s="94"/>
      <c r="AE359" s="94"/>
      <c r="AF359" s="94"/>
      <c r="AG359" s="95">
        <v>-141.74</v>
      </c>
      <c r="AH359" s="94"/>
      <c r="AI359" s="95">
        <v>-2504.09</v>
      </c>
      <c r="AJ359" s="95">
        <v>0</v>
      </c>
    </row>
    <row r="360" spans="1:36" customFormat="1" ht="15.75" thickBot="1" x14ac:dyDescent="0.3">
      <c r="A360" s="90" t="s">
        <v>999</v>
      </c>
      <c r="B360" s="626" t="str">
        <f>VLOOKUP($D360,'Retail Rates'!$B$7:$D$38,2,FALSE)</f>
        <v>851</v>
      </c>
      <c r="C360" s="626" t="str">
        <f>VLOOKUP($D360,'Retail Rates'!$B$7:$D$38,3,FALSE)</f>
        <v>CGS</v>
      </c>
      <c r="D360" s="90" t="s">
        <v>26</v>
      </c>
      <c r="E360" s="90" t="s">
        <v>875</v>
      </c>
      <c r="F360" s="90" t="s">
        <v>17</v>
      </c>
      <c r="G360" s="90" t="s">
        <v>917</v>
      </c>
      <c r="H360" s="304">
        <v>49</v>
      </c>
      <c r="I360" s="93">
        <v>-4390</v>
      </c>
      <c r="J360" s="93">
        <v>-637</v>
      </c>
      <c r="K360" s="93">
        <v>-230.67</v>
      </c>
      <c r="L360" s="93">
        <v>0</v>
      </c>
      <c r="M360" s="93">
        <v>-1049.1300000000001</v>
      </c>
      <c r="N360" s="93">
        <v>0</v>
      </c>
      <c r="O360" s="93">
        <v>0</v>
      </c>
      <c r="P360" s="93">
        <v>-1625.87</v>
      </c>
      <c r="Q360" s="93">
        <v>-2.86</v>
      </c>
      <c r="R360" s="93">
        <v>-406.8</v>
      </c>
      <c r="S360" s="92"/>
      <c r="T360" s="93">
        <v>-149.22999999999999</v>
      </c>
      <c r="U360" s="93">
        <v>0</v>
      </c>
      <c r="V360" s="92"/>
      <c r="W360" s="92"/>
      <c r="X360" s="93">
        <v>-3464.56</v>
      </c>
      <c r="Y360" s="92"/>
      <c r="Z360" s="92"/>
      <c r="AA360" s="92"/>
      <c r="AB360" s="92"/>
      <c r="AC360" s="92"/>
      <c r="AD360" s="92"/>
      <c r="AE360" s="92"/>
      <c r="AF360" s="92"/>
      <c r="AG360" s="93">
        <v>-189.87</v>
      </c>
      <c r="AH360" s="92"/>
      <c r="AI360" s="93">
        <v>-3654.43</v>
      </c>
      <c r="AJ360" s="93">
        <v>0</v>
      </c>
    </row>
    <row r="361" spans="1:36" customFormat="1" ht="15.75" thickBot="1" x14ac:dyDescent="0.3">
      <c r="A361" s="90" t="s">
        <v>999</v>
      </c>
      <c r="B361" s="626" t="str">
        <f>VLOOKUP($D361,'Retail Rates'!$B$7:$D$38,2,FALSE)</f>
        <v>851</v>
      </c>
      <c r="C361" s="626" t="str">
        <f>VLOOKUP($D361,'Retail Rates'!$B$7:$D$38,3,FALSE)</f>
        <v>CGS</v>
      </c>
      <c r="D361" s="90" t="s">
        <v>26</v>
      </c>
      <c r="E361" s="90" t="s">
        <v>875</v>
      </c>
      <c r="F361" s="90" t="s">
        <v>17</v>
      </c>
      <c r="G361" s="90" t="s">
        <v>918</v>
      </c>
      <c r="H361" s="305">
        <v>512</v>
      </c>
      <c r="I361" s="95">
        <v>17110</v>
      </c>
      <c r="J361" s="95">
        <v>5251</v>
      </c>
      <c r="K361" s="95">
        <v>12095.92</v>
      </c>
      <c r="L361" s="95">
        <v>2148</v>
      </c>
      <c r="M361" s="95">
        <v>4546.42</v>
      </c>
      <c r="N361" s="95">
        <v>0</v>
      </c>
      <c r="O361" s="95">
        <v>0</v>
      </c>
      <c r="P361" s="95">
        <v>7783.42</v>
      </c>
      <c r="Q361" s="95">
        <v>12.6</v>
      </c>
      <c r="R361" s="94"/>
      <c r="S361" s="94"/>
      <c r="T361" s="95">
        <v>8544.35</v>
      </c>
      <c r="U361" s="95">
        <v>0</v>
      </c>
      <c r="V361" s="94"/>
      <c r="W361" s="94"/>
      <c r="X361" s="95">
        <v>35130.71</v>
      </c>
      <c r="Y361" s="94"/>
      <c r="Z361" s="94"/>
      <c r="AA361" s="94"/>
      <c r="AB361" s="94"/>
      <c r="AC361" s="94"/>
      <c r="AD361" s="94"/>
      <c r="AE361" s="94"/>
      <c r="AF361" s="94"/>
      <c r="AG361" s="95">
        <v>1783.02</v>
      </c>
      <c r="AH361" s="94"/>
      <c r="AI361" s="95">
        <v>36913.730000000003</v>
      </c>
      <c r="AJ361" s="95">
        <v>0</v>
      </c>
    </row>
    <row r="362" spans="1:36" customFormat="1" ht="15.75" thickBot="1" x14ac:dyDescent="0.3">
      <c r="A362" s="90" t="s">
        <v>999</v>
      </c>
      <c r="B362" s="626" t="str">
        <f>VLOOKUP($D362,'Retail Rates'!$B$7:$D$38,2,FALSE)</f>
        <v>851</v>
      </c>
      <c r="C362" s="626" t="str">
        <f>VLOOKUP($D362,'Retail Rates'!$B$7:$D$38,3,FALSE)</f>
        <v>CGS</v>
      </c>
      <c r="D362" s="90" t="s">
        <v>26</v>
      </c>
      <c r="E362" s="90" t="s">
        <v>875</v>
      </c>
      <c r="F362" s="90" t="s">
        <v>17</v>
      </c>
      <c r="G362" s="90" t="s">
        <v>1000</v>
      </c>
      <c r="H362" s="304">
        <v>23510</v>
      </c>
      <c r="I362" s="93">
        <v>2084811</v>
      </c>
      <c r="J362" s="93">
        <v>1015528</v>
      </c>
      <c r="K362" s="93">
        <v>905458.99</v>
      </c>
      <c r="L362" s="93">
        <v>148854</v>
      </c>
      <c r="M362" s="93">
        <v>615944.42000000004</v>
      </c>
      <c r="N362" s="93">
        <v>1254.44</v>
      </c>
      <c r="O362" s="93">
        <v>0</v>
      </c>
      <c r="P362" s="93">
        <v>1089112.43</v>
      </c>
      <c r="Q362" s="93">
        <v>1762.61</v>
      </c>
      <c r="R362" s="92"/>
      <c r="S362" s="92"/>
      <c r="T362" s="93">
        <v>643129.4</v>
      </c>
      <c r="U362" s="93">
        <v>0</v>
      </c>
      <c r="V362" s="92"/>
      <c r="W362" s="92"/>
      <c r="X362" s="93">
        <v>3404261.85</v>
      </c>
      <c r="Y362" s="92"/>
      <c r="Z362" s="92"/>
      <c r="AA362" s="92"/>
      <c r="AB362" s="92"/>
      <c r="AC362" s="92"/>
      <c r="AD362" s="92"/>
      <c r="AE362" s="92"/>
      <c r="AF362" s="92"/>
      <c r="AG362" s="93">
        <v>195263.39</v>
      </c>
      <c r="AH362" s="92"/>
      <c r="AI362" s="93">
        <v>3600779.68</v>
      </c>
      <c r="AJ362" s="93">
        <v>0</v>
      </c>
    </row>
    <row r="363" spans="1:36" customFormat="1" ht="15.75" thickBot="1" x14ac:dyDescent="0.3">
      <c r="A363" s="90" t="s">
        <v>999</v>
      </c>
      <c r="B363" s="626" t="str">
        <f>VLOOKUP($D363,'Retail Rates'!$B$7:$D$38,2,FALSE)</f>
        <v>851</v>
      </c>
      <c r="C363" s="626" t="str">
        <f>VLOOKUP($D363,'Retail Rates'!$B$7:$D$38,3,FALSE)</f>
        <v>CGS</v>
      </c>
      <c r="D363" s="90" t="s">
        <v>26</v>
      </c>
      <c r="E363" s="90" t="s">
        <v>875</v>
      </c>
      <c r="F363" s="90" t="s">
        <v>20</v>
      </c>
      <c r="G363" s="90" t="s">
        <v>918</v>
      </c>
      <c r="H363" s="304">
        <v>59</v>
      </c>
      <c r="I363" s="93">
        <v>15375</v>
      </c>
      <c r="J363" s="93">
        <v>23646</v>
      </c>
      <c r="K363" s="93">
        <v>1648</v>
      </c>
      <c r="L363" s="93">
        <v>2520</v>
      </c>
      <c r="M363" s="93">
        <v>7208.83</v>
      </c>
      <c r="N363" s="93">
        <v>0</v>
      </c>
      <c r="O363" s="93">
        <v>0</v>
      </c>
      <c r="P363" s="93">
        <v>13177.75</v>
      </c>
      <c r="Q363" s="93">
        <v>22.24</v>
      </c>
      <c r="R363" s="92"/>
      <c r="S363" s="92"/>
      <c r="T363" s="93">
        <v>1492.42</v>
      </c>
      <c r="U363" s="93">
        <v>0</v>
      </c>
      <c r="V363" s="92"/>
      <c r="W363" s="92"/>
      <c r="X363" s="93">
        <v>26069.24</v>
      </c>
      <c r="Y363" s="92"/>
      <c r="Z363" s="92"/>
      <c r="AA363" s="92"/>
      <c r="AB363" s="92"/>
      <c r="AC363" s="92"/>
      <c r="AD363" s="92"/>
      <c r="AE363" s="92"/>
      <c r="AF363" s="92"/>
      <c r="AG363" s="93">
        <v>86.41</v>
      </c>
      <c r="AH363" s="92"/>
      <c r="AI363" s="93">
        <v>26155.65</v>
      </c>
      <c r="AJ363" s="93">
        <v>0</v>
      </c>
    </row>
    <row r="364" spans="1:36" customFormat="1" ht="15.75" thickBot="1" x14ac:dyDescent="0.3">
      <c r="A364" s="90" t="s">
        <v>999</v>
      </c>
      <c r="B364" s="626" t="str">
        <f>VLOOKUP($D364,'Retail Rates'!$B$7:$D$38,2,FALSE)</f>
        <v>851</v>
      </c>
      <c r="C364" s="626" t="str">
        <f>VLOOKUP($D364,'Retail Rates'!$B$7:$D$38,3,FALSE)</f>
        <v>CGS</v>
      </c>
      <c r="D364" s="90" t="s">
        <v>26</v>
      </c>
      <c r="E364" s="90" t="s">
        <v>875</v>
      </c>
      <c r="F364" s="90" t="s">
        <v>20</v>
      </c>
      <c r="G364" s="90" t="s">
        <v>1000</v>
      </c>
      <c r="H364" s="305">
        <v>1057</v>
      </c>
      <c r="I364" s="95">
        <v>167187</v>
      </c>
      <c r="J364" s="95">
        <v>175098</v>
      </c>
      <c r="K364" s="95">
        <v>32341.33</v>
      </c>
      <c r="L364" s="95">
        <v>44514</v>
      </c>
      <c r="M364" s="95">
        <v>64850.66</v>
      </c>
      <c r="N364" s="95">
        <v>105.8</v>
      </c>
      <c r="O364" s="95">
        <v>0</v>
      </c>
      <c r="P364" s="95">
        <v>120238.08</v>
      </c>
      <c r="Q364" s="95">
        <v>195.1</v>
      </c>
      <c r="R364" s="94"/>
      <c r="S364" s="94"/>
      <c r="T364" s="95">
        <v>28940.39</v>
      </c>
      <c r="U364" s="95">
        <v>0</v>
      </c>
      <c r="V364" s="94"/>
      <c r="W364" s="94"/>
      <c r="X364" s="95">
        <v>291079.56</v>
      </c>
      <c r="Y364" s="94"/>
      <c r="Z364" s="94"/>
      <c r="AA364" s="94"/>
      <c r="AB364" s="94"/>
      <c r="AC364" s="94"/>
      <c r="AD364" s="94"/>
      <c r="AE364" s="94"/>
      <c r="AF364" s="94"/>
      <c r="AG364" s="95">
        <v>1976.62</v>
      </c>
      <c r="AH364" s="94"/>
      <c r="AI364" s="95">
        <v>293161.98</v>
      </c>
      <c r="AJ364" s="95">
        <v>0</v>
      </c>
    </row>
    <row r="365" spans="1:36" customFormat="1" ht="15.75" thickBot="1" x14ac:dyDescent="0.3">
      <c r="A365" s="90" t="s">
        <v>999</v>
      </c>
      <c r="B365" s="626" t="str">
        <f>VLOOKUP($D365,'Retail Rates'!$B$7:$D$38,2,FALSE)</f>
        <v>851</v>
      </c>
      <c r="C365" s="626" t="str">
        <f>VLOOKUP($D365,'Retail Rates'!$B$7:$D$38,3,FALSE)</f>
        <v>CGS</v>
      </c>
      <c r="D365" s="90" t="s">
        <v>26</v>
      </c>
      <c r="E365" s="90" t="s">
        <v>875</v>
      </c>
      <c r="F365" s="90" t="s">
        <v>28</v>
      </c>
      <c r="G365" s="90" t="s">
        <v>1000</v>
      </c>
      <c r="H365" s="305">
        <v>13</v>
      </c>
      <c r="I365" s="95">
        <v>1249</v>
      </c>
      <c r="J365" s="95">
        <v>133</v>
      </c>
      <c r="K365" s="95">
        <v>502.67</v>
      </c>
      <c r="L365" s="94"/>
      <c r="M365" s="95">
        <v>290.54000000000002</v>
      </c>
      <c r="N365" s="95">
        <v>0</v>
      </c>
      <c r="O365" s="95">
        <v>0</v>
      </c>
      <c r="P365" s="95">
        <v>485.51</v>
      </c>
      <c r="Q365" s="95">
        <v>0.79</v>
      </c>
      <c r="R365" s="94"/>
      <c r="S365" s="94"/>
      <c r="T365" s="95">
        <v>344.46</v>
      </c>
      <c r="U365" s="95">
        <v>0</v>
      </c>
      <c r="V365" s="94"/>
      <c r="W365" s="94"/>
      <c r="X365" s="95">
        <v>1623.97</v>
      </c>
      <c r="Y365" s="94"/>
      <c r="Z365" s="94"/>
      <c r="AA365" s="94"/>
      <c r="AB365" s="94"/>
      <c r="AC365" s="94"/>
      <c r="AD365" s="94"/>
      <c r="AE365" s="94"/>
      <c r="AF365" s="94"/>
      <c r="AG365" s="95">
        <v>8.2799999999999994</v>
      </c>
      <c r="AH365" s="94"/>
      <c r="AI365" s="95">
        <v>1632.25</v>
      </c>
      <c r="AJ365" s="95">
        <v>0</v>
      </c>
    </row>
    <row r="366" spans="1:36" customFormat="1" ht="15.75" thickBot="1" x14ac:dyDescent="0.3">
      <c r="A366" s="90" t="s">
        <v>999</v>
      </c>
      <c r="B366" s="626" t="str">
        <f>VLOOKUP($D366,'Retail Rates'!$B$7:$D$38,2,FALSE)</f>
        <v>851</v>
      </c>
      <c r="C366" s="626" t="str">
        <f>VLOOKUP($D366,'Retail Rates'!$B$7:$D$38,3,FALSE)</f>
        <v>CGS</v>
      </c>
      <c r="D366" s="90" t="s">
        <v>707</v>
      </c>
      <c r="E366" s="90" t="s">
        <v>876</v>
      </c>
      <c r="F366" s="90" t="s">
        <v>17</v>
      </c>
      <c r="G366" s="90" t="s">
        <v>1000</v>
      </c>
      <c r="H366" s="305">
        <v>1</v>
      </c>
      <c r="I366" s="95">
        <v>308</v>
      </c>
      <c r="J366" s="94"/>
      <c r="K366" s="95">
        <v>40</v>
      </c>
      <c r="L366" s="94"/>
      <c r="M366" s="95">
        <v>66.23</v>
      </c>
      <c r="N366" s="95">
        <v>0</v>
      </c>
      <c r="O366" s="95">
        <v>0</v>
      </c>
      <c r="P366" s="95">
        <v>108.2</v>
      </c>
      <c r="Q366" s="95">
        <v>0.18</v>
      </c>
      <c r="R366" s="94"/>
      <c r="S366" s="94"/>
      <c r="T366" s="95">
        <v>27.41</v>
      </c>
      <c r="U366" s="94"/>
      <c r="V366" s="94"/>
      <c r="W366" s="94"/>
      <c r="X366" s="95">
        <v>242.02</v>
      </c>
      <c r="Y366" s="94"/>
      <c r="Z366" s="94"/>
      <c r="AA366" s="94"/>
      <c r="AB366" s="94"/>
      <c r="AC366" s="94"/>
      <c r="AD366" s="94"/>
      <c r="AE366" s="94"/>
      <c r="AF366" s="94"/>
      <c r="AG366" s="95">
        <v>14.52</v>
      </c>
      <c r="AH366" s="94"/>
      <c r="AI366" s="95">
        <v>256.54000000000002</v>
      </c>
      <c r="AJ366" s="95">
        <v>0</v>
      </c>
    </row>
    <row r="367" spans="1:36" customFormat="1" ht="15.75" thickBot="1" x14ac:dyDescent="0.3">
      <c r="A367" s="90" t="s">
        <v>999</v>
      </c>
      <c r="B367" s="626" t="str">
        <f>VLOOKUP($D367,'Retail Rates'!$B$7:$D$38,2,FALSE)</f>
        <v>865</v>
      </c>
      <c r="C367" s="626" t="str">
        <f>VLOOKUP($D367,'Retail Rates'!$B$7:$D$38,3,FALSE)</f>
        <v>AAGS-C</v>
      </c>
      <c r="D367" s="90" t="s">
        <v>18</v>
      </c>
      <c r="E367" s="90" t="s">
        <v>453</v>
      </c>
      <c r="F367" s="90" t="s">
        <v>17</v>
      </c>
      <c r="G367" s="90" t="s">
        <v>1000</v>
      </c>
      <c r="H367" s="304">
        <v>1</v>
      </c>
      <c r="I367" s="93">
        <v>11517</v>
      </c>
      <c r="J367" s="92"/>
      <c r="K367" s="93">
        <v>400</v>
      </c>
      <c r="L367" s="92"/>
      <c r="M367" s="93">
        <v>807.23</v>
      </c>
      <c r="N367" s="93">
        <v>0</v>
      </c>
      <c r="O367" s="93">
        <v>0</v>
      </c>
      <c r="P367" s="93">
        <v>4045.92</v>
      </c>
      <c r="Q367" s="93">
        <v>6.56</v>
      </c>
      <c r="R367" s="92"/>
      <c r="S367" s="92"/>
      <c r="T367" s="93">
        <v>2838.87</v>
      </c>
      <c r="U367" s="93">
        <v>0</v>
      </c>
      <c r="V367" s="92"/>
      <c r="W367" s="92"/>
      <c r="X367" s="93">
        <v>8098.58</v>
      </c>
      <c r="Y367" s="92"/>
      <c r="Z367" s="92"/>
      <c r="AA367" s="92"/>
      <c r="AB367" s="92"/>
      <c r="AC367" s="92"/>
      <c r="AD367" s="92"/>
      <c r="AE367" s="92"/>
      <c r="AF367" s="92"/>
      <c r="AG367" s="93">
        <v>485.91</v>
      </c>
      <c r="AH367" s="92"/>
      <c r="AI367" s="93">
        <v>8584.49</v>
      </c>
      <c r="AJ367" s="93">
        <v>0</v>
      </c>
    </row>
    <row r="368" spans="1:36" customFormat="1" ht="15.75" thickBot="1" x14ac:dyDescent="0.3">
      <c r="A368" s="90" t="s">
        <v>999</v>
      </c>
      <c r="B368" s="626" t="str">
        <f>VLOOKUP($D368,'Retail Rates'!$B$7:$D$38,2,FALSE)</f>
        <v>865</v>
      </c>
      <c r="C368" s="626" t="str">
        <f>VLOOKUP($D368,'Retail Rates'!$B$7:$D$38,3,FALSE)</f>
        <v>AAGS-C</v>
      </c>
      <c r="D368" s="90" t="s">
        <v>18</v>
      </c>
      <c r="E368" s="90" t="s">
        <v>453</v>
      </c>
      <c r="F368" s="710" t="s">
        <v>20</v>
      </c>
      <c r="G368" s="711" t="s">
        <v>1000</v>
      </c>
      <c r="H368" s="305">
        <v>1</v>
      </c>
      <c r="I368" s="95">
        <v>15136</v>
      </c>
      <c r="J368" s="94"/>
      <c r="K368" s="95">
        <v>400</v>
      </c>
      <c r="L368" s="94"/>
      <c r="M368" s="95">
        <v>1060.8800000000001</v>
      </c>
      <c r="N368" s="95">
        <v>0</v>
      </c>
      <c r="O368" s="95">
        <v>0</v>
      </c>
      <c r="P368" s="95">
        <v>5317.28</v>
      </c>
      <c r="Q368" s="95">
        <v>8.6300000000000008</v>
      </c>
      <c r="R368" s="94"/>
      <c r="S368" s="94"/>
      <c r="T368" s="95">
        <v>2838.87</v>
      </c>
      <c r="U368" s="95">
        <v>0</v>
      </c>
      <c r="V368" s="94"/>
      <c r="W368" s="94"/>
      <c r="X368" s="95">
        <v>9625.66</v>
      </c>
      <c r="Y368" s="94"/>
      <c r="Z368" s="94"/>
      <c r="AA368" s="94"/>
      <c r="AB368" s="94"/>
      <c r="AC368" s="94"/>
      <c r="AD368" s="94"/>
      <c r="AE368" s="94"/>
      <c r="AF368" s="94"/>
      <c r="AG368" s="95">
        <v>0</v>
      </c>
      <c r="AH368" s="94"/>
      <c r="AI368" s="95">
        <v>9625.66</v>
      </c>
      <c r="AJ368" s="95">
        <v>0</v>
      </c>
    </row>
    <row r="369" spans="1:36" customFormat="1" ht="15.75" thickBot="1" x14ac:dyDescent="0.3">
      <c r="A369" s="90" t="s">
        <v>999</v>
      </c>
      <c r="B369" s="626" t="str">
        <f>VLOOKUP($D369,'Retail Rates'!$B$7:$D$38,2,FALSE)</f>
        <v>875</v>
      </c>
      <c r="C369" s="626" t="str">
        <f>VLOOKUP($D369,'Retail Rates'!$B$7:$D$38,3,FALSE)</f>
        <v>DGGS-C</v>
      </c>
      <c r="D369" s="90" t="s">
        <v>68</v>
      </c>
      <c r="E369" s="90" t="s">
        <v>877</v>
      </c>
      <c r="F369" s="90" t="s">
        <v>17</v>
      </c>
      <c r="G369" s="90" t="s">
        <v>1000</v>
      </c>
      <c r="H369" s="305">
        <v>1</v>
      </c>
      <c r="I369" s="95">
        <v>7</v>
      </c>
      <c r="J369" s="94"/>
      <c r="K369" s="95">
        <v>40</v>
      </c>
      <c r="L369" s="94"/>
      <c r="M369" s="95">
        <v>0.23</v>
      </c>
      <c r="N369" s="95">
        <v>0</v>
      </c>
      <c r="O369" s="95">
        <v>0</v>
      </c>
      <c r="P369" s="95">
        <v>2.46</v>
      </c>
      <c r="Q369" s="94"/>
      <c r="R369" s="94"/>
      <c r="S369" s="94"/>
      <c r="T369" s="95">
        <v>0</v>
      </c>
      <c r="U369" s="94"/>
      <c r="V369" s="94"/>
      <c r="W369" s="95">
        <v>544</v>
      </c>
      <c r="X369" s="95">
        <v>586.69000000000005</v>
      </c>
      <c r="Y369" s="94"/>
      <c r="Z369" s="94"/>
      <c r="AA369" s="94"/>
      <c r="AB369" s="94"/>
      <c r="AC369" s="94"/>
      <c r="AD369" s="94"/>
      <c r="AE369" s="94"/>
      <c r="AF369" s="94"/>
      <c r="AG369" s="95">
        <v>35.200000000000003</v>
      </c>
      <c r="AH369" s="94"/>
      <c r="AI369" s="95">
        <v>621.89</v>
      </c>
      <c r="AJ369" s="95">
        <v>0</v>
      </c>
    </row>
    <row r="370" spans="1:36" customFormat="1" ht="15.75" thickBot="1" x14ac:dyDescent="0.3">
      <c r="A370" s="90" t="s">
        <v>999</v>
      </c>
      <c r="B370" s="626" t="str">
        <f>VLOOKUP($D370,'Retail Rates'!$B$7:$D$38,2,FALSE)</f>
        <v>895</v>
      </c>
      <c r="C370" s="626" t="str">
        <f>VLOOKUP($D370,'Retail Rates'!$B$7:$D$38,3,FALSE)</f>
        <v>FT-C</v>
      </c>
      <c r="D370" s="90" t="s">
        <v>50</v>
      </c>
      <c r="E370" s="90" t="s">
        <v>881</v>
      </c>
      <c r="F370" s="90" t="s">
        <v>661</v>
      </c>
      <c r="G370" s="90" t="s">
        <v>918</v>
      </c>
      <c r="H370" s="304">
        <v>8</v>
      </c>
      <c r="I370" s="93">
        <v>409501</v>
      </c>
      <c r="J370" s="92"/>
      <c r="K370" s="92"/>
      <c r="L370" s="92"/>
      <c r="M370" s="92"/>
      <c r="N370" s="93">
        <v>0</v>
      </c>
      <c r="O370" s="93">
        <v>0</v>
      </c>
      <c r="P370" s="92"/>
      <c r="Q370" s="92"/>
      <c r="R370" s="92"/>
      <c r="S370" s="92"/>
      <c r="T370" s="92"/>
      <c r="U370" s="92"/>
      <c r="V370" s="92"/>
      <c r="W370" s="92"/>
      <c r="X370" s="92"/>
      <c r="Y370" s="93">
        <v>0</v>
      </c>
      <c r="Z370" s="92"/>
      <c r="AA370" s="93">
        <v>17850.150000000001</v>
      </c>
      <c r="AB370" s="93">
        <v>0</v>
      </c>
      <c r="AC370" s="92"/>
      <c r="AD370" s="92"/>
      <c r="AE370" s="93">
        <v>4400</v>
      </c>
      <c r="AF370" s="93">
        <v>0</v>
      </c>
      <c r="AG370" s="93">
        <v>399.87</v>
      </c>
      <c r="AH370" s="92"/>
      <c r="AI370" s="93">
        <v>22650.02</v>
      </c>
      <c r="AJ370" s="93">
        <v>0</v>
      </c>
    </row>
    <row r="371" spans="1:36" customFormat="1" ht="15.75" thickBot="1" x14ac:dyDescent="0.3">
      <c r="A371" s="90" t="s">
        <v>999</v>
      </c>
      <c r="B371" s="626" t="str">
        <f>VLOOKUP($D371,'Retail Rates'!$B$7:$D$38,2,FALSE)</f>
        <v>895</v>
      </c>
      <c r="C371" s="626" t="str">
        <f>VLOOKUP($D371,'Retail Rates'!$B$7:$D$38,3,FALSE)</f>
        <v>FT-C</v>
      </c>
      <c r="D371" s="90" t="s">
        <v>50</v>
      </c>
      <c r="E371" s="90" t="s">
        <v>881</v>
      </c>
      <c r="F371" s="90" t="s">
        <v>662</v>
      </c>
      <c r="G371" s="90" t="s">
        <v>918</v>
      </c>
      <c r="H371" s="305">
        <v>2</v>
      </c>
      <c r="I371" s="95">
        <v>101348</v>
      </c>
      <c r="J371" s="94"/>
      <c r="K371" s="94"/>
      <c r="L371" s="94"/>
      <c r="M371" s="94"/>
      <c r="N371" s="95">
        <v>0</v>
      </c>
      <c r="O371" s="95">
        <v>0</v>
      </c>
      <c r="P371" s="94"/>
      <c r="Q371" s="94"/>
      <c r="R371" s="94"/>
      <c r="S371" s="94"/>
      <c r="T371" s="94"/>
      <c r="U371" s="94"/>
      <c r="V371" s="94"/>
      <c r="W371" s="94"/>
      <c r="X371" s="94"/>
      <c r="Y371" s="95">
        <v>85.44</v>
      </c>
      <c r="Z371" s="94"/>
      <c r="AA371" s="95">
        <v>4505.4799999999996</v>
      </c>
      <c r="AB371" s="95">
        <v>-103.43</v>
      </c>
      <c r="AC371" s="95">
        <v>549.61</v>
      </c>
      <c r="AD371" s="94"/>
      <c r="AE371" s="95">
        <v>1100</v>
      </c>
      <c r="AF371" s="95">
        <v>41.86</v>
      </c>
      <c r="AG371" s="95">
        <v>124.44</v>
      </c>
      <c r="AH371" s="94"/>
      <c r="AI371" s="95">
        <v>6261.54</v>
      </c>
      <c r="AJ371" s="306">
        <v>-41.86</v>
      </c>
    </row>
    <row r="372" spans="1:36" customFormat="1" ht="15.75" thickBot="1" x14ac:dyDescent="0.3">
      <c r="A372" s="90" t="s">
        <v>999</v>
      </c>
      <c r="B372" s="626" t="str">
        <f>VLOOKUP($D372,'Retail Rates'!$B$7:$D$38,2,FALSE)</f>
        <v>855</v>
      </c>
      <c r="C372" s="626" t="str">
        <f>VLOOKUP($D372,'Retail Rates'!$B$7:$D$38,3,FALSE)</f>
        <v>IGS Opt Out</v>
      </c>
      <c r="D372" s="90" t="s">
        <v>31</v>
      </c>
      <c r="E372" s="90" t="s">
        <v>880</v>
      </c>
      <c r="F372" s="710" t="s">
        <v>21</v>
      </c>
      <c r="G372" s="711" t="s">
        <v>917</v>
      </c>
      <c r="H372" s="305">
        <v>1</v>
      </c>
      <c r="I372" s="95">
        <v>0</v>
      </c>
      <c r="J372" s="94"/>
      <c r="K372" s="95">
        <v>-40</v>
      </c>
      <c r="L372" s="94"/>
      <c r="M372" s="95">
        <v>0</v>
      </c>
      <c r="N372" s="95">
        <v>0</v>
      </c>
      <c r="O372" s="94"/>
      <c r="P372" s="95">
        <v>0</v>
      </c>
      <c r="Q372" s="94"/>
      <c r="R372" s="94"/>
      <c r="S372" s="94"/>
      <c r="T372" s="95">
        <v>-245.08</v>
      </c>
      <c r="U372" s="94"/>
      <c r="V372" s="94"/>
      <c r="W372" s="94"/>
      <c r="X372" s="95">
        <v>-285.08</v>
      </c>
      <c r="Y372" s="94"/>
      <c r="Z372" s="94"/>
      <c r="AA372" s="94"/>
      <c r="AB372" s="94"/>
      <c r="AC372" s="94"/>
      <c r="AD372" s="94"/>
      <c r="AE372" s="94"/>
      <c r="AF372" s="94"/>
      <c r="AG372" s="95">
        <v>-17.11</v>
      </c>
      <c r="AH372" s="94"/>
      <c r="AI372" s="95">
        <v>-302.19</v>
      </c>
      <c r="AJ372" s="95">
        <v>0</v>
      </c>
    </row>
    <row r="373" spans="1:36" customFormat="1" ht="15.75" thickBot="1" x14ac:dyDescent="0.3">
      <c r="A373" s="90" t="s">
        <v>999</v>
      </c>
      <c r="B373" s="626" t="str">
        <f>VLOOKUP($D373,'Retail Rates'!$B$7:$D$38,2,FALSE)</f>
        <v>855</v>
      </c>
      <c r="C373" s="626" t="str">
        <f>VLOOKUP($D373,'Retail Rates'!$B$7:$D$38,3,FALSE)</f>
        <v>IGS Opt Out</v>
      </c>
      <c r="D373" s="90" t="s">
        <v>31</v>
      </c>
      <c r="E373" s="90" t="s">
        <v>880</v>
      </c>
      <c r="F373" s="90" t="s">
        <v>21</v>
      </c>
      <c r="G373" s="90" t="s">
        <v>918</v>
      </c>
      <c r="H373" s="304">
        <v>5</v>
      </c>
      <c r="I373" s="93">
        <v>-956</v>
      </c>
      <c r="J373" s="93">
        <v>-57341</v>
      </c>
      <c r="K373" s="93">
        <v>-40</v>
      </c>
      <c r="L373" s="93">
        <v>-0.01</v>
      </c>
      <c r="M373" s="93">
        <v>-10412.43</v>
      </c>
      <c r="N373" s="93">
        <v>0</v>
      </c>
      <c r="O373" s="93">
        <v>0</v>
      </c>
      <c r="P373" s="93">
        <v>-18998.02</v>
      </c>
      <c r="Q373" s="92"/>
      <c r="R373" s="92"/>
      <c r="S373" s="92"/>
      <c r="T373" s="93">
        <v>-247.08</v>
      </c>
      <c r="U373" s="92"/>
      <c r="V373" s="92"/>
      <c r="W373" s="92"/>
      <c r="X373" s="93">
        <v>-29697.54</v>
      </c>
      <c r="Y373" s="92"/>
      <c r="Z373" s="92"/>
      <c r="AA373" s="92"/>
      <c r="AB373" s="92"/>
      <c r="AC373" s="92"/>
      <c r="AD373" s="92"/>
      <c r="AE373" s="92"/>
      <c r="AF373" s="92"/>
      <c r="AG373" s="93">
        <v>-1781.85</v>
      </c>
      <c r="AH373" s="92"/>
      <c r="AI373" s="93">
        <v>-31479.39</v>
      </c>
      <c r="AJ373" s="93">
        <v>0</v>
      </c>
    </row>
    <row r="374" spans="1:36" customFormat="1" ht="15.75" thickBot="1" x14ac:dyDescent="0.3">
      <c r="A374" s="90" t="s">
        <v>999</v>
      </c>
      <c r="B374" s="626" t="str">
        <f>VLOOKUP($D374,'Retail Rates'!$B$7:$D$38,2,FALSE)</f>
        <v>855</v>
      </c>
      <c r="C374" s="626" t="str">
        <f>VLOOKUP($D374,'Retail Rates'!$B$7:$D$38,3,FALSE)</f>
        <v>IGS</v>
      </c>
      <c r="D374" s="90" t="s">
        <v>878</v>
      </c>
      <c r="E374" s="90" t="s">
        <v>879</v>
      </c>
      <c r="F374" s="90" t="s">
        <v>21</v>
      </c>
      <c r="G374" s="90" t="s">
        <v>918</v>
      </c>
      <c r="H374" s="304">
        <v>2</v>
      </c>
      <c r="I374" s="93">
        <v>1920</v>
      </c>
      <c r="J374" s="93">
        <v>1789</v>
      </c>
      <c r="K374" s="93">
        <v>0</v>
      </c>
      <c r="L374" s="93">
        <v>360</v>
      </c>
      <c r="M374" s="93">
        <v>755.43</v>
      </c>
      <c r="N374" s="93">
        <v>0</v>
      </c>
      <c r="O374" s="93">
        <v>0</v>
      </c>
      <c r="P374" s="93">
        <v>1297.31</v>
      </c>
      <c r="Q374" s="93">
        <v>0</v>
      </c>
      <c r="R374" s="92"/>
      <c r="S374" s="92"/>
      <c r="T374" s="93">
        <v>519.08000000000004</v>
      </c>
      <c r="U374" s="92"/>
      <c r="V374" s="92"/>
      <c r="W374" s="92"/>
      <c r="X374" s="93">
        <v>2931.82</v>
      </c>
      <c r="Y374" s="92"/>
      <c r="Z374" s="92"/>
      <c r="AA374" s="92"/>
      <c r="AB374" s="92"/>
      <c r="AC374" s="92"/>
      <c r="AD374" s="92"/>
      <c r="AE374" s="92"/>
      <c r="AF374" s="92"/>
      <c r="AG374" s="93">
        <v>58.3</v>
      </c>
      <c r="AH374" s="92"/>
      <c r="AI374" s="93">
        <v>2990.12</v>
      </c>
      <c r="AJ374" s="93">
        <v>0</v>
      </c>
    </row>
    <row r="375" spans="1:36" customFormat="1" ht="15.75" thickBot="1" x14ac:dyDescent="0.3">
      <c r="A375" s="90" t="s">
        <v>999</v>
      </c>
      <c r="B375" s="626" t="str">
        <f>VLOOKUP($D375,'Retail Rates'!$B$7:$D$38,2,FALSE)</f>
        <v>855</v>
      </c>
      <c r="C375" s="626" t="str">
        <f>VLOOKUP($D375,'Retail Rates'!$B$7:$D$38,3,FALSE)</f>
        <v>IGS</v>
      </c>
      <c r="D375" s="90" t="s">
        <v>878</v>
      </c>
      <c r="E375" s="90" t="s">
        <v>879</v>
      </c>
      <c r="F375" s="90" t="s">
        <v>21</v>
      </c>
      <c r="G375" s="90" t="s">
        <v>1000</v>
      </c>
      <c r="H375" s="305">
        <v>219</v>
      </c>
      <c r="I375" s="95">
        <v>83803</v>
      </c>
      <c r="J375" s="95">
        <v>765596</v>
      </c>
      <c r="K375" s="95">
        <v>4332</v>
      </c>
      <c r="L375" s="95">
        <v>19512.009999999998</v>
      </c>
      <c r="M375" s="95">
        <v>155204.82</v>
      </c>
      <c r="N375" s="95">
        <v>0</v>
      </c>
      <c r="O375" s="95">
        <v>0</v>
      </c>
      <c r="P375" s="95">
        <v>298393.09000000003</v>
      </c>
      <c r="Q375" s="95">
        <v>0</v>
      </c>
      <c r="R375" s="94"/>
      <c r="S375" s="94"/>
      <c r="T375" s="95">
        <v>56242.32</v>
      </c>
      <c r="U375" s="94"/>
      <c r="V375" s="94"/>
      <c r="W375" s="94"/>
      <c r="X375" s="95">
        <v>533684.24</v>
      </c>
      <c r="Y375" s="94"/>
      <c r="Z375" s="94"/>
      <c r="AA375" s="94"/>
      <c r="AB375" s="94"/>
      <c r="AC375" s="94"/>
      <c r="AD375" s="94"/>
      <c r="AE375" s="94"/>
      <c r="AF375" s="94"/>
      <c r="AG375" s="95">
        <v>27090.23</v>
      </c>
      <c r="AH375" s="94"/>
      <c r="AI375" s="95">
        <v>560774.47</v>
      </c>
      <c r="AJ375" s="95">
        <v>0</v>
      </c>
    </row>
    <row r="376" spans="1:36" customFormat="1" ht="15.75" thickBot="1" x14ac:dyDescent="0.3">
      <c r="A376" s="90" t="s">
        <v>999</v>
      </c>
      <c r="B376" s="626" t="str">
        <f>VLOOKUP($D376,'Retail Rates'!$B$7:$D$38,2,FALSE)</f>
        <v>855</v>
      </c>
      <c r="C376" s="626" t="str">
        <f>VLOOKUP($D376,'Retail Rates'!$B$7:$D$38,3,FALSE)</f>
        <v>IGS</v>
      </c>
      <c r="D376" s="90" t="s">
        <v>878</v>
      </c>
      <c r="E376" s="90" t="s">
        <v>879</v>
      </c>
      <c r="F376" s="710" t="s">
        <v>17</v>
      </c>
      <c r="G376" s="711" t="s">
        <v>1000</v>
      </c>
      <c r="H376" s="305">
        <v>21</v>
      </c>
      <c r="I376" s="95">
        <v>6585</v>
      </c>
      <c r="J376" s="95">
        <v>20709</v>
      </c>
      <c r="K376" s="95">
        <v>640</v>
      </c>
      <c r="L376" s="95">
        <v>900</v>
      </c>
      <c r="M376" s="95">
        <v>5181.8500000000004</v>
      </c>
      <c r="N376" s="95">
        <v>0</v>
      </c>
      <c r="O376" s="95">
        <v>0</v>
      </c>
      <c r="P376" s="95">
        <v>9588.3700000000008</v>
      </c>
      <c r="Q376" s="95">
        <v>0</v>
      </c>
      <c r="R376" s="94"/>
      <c r="S376" s="94"/>
      <c r="T376" s="95">
        <v>5450.34</v>
      </c>
      <c r="U376" s="94"/>
      <c r="V376" s="94"/>
      <c r="W376" s="94"/>
      <c r="X376" s="95">
        <v>21760.560000000001</v>
      </c>
      <c r="Y376" s="94"/>
      <c r="Z376" s="94"/>
      <c r="AA376" s="94"/>
      <c r="AB376" s="94"/>
      <c r="AC376" s="94"/>
      <c r="AD376" s="94"/>
      <c r="AE376" s="94"/>
      <c r="AF376" s="94"/>
      <c r="AG376" s="95">
        <v>1089.1600000000001</v>
      </c>
      <c r="AH376" s="94"/>
      <c r="AI376" s="95">
        <v>22849.72</v>
      </c>
      <c r="AJ376" s="95">
        <v>0</v>
      </c>
    </row>
    <row r="377" spans="1:36" customFormat="1" ht="15.75" thickBot="1" x14ac:dyDescent="0.3">
      <c r="A377" s="90" t="s">
        <v>999</v>
      </c>
      <c r="B377" s="626" t="str">
        <f>VLOOKUP($D377,'Retail Rates'!$B$7:$D$38,2,FALSE)</f>
        <v>866</v>
      </c>
      <c r="C377" s="626" t="str">
        <f>VLOOKUP($D377,'Retail Rates'!$B$7:$D$38,3,FALSE)</f>
        <v>AAGS-I</v>
      </c>
      <c r="D377" s="90" t="s">
        <v>872</v>
      </c>
      <c r="E377" s="90" t="s">
        <v>873</v>
      </c>
      <c r="F377" s="90" t="s">
        <v>21</v>
      </c>
      <c r="G377" s="90" t="s">
        <v>1000</v>
      </c>
      <c r="H377" s="305">
        <v>2</v>
      </c>
      <c r="I377" s="95">
        <v>75584</v>
      </c>
      <c r="J377" s="94"/>
      <c r="K377" s="95">
        <v>800</v>
      </c>
      <c r="L377" s="94"/>
      <c r="M377" s="95">
        <v>5297.68</v>
      </c>
      <c r="N377" s="95">
        <v>0</v>
      </c>
      <c r="O377" s="95">
        <v>0</v>
      </c>
      <c r="P377" s="95">
        <v>26552.66</v>
      </c>
      <c r="Q377" s="95">
        <v>0</v>
      </c>
      <c r="R377" s="94"/>
      <c r="S377" s="94"/>
      <c r="T377" s="95">
        <v>5677.74</v>
      </c>
      <c r="U377" s="94"/>
      <c r="V377" s="94"/>
      <c r="W377" s="94"/>
      <c r="X377" s="95">
        <v>38328.080000000002</v>
      </c>
      <c r="Y377" s="94"/>
      <c r="Z377" s="94"/>
      <c r="AA377" s="94"/>
      <c r="AB377" s="94"/>
      <c r="AC377" s="94"/>
      <c r="AD377" s="94"/>
      <c r="AE377" s="94"/>
      <c r="AF377" s="94"/>
      <c r="AG377" s="95">
        <v>0</v>
      </c>
      <c r="AH377" s="94"/>
      <c r="AI377" s="95">
        <v>38328.080000000002</v>
      </c>
      <c r="AJ377" s="95">
        <v>0</v>
      </c>
    </row>
    <row r="378" spans="1:36" customFormat="1" ht="15.75" thickBot="1" x14ac:dyDescent="0.3">
      <c r="A378" s="90" t="s">
        <v>999</v>
      </c>
      <c r="B378" s="626" t="str">
        <f>VLOOKUP($D378,'Retail Rates'!$B$7:$D$38,2,FALSE)</f>
        <v>882</v>
      </c>
      <c r="C378" s="626" t="str">
        <f>VLOOKUP($D378,'Retail Rates'!$B$7:$D$38,3,FALSE)</f>
        <v>IGS-TS-2</v>
      </c>
      <c r="D378" s="90" t="s">
        <v>1001</v>
      </c>
      <c r="E378" s="90" t="s">
        <v>1002</v>
      </c>
      <c r="F378" s="90" t="s">
        <v>663</v>
      </c>
      <c r="G378" s="90" t="s">
        <v>918</v>
      </c>
      <c r="H378" s="304">
        <v>4</v>
      </c>
      <c r="I378" s="93">
        <v>4000</v>
      </c>
      <c r="J378" s="93">
        <v>268897</v>
      </c>
      <c r="K378" s="92"/>
      <c r="L378" s="92"/>
      <c r="M378" s="92"/>
      <c r="N378" s="93">
        <v>0</v>
      </c>
      <c r="O378" s="93">
        <v>0</v>
      </c>
      <c r="P378" s="92"/>
      <c r="Q378" s="92"/>
      <c r="R378" s="92"/>
      <c r="S378" s="92"/>
      <c r="T378" s="93">
        <v>1038.1600000000001</v>
      </c>
      <c r="U378" s="92"/>
      <c r="V378" s="92"/>
      <c r="W378" s="92"/>
      <c r="X378" s="93">
        <v>1038.1600000000001</v>
      </c>
      <c r="Y378" s="92"/>
      <c r="Z378" s="93">
        <v>3679.92</v>
      </c>
      <c r="AA378" s="93">
        <v>71756.31</v>
      </c>
      <c r="AB378" s="93">
        <v>720</v>
      </c>
      <c r="AC378" s="92"/>
      <c r="AD378" s="93">
        <v>0</v>
      </c>
      <c r="AE378" s="93">
        <v>2200</v>
      </c>
      <c r="AF378" s="92"/>
      <c r="AG378" s="93">
        <v>1098.78</v>
      </c>
      <c r="AH378" s="92"/>
      <c r="AI378" s="93">
        <v>80493.17</v>
      </c>
      <c r="AJ378" s="93">
        <v>0</v>
      </c>
    </row>
    <row r="379" spans="1:36" customFormat="1" ht="15.75" thickBot="1" x14ac:dyDescent="0.3">
      <c r="A379" s="90" t="s">
        <v>999</v>
      </c>
      <c r="B379" s="626" t="str">
        <f>VLOOKUP($D379,'Retail Rates'!$B$7:$D$38,2,FALSE)</f>
        <v>882</v>
      </c>
      <c r="C379" s="626" t="str">
        <f>VLOOKUP($D379,'Retail Rates'!$B$7:$D$38,3,FALSE)</f>
        <v>IGS-TS-2</v>
      </c>
      <c r="D379" s="90" t="s">
        <v>1001</v>
      </c>
      <c r="E379" s="90" t="s">
        <v>1002</v>
      </c>
      <c r="F379" s="90" t="s">
        <v>662</v>
      </c>
      <c r="G379" s="90" t="s">
        <v>918</v>
      </c>
      <c r="H379" s="305">
        <v>1</v>
      </c>
      <c r="I379" s="95">
        <v>1000</v>
      </c>
      <c r="J379" s="95">
        <v>153504</v>
      </c>
      <c r="K379" s="94"/>
      <c r="L379" s="94"/>
      <c r="M379" s="94"/>
      <c r="N379" s="95">
        <v>0</v>
      </c>
      <c r="O379" s="95">
        <v>0</v>
      </c>
      <c r="P379" s="94"/>
      <c r="Q379" s="94"/>
      <c r="R379" s="94"/>
      <c r="S379" s="94"/>
      <c r="T379" s="95">
        <v>259.54000000000002</v>
      </c>
      <c r="U379" s="94"/>
      <c r="V379" s="94"/>
      <c r="W379" s="94"/>
      <c r="X379" s="95">
        <v>259.54000000000002</v>
      </c>
      <c r="Y379" s="94"/>
      <c r="Z379" s="95">
        <v>7189.07</v>
      </c>
      <c r="AA379" s="95">
        <v>40562.5</v>
      </c>
      <c r="AB379" s="95">
        <v>180</v>
      </c>
      <c r="AC379" s="94"/>
      <c r="AD379" s="95">
        <v>0</v>
      </c>
      <c r="AE379" s="95">
        <v>550</v>
      </c>
      <c r="AF379" s="94"/>
      <c r="AG379" s="95">
        <v>0</v>
      </c>
      <c r="AH379" s="94"/>
      <c r="AI379" s="95">
        <v>48741.11</v>
      </c>
      <c r="AJ379" s="95">
        <v>0</v>
      </c>
    </row>
    <row r="380" spans="1:36" customFormat="1" ht="15.75" thickBot="1" x14ac:dyDescent="0.3">
      <c r="A380" s="90" t="s">
        <v>999</v>
      </c>
      <c r="B380" s="626" t="str">
        <f>VLOOKUP($D380,'Retail Rates'!$B$7:$D$38,2,FALSE)</f>
        <v>882</v>
      </c>
      <c r="C380" s="626" t="str">
        <f>VLOOKUP($D380,'Retail Rates'!$B$7:$D$38,3,FALSE)</f>
        <v>IGS-TS-2-PM</v>
      </c>
      <c r="D380" s="90" t="s">
        <v>93</v>
      </c>
      <c r="E380" s="90" t="s">
        <v>719</v>
      </c>
      <c r="F380" s="90" t="s">
        <v>663</v>
      </c>
      <c r="G380" s="90" t="s">
        <v>918</v>
      </c>
      <c r="H380" s="305">
        <v>2</v>
      </c>
      <c r="I380" s="94"/>
      <c r="J380" s="94"/>
      <c r="K380" s="94"/>
      <c r="L380" s="94"/>
      <c r="M380" s="94"/>
      <c r="N380" s="95">
        <v>0</v>
      </c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5">
        <v>0</v>
      </c>
      <c r="AB380" s="95">
        <v>549.33000000000004</v>
      </c>
      <c r="AC380" s="95">
        <v>5154.18</v>
      </c>
      <c r="AD380" s="94"/>
      <c r="AE380" s="95">
        <v>525</v>
      </c>
      <c r="AF380" s="95">
        <v>0</v>
      </c>
      <c r="AG380" s="95">
        <v>0</v>
      </c>
      <c r="AH380" s="94"/>
      <c r="AI380" s="95">
        <v>6228.51</v>
      </c>
      <c r="AJ380" s="95">
        <v>0</v>
      </c>
    </row>
    <row r="381" spans="1:36" customFormat="1" ht="15.75" thickBot="1" x14ac:dyDescent="0.3">
      <c r="A381" s="90" t="s">
        <v>999</v>
      </c>
      <c r="B381" s="626" t="str">
        <f>VLOOKUP($D381,'Retail Rates'!$B$7:$D$38,2,FALSE)</f>
        <v>892</v>
      </c>
      <c r="C381" s="626" t="str">
        <f>VLOOKUP($D381,'Retail Rates'!$B$7:$D$38,3,FALSE)</f>
        <v>AAGS-I-TS-2</v>
      </c>
      <c r="D381" s="90" t="s">
        <v>1003</v>
      </c>
      <c r="E381" s="90" t="s">
        <v>1004</v>
      </c>
      <c r="F381" s="90" t="s">
        <v>663</v>
      </c>
      <c r="G381" s="90" t="s">
        <v>918</v>
      </c>
      <c r="H381" s="304">
        <v>1</v>
      </c>
      <c r="I381" s="93">
        <v>29990</v>
      </c>
      <c r="J381" s="92"/>
      <c r="K381" s="92"/>
      <c r="L381" s="92"/>
      <c r="M381" s="92"/>
      <c r="N381" s="93">
        <v>0</v>
      </c>
      <c r="O381" s="92"/>
      <c r="P381" s="92"/>
      <c r="Q381" s="92"/>
      <c r="R381" s="92"/>
      <c r="S381" s="92"/>
      <c r="T381" s="93">
        <v>2838.87</v>
      </c>
      <c r="U381" s="92"/>
      <c r="V381" s="92"/>
      <c r="W381" s="92"/>
      <c r="X381" s="93">
        <v>2838.87</v>
      </c>
      <c r="Y381" s="92"/>
      <c r="Z381" s="93">
        <v>0</v>
      </c>
      <c r="AA381" s="93">
        <v>4633.76</v>
      </c>
      <c r="AB381" s="93">
        <v>400</v>
      </c>
      <c r="AC381" s="92"/>
      <c r="AD381" s="93">
        <v>0</v>
      </c>
      <c r="AE381" s="93">
        <v>550</v>
      </c>
      <c r="AF381" s="92"/>
      <c r="AG381" s="93">
        <v>0</v>
      </c>
      <c r="AH381" s="92"/>
      <c r="AI381" s="93">
        <v>8422.6299999999992</v>
      </c>
      <c r="AJ381" s="93">
        <v>0</v>
      </c>
    </row>
    <row r="382" spans="1:36" customFormat="1" ht="15.75" thickBot="1" x14ac:dyDescent="0.3">
      <c r="A382" s="90" t="s">
        <v>999</v>
      </c>
      <c r="B382" s="626" t="str">
        <f>VLOOKUP($D382,'Retail Rates'!$B$7:$D$38,2,FALSE)</f>
        <v>892</v>
      </c>
      <c r="C382" s="626" t="str">
        <f>VLOOKUP($D382,'Retail Rates'!$B$7:$D$38,3,FALSE)</f>
        <v>AAGS-I-TS-2</v>
      </c>
      <c r="D382" s="90" t="s">
        <v>1003</v>
      </c>
      <c r="E382" s="90" t="s">
        <v>1004</v>
      </c>
      <c r="F382" s="90" t="s">
        <v>662</v>
      </c>
      <c r="G382" s="90" t="s">
        <v>918</v>
      </c>
      <c r="H382" s="305">
        <v>1</v>
      </c>
      <c r="I382" s="95">
        <v>142926</v>
      </c>
      <c r="J382" s="94"/>
      <c r="K382" s="94"/>
      <c r="L382" s="94"/>
      <c r="M382" s="94"/>
      <c r="N382" s="95">
        <v>0</v>
      </c>
      <c r="O382" s="95">
        <v>0</v>
      </c>
      <c r="P382" s="94"/>
      <c r="Q382" s="94"/>
      <c r="R382" s="94"/>
      <c r="S382" s="94"/>
      <c r="T382" s="95">
        <v>2838.87</v>
      </c>
      <c r="U382" s="94"/>
      <c r="V382" s="94"/>
      <c r="W382" s="94"/>
      <c r="X382" s="95">
        <v>2838.87</v>
      </c>
      <c r="Y382" s="94"/>
      <c r="Z382" s="95">
        <v>6650.35</v>
      </c>
      <c r="AA382" s="95">
        <v>22083.49</v>
      </c>
      <c r="AB382" s="95">
        <v>400</v>
      </c>
      <c r="AC382" s="94"/>
      <c r="AD382" s="95">
        <v>0</v>
      </c>
      <c r="AE382" s="95">
        <v>550</v>
      </c>
      <c r="AF382" s="94"/>
      <c r="AG382" s="95">
        <v>0</v>
      </c>
      <c r="AH382" s="94"/>
      <c r="AI382" s="95">
        <v>32522.71</v>
      </c>
      <c r="AJ382" s="95">
        <v>0</v>
      </c>
    </row>
    <row r="383" spans="1:36" customFormat="1" ht="15.75" thickBot="1" x14ac:dyDescent="0.3">
      <c r="A383" s="90" t="s">
        <v>999</v>
      </c>
      <c r="B383" s="626" t="str">
        <f>VLOOKUP($D383,'Retail Rates'!$B$7:$D$38,2,FALSE)</f>
        <v>896</v>
      </c>
      <c r="C383" s="626" t="str">
        <f>VLOOKUP($D383,'Retail Rates'!$B$7:$D$38,3,FALSE)</f>
        <v>FT-I</v>
      </c>
      <c r="D383" s="90" t="s">
        <v>933</v>
      </c>
      <c r="E383" s="90" t="s">
        <v>1005</v>
      </c>
      <c r="F383" s="90" t="s">
        <v>663</v>
      </c>
      <c r="G383" s="90" t="s">
        <v>918</v>
      </c>
      <c r="H383" s="305">
        <v>63</v>
      </c>
      <c r="I383" s="95">
        <v>8467055</v>
      </c>
      <c r="J383" s="94"/>
      <c r="K383" s="94"/>
      <c r="L383" s="94"/>
      <c r="M383" s="94"/>
      <c r="N383" s="95">
        <v>0</v>
      </c>
      <c r="O383" s="95">
        <v>0</v>
      </c>
      <c r="P383" s="94"/>
      <c r="Q383" s="94"/>
      <c r="R383" s="94"/>
      <c r="S383" s="94"/>
      <c r="T383" s="94"/>
      <c r="U383" s="94"/>
      <c r="V383" s="94"/>
      <c r="W383" s="94"/>
      <c r="X383" s="94"/>
      <c r="Y383" s="95">
        <v>2516.8000000000002</v>
      </c>
      <c r="Z383" s="95">
        <v>0</v>
      </c>
      <c r="AA383" s="95">
        <v>365352.5</v>
      </c>
      <c r="AB383" s="95">
        <v>-2509.7600000000002</v>
      </c>
      <c r="AC383" s="95">
        <v>1446.47</v>
      </c>
      <c r="AD383" s="94"/>
      <c r="AE383" s="95">
        <v>35750</v>
      </c>
      <c r="AF383" s="95">
        <v>533.41999999999996</v>
      </c>
      <c r="AG383" s="95">
        <v>18188.419999999998</v>
      </c>
      <c r="AH383" s="94"/>
      <c r="AI383" s="95">
        <v>420744.43</v>
      </c>
      <c r="AJ383" s="306">
        <v>-533.41999999999996</v>
      </c>
    </row>
    <row r="384" spans="1:36" customFormat="1" ht="15.75" thickBot="1" x14ac:dyDescent="0.3">
      <c r="A384" s="90" t="s">
        <v>999</v>
      </c>
      <c r="B384" s="626" t="str">
        <f>VLOOKUP($D384,'Retail Rates'!$B$7:$D$38,2,FALSE)</f>
        <v>896</v>
      </c>
      <c r="C384" s="626" t="str">
        <f>VLOOKUP($D384,'Retail Rates'!$B$7:$D$38,3,FALSE)</f>
        <v>FT-I</v>
      </c>
      <c r="D384" s="90" t="s">
        <v>933</v>
      </c>
      <c r="E384" s="90" t="s">
        <v>1005</v>
      </c>
      <c r="F384" s="710" t="s">
        <v>662</v>
      </c>
      <c r="G384" s="711" t="s">
        <v>918</v>
      </c>
      <c r="H384" s="304">
        <v>1</v>
      </c>
      <c r="I384" s="93">
        <v>192858</v>
      </c>
      <c r="J384" s="92"/>
      <c r="K384" s="92"/>
      <c r="L384" s="92"/>
      <c r="M384" s="92"/>
      <c r="N384" s="93">
        <v>0</v>
      </c>
      <c r="O384" s="93">
        <v>0</v>
      </c>
      <c r="P384" s="92"/>
      <c r="Q384" s="92"/>
      <c r="R384" s="92"/>
      <c r="S384" s="92"/>
      <c r="T384" s="92"/>
      <c r="U384" s="92"/>
      <c r="V384" s="92"/>
      <c r="W384" s="92"/>
      <c r="X384" s="92"/>
      <c r="Y384" s="93">
        <v>0</v>
      </c>
      <c r="Z384" s="92"/>
      <c r="AA384" s="93">
        <v>8296.75</v>
      </c>
      <c r="AB384" s="93">
        <v>0</v>
      </c>
      <c r="AC384" s="92"/>
      <c r="AD384" s="92"/>
      <c r="AE384" s="93">
        <v>550</v>
      </c>
      <c r="AF384" s="93">
        <v>0</v>
      </c>
      <c r="AG384" s="93">
        <v>0</v>
      </c>
      <c r="AH384" s="92"/>
      <c r="AI384" s="93">
        <v>8846.75</v>
      </c>
      <c r="AJ384" s="93">
        <v>0</v>
      </c>
    </row>
    <row r="385" spans="1:36" customFormat="1" ht="15.75" thickBot="1" x14ac:dyDescent="0.3">
      <c r="A385" s="90" t="s">
        <v>999</v>
      </c>
      <c r="B385" s="626" t="str">
        <f>VLOOKUP($D385,'Retail Rates'!$B$7:$D$38,2,FALSE)</f>
        <v>896</v>
      </c>
      <c r="C385" s="626" t="str">
        <f>VLOOKUP($D385,'Retail Rates'!$B$7:$D$38,3,FALSE)</f>
        <v>FT-I-PM</v>
      </c>
      <c r="D385" s="90" t="s">
        <v>54</v>
      </c>
      <c r="E385" s="90" t="s">
        <v>55</v>
      </c>
      <c r="F385" s="90" t="s">
        <v>663</v>
      </c>
      <c r="G385" s="90" t="s">
        <v>918</v>
      </c>
      <c r="H385" s="304">
        <v>5</v>
      </c>
      <c r="I385" s="92"/>
      <c r="J385" s="92"/>
      <c r="K385" s="92"/>
      <c r="L385" s="92"/>
      <c r="M385" s="92"/>
      <c r="N385" s="93">
        <v>0</v>
      </c>
      <c r="O385" s="93">
        <v>0</v>
      </c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3">
        <v>36055.980000000003</v>
      </c>
      <c r="AB385" s="93">
        <v>22883.06</v>
      </c>
      <c r="AC385" s="93">
        <v>62482.73</v>
      </c>
      <c r="AD385" s="92"/>
      <c r="AE385" s="93">
        <v>8925</v>
      </c>
      <c r="AF385" s="93">
        <v>17205.259999999998</v>
      </c>
      <c r="AG385" s="93">
        <v>1610.34</v>
      </c>
      <c r="AH385" s="92"/>
      <c r="AI385" s="93">
        <v>131957.10999999999</v>
      </c>
      <c r="AJ385" s="306">
        <v>-17205.259999999998</v>
      </c>
    </row>
    <row r="386" spans="1:36" customFormat="1" ht="15.75" thickBot="1" x14ac:dyDescent="0.3">
      <c r="A386" s="90" t="s">
        <v>999</v>
      </c>
      <c r="B386" s="626" t="str">
        <f>VLOOKUP($D386,'Retail Rates'!$B$7:$D$38,2,FALSE)</f>
        <v>996</v>
      </c>
      <c r="C386" s="626" t="str">
        <f>VLOOKUP($D386,'Retail Rates'!$B$7:$D$38,3,FALSE)</f>
        <v>SPC-LGE</v>
      </c>
      <c r="D386" s="90" t="s">
        <v>45</v>
      </c>
      <c r="E386" s="90" t="s">
        <v>46</v>
      </c>
      <c r="F386" s="90" t="s">
        <v>165</v>
      </c>
      <c r="G386" s="90" t="s">
        <v>1000</v>
      </c>
      <c r="H386" s="305">
        <v>1</v>
      </c>
      <c r="I386" s="95">
        <v>268132</v>
      </c>
      <c r="J386" s="94"/>
      <c r="K386" s="95">
        <v>180</v>
      </c>
      <c r="L386" s="94"/>
      <c r="M386" s="95">
        <v>8926.11</v>
      </c>
      <c r="N386" s="95">
        <v>0</v>
      </c>
      <c r="O386" s="95">
        <v>0</v>
      </c>
      <c r="P386" s="95">
        <v>94194.77</v>
      </c>
      <c r="Q386" s="94"/>
      <c r="R386" s="94"/>
      <c r="S386" s="94"/>
      <c r="T386" s="95">
        <v>259.54000000000002</v>
      </c>
      <c r="U386" s="94"/>
      <c r="V386" s="94"/>
      <c r="W386" s="95">
        <v>186513.62</v>
      </c>
      <c r="X386" s="95">
        <v>290074.03999999998</v>
      </c>
      <c r="Y386" s="94"/>
      <c r="Z386" s="94"/>
      <c r="AA386" s="94"/>
      <c r="AB386" s="94"/>
      <c r="AC386" s="94"/>
      <c r="AD386" s="94"/>
      <c r="AE386" s="94"/>
      <c r="AF386" s="94"/>
      <c r="AG386" s="95">
        <v>0</v>
      </c>
      <c r="AH386" s="94"/>
      <c r="AI386" s="95">
        <v>290074.03999999998</v>
      </c>
      <c r="AJ386" s="95">
        <v>0</v>
      </c>
    </row>
    <row r="387" spans="1:36" customFormat="1" ht="15.75" thickBot="1" x14ac:dyDescent="0.3">
      <c r="A387" s="90" t="s">
        <v>999</v>
      </c>
      <c r="B387" s="626" t="str">
        <f>VLOOKUP($D387,'Retail Rates'!$B$7:$D$38,2,FALSE)</f>
        <v>997</v>
      </c>
      <c r="C387" s="626" t="str">
        <f>VLOOKUP($D387,'Retail Rates'!$B$7:$D$38,3,FALSE)</f>
        <v>SPC-P</v>
      </c>
      <c r="D387" s="90" t="s">
        <v>57</v>
      </c>
      <c r="E387" s="90" t="s">
        <v>58</v>
      </c>
      <c r="F387" s="90" t="s">
        <v>664</v>
      </c>
      <c r="G387" s="90" t="s">
        <v>918</v>
      </c>
      <c r="H387" s="304">
        <v>1</v>
      </c>
      <c r="I387" s="93">
        <v>951278</v>
      </c>
      <c r="J387" s="92"/>
      <c r="K387" s="92"/>
      <c r="L387" s="92"/>
      <c r="M387" s="92"/>
      <c r="N387" s="93">
        <v>0</v>
      </c>
      <c r="O387" s="93">
        <v>0</v>
      </c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3">
        <v>112077.09</v>
      </c>
      <c r="AB387" s="93">
        <v>71.63</v>
      </c>
      <c r="AC387" s="93">
        <v>1120.8399999999999</v>
      </c>
      <c r="AD387" s="92"/>
      <c r="AE387" s="92"/>
      <c r="AF387" s="93">
        <v>99.69</v>
      </c>
      <c r="AG387" s="93">
        <v>0</v>
      </c>
      <c r="AH387" s="92"/>
      <c r="AI387" s="93">
        <v>113269.56</v>
      </c>
      <c r="AJ387" s="306">
        <v>-99.69</v>
      </c>
    </row>
    <row r="388" spans="1:36" customFormat="1" ht="15.75" thickBot="1" x14ac:dyDescent="0.3">
      <c r="A388" s="90" t="s">
        <v>999</v>
      </c>
      <c r="B388" s="626" t="str">
        <f>VLOOKUP($D388,'Retail Rates'!$B$7:$D$38,2,FALSE)</f>
        <v>811</v>
      </c>
      <c r="C388" s="626" t="str">
        <f>VLOOKUP($D388,'Retail Rates'!$B$7:$D$38,3,FALSE)</f>
        <v>RGS</v>
      </c>
      <c r="D388" s="90" t="s">
        <v>35</v>
      </c>
      <c r="E388" s="90" t="s">
        <v>36</v>
      </c>
      <c r="F388" s="710" t="s">
        <v>17</v>
      </c>
      <c r="G388" s="711" t="s">
        <v>1000</v>
      </c>
      <c r="H388" s="305">
        <v>11</v>
      </c>
      <c r="I388" s="95">
        <v>110</v>
      </c>
      <c r="J388" s="94"/>
      <c r="K388" s="95">
        <v>148.5</v>
      </c>
      <c r="L388" s="94"/>
      <c r="M388" s="95">
        <v>31.55</v>
      </c>
      <c r="N388" s="95">
        <v>0</v>
      </c>
      <c r="O388" s="95">
        <v>0</v>
      </c>
      <c r="P388" s="95">
        <v>38.65</v>
      </c>
      <c r="Q388" s="95">
        <v>1.18</v>
      </c>
      <c r="R388" s="94"/>
      <c r="S388" s="95">
        <v>2.75</v>
      </c>
      <c r="T388" s="95">
        <v>56.54</v>
      </c>
      <c r="U388" s="95">
        <v>0</v>
      </c>
      <c r="V388" s="94"/>
      <c r="W388" s="94"/>
      <c r="X388" s="95">
        <v>276.42</v>
      </c>
      <c r="Y388" s="94"/>
      <c r="Z388" s="94"/>
      <c r="AA388" s="94"/>
      <c r="AB388" s="94"/>
      <c r="AC388" s="94"/>
      <c r="AD388" s="94"/>
      <c r="AE388" s="94"/>
      <c r="AF388" s="94"/>
      <c r="AG388" s="95">
        <v>14.78</v>
      </c>
      <c r="AH388" s="94"/>
      <c r="AI388" s="95">
        <v>293.95</v>
      </c>
      <c r="AJ388" s="95">
        <v>0</v>
      </c>
    </row>
    <row r="389" spans="1:36" customFormat="1" ht="15.75" thickBot="1" x14ac:dyDescent="0.3">
      <c r="A389" s="90" t="s">
        <v>999</v>
      </c>
      <c r="B389" s="626" t="str">
        <f>VLOOKUP($D389,'Retail Rates'!$B$7:$D$38,2,FALSE)</f>
        <v>811</v>
      </c>
      <c r="C389" s="626" t="str">
        <f>VLOOKUP($D389,'Retail Rates'!$B$7:$D$38,3,FALSE)</f>
        <v>RGS</v>
      </c>
      <c r="D389" s="90" t="s">
        <v>35</v>
      </c>
      <c r="E389" s="90" t="s">
        <v>36</v>
      </c>
      <c r="F389" s="90" t="s">
        <v>20</v>
      </c>
      <c r="G389" s="90" t="s">
        <v>918</v>
      </c>
      <c r="H389" s="304">
        <v>1</v>
      </c>
      <c r="I389" s="93">
        <v>17</v>
      </c>
      <c r="J389" s="92"/>
      <c r="K389" s="93">
        <v>13.5</v>
      </c>
      <c r="L389" s="92"/>
      <c r="M389" s="93">
        <v>4.88</v>
      </c>
      <c r="N389" s="93">
        <v>0</v>
      </c>
      <c r="O389" s="93">
        <v>0</v>
      </c>
      <c r="P389" s="93">
        <v>5.84</v>
      </c>
      <c r="Q389" s="93">
        <v>0.18</v>
      </c>
      <c r="R389" s="92"/>
      <c r="S389" s="93">
        <v>0.25</v>
      </c>
      <c r="T389" s="93">
        <v>5.0599999999999996</v>
      </c>
      <c r="U389" s="93">
        <v>0</v>
      </c>
      <c r="V389" s="92"/>
      <c r="W389" s="92"/>
      <c r="X389" s="93">
        <v>29.46</v>
      </c>
      <c r="Y389" s="92"/>
      <c r="Z389" s="92"/>
      <c r="AA389" s="92"/>
      <c r="AB389" s="92"/>
      <c r="AC389" s="92"/>
      <c r="AD389" s="92"/>
      <c r="AE389" s="92"/>
      <c r="AF389" s="92"/>
      <c r="AG389" s="93">
        <v>0</v>
      </c>
      <c r="AH389" s="92"/>
      <c r="AI389" s="93">
        <v>29.71</v>
      </c>
      <c r="AJ389" s="93">
        <v>0</v>
      </c>
    </row>
    <row r="390" spans="1:36" customFormat="1" ht="15.75" thickBot="1" x14ac:dyDescent="0.3">
      <c r="A390" s="90" t="s">
        <v>999</v>
      </c>
      <c r="B390" s="626" t="str">
        <f>VLOOKUP($D390,'Retail Rates'!$B$7:$D$38,2,FALSE)</f>
        <v>811</v>
      </c>
      <c r="C390" s="626" t="str">
        <f>VLOOKUP($D390,'Retail Rates'!$B$7:$D$38,3,FALSE)</f>
        <v>RGS</v>
      </c>
      <c r="D390" s="90" t="s">
        <v>35</v>
      </c>
      <c r="E390" s="90" t="s">
        <v>36</v>
      </c>
      <c r="F390" s="90" t="s">
        <v>20</v>
      </c>
      <c r="G390" s="90" t="s">
        <v>1000</v>
      </c>
      <c r="H390" s="305">
        <v>62</v>
      </c>
      <c r="I390" s="95">
        <v>767</v>
      </c>
      <c r="J390" s="94"/>
      <c r="K390" s="95">
        <v>828</v>
      </c>
      <c r="L390" s="94"/>
      <c r="M390" s="95">
        <v>220.07</v>
      </c>
      <c r="N390" s="95">
        <v>0</v>
      </c>
      <c r="O390" s="95">
        <v>0</v>
      </c>
      <c r="P390" s="95">
        <v>269.45</v>
      </c>
      <c r="Q390" s="95">
        <v>8.32</v>
      </c>
      <c r="R390" s="94"/>
      <c r="S390" s="95">
        <v>15.5</v>
      </c>
      <c r="T390" s="95">
        <v>315.25</v>
      </c>
      <c r="U390" s="95">
        <v>0</v>
      </c>
      <c r="V390" s="94"/>
      <c r="W390" s="94"/>
      <c r="X390" s="95">
        <v>1641.09</v>
      </c>
      <c r="Y390" s="94"/>
      <c r="Z390" s="94"/>
      <c r="AA390" s="94"/>
      <c r="AB390" s="94"/>
      <c r="AC390" s="94"/>
      <c r="AD390" s="94"/>
      <c r="AE390" s="94"/>
      <c r="AF390" s="94"/>
      <c r="AG390" s="95">
        <v>1.31</v>
      </c>
      <c r="AH390" s="94"/>
      <c r="AI390" s="95">
        <v>1657.9</v>
      </c>
      <c r="AJ390" s="95">
        <v>0</v>
      </c>
    </row>
    <row r="391" spans="1:36" customFormat="1" ht="15.75" thickBot="1" x14ac:dyDescent="0.3">
      <c r="A391" s="90" t="s">
        <v>999</v>
      </c>
      <c r="B391" s="626" t="str">
        <f>VLOOKUP($D391,'Retail Rates'!$B$7:$D$38,2,FALSE)</f>
        <v>811</v>
      </c>
      <c r="C391" s="626" t="str">
        <f>VLOOKUP($D391,'Retail Rates'!$B$7:$D$38,3,FALSE)</f>
        <v>RGS</v>
      </c>
      <c r="D391" s="90" t="s">
        <v>35</v>
      </c>
      <c r="E391" s="90" t="s">
        <v>36</v>
      </c>
      <c r="F391" s="90" t="s">
        <v>28</v>
      </c>
      <c r="G391" s="90" t="s">
        <v>899</v>
      </c>
      <c r="H391" s="305">
        <v>3</v>
      </c>
      <c r="I391" s="95">
        <v>-8</v>
      </c>
      <c r="J391" s="94"/>
      <c r="K391" s="95">
        <v>0</v>
      </c>
      <c r="L391" s="94"/>
      <c r="M391" s="95">
        <v>-2.11</v>
      </c>
      <c r="N391" s="95">
        <v>0</v>
      </c>
      <c r="O391" s="95">
        <v>0</v>
      </c>
      <c r="P391" s="95">
        <v>-4.54</v>
      </c>
      <c r="Q391" s="95">
        <v>-0.13</v>
      </c>
      <c r="R391" s="95">
        <v>0.32</v>
      </c>
      <c r="S391" s="95">
        <v>0</v>
      </c>
      <c r="T391" s="95">
        <v>0</v>
      </c>
      <c r="U391" s="95">
        <v>0</v>
      </c>
      <c r="V391" s="94"/>
      <c r="W391" s="94"/>
      <c r="X391" s="95">
        <v>-6.46</v>
      </c>
      <c r="Y391" s="94"/>
      <c r="Z391" s="94"/>
      <c r="AA391" s="94"/>
      <c r="AB391" s="94"/>
      <c r="AC391" s="94"/>
      <c r="AD391" s="94"/>
      <c r="AE391" s="94"/>
      <c r="AF391" s="94"/>
      <c r="AG391" s="95">
        <v>0</v>
      </c>
      <c r="AH391" s="94"/>
      <c r="AI391" s="95">
        <v>-6.46</v>
      </c>
      <c r="AJ391" s="95">
        <v>0</v>
      </c>
    </row>
    <row r="392" spans="1:36" customFormat="1" ht="15.75" thickBot="1" x14ac:dyDescent="0.3">
      <c r="A392" s="90" t="s">
        <v>999</v>
      </c>
      <c r="B392" s="626" t="str">
        <f>VLOOKUP($D392,'Retail Rates'!$B$7:$D$38,2,FALSE)</f>
        <v>811</v>
      </c>
      <c r="C392" s="626" t="str">
        <f>VLOOKUP($D392,'Retail Rates'!$B$7:$D$38,3,FALSE)</f>
        <v>RGS</v>
      </c>
      <c r="D392" s="90" t="s">
        <v>35</v>
      </c>
      <c r="E392" s="90" t="s">
        <v>36</v>
      </c>
      <c r="F392" s="710" t="s">
        <v>28</v>
      </c>
      <c r="G392" s="711" t="s">
        <v>900</v>
      </c>
      <c r="H392" s="304">
        <v>5</v>
      </c>
      <c r="I392" s="93">
        <v>-18</v>
      </c>
      <c r="J392" s="92"/>
      <c r="K392" s="93">
        <v>0</v>
      </c>
      <c r="L392" s="92"/>
      <c r="M392" s="93">
        <v>-4.74</v>
      </c>
      <c r="N392" s="93">
        <v>-0.12</v>
      </c>
      <c r="O392" s="93">
        <v>0</v>
      </c>
      <c r="P392" s="93">
        <v>-10.11</v>
      </c>
      <c r="Q392" s="93">
        <v>-0.3</v>
      </c>
      <c r="R392" s="93">
        <v>0.04</v>
      </c>
      <c r="S392" s="93">
        <v>0</v>
      </c>
      <c r="T392" s="93">
        <v>0</v>
      </c>
      <c r="U392" s="93">
        <v>0</v>
      </c>
      <c r="V392" s="92"/>
      <c r="W392" s="92"/>
      <c r="X392" s="93">
        <v>-15.11</v>
      </c>
      <c r="Y392" s="92"/>
      <c r="Z392" s="92"/>
      <c r="AA392" s="92"/>
      <c r="AB392" s="92"/>
      <c r="AC392" s="92"/>
      <c r="AD392" s="92"/>
      <c r="AE392" s="92"/>
      <c r="AF392" s="92"/>
      <c r="AG392" s="93">
        <v>0</v>
      </c>
      <c r="AH392" s="92"/>
      <c r="AI392" s="93">
        <v>-15.23</v>
      </c>
      <c r="AJ392" s="93">
        <v>0</v>
      </c>
    </row>
    <row r="393" spans="1:36" customFormat="1" ht="15.75" thickBot="1" x14ac:dyDescent="0.3">
      <c r="A393" s="90" t="s">
        <v>999</v>
      </c>
      <c r="B393" s="626" t="str">
        <f>VLOOKUP($D393,'Retail Rates'!$B$7:$D$38,2,FALSE)</f>
        <v>811</v>
      </c>
      <c r="C393" s="626" t="str">
        <f>VLOOKUP($D393,'Retail Rates'!$B$7:$D$38,3,FALSE)</f>
        <v>RGS</v>
      </c>
      <c r="D393" s="90" t="s">
        <v>35</v>
      </c>
      <c r="E393" s="90" t="s">
        <v>36</v>
      </c>
      <c r="F393" s="90" t="s">
        <v>28</v>
      </c>
      <c r="G393" s="90" t="s">
        <v>901</v>
      </c>
      <c r="H393" s="305">
        <v>6</v>
      </c>
      <c r="I393" s="95">
        <v>-25</v>
      </c>
      <c r="J393" s="94"/>
      <c r="K393" s="95">
        <v>0</v>
      </c>
      <c r="L393" s="94"/>
      <c r="M393" s="95">
        <v>-6.61</v>
      </c>
      <c r="N393" s="95">
        <v>-0.26</v>
      </c>
      <c r="O393" s="95">
        <v>0</v>
      </c>
      <c r="P393" s="95">
        <v>-14.02</v>
      </c>
      <c r="Q393" s="95">
        <v>-0.44</v>
      </c>
      <c r="R393" s="95">
        <v>-3.2</v>
      </c>
      <c r="S393" s="95">
        <v>0</v>
      </c>
      <c r="T393" s="95">
        <v>0</v>
      </c>
      <c r="U393" s="95">
        <v>0</v>
      </c>
      <c r="V393" s="94"/>
      <c r="W393" s="94"/>
      <c r="X393" s="95">
        <v>-24.27</v>
      </c>
      <c r="Y393" s="94"/>
      <c r="Z393" s="94"/>
      <c r="AA393" s="94"/>
      <c r="AB393" s="94"/>
      <c r="AC393" s="94"/>
      <c r="AD393" s="94"/>
      <c r="AE393" s="94"/>
      <c r="AF393" s="94"/>
      <c r="AG393" s="95">
        <v>0</v>
      </c>
      <c r="AH393" s="94"/>
      <c r="AI393" s="95">
        <v>-24.53</v>
      </c>
      <c r="AJ393" s="95">
        <v>0</v>
      </c>
    </row>
    <row r="394" spans="1:36" customFormat="1" ht="15.75" thickBot="1" x14ac:dyDescent="0.3">
      <c r="A394" s="90" t="s">
        <v>999</v>
      </c>
      <c r="B394" s="626" t="str">
        <f>VLOOKUP($D394,'Retail Rates'!$B$7:$D$38,2,FALSE)</f>
        <v>811</v>
      </c>
      <c r="C394" s="626" t="str">
        <f>VLOOKUP($D394,'Retail Rates'!$B$7:$D$38,3,FALSE)</f>
        <v>RGS</v>
      </c>
      <c r="D394" s="90" t="s">
        <v>35</v>
      </c>
      <c r="E394" s="90" t="s">
        <v>36</v>
      </c>
      <c r="F394" s="90" t="s">
        <v>28</v>
      </c>
      <c r="G394" s="90" t="s">
        <v>902</v>
      </c>
      <c r="H394" s="304">
        <v>7</v>
      </c>
      <c r="I394" s="93">
        <v>-28</v>
      </c>
      <c r="J394" s="92"/>
      <c r="K394" s="93">
        <v>-13.37</v>
      </c>
      <c r="L394" s="92"/>
      <c r="M394" s="93">
        <v>-7.4</v>
      </c>
      <c r="N394" s="93">
        <v>-0.59</v>
      </c>
      <c r="O394" s="93">
        <v>0.13</v>
      </c>
      <c r="P394" s="93">
        <v>-14.86</v>
      </c>
      <c r="Q394" s="93">
        <v>-0.54</v>
      </c>
      <c r="R394" s="93">
        <v>-1.36</v>
      </c>
      <c r="S394" s="93">
        <v>-0.25</v>
      </c>
      <c r="T394" s="93">
        <v>-2.5299999999999998</v>
      </c>
      <c r="U394" s="93">
        <v>0</v>
      </c>
      <c r="V394" s="92"/>
      <c r="W394" s="92"/>
      <c r="X394" s="93">
        <v>-40.06</v>
      </c>
      <c r="Y394" s="92"/>
      <c r="Z394" s="92"/>
      <c r="AA394" s="92"/>
      <c r="AB394" s="92"/>
      <c r="AC394" s="92"/>
      <c r="AD394" s="92"/>
      <c r="AE394" s="92"/>
      <c r="AF394" s="92"/>
      <c r="AG394" s="93">
        <v>0</v>
      </c>
      <c r="AH394" s="92"/>
      <c r="AI394" s="93">
        <v>-40.9</v>
      </c>
      <c r="AJ394" s="306">
        <v>-0.13</v>
      </c>
    </row>
    <row r="395" spans="1:36" customFormat="1" ht="15.75" thickBot="1" x14ac:dyDescent="0.3">
      <c r="A395" s="90" t="s">
        <v>999</v>
      </c>
      <c r="B395" s="626" t="str">
        <f>VLOOKUP($D395,'Retail Rates'!$B$7:$D$38,2,FALSE)</f>
        <v>811</v>
      </c>
      <c r="C395" s="626" t="str">
        <f>VLOOKUP($D395,'Retail Rates'!$B$7:$D$38,3,FALSE)</f>
        <v>RGS</v>
      </c>
      <c r="D395" s="90" t="s">
        <v>35</v>
      </c>
      <c r="E395" s="90" t="s">
        <v>36</v>
      </c>
      <c r="F395" s="710" t="s">
        <v>28</v>
      </c>
      <c r="G395" s="711" t="s">
        <v>903</v>
      </c>
      <c r="H395" s="305">
        <v>7</v>
      </c>
      <c r="I395" s="95">
        <v>-25</v>
      </c>
      <c r="J395" s="94"/>
      <c r="K395" s="95">
        <v>-13.37</v>
      </c>
      <c r="L395" s="94"/>
      <c r="M395" s="95">
        <v>-6.61</v>
      </c>
      <c r="N395" s="95">
        <v>-0.51</v>
      </c>
      <c r="O395" s="95">
        <v>0.13</v>
      </c>
      <c r="P395" s="95">
        <v>-12.49</v>
      </c>
      <c r="Q395" s="95">
        <v>-0.49</v>
      </c>
      <c r="R395" s="95">
        <v>3.47</v>
      </c>
      <c r="S395" s="95">
        <v>-0.25</v>
      </c>
      <c r="T395" s="95">
        <v>-2.5299999999999998</v>
      </c>
      <c r="U395" s="95">
        <v>0</v>
      </c>
      <c r="V395" s="94"/>
      <c r="W395" s="94"/>
      <c r="X395" s="95">
        <v>-32.020000000000003</v>
      </c>
      <c r="Y395" s="94"/>
      <c r="Z395" s="94"/>
      <c r="AA395" s="94"/>
      <c r="AB395" s="94"/>
      <c r="AC395" s="94"/>
      <c r="AD395" s="94"/>
      <c r="AE395" s="94"/>
      <c r="AF395" s="94"/>
      <c r="AG395" s="95">
        <v>0</v>
      </c>
      <c r="AH395" s="94"/>
      <c r="AI395" s="95">
        <v>-32.78</v>
      </c>
      <c r="AJ395" s="306">
        <v>-0.13</v>
      </c>
    </row>
    <row r="396" spans="1:36" customFormat="1" ht="15.75" thickBot="1" x14ac:dyDescent="0.3">
      <c r="A396" s="90" t="s">
        <v>999</v>
      </c>
      <c r="B396" s="626" t="str">
        <f>VLOOKUP($D396,'Retail Rates'!$B$7:$D$38,2,FALSE)</f>
        <v>811</v>
      </c>
      <c r="C396" s="626" t="str">
        <f>VLOOKUP($D396,'Retail Rates'!$B$7:$D$38,3,FALSE)</f>
        <v>RGS</v>
      </c>
      <c r="D396" s="90" t="s">
        <v>35</v>
      </c>
      <c r="E396" s="90" t="s">
        <v>36</v>
      </c>
      <c r="F396" s="90" t="s">
        <v>28</v>
      </c>
      <c r="G396" s="90" t="s">
        <v>904</v>
      </c>
      <c r="H396" s="304">
        <v>8</v>
      </c>
      <c r="I396" s="93">
        <v>51</v>
      </c>
      <c r="J396" s="92"/>
      <c r="K396" s="93">
        <v>-13.37</v>
      </c>
      <c r="L396" s="92"/>
      <c r="M396" s="93">
        <v>13.47</v>
      </c>
      <c r="N396" s="93">
        <v>0.62</v>
      </c>
      <c r="O396" s="93">
        <v>0.13</v>
      </c>
      <c r="P396" s="93">
        <v>25.47</v>
      </c>
      <c r="Q396" s="93">
        <v>0.68</v>
      </c>
      <c r="R396" s="93">
        <v>2.96</v>
      </c>
      <c r="S396" s="93">
        <v>-0.25</v>
      </c>
      <c r="T396" s="93">
        <v>-2.5299999999999998</v>
      </c>
      <c r="U396" s="93">
        <v>0</v>
      </c>
      <c r="V396" s="92"/>
      <c r="W396" s="92"/>
      <c r="X396" s="93">
        <v>26.68</v>
      </c>
      <c r="Y396" s="92"/>
      <c r="Z396" s="92"/>
      <c r="AA396" s="92"/>
      <c r="AB396" s="92"/>
      <c r="AC396" s="92"/>
      <c r="AD396" s="92"/>
      <c r="AE396" s="92"/>
      <c r="AF396" s="92"/>
      <c r="AG396" s="93">
        <v>0</v>
      </c>
      <c r="AH396" s="92"/>
      <c r="AI396" s="93">
        <v>27.05</v>
      </c>
      <c r="AJ396" s="306">
        <v>-0.13</v>
      </c>
    </row>
    <row r="397" spans="1:36" customFormat="1" ht="15.75" thickBot="1" x14ac:dyDescent="0.3">
      <c r="A397" s="90" t="s">
        <v>999</v>
      </c>
      <c r="B397" s="626" t="str">
        <f>VLOOKUP($D397,'Retail Rates'!$B$7:$D$38,2,FALSE)</f>
        <v>811</v>
      </c>
      <c r="C397" s="626" t="str">
        <f>VLOOKUP($D397,'Retail Rates'!$B$7:$D$38,3,FALSE)</f>
        <v>RGS</v>
      </c>
      <c r="D397" s="90" t="s">
        <v>35</v>
      </c>
      <c r="E397" s="90" t="s">
        <v>36</v>
      </c>
      <c r="F397" s="90" t="s">
        <v>28</v>
      </c>
      <c r="G397" s="90" t="s">
        <v>905</v>
      </c>
      <c r="H397" s="305">
        <v>5</v>
      </c>
      <c r="I397" s="95">
        <v>-69</v>
      </c>
      <c r="J397" s="94"/>
      <c r="K397" s="95">
        <v>-13.37</v>
      </c>
      <c r="L397" s="94"/>
      <c r="M397" s="95">
        <v>-18.23</v>
      </c>
      <c r="N397" s="95">
        <v>-1.23</v>
      </c>
      <c r="O397" s="95">
        <v>0.13</v>
      </c>
      <c r="P397" s="95">
        <v>-26.28</v>
      </c>
      <c r="Q397" s="95">
        <v>-0.91</v>
      </c>
      <c r="R397" s="94"/>
      <c r="S397" s="95">
        <v>-0.25</v>
      </c>
      <c r="T397" s="95">
        <v>-2.91</v>
      </c>
      <c r="U397" s="95">
        <v>0</v>
      </c>
      <c r="V397" s="94"/>
      <c r="W397" s="94"/>
      <c r="X397" s="95">
        <v>-61.7</v>
      </c>
      <c r="Y397" s="94"/>
      <c r="Z397" s="94"/>
      <c r="AA397" s="94"/>
      <c r="AB397" s="94"/>
      <c r="AC397" s="94"/>
      <c r="AD397" s="94"/>
      <c r="AE397" s="94"/>
      <c r="AF397" s="94"/>
      <c r="AG397" s="95">
        <v>0</v>
      </c>
      <c r="AH397" s="94"/>
      <c r="AI397" s="95">
        <v>-63.18</v>
      </c>
      <c r="AJ397" s="306">
        <v>-0.13</v>
      </c>
    </row>
    <row r="398" spans="1:36" customFormat="1" ht="15.75" thickBot="1" x14ac:dyDescent="0.3">
      <c r="A398" s="90" t="s">
        <v>999</v>
      </c>
      <c r="B398" s="626" t="str">
        <f>VLOOKUP($D398,'Retail Rates'!$B$7:$D$38,2,FALSE)</f>
        <v>811</v>
      </c>
      <c r="C398" s="626" t="str">
        <f>VLOOKUP($D398,'Retail Rates'!$B$7:$D$38,3,FALSE)</f>
        <v>RGS</v>
      </c>
      <c r="D398" s="90" t="s">
        <v>35</v>
      </c>
      <c r="E398" s="90" t="s">
        <v>36</v>
      </c>
      <c r="F398" s="90" t="s">
        <v>28</v>
      </c>
      <c r="G398" s="90" t="s">
        <v>906</v>
      </c>
      <c r="H398" s="304">
        <v>4</v>
      </c>
      <c r="I398" s="93">
        <v>-98</v>
      </c>
      <c r="J398" s="92"/>
      <c r="K398" s="93">
        <v>-13.37</v>
      </c>
      <c r="L398" s="92"/>
      <c r="M398" s="93">
        <v>-25.88</v>
      </c>
      <c r="N398" s="93">
        <v>-1.7</v>
      </c>
      <c r="O398" s="93">
        <v>0.13</v>
      </c>
      <c r="P398" s="93">
        <v>-40.76</v>
      </c>
      <c r="Q398" s="93">
        <v>-1.28</v>
      </c>
      <c r="R398" s="92"/>
      <c r="S398" s="93">
        <v>-0.25</v>
      </c>
      <c r="T398" s="93">
        <v>-3.77</v>
      </c>
      <c r="U398" s="93">
        <v>0</v>
      </c>
      <c r="V398" s="92"/>
      <c r="W398" s="92"/>
      <c r="X398" s="93">
        <v>-85.06</v>
      </c>
      <c r="Y398" s="92"/>
      <c r="Z398" s="92"/>
      <c r="AA398" s="92"/>
      <c r="AB398" s="92"/>
      <c r="AC398" s="92"/>
      <c r="AD398" s="92"/>
      <c r="AE398" s="92"/>
      <c r="AF398" s="92"/>
      <c r="AG398" s="93">
        <v>0</v>
      </c>
      <c r="AH398" s="92"/>
      <c r="AI398" s="93">
        <v>-87.01</v>
      </c>
      <c r="AJ398" s="306">
        <v>-0.13</v>
      </c>
    </row>
    <row r="399" spans="1:36" customFormat="1" ht="15.75" thickBot="1" x14ac:dyDescent="0.3">
      <c r="A399" s="90" t="s">
        <v>999</v>
      </c>
      <c r="B399" s="626" t="str">
        <f>VLOOKUP($D399,'Retail Rates'!$B$7:$D$38,2,FALSE)</f>
        <v>811</v>
      </c>
      <c r="C399" s="626" t="str">
        <f>VLOOKUP($D399,'Retail Rates'!$B$7:$D$38,3,FALSE)</f>
        <v>RGS</v>
      </c>
      <c r="D399" s="90" t="s">
        <v>35</v>
      </c>
      <c r="E399" s="90" t="s">
        <v>36</v>
      </c>
      <c r="F399" s="90" t="s">
        <v>28</v>
      </c>
      <c r="G399" s="90" t="s">
        <v>907</v>
      </c>
      <c r="H399" s="305">
        <v>3</v>
      </c>
      <c r="I399" s="95">
        <v>-320</v>
      </c>
      <c r="J399" s="94"/>
      <c r="K399" s="95">
        <v>-13.5</v>
      </c>
      <c r="L399" s="94"/>
      <c r="M399" s="95">
        <v>-91.07</v>
      </c>
      <c r="N399" s="95">
        <v>-4.8899999999999997</v>
      </c>
      <c r="O399" s="95">
        <v>0</v>
      </c>
      <c r="P399" s="95">
        <v>-133.11000000000001</v>
      </c>
      <c r="Q399" s="95">
        <v>-2.69</v>
      </c>
      <c r="R399" s="94"/>
      <c r="S399" s="95">
        <v>-0.25</v>
      </c>
      <c r="T399" s="95">
        <v>-3.77</v>
      </c>
      <c r="U399" s="95">
        <v>0</v>
      </c>
      <c r="V399" s="94"/>
      <c r="W399" s="94"/>
      <c r="X399" s="95">
        <v>-244.14</v>
      </c>
      <c r="Y399" s="94"/>
      <c r="Z399" s="94"/>
      <c r="AA399" s="94"/>
      <c r="AB399" s="94"/>
      <c r="AC399" s="94"/>
      <c r="AD399" s="94"/>
      <c r="AE399" s="94"/>
      <c r="AF399" s="94"/>
      <c r="AG399" s="95">
        <v>0</v>
      </c>
      <c r="AH399" s="94"/>
      <c r="AI399" s="95">
        <v>-249.28</v>
      </c>
      <c r="AJ399" s="95">
        <v>0</v>
      </c>
    </row>
    <row r="400" spans="1:36" customFormat="1" ht="15.75" thickBot="1" x14ac:dyDescent="0.3">
      <c r="A400" s="90" t="s">
        <v>999</v>
      </c>
      <c r="B400" s="626" t="str">
        <f>VLOOKUP($D400,'Retail Rates'!$B$7:$D$38,2,FALSE)</f>
        <v>811</v>
      </c>
      <c r="C400" s="626" t="str">
        <f>VLOOKUP($D400,'Retail Rates'!$B$7:$D$38,3,FALSE)</f>
        <v>RGS</v>
      </c>
      <c r="D400" s="90" t="s">
        <v>35</v>
      </c>
      <c r="E400" s="90" t="s">
        <v>36</v>
      </c>
      <c r="F400" s="90" t="s">
        <v>28</v>
      </c>
      <c r="G400" s="90" t="s">
        <v>908</v>
      </c>
      <c r="H400" s="304">
        <v>3</v>
      </c>
      <c r="I400" s="93">
        <v>-306</v>
      </c>
      <c r="J400" s="92"/>
      <c r="K400" s="93">
        <v>-13.5</v>
      </c>
      <c r="L400" s="92"/>
      <c r="M400" s="93">
        <v>-87.8</v>
      </c>
      <c r="N400" s="93">
        <v>-4.05</v>
      </c>
      <c r="O400" s="93">
        <v>0</v>
      </c>
      <c r="P400" s="93">
        <v>-94.72</v>
      </c>
      <c r="Q400" s="93">
        <v>-2.57</v>
      </c>
      <c r="R400" s="92"/>
      <c r="S400" s="93">
        <v>-0.25</v>
      </c>
      <c r="T400" s="93">
        <v>-3.77</v>
      </c>
      <c r="U400" s="93">
        <v>0</v>
      </c>
      <c r="V400" s="92"/>
      <c r="W400" s="92"/>
      <c r="X400" s="93">
        <v>-202.36</v>
      </c>
      <c r="Y400" s="92"/>
      <c r="Z400" s="92"/>
      <c r="AA400" s="92"/>
      <c r="AB400" s="92"/>
      <c r="AC400" s="92"/>
      <c r="AD400" s="92"/>
      <c r="AE400" s="92"/>
      <c r="AF400" s="92"/>
      <c r="AG400" s="93">
        <v>0</v>
      </c>
      <c r="AH400" s="92"/>
      <c r="AI400" s="93">
        <v>-206.66</v>
      </c>
      <c r="AJ400" s="93">
        <v>0</v>
      </c>
    </row>
    <row r="401" spans="1:36" customFormat="1" ht="15.75" thickBot="1" x14ac:dyDescent="0.3">
      <c r="A401" s="90" t="s">
        <v>999</v>
      </c>
      <c r="B401" s="626" t="str">
        <f>VLOOKUP($D401,'Retail Rates'!$B$7:$D$38,2,FALSE)</f>
        <v>811</v>
      </c>
      <c r="C401" s="626" t="str">
        <f>VLOOKUP($D401,'Retail Rates'!$B$7:$D$38,3,FALSE)</f>
        <v>RGS</v>
      </c>
      <c r="D401" s="90" t="s">
        <v>35</v>
      </c>
      <c r="E401" s="90" t="s">
        <v>36</v>
      </c>
      <c r="F401" s="90" t="s">
        <v>28</v>
      </c>
      <c r="G401" s="90" t="s">
        <v>909</v>
      </c>
      <c r="H401" s="305">
        <v>4</v>
      </c>
      <c r="I401" s="95">
        <v>-298</v>
      </c>
      <c r="J401" s="94"/>
      <c r="K401" s="95">
        <v>-13.5</v>
      </c>
      <c r="L401" s="94"/>
      <c r="M401" s="95">
        <v>-85.5</v>
      </c>
      <c r="N401" s="95">
        <v>-3.88</v>
      </c>
      <c r="O401" s="95">
        <v>0</v>
      </c>
      <c r="P401" s="95">
        <v>-88.81</v>
      </c>
      <c r="Q401" s="95">
        <v>-2.5</v>
      </c>
      <c r="R401" s="94"/>
      <c r="S401" s="95">
        <v>-0.25</v>
      </c>
      <c r="T401" s="95">
        <v>-3.77</v>
      </c>
      <c r="U401" s="95">
        <v>0</v>
      </c>
      <c r="V401" s="94"/>
      <c r="W401" s="94"/>
      <c r="X401" s="95">
        <v>-194.08</v>
      </c>
      <c r="Y401" s="94"/>
      <c r="Z401" s="94"/>
      <c r="AA401" s="94"/>
      <c r="AB401" s="94"/>
      <c r="AC401" s="94"/>
      <c r="AD401" s="94"/>
      <c r="AE401" s="94"/>
      <c r="AF401" s="94"/>
      <c r="AG401" s="95">
        <v>0</v>
      </c>
      <c r="AH401" s="94"/>
      <c r="AI401" s="95">
        <v>-198.21</v>
      </c>
      <c r="AJ401" s="95">
        <v>0</v>
      </c>
    </row>
    <row r="402" spans="1:36" customFormat="1" ht="15.75" thickBot="1" x14ac:dyDescent="0.3">
      <c r="A402" s="90" t="s">
        <v>999</v>
      </c>
      <c r="B402" s="626" t="str">
        <f>VLOOKUP($D402,'Retail Rates'!$B$7:$D$38,2,FALSE)</f>
        <v>811</v>
      </c>
      <c r="C402" s="626" t="str">
        <f>VLOOKUP($D402,'Retail Rates'!$B$7:$D$38,3,FALSE)</f>
        <v>RGS</v>
      </c>
      <c r="D402" s="90" t="s">
        <v>35</v>
      </c>
      <c r="E402" s="90" t="s">
        <v>36</v>
      </c>
      <c r="F402" s="90" t="s">
        <v>28</v>
      </c>
      <c r="G402" s="90" t="s">
        <v>910</v>
      </c>
      <c r="H402" s="304">
        <v>6</v>
      </c>
      <c r="I402" s="93">
        <v>-277</v>
      </c>
      <c r="J402" s="92"/>
      <c r="K402" s="93">
        <v>-13.5</v>
      </c>
      <c r="L402" s="92"/>
      <c r="M402" s="93">
        <v>-79.47</v>
      </c>
      <c r="N402" s="93">
        <v>-3.62</v>
      </c>
      <c r="O402" s="93">
        <v>0</v>
      </c>
      <c r="P402" s="93">
        <v>-82.55</v>
      </c>
      <c r="Q402" s="93">
        <v>-2.33</v>
      </c>
      <c r="R402" s="92"/>
      <c r="S402" s="93">
        <v>-0.25</v>
      </c>
      <c r="T402" s="93">
        <v>-3.77</v>
      </c>
      <c r="U402" s="93">
        <v>0</v>
      </c>
      <c r="V402" s="92"/>
      <c r="W402" s="92"/>
      <c r="X402" s="93">
        <v>-181.62</v>
      </c>
      <c r="Y402" s="92"/>
      <c r="Z402" s="92"/>
      <c r="AA402" s="92"/>
      <c r="AB402" s="92"/>
      <c r="AC402" s="92"/>
      <c r="AD402" s="92"/>
      <c r="AE402" s="92"/>
      <c r="AF402" s="92"/>
      <c r="AG402" s="93">
        <v>0</v>
      </c>
      <c r="AH402" s="92"/>
      <c r="AI402" s="93">
        <v>-185.49</v>
      </c>
      <c r="AJ402" s="93">
        <v>0</v>
      </c>
    </row>
    <row r="403" spans="1:36" customFormat="1" ht="15.75" thickBot="1" x14ac:dyDescent="0.3">
      <c r="A403" s="90" t="s">
        <v>999</v>
      </c>
      <c r="B403" s="626" t="str">
        <f>VLOOKUP($D403,'Retail Rates'!$B$7:$D$38,2,FALSE)</f>
        <v>811</v>
      </c>
      <c r="C403" s="626" t="str">
        <f>VLOOKUP($D403,'Retail Rates'!$B$7:$D$38,3,FALSE)</f>
        <v>RGS</v>
      </c>
      <c r="D403" s="90" t="s">
        <v>35</v>
      </c>
      <c r="E403" s="90" t="s">
        <v>36</v>
      </c>
      <c r="F403" s="90" t="s">
        <v>28</v>
      </c>
      <c r="G403" s="90" t="s">
        <v>911</v>
      </c>
      <c r="H403" s="305">
        <v>15</v>
      </c>
      <c r="I403" s="95">
        <v>-284</v>
      </c>
      <c r="J403" s="94"/>
      <c r="K403" s="95">
        <v>-13.5</v>
      </c>
      <c r="L403" s="94"/>
      <c r="M403" s="95">
        <v>-81.47</v>
      </c>
      <c r="N403" s="95">
        <v>-3.66</v>
      </c>
      <c r="O403" s="95">
        <v>0</v>
      </c>
      <c r="P403" s="95">
        <v>-98.93</v>
      </c>
      <c r="Q403" s="95">
        <v>-2.38</v>
      </c>
      <c r="R403" s="95">
        <v>15.73</v>
      </c>
      <c r="S403" s="95">
        <v>-0.25</v>
      </c>
      <c r="T403" s="95">
        <v>-3.77</v>
      </c>
      <c r="U403" s="95">
        <v>0</v>
      </c>
      <c r="V403" s="94"/>
      <c r="W403" s="94"/>
      <c r="X403" s="95">
        <v>-184.32</v>
      </c>
      <c r="Y403" s="94"/>
      <c r="Z403" s="94"/>
      <c r="AA403" s="94"/>
      <c r="AB403" s="94"/>
      <c r="AC403" s="94"/>
      <c r="AD403" s="94"/>
      <c r="AE403" s="94"/>
      <c r="AF403" s="94"/>
      <c r="AG403" s="95">
        <v>-0.03</v>
      </c>
      <c r="AH403" s="94"/>
      <c r="AI403" s="95">
        <v>-188.26</v>
      </c>
      <c r="AJ403" s="95">
        <v>0</v>
      </c>
    </row>
    <row r="404" spans="1:36" customFormat="1" ht="15.75" thickBot="1" x14ac:dyDescent="0.3">
      <c r="A404" s="90" t="s">
        <v>999</v>
      </c>
      <c r="B404" s="626" t="str">
        <f>VLOOKUP($D404,'Retail Rates'!$B$7:$D$38,2,FALSE)</f>
        <v>811</v>
      </c>
      <c r="C404" s="626" t="str">
        <f>VLOOKUP($D404,'Retail Rates'!$B$7:$D$38,3,FALSE)</f>
        <v>RGS</v>
      </c>
      <c r="D404" s="90" t="s">
        <v>35</v>
      </c>
      <c r="E404" s="90" t="s">
        <v>36</v>
      </c>
      <c r="F404" s="90" t="s">
        <v>28</v>
      </c>
      <c r="G404" s="90" t="s">
        <v>912</v>
      </c>
      <c r="H404" s="304">
        <v>19</v>
      </c>
      <c r="I404" s="93">
        <v>-283</v>
      </c>
      <c r="J404" s="92"/>
      <c r="K404" s="93">
        <v>-13.5</v>
      </c>
      <c r="L404" s="92"/>
      <c r="M404" s="93">
        <v>-81.19</v>
      </c>
      <c r="N404" s="93">
        <v>-4.04</v>
      </c>
      <c r="O404" s="93">
        <v>0</v>
      </c>
      <c r="P404" s="93">
        <v>-96.39</v>
      </c>
      <c r="Q404" s="93">
        <v>-2.38</v>
      </c>
      <c r="R404" s="93">
        <v>-10.6</v>
      </c>
      <c r="S404" s="93">
        <v>-0.25</v>
      </c>
      <c r="T404" s="93">
        <v>-3.77</v>
      </c>
      <c r="U404" s="93">
        <v>0</v>
      </c>
      <c r="V404" s="92"/>
      <c r="W404" s="92"/>
      <c r="X404" s="93">
        <v>-207.83</v>
      </c>
      <c r="Y404" s="92"/>
      <c r="Z404" s="92"/>
      <c r="AA404" s="92"/>
      <c r="AB404" s="92"/>
      <c r="AC404" s="92"/>
      <c r="AD404" s="92"/>
      <c r="AE404" s="92"/>
      <c r="AF404" s="92"/>
      <c r="AG404" s="93">
        <v>-0.06</v>
      </c>
      <c r="AH404" s="92"/>
      <c r="AI404" s="93">
        <v>-212.18</v>
      </c>
      <c r="AJ404" s="93">
        <v>0</v>
      </c>
    </row>
    <row r="405" spans="1:36" customFormat="1" ht="15.75" thickBot="1" x14ac:dyDescent="0.3">
      <c r="A405" s="90" t="s">
        <v>999</v>
      </c>
      <c r="B405" s="626" t="str">
        <f>VLOOKUP($D405,'Retail Rates'!$B$7:$D$38,2,FALSE)</f>
        <v>811</v>
      </c>
      <c r="C405" s="626" t="str">
        <f>VLOOKUP($D405,'Retail Rates'!$B$7:$D$38,3,FALSE)</f>
        <v>RGS</v>
      </c>
      <c r="D405" s="90" t="s">
        <v>35</v>
      </c>
      <c r="E405" s="90" t="s">
        <v>36</v>
      </c>
      <c r="F405" s="90" t="s">
        <v>28</v>
      </c>
      <c r="G405" s="90" t="s">
        <v>913</v>
      </c>
      <c r="H405" s="305">
        <v>23</v>
      </c>
      <c r="I405" s="95">
        <v>-442</v>
      </c>
      <c r="J405" s="94"/>
      <c r="K405" s="95">
        <v>-13.5</v>
      </c>
      <c r="L405" s="94"/>
      <c r="M405" s="95">
        <v>-126.83</v>
      </c>
      <c r="N405" s="95">
        <v>-6.15</v>
      </c>
      <c r="O405" s="95">
        <v>0</v>
      </c>
      <c r="P405" s="95">
        <v>-150.18</v>
      </c>
      <c r="Q405" s="95">
        <v>-4.03</v>
      </c>
      <c r="R405" s="95">
        <v>25.28</v>
      </c>
      <c r="S405" s="95">
        <v>-0.25</v>
      </c>
      <c r="T405" s="95">
        <v>-3.77</v>
      </c>
      <c r="U405" s="95">
        <v>0</v>
      </c>
      <c r="V405" s="94"/>
      <c r="W405" s="94"/>
      <c r="X405" s="95">
        <v>-273.02999999999997</v>
      </c>
      <c r="Y405" s="94"/>
      <c r="Z405" s="94"/>
      <c r="AA405" s="94"/>
      <c r="AB405" s="94"/>
      <c r="AC405" s="94"/>
      <c r="AD405" s="94"/>
      <c r="AE405" s="94"/>
      <c r="AF405" s="94"/>
      <c r="AG405" s="95">
        <v>1.19</v>
      </c>
      <c r="AH405" s="94"/>
      <c r="AI405" s="95">
        <v>-278.24</v>
      </c>
      <c r="AJ405" s="95">
        <v>0</v>
      </c>
    </row>
    <row r="406" spans="1:36" customFormat="1" ht="15.75" thickBot="1" x14ac:dyDescent="0.3">
      <c r="A406" s="90" t="s">
        <v>999</v>
      </c>
      <c r="B406" s="626" t="str">
        <f>VLOOKUP($D406,'Retail Rates'!$B$7:$D$38,2,FALSE)</f>
        <v>811</v>
      </c>
      <c r="C406" s="626" t="str">
        <f>VLOOKUP($D406,'Retail Rates'!$B$7:$D$38,3,FALSE)</f>
        <v>RGS</v>
      </c>
      <c r="D406" s="90" t="s">
        <v>35</v>
      </c>
      <c r="E406" s="90" t="s">
        <v>36</v>
      </c>
      <c r="F406" s="90" t="s">
        <v>28</v>
      </c>
      <c r="G406" s="90" t="s">
        <v>914</v>
      </c>
      <c r="H406" s="304">
        <v>33</v>
      </c>
      <c r="I406" s="93">
        <v>-571</v>
      </c>
      <c r="J406" s="92"/>
      <c r="K406" s="93">
        <v>-13.5</v>
      </c>
      <c r="L406" s="92"/>
      <c r="M406" s="93">
        <v>-163.83000000000001</v>
      </c>
      <c r="N406" s="93">
        <v>-4.18</v>
      </c>
      <c r="O406" s="93">
        <v>0</v>
      </c>
      <c r="P406" s="93">
        <v>-186.54</v>
      </c>
      <c r="Q406" s="93">
        <v>-5.17</v>
      </c>
      <c r="R406" s="93">
        <v>0.87</v>
      </c>
      <c r="S406" s="93">
        <v>-0.25</v>
      </c>
      <c r="T406" s="93">
        <v>-4.22</v>
      </c>
      <c r="U406" s="93">
        <v>0</v>
      </c>
      <c r="V406" s="92"/>
      <c r="W406" s="92"/>
      <c r="X406" s="93">
        <v>-372.39</v>
      </c>
      <c r="Y406" s="92"/>
      <c r="Z406" s="92"/>
      <c r="AA406" s="92"/>
      <c r="AB406" s="92"/>
      <c r="AC406" s="92"/>
      <c r="AD406" s="92"/>
      <c r="AE406" s="92"/>
      <c r="AF406" s="92"/>
      <c r="AG406" s="93">
        <v>-2.86</v>
      </c>
      <c r="AH406" s="92"/>
      <c r="AI406" s="93">
        <v>-379.68</v>
      </c>
      <c r="AJ406" s="93">
        <v>0</v>
      </c>
    </row>
    <row r="407" spans="1:36" customFormat="1" ht="15.75" thickBot="1" x14ac:dyDescent="0.3">
      <c r="A407" s="90" t="s">
        <v>999</v>
      </c>
      <c r="B407" s="626" t="str">
        <f>VLOOKUP($D407,'Retail Rates'!$B$7:$D$38,2,FALSE)</f>
        <v>811</v>
      </c>
      <c r="C407" s="626" t="str">
        <f>VLOOKUP($D407,'Retail Rates'!$B$7:$D$38,3,FALSE)</f>
        <v>RGS</v>
      </c>
      <c r="D407" s="90" t="s">
        <v>35</v>
      </c>
      <c r="E407" s="90" t="s">
        <v>36</v>
      </c>
      <c r="F407" s="90" t="s">
        <v>28</v>
      </c>
      <c r="G407" s="90" t="s">
        <v>915</v>
      </c>
      <c r="H407" s="305">
        <v>78</v>
      </c>
      <c r="I407" s="95">
        <v>-2657</v>
      </c>
      <c r="J407" s="94"/>
      <c r="K407" s="95">
        <v>-30.6</v>
      </c>
      <c r="L407" s="94"/>
      <c r="M407" s="95">
        <v>-762.38</v>
      </c>
      <c r="N407" s="95">
        <v>-19.97</v>
      </c>
      <c r="O407" s="95">
        <v>0</v>
      </c>
      <c r="P407" s="95">
        <v>-859.41</v>
      </c>
      <c r="Q407" s="95">
        <v>-24.06</v>
      </c>
      <c r="R407" s="95">
        <v>-94.96</v>
      </c>
      <c r="S407" s="95">
        <v>-0.5</v>
      </c>
      <c r="T407" s="95">
        <v>-11</v>
      </c>
      <c r="U407" s="95">
        <v>0</v>
      </c>
      <c r="V407" s="94"/>
      <c r="W407" s="94"/>
      <c r="X407" s="95">
        <v>-1782.41</v>
      </c>
      <c r="Y407" s="94"/>
      <c r="Z407" s="94"/>
      <c r="AA407" s="94"/>
      <c r="AB407" s="94"/>
      <c r="AC407" s="94"/>
      <c r="AD407" s="94"/>
      <c r="AE407" s="94"/>
      <c r="AF407" s="94"/>
      <c r="AG407" s="95">
        <v>-15.8</v>
      </c>
      <c r="AH407" s="94"/>
      <c r="AI407" s="95">
        <v>-1818.68</v>
      </c>
      <c r="AJ407" s="95">
        <v>0</v>
      </c>
    </row>
    <row r="408" spans="1:36" customFormat="1" ht="15.75" thickBot="1" x14ac:dyDescent="0.3">
      <c r="A408" s="90" t="s">
        <v>999</v>
      </c>
      <c r="B408" s="626" t="str">
        <f>VLOOKUP($D408,'Retail Rates'!$B$7:$D$38,2,FALSE)</f>
        <v>811</v>
      </c>
      <c r="C408" s="626" t="str">
        <f>VLOOKUP($D408,'Retail Rates'!$B$7:$D$38,3,FALSE)</f>
        <v>RGS</v>
      </c>
      <c r="D408" s="90" t="s">
        <v>35</v>
      </c>
      <c r="E408" s="90" t="s">
        <v>36</v>
      </c>
      <c r="F408" s="90" t="s">
        <v>28</v>
      </c>
      <c r="G408" s="90" t="s">
        <v>917</v>
      </c>
      <c r="H408" s="304">
        <v>220</v>
      </c>
      <c r="I408" s="93">
        <v>-7196</v>
      </c>
      <c r="J408" s="92"/>
      <c r="K408" s="93">
        <v>-139.94999999999999</v>
      </c>
      <c r="L408" s="92"/>
      <c r="M408" s="93">
        <v>-2064.73</v>
      </c>
      <c r="N408" s="93">
        <v>-2.0099999999999998</v>
      </c>
      <c r="O408" s="93">
        <v>0</v>
      </c>
      <c r="P408" s="93">
        <v>-2327.4499999999998</v>
      </c>
      <c r="Q408" s="93">
        <v>-77.98</v>
      </c>
      <c r="R408" s="93">
        <v>-535.05999999999995</v>
      </c>
      <c r="S408" s="93">
        <v>-3</v>
      </c>
      <c r="T408" s="93">
        <v>-50.33</v>
      </c>
      <c r="U408" s="93">
        <v>0</v>
      </c>
      <c r="V408" s="92"/>
      <c r="W408" s="92"/>
      <c r="X408" s="93">
        <v>-5195.5</v>
      </c>
      <c r="Y408" s="92"/>
      <c r="Z408" s="92"/>
      <c r="AA408" s="92"/>
      <c r="AB408" s="92"/>
      <c r="AC408" s="92"/>
      <c r="AD408" s="92"/>
      <c r="AE408" s="92"/>
      <c r="AF408" s="92"/>
      <c r="AG408" s="93">
        <v>-20.329999999999998</v>
      </c>
      <c r="AH408" s="92"/>
      <c r="AI408" s="93">
        <v>-5220.84</v>
      </c>
      <c r="AJ408" s="93">
        <v>0</v>
      </c>
    </row>
    <row r="409" spans="1:36" customFormat="1" ht="15.75" thickBot="1" x14ac:dyDescent="0.3">
      <c r="A409" s="90" t="s">
        <v>999</v>
      </c>
      <c r="B409" s="626" t="str">
        <f>VLOOKUP($D409,'Retail Rates'!$B$7:$D$38,2,FALSE)</f>
        <v>811</v>
      </c>
      <c r="C409" s="626" t="str">
        <f>VLOOKUP($D409,'Retail Rates'!$B$7:$D$38,3,FALSE)</f>
        <v>RGS</v>
      </c>
      <c r="D409" s="90" t="s">
        <v>35</v>
      </c>
      <c r="E409" s="90" t="s">
        <v>36</v>
      </c>
      <c r="F409" s="90" t="s">
        <v>28</v>
      </c>
      <c r="G409" s="90" t="s">
        <v>918</v>
      </c>
      <c r="H409" s="305">
        <v>1060</v>
      </c>
      <c r="I409" s="95">
        <v>-10144</v>
      </c>
      <c r="J409" s="94"/>
      <c r="K409" s="95">
        <v>4566.6000000000004</v>
      </c>
      <c r="L409" s="94"/>
      <c r="M409" s="95">
        <v>-2910.48</v>
      </c>
      <c r="N409" s="95">
        <v>-6.71</v>
      </c>
      <c r="O409" s="95">
        <v>0</v>
      </c>
      <c r="P409" s="95">
        <v>-3371.27</v>
      </c>
      <c r="Q409" s="95">
        <v>-110</v>
      </c>
      <c r="R409" s="94"/>
      <c r="S409" s="95">
        <v>116.5</v>
      </c>
      <c r="T409" s="95">
        <v>1730.09</v>
      </c>
      <c r="U409" s="95">
        <v>0</v>
      </c>
      <c r="V409" s="94"/>
      <c r="W409" s="94"/>
      <c r="X409" s="95">
        <v>-95.06</v>
      </c>
      <c r="Y409" s="94"/>
      <c r="Z409" s="94"/>
      <c r="AA409" s="94"/>
      <c r="AB409" s="94"/>
      <c r="AC409" s="94"/>
      <c r="AD409" s="94"/>
      <c r="AE409" s="94"/>
      <c r="AF409" s="94"/>
      <c r="AG409" s="95">
        <v>-25.93</v>
      </c>
      <c r="AH409" s="94"/>
      <c r="AI409" s="95">
        <v>-11.2</v>
      </c>
      <c r="AJ409" s="95">
        <v>0</v>
      </c>
    </row>
    <row r="410" spans="1:36" customFormat="1" ht="15.75" thickBot="1" x14ac:dyDescent="0.3">
      <c r="A410" s="90" t="s">
        <v>999</v>
      </c>
      <c r="B410" s="626" t="str">
        <f>VLOOKUP($D410,'Retail Rates'!$B$7:$D$38,2,FALSE)</f>
        <v>811</v>
      </c>
      <c r="C410" s="626" t="str">
        <f>VLOOKUP($D410,'Retail Rates'!$B$7:$D$38,3,FALSE)</f>
        <v>RGS</v>
      </c>
      <c r="D410" s="90" t="s">
        <v>35</v>
      </c>
      <c r="E410" s="90" t="s">
        <v>36</v>
      </c>
      <c r="F410" s="90" t="s">
        <v>28</v>
      </c>
      <c r="G410" s="90" t="s">
        <v>1000</v>
      </c>
      <c r="H410" s="304">
        <v>295575</v>
      </c>
      <c r="I410" s="93">
        <v>5217152</v>
      </c>
      <c r="J410" s="92"/>
      <c r="K410" s="93">
        <v>3980081.12</v>
      </c>
      <c r="L410" s="92"/>
      <c r="M410" s="93">
        <v>1496935.86</v>
      </c>
      <c r="N410" s="93">
        <v>2175.92</v>
      </c>
      <c r="O410" s="93">
        <v>0</v>
      </c>
      <c r="P410" s="93">
        <v>1832694.21</v>
      </c>
      <c r="Q410" s="93">
        <v>56625.64</v>
      </c>
      <c r="R410" s="92"/>
      <c r="S410" s="93">
        <v>74444.5</v>
      </c>
      <c r="T410" s="93">
        <v>1515364.33</v>
      </c>
      <c r="U410" s="93">
        <v>0</v>
      </c>
      <c r="V410" s="92"/>
      <c r="W410" s="92"/>
      <c r="X410" s="93">
        <v>8881701.1600000001</v>
      </c>
      <c r="Y410" s="92"/>
      <c r="Z410" s="92"/>
      <c r="AA410" s="92"/>
      <c r="AB410" s="92"/>
      <c r="AC410" s="92"/>
      <c r="AD410" s="92"/>
      <c r="AE410" s="92"/>
      <c r="AF410" s="92"/>
      <c r="AG410" s="93">
        <v>37297.71</v>
      </c>
      <c r="AH410" s="92"/>
      <c r="AI410" s="93">
        <v>8995619.2899999991</v>
      </c>
      <c r="AJ410" s="93">
        <v>0</v>
      </c>
    </row>
    <row r="411" spans="1:36" customFormat="1" ht="15.75" thickBot="1" x14ac:dyDescent="0.3">
      <c r="A411" s="90" t="s">
        <v>999</v>
      </c>
      <c r="B411" s="626" t="str">
        <f>VLOOKUP($D411,'Retail Rates'!$B$7:$D$38,2,FALSE)</f>
        <v>840</v>
      </c>
      <c r="C411" s="626" t="str">
        <f>VLOOKUP($D411,'Retail Rates'!$B$7:$D$38,3,FALSE)</f>
        <v>RGS</v>
      </c>
      <c r="D411" s="90" t="s">
        <v>37</v>
      </c>
      <c r="E411" s="90" t="s">
        <v>38</v>
      </c>
      <c r="F411" s="90" t="s">
        <v>20</v>
      </c>
      <c r="G411" s="90" t="s">
        <v>1000</v>
      </c>
      <c r="H411" s="305">
        <v>1</v>
      </c>
      <c r="I411" s="95">
        <v>113</v>
      </c>
      <c r="J411" s="94"/>
      <c r="K411" s="95">
        <v>13.5</v>
      </c>
      <c r="L411" s="94"/>
      <c r="M411" s="95">
        <v>32.42</v>
      </c>
      <c r="N411" s="95">
        <v>0</v>
      </c>
      <c r="O411" s="94"/>
      <c r="P411" s="95">
        <v>39.700000000000003</v>
      </c>
      <c r="Q411" s="95">
        <v>1.22</v>
      </c>
      <c r="R411" s="94"/>
      <c r="S411" s="94"/>
      <c r="T411" s="95">
        <v>5.14</v>
      </c>
      <c r="U411" s="95">
        <v>0</v>
      </c>
      <c r="V411" s="94"/>
      <c r="W411" s="94"/>
      <c r="X411" s="95">
        <v>91.98</v>
      </c>
      <c r="Y411" s="94"/>
      <c r="Z411" s="94"/>
      <c r="AA411" s="94"/>
      <c r="AB411" s="94"/>
      <c r="AC411" s="94"/>
      <c r="AD411" s="94"/>
      <c r="AE411" s="94"/>
      <c r="AF411" s="94"/>
      <c r="AG411" s="95">
        <v>0</v>
      </c>
      <c r="AH411" s="94"/>
      <c r="AI411" s="95">
        <v>91.98</v>
      </c>
      <c r="AJ411" s="95">
        <v>0</v>
      </c>
    </row>
    <row r="412" spans="1:36" customFormat="1" ht="15.75" thickBot="1" x14ac:dyDescent="0.3">
      <c r="A412" s="90" t="s">
        <v>999</v>
      </c>
      <c r="B412" s="626" t="str">
        <f>VLOOKUP($D412,'Retail Rates'!$B$7:$D$38,2,FALSE)</f>
        <v>840</v>
      </c>
      <c r="C412" s="626" t="str">
        <f>VLOOKUP($D412,'Retail Rates'!$B$7:$D$38,3,FALSE)</f>
        <v>RGS</v>
      </c>
      <c r="D412" s="90" t="s">
        <v>37</v>
      </c>
      <c r="E412" s="90" t="s">
        <v>38</v>
      </c>
      <c r="F412" s="90" t="s">
        <v>28</v>
      </c>
      <c r="G412" s="90" t="s">
        <v>1000</v>
      </c>
      <c r="H412" s="304">
        <v>2</v>
      </c>
      <c r="I412" s="93">
        <v>185</v>
      </c>
      <c r="J412" s="92"/>
      <c r="K412" s="93">
        <v>27</v>
      </c>
      <c r="L412" s="92"/>
      <c r="M412" s="93">
        <v>53.08</v>
      </c>
      <c r="N412" s="93">
        <v>0</v>
      </c>
      <c r="O412" s="93">
        <v>0</v>
      </c>
      <c r="P412" s="93">
        <v>64.989999999999995</v>
      </c>
      <c r="Q412" s="93">
        <v>2.0099999999999998</v>
      </c>
      <c r="R412" s="92"/>
      <c r="S412" s="92"/>
      <c r="T412" s="93">
        <v>10.28</v>
      </c>
      <c r="U412" s="93">
        <v>0</v>
      </c>
      <c r="V412" s="92"/>
      <c r="W412" s="92"/>
      <c r="X412" s="93">
        <v>157.36000000000001</v>
      </c>
      <c r="Y412" s="92"/>
      <c r="Z412" s="92"/>
      <c r="AA412" s="92"/>
      <c r="AB412" s="92"/>
      <c r="AC412" s="92"/>
      <c r="AD412" s="92"/>
      <c r="AE412" s="92"/>
      <c r="AF412" s="92"/>
      <c r="AG412" s="93">
        <v>0</v>
      </c>
      <c r="AH412" s="92"/>
      <c r="AI412" s="93">
        <v>157.36000000000001</v>
      </c>
      <c r="AJ412" s="93">
        <v>0</v>
      </c>
    </row>
    <row r="413" spans="1:36" customFormat="1" ht="15.75" thickBot="1" x14ac:dyDescent="0.3">
      <c r="A413" s="90" t="s">
        <v>999</v>
      </c>
      <c r="B413" s="626" t="str">
        <f>VLOOKUP($D413,'Retail Rates'!$B$7:$D$38,2,FALSE)</f>
        <v>861</v>
      </c>
      <c r="C413" s="626" t="str">
        <f>VLOOKUP($D413,'Retail Rates'!$B$7:$D$38,3,FALSE)</f>
        <v>CGS</v>
      </c>
      <c r="D413" s="90" t="s">
        <v>29</v>
      </c>
      <c r="E413" s="90" t="s">
        <v>30</v>
      </c>
      <c r="F413" s="90" t="s">
        <v>17</v>
      </c>
      <c r="G413" s="90" t="s">
        <v>1000</v>
      </c>
      <c r="H413" s="304">
        <v>610</v>
      </c>
      <c r="I413" s="93">
        <v>613</v>
      </c>
      <c r="J413" s="92"/>
      <c r="K413" s="93">
        <v>24800</v>
      </c>
      <c r="L413" s="92"/>
      <c r="M413" s="93">
        <v>134.77000000000001</v>
      </c>
      <c r="N413" s="93">
        <v>2.44</v>
      </c>
      <c r="O413" s="93">
        <v>0</v>
      </c>
      <c r="P413" s="93">
        <v>214.55</v>
      </c>
      <c r="Q413" s="93">
        <v>0</v>
      </c>
      <c r="R413" s="92"/>
      <c r="S413" s="92"/>
      <c r="T413" s="92"/>
      <c r="U413" s="93">
        <v>0</v>
      </c>
      <c r="V413" s="92"/>
      <c r="W413" s="92"/>
      <c r="X413" s="93">
        <v>25149.32</v>
      </c>
      <c r="Y413" s="92"/>
      <c r="Z413" s="92"/>
      <c r="AA413" s="92"/>
      <c r="AB413" s="92"/>
      <c r="AC413" s="92"/>
      <c r="AD413" s="92"/>
      <c r="AE413" s="92"/>
      <c r="AF413" s="92"/>
      <c r="AG413" s="93">
        <v>1591.06</v>
      </c>
      <c r="AH413" s="92"/>
      <c r="AI413" s="93">
        <v>26742.82</v>
      </c>
      <c r="AJ413" s="93">
        <v>0</v>
      </c>
    </row>
    <row r="414" spans="1:36" customFormat="1" ht="15.75" thickBot="1" x14ac:dyDescent="0.3">
      <c r="A414" s="90" t="s">
        <v>1018</v>
      </c>
      <c r="B414" s="626" t="str">
        <f>VLOOKUP($D414,'Retail Rates'!$B$7:$D$38,2,FALSE)</f>
        <v>851</v>
      </c>
      <c r="C414" s="626" t="str">
        <f>VLOOKUP($D414,'Retail Rates'!$B$7:$D$38,3,FALSE)</f>
        <v>CGS</v>
      </c>
      <c r="D414" s="90" t="s">
        <v>26</v>
      </c>
      <c r="E414" s="90" t="s">
        <v>875</v>
      </c>
      <c r="F414" s="90" t="s">
        <v>17</v>
      </c>
      <c r="G414" s="90" t="s">
        <v>913</v>
      </c>
      <c r="H414" s="304">
        <v>1</v>
      </c>
      <c r="I414" s="93">
        <v>0</v>
      </c>
      <c r="J414" s="92"/>
      <c r="K414" s="93">
        <v>0</v>
      </c>
      <c r="L414" s="92"/>
      <c r="M414" s="93">
        <v>0</v>
      </c>
      <c r="N414" s="93">
        <v>-0.02</v>
      </c>
      <c r="O414" s="92"/>
      <c r="P414" s="93">
        <v>0</v>
      </c>
      <c r="Q414" s="93">
        <v>0</v>
      </c>
      <c r="R414" s="93">
        <v>-0.88</v>
      </c>
      <c r="S414" s="92"/>
      <c r="T414" s="93">
        <v>0</v>
      </c>
      <c r="U414" s="92"/>
      <c r="V414" s="92"/>
      <c r="W414" s="92"/>
      <c r="X414" s="93">
        <v>-0.88</v>
      </c>
      <c r="Y414" s="92"/>
      <c r="Z414" s="92"/>
      <c r="AA414" s="92"/>
      <c r="AB414" s="92"/>
      <c r="AC414" s="92"/>
      <c r="AD414" s="92"/>
      <c r="AE414" s="92"/>
      <c r="AF414" s="92"/>
      <c r="AG414" s="93">
        <v>-0.05</v>
      </c>
      <c r="AH414" s="92"/>
      <c r="AI414" s="93">
        <v>-0.95</v>
      </c>
      <c r="AJ414" s="93">
        <v>0</v>
      </c>
    </row>
    <row r="415" spans="1:36" customFormat="1" ht="15.75" thickBot="1" x14ac:dyDescent="0.3">
      <c r="A415" s="90" t="s">
        <v>1018</v>
      </c>
      <c r="B415" s="626" t="str">
        <f>VLOOKUP($D415,'Retail Rates'!$B$7:$D$38,2,FALSE)</f>
        <v>851</v>
      </c>
      <c r="C415" s="626" t="str">
        <f>VLOOKUP($D415,'Retail Rates'!$B$7:$D$38,3,FALSE)</f>
        <v>CGS</v>
      </c>
      <c r="D415" s="90" t="s">
        <v>26</v>
      </c>
      <c r="E415" s="90" t="s">
        <v>875</v>
      </c>
      <c r="F415" s="90" t="s">
        <v>17</v>
      </c>
      <c r="G415" s="90" t="s">
        <v>914</v>
      </c>
      <c r="H415" s="305">
        <v>3</v>
      </c>
      <c r="I415" s="95">
        <v>-454</v>
      </c>
      <c r="J415" s="94"/>
      <c r="K415" s="95">
        <v>0</v>
      </c>
      <c r="L415" s="94"/>
      <c r="M415" s="95">
        <v>-97.62</v>
      </c>
      <c r="N415" s="95">
        <v>-5.05</v>
      </c>
      <c r="O415" s="95">
        <v>0</v>
      </c>
      <c r="P415" s="95">
        <v>-151.94999999999999</v>
      </c>
      <c r="Q415" s="95">
        <v>-0.24</v>
      </c>
      <c r="R415" s="95">
        <v>-2.15</v>
      </c>
      <c r="S415" s="94"/>
      <c r="T415" s="95">
        <v>0</v>
      </c>
      <c r="U415" s="95">
        <v>0</v>
      </c>
      <c r="V415" s="94"/>
      <c r="W415" s="94"/>
      <c r="X415" s="95">
        <v>-251.96</v>
      </c>
      <c r="Y415" s="94"/>
      <c r="Z415" s="94"/>
      <c r="AA415" s="94"/>
      <c r="AB415" s="94"/>
      <c r="AC415" s="94"/>
      <c r="AD415" s="94"/>
      <c r="AE415" s="94"/>
      <c r="AF415" s="94"/>
      <c r="AG415" s="95">
        <v>-15.42</v>
      </c>
      <c r="AH415" s="94"/>
      <c r="AI415" s="95">
        <v>-272.43</v>
      </c>
      <c r="AJ415" s="95">
        <v>0</v>
      </c>
    </row>
    <row r="416" spans="1:36" customFormat="1" ht="15.75" thickBot="1" x14ac:dyDescent="0.3">
      <c r="A416" s="90" t="s">
        <v>1018</v>
      </c>
      <c r="B416" s="626" t="str">
        <f>VLOOKUP($D416,'Retail Rates'!$B$7:$D$38,2,FALSE)</f>
        <v>851</v>
      </c>
      <c r="C416" s="626" t="str">
        <f>VLOOKUP($D416,'Retail Rates'!$B$7:$D$38,3,FALSE)</f>
        <v>CGS</v>
      </c>
      <c r="D416" s="90" t="s">
        <v>26</v>
      </c>
      <c r="E416" s="90" t="s">
        <v>875</v>
      </c>
      <c r="F416" s="90" t="s">
        <v>17</v>
      </c>
      <c r="G416" s="90" t="s">
        <v>915</v>
      </c>
      <c r="H416" s="304">
        <v>5</v>
      </c>
      <c r="I416" s="93">
        <v>-5116</v>
      </c>
      <c r="J416" s="92"/>
      <c r="K416" s="93">
        <v>0</v>
      </c>
      <c r="L416" s="92"/>
      <c r="M416" s="93">
        <v>-1100.1400000000001</v>
      </c>
      <c r="N416" s="93">
        <v>-7.34</v>
      </c>
      <c r="O416" s="93">
        <v>0</v>
      </c>
      <c r="P416" s="93">
        <v>-1654.69</v>
      </c>
      <c r="Q416" s="93">
        <v>-2.76</v>
      </c>
      <c r="R416" s="93">
        <v>-543.17999999999995</v>
      </c>
      <c r="S416" s="92"/>
      <c r="T416" s="93">
        <v>0</v>
      </c>
      <c r="U416" s="93">
        <v>0</v>
      </c>
      <c r="V416" s="92"/>
      <c r="W416" s="92"/>
      <c r="X416" s="93">
        <v>-3300.77</v>
      </c>
      <c r="Y416" s="92"/>
      <c r="Z416" s="92"/>
      <c r="AA416" s="92"/>
      <c r="AB416" s="92"/>
      <c r="AC416" s="92"/>
      <c r="AD416" s="92"/>
      <c r="AE416" s="92"/>
      <c r="AF416" s="92"/>
      <c r="AG416" s="93">
        <v>-198.47</v>
      </c>
      <c r="AH416" s="92"/>
      <c r="AI416" s="93">
        <v>-3506.58</v>
      </c>
      <c r="AJ416" s="93">
        <v>0</v>
      </c>
    </row>
    <row r="417" spans="1:36" customFormat="1" ht="15.75" thickBot="1" x14ac:dyDescent="0.3">
      <c r="A417" s="90" t="s">
        <v>1018</v>
      </c>
      <c r="B417" s="626" t="str">
        <f>VLOOKUP($D417,'Retail Rates'!$B$7:$D$38,2,FALSE)</f>
        <v>851</v>
      </c>
      <c r="C417" s="626" t="str">
        <f>VLOOKUP($D417,'Retail Rates'!$B$7:$D$38,3,FALSE)</f>
        <v>CGS</v>
      </c>
      <c r="D417" s="90" t="s">
        <v>26</v>
      </c>
      <c r="E417" s="90" t="s">
        <v>875</v>
      </c>
      <c r="F417" s="90" t="s">
        <v>17</v>
      </c>
      <c r="G417" s="90" t="s">
        <v>917</v>
      </c>
      <c r="H417" s="305">
        <v>11</v>
      </c>
      <c r="I417" s="95">
        <v>-1615</v>
      </c>
      <c r="J417" s="95">
        <v>-6904</v>
      </c>
      <c r="K417" s="95">
        <v>41.33</v>
      </c>
      <c r="L417" s="94"/>
      <c r="M417" s="95">
        <v>-1486.72</v>
      </c>
      <c r="N417" s="95">
        <v>0</v>
      </c>
      <c r="O417" s="95">
        <v>0</v>
      </c>
      <c r="P417" s="95">
        <v>-2755.3</v>
      </c>
      <c r="Q417" s="95">
        <v>-4.84</v>
      </c>
      <c r="R417" s="95">
        <v>-449.57</v>
      </c>
      <c r="S417" s="94"/>
      <c r="T417" s="95">
        <v>26.73</v>
      </c>
      <c r="U417" s="95">
        <v>0</v>
      </c>
      <c r="V417" s="94"/>
      <c r="W417" s="94"/>
      <c r="X417" s="95">
        <v>-4628.37</v>
      </c>
      <c r="Y417" s="94"/>
      <c r="Z417" s="94"/>
      <c r="AA417" s="94"/>
      <c r="AB417" s="94"/>
      <c r="AC417" s="94"/>
      <c r="AD417" s="94"/>
      <c r="AE417" s="94"/>
      <c r="AF417" s="94"/>
      <c r="AG417" s="95">
        <v>-277.7</v>
      </c>
      <c r="AH417" s="94"/>
      <c r="AI417" s="95">
        <v>-4906.07</v>
      </c>
      <c r="AJ417" s="95">
        <v>0</v>
      </c>
    </row>
    <row r="418" spans="1:36" customFormat="1" ht="15.75" thickBot="1" x14ac:dyDescent="0.3">
      <c r="A418" s="90" t="s">
        <v>1018</v>
      </c>
      <c r="B418" s="626" t="str">
        <f>VLOOKUP($D418,'Retail Rates'!$B$7:$D$38,2,FALSE)</f>
        <v>851</v>
      </c>
      <c r="C418" s="626" t="str">
        <f>VLOOKUP($D418,'Retail Rates'!$B$7:$D$38,3,FALSE)</f>
        <v>CGS</v>
      </c>
      <c r="D418" s="90" t="s">
        <v>26</v>
      </c>
      <c r="E418" s="90" t="s">
        <v>875</v>
      </c>
      <c r="F418" s="90" t="s">
        <v>17</v>
      </c>
      <c r="G418" s="90" t="s">
        <v>918</v>
      </c>
      <c r="H418" s="304">
        <v>22</v>
      </c>
      <c r="I418" s="93">
        <v>-465</v>
      </c>
      <c r="J418" s="92"/>
      <c r="K418" s="93">
        <v>29.33</v>
      </c>
      <c r="L418" s="92"/>
      <c r="M418" s="93">
        <v>-99.98</v>
      </c>
      <c r="N418" s="93">
        <v>0</v>
      </c>
      <c r="O418" s="93">
        <v>0</v>
      </c>
      <c r="P418" s="93">
        <v>-152.83000000000001</v>
      </c>
      <c r="Q418" s="93">
        <v>-0.27</v>
      </c>
      <c r="R418" s="92"/>
      <c r="S418" s="92"/>
      <c r="T418" s="93">
        <v>19.79</v>
      </c>
      <c r="U418" s="93">
        <v>0</v>
      </c>
      <c r="V418" s="92"/>
      <c r="W418" s="92"/>
      <c r="X418" s="93">
        <v>-203.96</v>
      </c>
      <c r="Y418" s="92"/>
      <c r="Z418" s="92"/>
      <c r="AA418" s="92"/>
      <c r="AB418" s="92"/>
      <c r="AC418" s="92"/>
      <c r="AD418" s="92"/>
      <c r="AE418" s="92"/>
      <c r="AF418" s="92"/>
      <c r="AG418" s="93">
        <v>-2.57</v>
      </c>
      <c r="AH418" s="92"/>
      <c r="AI418" s="93">
        <v>-206.53</v>
      </c>
      <c r="AJ418" s="93">
        <v>0</v>
      </c>
    </row>
    <row r="419" spans="1:36" customFormat="1" ht="15.75" thickBot="1" x14ac:dyDescent="0.3">
      <c r="A419" s="90" t="s">
        <v>1018</v>
      </c>
      <c r="B419" s="626" t="str">
        <f>VLOOKUP($D419,'Retail Rates'!$B$7:$D$38,2,FALSE)</f>
        <v>851</v>
      </c>
      <c r="C419" s="626" t="str">
        <f>VLOOKUP($D419,'Retail Rates'!$B$7:$D$38,3,FALSE)</f>
        <v>CGS</v>
      </c>
      <c r="D419" s="90" t="s">
        <v>26</v>
      </c>
      <c r="E419" s="90" t="s">
        <v>875</v>
      </c>
      <c r="F419" s="90" t="s">
        <v>17</v>
      </c>
      <c r="G419" s="90" t="s">
        <v>1000</v>
      </c>
      <c r="H419" s="305">
        <v>451</v>
      </c>
      <c r="I419" s="95">
        <v>15067</v>
      </c>
      <c r="J419" s="95">
        <v>-148</v>
      </c>
      <c r="K419" s="95">
        <v>11998.63</v>
      </c>
      <c r="L419" s="95">
        <v>2646</v>
      </c>
      <c r="M419" s="95">
        <v>3215.92</v>
      </c>
      <c r="N419" s="95">
        <v>0</v>
      </c>
      <c r="O419" s="95">
        <v>0</v>
      </c>
      <c r="P419" s="95">
        <v>5241.07</v>
      </c>
      <c r="Q419" s="95">
        <v>8.3800000000000008</v>
      </c>
      <c r="R419" s="94"/>
      <c r="S419" s="94"/>
      <c r="T419" s="95">
        <v>8625.01</v>
      </c>
      <c r="U419" s="95">
        <v>0</v>
      </c>
      <c r="V419" s="94"/>
      <c r="W419" s="94"/>
      <c r="X419" s="95">
        <v>31735.01</v>
      </c>
      <c r="Y419" s="94"/>
      <c r="Z419" s="94"/>
      <c r="AA419" s="94"/>
      <c r="AB419" s="94"/>
      <c r="AC419" s="94"/>
      <c r="AD419" s="94"/>
      <c r="AE419" s="94"/>
      <c r="AF419" s="94"/>
      <c r="AG419" s="95">
        <v>1368.37</v>
      </c>
      <c r="AH419" s="94"/>
      <c r="AI419" s="95">
        <v>33103.379999999997</v>
      </c>
      <c r="AJ419" s="95">
        <v>0</v>
      </c>
    </row>
    <row r="420" spans="1:36" customFormat="1" ht="15.75" thickBot="1" x14ac:dyDescent="0.3">
      <c r="A420" s="90" t="s">
        <v>1018</v>
      </c>
      <c r="B420" s="626" t="str">
        <f>VLOOKUP($D420,'Retail Rates'!$B$7:$D$38,2,FALSE)</f>
        <v>851</v>
      </c>
      <c r="C420" s="626" t="str">
        <f>VLOOKUP($D420,'Retail Rates'!$B$7:$D$38,3,FALSE)</f>
        <v>CGS</v>
      </c>
      <c r="D420" s="90" t="s">
        <v>26</v>
      </c>
      <c r="E420" s="90" t="s">
        <v>875</v>
      </c>
      <c r="F420" s="90" t="s">
        <v>17</v>
      </c>
      <c r="G420" s="90" t="s">
        <v>1019</v>
      </c>
      <c r="H420" s="304">
        <v>23102</v>
      </c>
      <c r="I420" s="93">
        <v>1739581</v>
      </c>
      <c r="J420" s="93">
        <v>748256</v>
      </c>
      <c r="K420" s="93">
        <v>889672.66</v>
      </c>
      <c r="L420" s="93">
        <v>147738</v>
      </c>
      <c r="M420" s="93">
        <v>497591.55</v>
      </c>
      <c r="N420" s="93">
        <v>1155.32</v>
      </c>
      <c r="O420" s="93">
        <v>0</v>
      </c>
      <c r="P420" s="93">
        <v>874044.47</v>
      </c>
      <c r="Q420" s="93">
        <v>1412.61</v>
      </c>
      <c r="R420" s="92"/>
      <c r="S420" s="92"/>
      <c r="T420" s="93">
        <v>632145.41</v>
      </c>
      <c r="U420" s="93">
        <v>0</v>
      </c>
      <c r="V420" s="92"/>
      <c r="W420" s="92"/>
      <c r="X420" s="93">
        <v>3042604.7</v>
      </c>
      <c r="Y420" s="92"/>
      <c r="Z420" s="92"/>
      <c r="AA420" s="92"/>
      <c r="AB420" s="92"/>
      <c r="AC420" s="92"/>
      <c r="AD420" s="92"/>
      <c r="AE420" s="92"/>
      <c r="AF420" s="92"/>
      <c r="AG420" s="93">
        <v>175914.86</v>
      </c>
      <c r="AH420" s="92"/>
      <c r="AI420" s="93">
        <v>3219674.88</v>
      </c>
      <c r="AJ420" s="93">
        <v>0</v>
      </c>
    </row>
    <row r="421" spans="1:36" customFormat="1" ht="15.75" thickBot="1" x14ac:dyDescent="0.3">
      <c r="A421" s="90" t="s">
        <v>1018</v>
      </c>
      <c r="B421" s="626" t="str">
        <f>VLOOKUP($D421,'Retail Rates'!$B$7:$D$38,2,FALSE)</f>
        <v>851</v>
      </c>
      <c r="C421" s="626" t="str">
        <f>VLOOKUP($D421,'Retail Rates'!$B$7:$D$38,3,FALSE)</f>
        <v>CGS</v>
      </c>
      <c r="D421" s="90" t="s">
        <v>26</v>
      </c>
      <c r="E421" s="90" t="s">
        <v>875</v>
      </c>
      <c r="F421" s="90" t="s">
        <v>20</v>
      </c>
      <c r="G421" s="90" t="s">
        <v>914</v>
      </c>
      <c r="H421" s="304">
        <v>1</v>
      </c>
      <c r="I421" s="93">
        <v>-1959</v>
      </c>
      <c r="J421" s="92"/>
      <c r="K421" s="93">
        <v>-40</v>
      </c>
      <c r="L421" s="92"/>
      <c r="M421" s="93">
        <v>-421.26</v>
      </c>
      <c r="N421" s="93">
        <v>-23.11</v>
      </c>
      <c r="O421" s="93">
        <v>0</v>
      </c>
      <c r="P421" s="93">
        <v>-638.79</v>
      </c>
      <c r="Q421" s="93">
        <v>-1.06</v>
      </c>
      <c r="R421" s="93">
        <v>-29.02</v>
      </c>
      <c r="S421" s="92"/>
      <c r="T421" s="93">
        <v>-25.56</v>
      </c>
      <c r="U421" s="93">
        <v>0</v>
      </c>
      <c r="V421" s="92"/>
      <c r="W421" s="92"/>
      <c r="X421" s="93">
        <v>-1155.69</v>
      </c>
      <c r="Y421" s="92"/>
      <c r="Z421" s="92"/>
      <c r="AA421" s="92"/>
      <c r="AB421" s="92"/>
      <c r="AC421" s="92"/>
      <c r="AD421" s="92"/>
      <c r="AE421" s="92"/>
      <c r="AF421" s="92"/>
      <c r="AG421" s="93">
        <v>0</v>
      </c>
      <c r="AH421" s="92"/>
      <c r="AI421" s="93">
        <v>-1178.8</v>
      </c>
      <c r="AJ421" s="93">
        <v>0</v>
      </c>
    </row>
    <row r="422" spans="1:36" customFormat="1" ht="15.75" thickBot="1" x14ac:dyDescent="0.3">
      <c r="A422" s="90" t="s">
        <v>1018</v>
      </c>
      <c r="B422" s="626" t="str">
        <f>VLOOKUP($D422,'Retail Rates'!$B$7:$D$38,2,FALSE)</f>
        <v>851</v>
      </c>
      <c r="C422" s="626" t="str">
        <f>VLOOKUP($D422,'Retail Rates'!$B$7:$D$38,3,FALSE)</f>
        <v>CGS</v>
      </c>
      <c r="D422" s="90" t="s">
        <v>26</v>
      </c>
      <c r="E422" s="90" t="s">
        <v>875</v>
      </c>
      <c r="F422" s="90" t="s">
        <v>20</v>
      </c>
      <c r="G422" s="90" t="s">
        <v>915</v>
      </c>
      <c r="H422" s="305">
        <v>2</v>
      </c>
      <c r="I422" s="95">
        <v>-1676</v>
      </c>
      <c r="J422" s="94"/>
      <c r="K422" s="95">
        <v>0</v>
      </c>
      <c r="L422" s="95">
        <v>-180</v>
      </c>
      <c r="M422" s="95">
        <v>-360.41</v>
      </c>
      <c r="N422" s="95">
        <v>-24.18</v>
      </c>
      <c r="O422" s="95">
        <v>0</v>
      </c>
      <c r="P422" s="95">
        <v>-542.07000000000005</v>
      </c>
      <c r="Q422" s="95">
        <v>-0.9</v>
      </c>
      <c r="R422" s="95">
        <v>-99.92</v>
      </c>
      <c r="S422" s="94"/>
      <c r="T422" s="95">
        <v>-25.87</v>
      </c>
      <c r="U422" s="95">
        <v>0</v>
      </c>
      <c r="V422" s="94"/>
      <c r="W422" s="94"/>
      <c r="X422" s="95">
        <v>-1209.17</v>
      </c>
      <c r="Y422" s="94"/>
      <c r="Z422" s="94"/>
      <c r="AA422" s="94"/>
      <c r="AB422" s="94"/>
      <c r="AC422" s="94"/>
      <c r="AD422" s="94"/>
      <c r="AE422" s="94"/>
      <c r="AF422" s="94"/>
      <c r="AG422" s="95">
        <v>0</v>
      </c>
      <c r="AH422" s="94"/>
      <c r="AI422" s="95">
        <v>-1233.3499999999999</v>
      </c>
      <c r="AJ422" s="95">
        <v>0</v>
      </c>
    </row>
    <row r="423" spans="1:36" customFormat="1" ht="15.75" thickBot="1" x14ac:dyDescent="0.3">
      <c r="A423" s="90" t="s">
        <v>1018</v>
      </c>
      <c r="B423" s="626" t="str">
        <f>VLOOKUP($D423,'Retail Rates'!$B$7:$D$38,2,FALSE)</f>
        <v>851</v>
      </c>
      <c r="C423" s="626" t="str">
        <f>VLOOKUP($D423,'Retail Rates'!$B$7:$D$38,3,FALSE)</f>
        <v>CGS</v>
      </c>
      <c r="D423" s="90" t="s">
        <v>26</v>
      </c>
      <c r="E423" s="90" t="s">
        <v>875</v>
      </c>
      <c r="F423" s="90" t="s">
        <v>20</v>
      </c>
      <c r="G423" s="90" t="s">
        <v>917</v>
      </c>
      <c r="H423" s="304">
        <v>1</v>
      </c>
      <c r="I423" s="93">
        <v>-1000</v>
      </c>
      <c r="J423" s="93">
        <v>-562</v>
      </c>
      <c r="K423" s="93">
        <v>0</v>
      </c>
      <c r="L423" s="93">
        <v>-180</v>
      </c>
      <c r="M423" s="93">
        <v>-307.79000000000002</v>
      </c>
      <c r="N423" s="93">
        <v>0</v>
      </c>
      <c r="O423" s="93">
        <v>0</v>
      </c>
      <c r="P423" s="93">
        <v>-505.2</v>
      </c>
      <c r="Q423" s="93">
        <v>-0.89</v>
      </c>
      <c r="R423" s="93">
        <v>-25.85</v>
      </c>
      <c r="S423" s="92"/>
      <c r="T423" s="93">
        <v>-25.87</v>
      </c>
      <c r="U423" s="93">
        <v>0</v>
      </c>
      <c r="V423" s="92"/>
      <c r="W423" s="92"/>
      <c r="X423" s="93">
        <v>-1045.5999999999999</v>
      </c>
      <c r="Y423" s="92"/>
      <c r="Z423" s="92"/>
      <c r="AA423" s="92"/>
      <c r="AB423" s="92"/>
      <c r="AC423" s="92"/>
      <c r="AD423" s="92"/>
      <c r="AE423" s="92"/>
      <c r="AF423" s="92"/>
      <c r="AG423" s="93">
        <v>0</v>
      </c>
      <c r="AH423" s="92"/>
      <c r="AI423" s="93">
        <v>-1045.5999999999999</v>
      </c>
      <c r="AJ423" s="93">
        <v>0</v>
      </c>
    </row>
    <row r="424" spans="1:36" customFormat="1" ht="15.75" thickBot="1" x14ac:dyDescent="0.3">
      <c r="A424" s="90" t="s">
        <v>1018</v>
      </c>
      <c r="B424" s="626" t="str">
        <f>VLOOKUP($D424,'Retail Rates'!$B$7:$D$38,2,FALSE)</f>
        <v>851</v>
      </c>
      <c r="C424" s="626" t="str">
        <f>VLOOKUP($D424,'Retail Rates'!$B$7:$D$38,3,FALSE)</f>
        <v>CGS</v>
      </c>
      <c r="D424" s="90" t="s">
        <v>26</v>
      </c>
      <c r="E424" s="90" t="s">
        <v>875</v>
      </c>
      <c r="F424" s="90" t="s">
        <v>20</v>
      </c>
      <c r="G424" s="90" t="s">
        <v>918</v>
      </c>
      <c r="H424" s="305">
        <v>1</v>
      </c>
      <c r="I424" s="95">
        <v>-1000</v>
      </c>
      <c r="J424" s="95">
        <v>-396</v>
      </c>
      <c r="K424" s="95">
        <v>0</v>
      </c>
      <c r="L424" s="95">
        <v>-180</v>
      </c>
      <c r="M424" s="95">
        <v>-280.39999999999998</v>
      </c>
      <c r="N424" s="95">
        <v>0</v>
      </c>
      <c r="O424" s="95">
        <v>0</v>
      </c>
      <c r="P424" s="95">
        <v>-481.28</v>
      </c>
      <c r="Q424" s="95">
        <v>-0.8</v>
      </c>
      <c r="R424" s="94"/>
      <c r="S424" s="94"/>
      <c r="T424" s="95">
        <v>-27.12</v>
      </c>
      <c r="U424" s="95">
        <v>0</v>
      </c>
      <c r="V424" s="94"/>
      <c r="W424" s="94"/>
      <c r="X424" s="95">
        <v>-969.6</v>
      </c>
      <c r="Y424" s="94"/>
      <c r="Z424" s="94"/>
      <c r="AA424" s="94"/>
      <c r="AB424" s="94"/>
      <c r="AC424" s="94"/>
      <c r="AD424" s="94"/>
      <c r="AE424" s="94"/>
      <c r="AF424" s="94"/>
      <c r="AG424" s="95">
        <v>0</v>
      </c>
      <c r="AH424" s="94"/>
      <c r="AI424" s="95">
        <v>-969.6</v>
      </c>
      <c r="AJ424" s="95">
        <v>0</v>
      </c>
    </row>
    <row r="425" spans="1:36" customFormat="1" ht="15.75" thickBot="1" x14ac:dyDescent="0.3">
      <c r="A425" s="90" t="s">
        <v>1018</v>
      </c>
      <c r="B425" s="626" t="str">
        <f>VLOOKUP($D425,'Retail Rates'!$B$7:$D$38,2,FALSE)</f>
        <v>851</v>
      </c>
      <c r="C425" s="626" t="str">
        <f>VLOOKUP($D425,'Retail Rates'!$B$7:$D$38,3,FALSE)</f>
        <v>CGS</v>
      </c>
      <c r="D425" s="90" t="s">
        <v>26</v>
      </c>
      <c r="E425" s="90" t="s">
        <v>875</v>
      </c>
      <c r="F425" s="90" t="s">
        <v>20</v>
      </c>
      <c r="G425" s="90" t="s">
        <v>1000</v>
      </c>
      <c r="H425" s="304">
        <v>58</v>
      </c>
      <c r="I425" s="93">
        <v>7668</v>
      </c>
      <c r="J425" s="93">
        <v>6272</v>
      </c>
      <c r="K425" s="93">
        <v>1624</v>
      </c>
      <c r="L425" s="93">
        <v>2700</v>
      </c>
      <c r="M425" s="93">
        <v>2684.13</v>
      </c>
      <c r="N425" s="93">
        <v>3.35</v>
      </c>
      <c r="O425" s="93">
        <v>0</v>
      </c>
      <c r="P425" s="93">
        <v>4897.1099999999997</v>
      </c>
      <c r="Q425" s="93">
        <v>7.92</v>
      </c>
      <c r="R425" s="92"/>
      <c r="S425" s="92"/>
      <c r="T425" s="93">
        <v>1524</v>
      </c>
      <c r="U425" s="93">
        <v>0</v>
      </c>
      <c r="V425" s="92"/>
      <c r="W425" s="92"/>
      <c r="X425" s="93">
        <v>13437.16</v>
      </c>
      <c r="Y425" s="92"/>
      <c r="Z425" s="92"/>
      <c r="AA425" s="92"/>
      <c r="AB425" s="92"/>
      <c r="AC425" s="92"/>
      <c r="AD425" s="92"/>
      <c r="AE425" s="92"/>
      <c r="AF425" s="92"/>
      <c r="AG425" s="93">
        <v>62.69</v>
      </c>
      <c r="AH425" s="92"/>
      <c r="AI425" s="93">
        <v>13503.2</v>
      </c>
      <c r="AJ425" s="93">
        <v>0</v>
      </c>
    </row>
    <row r="426" spans="1:36" customFormat="1" ht="15.75" thickBot="1" x14ac:dyDescent="0.3">
      <c r="A426" s="90" t="s">
        <v>1018</v>
      </c>
      <c r="B426" s="626" t="str">
        <f>VLOOKUP($D426,'Retail Rates'!$B$7:$D$38,2,FALSE)</f>
        <v>851</v>
      </c>
      <c r="C426" s="626" t="str">
        <f>VLOOKUP($D426,'Retail Rates'!$B$7:$D$38,3,FALSE)</f>
        <v>CGS</v>
      </c>
      <c r="D426" s="90" t="s">
        <v>26</v>
      </c>
      <c r="E426" s="90" t="s">
        <v>875</v>
      </c>
      <c r="F426" s="90" t="s">
        <v>20</v>
      </c>
      <c r="G426" s="90" t="s">
        <v>1019</v>
      </c>
      <c r="H426" s="305">
        <v>1031</v>
      </c>
      <c r="I426" s="95">
        <v>116733</v>
      </c>
      <c r="J426" s="95">
        <v>115591</v>
      </c>
      <c r="K426" s="95">
        <v>31640</v>
      </c>
      <c r="L426" s="95">
        <v>43200</v>
      </c>
      <c r="M426" s="95">
        <v>44180.24</v>
      </c>
      <c r="N426" s="95">
        <v>83.61</v>
      </c>
      <c r="O426" s="95">
        <v>0</v>
      </c>
      <c r="P426" s="95">
        <v>81617.63</v>
      </c>
      <c r="Q426" s="95">
        <v>132.25</v>
      </c>
      <c r="R426" s="94"/>
      <c r="S426" s="94"/>
      <c r="T426" s="95">
        <v>28259.71</v>
      </c>
      <c r="U426" s="95">
        <v>0</v>
      </c>
      <c r="V426" s="94"/>
      <c r="W426" s="94"/>
      <c r="X426" s="95">
        <v>229029.83</v>
      </c>
      <c r="Y426" s="94"/>
      <c r="Z426" s="94"/>
      <c r="AA426" s="94"/>
      <c r="AB426" s="94"/>
      <c r="AC426" s="94"/>
      <c r="AD426" s="94"/>
      <c r="AE426" s="94"/>
      <c r="AF426" s="94"/>
      <c r="AG426" s="95">
        <v>1635.91</v>
      </c>
      <c r="AH426" s="94"/>
      <c r="AI426" s="95">
        <v>230749.35</v>
      </c>
      <c r="AJ426" s="95">
        <v>0</v>
      </c>
    </row>
    <row r="427" spans="1:36" customFormat="1" ht="15.75" thickBot="1" x14ac:dyDescent="0.3">
      <c r="A427" s="90" t="s">
        <v>1018</v>
      </c>
      <c r="B427" s="626" t="str">
        <f>VLOOKUP($D427,'Retail Rates'!$B$7:$D$38,2,FALSE)</f>
        <v>851</v>
      </c>
      <c r="C427" s="626" t="str">
        <f>VLOOKUP($D427,'Retail Rates'!$B$7:$D$38,3,FALSE)</f>
        <v>CGS</v>
      </c>
      <c r="D427" s="90" t="s">
        <v>26</v>
      </c>
      <c r="E427" s="90" t="s">
        <v>875</v>
      </c>
      <c r="F427" s="90" t="s">
        <v>28</v>
      </c>
      <c r="G427" s="90" t="s">
        <v>1019</v>
      </c>
      <c r="H427" s="305">
        <v>12</v>
      </c>
      <c r="I427" s="95">
        <v>1189</v>
      </c>
      <c r="J427" s="95">
        <v>7</v>
      </c>
      <c r="K427" s="95">
        <v>480</v>
      </c>
      <c r="L427" s="94"/>
      <c r="M427" s="95">
        <v>256.85000000000002</v>
      </c>
      <c r="N427" s="95">
        <v>0</v>
      </c>
      <c r="O427" s="95">
        <v>0</v>
      </c>
      <c r="P427" s="95">
        <v>420.18</v>
      </c>
      <c r="Q427" s="95">
        <v>0.69</v>
      </c>
      <c r="R427" s="94"/>
      <c r="S427" s="94"/>
      <c r="T427" s="95">
        <v>328.92</v>
      </c>
      <c r="U427" s="95">
        <v>0</v>
      </c>
      <c r="V427" s="94"/>
      <c r="W427" s="94"/>
      <c r="X427" s="95">
        <v>1486.64</v>
      </c>
      <c r="Y427" s="94"/>
      <c r="Z427" s="94"/>
      <c r="AA427" s="94"/>
      <c r="AB427" s="94"/>
      <c r="AC427" s="94"/>
      <c r="AD427" s="94"/>
      <c r="AE427" s="94"/>
      <c r="AF427" s="94"/>
      <c r="AG427" s="95">
        <v>7.91</v>
      </c>
      <c r="AH427" s="94"/>
      <c r="AI427" s="95">
        <v>1494.55</v>
      </c>
      <c r="AJ427" s="95">
        <v>0</v>
      </c>
    </row>
    <row r="428" spans="1:36" customFormat="1" ht="15.75" thickBot="1" x14ac:dyDescent="0.3">
      <c r="A428" s="90" t="s">
        <v>1018</v>
      </c>
      <c r="B428" s="626" t="str">
        <f>VLOOKUP($D428,'Retail Rates'!$B$7:$D$38,2,FALSE)</f>
        <v>851</v>
      </c>
      <c r="C428" s="626" t="str">
        <f>VLOOKUP($D428,'Retail Rates'!$B$7:$D$38,3,FALSE)</f>
        <v>CGS</v>
      </c>
      <c r="D428" s="90" t="s">
        <v>707</v>
      </c>
      <c r="E428" s="90" t="s">
        <v>876</v>
      </c>
      <c r="F428" s="90" t="s">
        <v>17</v>
      </c>
      <c r="G428" s="90" t="s">
        <v>1019</v>
      </c>
      <c r="H428" s="305">
        <v>1</v>
      </c>
      <c r="I428" s="95">
        <v>280</v>
      </c>
      <c r="J428" s="94"/>
      <c r="K428" s="95">
        <v>40</v>
      </c>
      <c r="L428" s="94"/>
      <c r="M428" s="95">
        <v>60.21</v>
      </c>
      <c r="N428" s="95">
        <v>0</v>
      </c>
      <c r="O428" s="95">
        <v>0</v>
      </c>
      <c r="P428" s="95">
        <v>98.36</v>
      </c>
      <c r="Q428" s="95">
        <v>0.16</v>
      </c>
      <c r="R428" s="94"/>
      <c r="S428" s="94"/>
      <c r="T428" s="95">
        <v>27.41</v>
      </c>
      <c r="U428" s="94"/>
      <c r="V428" s="94"/>
      <c r="W428" s="94"/>
      <c r="X428" s="95">
        <v>226.14</v>
      </c>
      <c r="Y428" s="94"/>
      <c r="Z428" s="94"/>
      <c r="AA428" s="94"/>
      <c r="AB428" s="94"/>
      <c r="AC428" s="94"/>
      <c r="AD428" s="94"/>
      <c r="AE428" s="94"/>
      <c r="AF428" s="94"/>
      <c r="AG428" s="95">
        <v>13.57</v>
      </c>
      <c r="AH428" s="94"/>
      <c r="AI428" s="95">
        <v>239.71</v>
      </c>
      <c r="AJ428" s="95">
        <v>0</v>
      </c>
    </row>
    <row r="429" spans="1:36" customFormat="1" ht="15.75" thickBot="1" x14ac:dyDescent="0.3">
      <c r="A429" s="90" t="s">
        <v>1018</v>
      </c>
      <c r="B429" s="626" t="str">
        <f>VLOOKUP($D429,'Retail Rates'!$B$7:$D$38,2,FALSE)</f>
        <v>865</v>
      </c>
      <c r="C429" s="626" t="str">
        <f>VLOOKUP($D429,'Retail Rates'!$B$7:$D$38,3,FALSE)</f>
        <v>AAGS-C</v>
      </c>
      <c r="D429" s="90" t="s">
        <v>18</v>
      </c>
      <c r="E429" s="90" t="s">
        <v>453</v>
      </c>
      <c r="F429" s="90" t="s">
        <v>17</v>
      </c>
      <c r="G429" s="90" t="s">
        <v>1019</v>
      </c>
      <c r="H429" s="304">
        <v>1</v>
      </c>
      <c r="I429" s="93">
        <v>12254</v>
      </c>
      <c r="J429" s="92"/>
      <c r="K429" s="93">
        <v>400</v>
      </c>
      <c r="L429" s="92"/>
      <c r="M429" s="93">
        <v>858.88</v>
      </c>
      <c r="N429" s="93">
        <v>0</v>
      </c>
      <c r="O429" s="93">
        <v>0</v>
      </c>
      <c r="P429" s="93">
        <v>4304.83</v>
      </c>
      <c r="Q429" s="93">
        <v>6.98</v>
      </c>
      <c r="R429" s="92"/>
      <c r="S429" s="92"/>
      <c r="T429" s="93">
        <v>2838.87</v>
      </c>
      <c r="U429" s="93">
        <v>0</v>
      </c>
      <c r="V429" s="92"/>
      <c r="W429" s="92"/>
      <c r="X429" s="93">
        <v>8409.56</v>
      </c>
      <c r="Y429" s="92"/>
      <c r="Z429" s="92"/>
      <c r="AA429" s="92"/>
      <c r="AB429" s="92"/>
      <c r="AC429" s="92"/>
      <c r="AD429" s="92"/>
      <c r="AE429" s="92"/>
      <c r="AF429" s="92"/>
      <c r="AG429" s="93">
        <v>504.57</v>
      </c>
      <c r="AH429" s="92"/>
      <c r="AI429" s="93">
        <v>8914.1299999999992</v>
      </c>
      <c r="AJ429" s="93">
        <v>0</v>
      </c>
    </row>
    <row r="430" spans="1:36" customFormat="1" ht="15.75" thickBot="1" x14ac:dyDescent="0.3">
      <c r="A430" s="90" t="s">
        <v>1018</v>
      </c>
      <c r="B430" s="626" t="str">
        <f>VLOOKUP($D430,'Retail Rates'!$B$7:$D$38,2,FALSE)</f>
        <v>865</v>
      </c>
      <c r="C430" s="626" t="str">
        <f>VLOOKUP($D430,'Retail Rates'!$B$7:$D$38,3,FALSE)</f>
        <v>AAGS-C</v>
      </c>
      <c r="D430" s="90" t="s">
        <v>18</v>
      </c>
      <c r="E430" s="90" t="s">
        <v>453</v>
      </c>
      <c r="F430" s="90" t="s">
        <v>20</v>
      </c>
      <c r="G430" s="90" t="s">
        <v>1019</v>
      </c>
      <c r="H430" s="305">
        <v>1</v>
      </c>
      <c r="I430" s="95">
        <v>15655</v>
      </c>
      <c r="J430" s="94"/>
      <c r="K430" s="95">
        <v>400</v>
      </c>
      <c r="L430" s="94"/>
      <c r="M430" s="95">
        <v>1097.26</v>
      </c>
      <c r="N430" s="95">
        <v>0</v>
      </c>
      <c r="O430" s="95">
        <v>0</v>
      </c>
      <c r="P430" s="95">
        <v>5499.6</v>
      </c>
      <c r="Q430" s="95">
        <v>8.92</v>
      </c>
      <c r="R430" s="94"/>
      <c r="S430" s="94"/>
      <c r="T430" s="95">
        <v>2838.87</v>
      </c>
      <c r="U430" s="95">
        <v>0</v>
      </c>
      <c r="V430" s="94"/>
      <c r="W430" s="94"/>
      <c r="X430" s="95">
        <v>9844.65</v>
      </c>
      <c r="Y430" s="94"/>
      <c r="Z430" s="94"/>
      <c r="AA430" s="94"/>
      <c r="AB430" s="94"/>
      <c r="AC430" s="94"/>
      <c r="AD430" s="94"/>
      <c r="AE430" s="94"/>
      <c r="AF430" s="94"/>
      <c r="AG430" s="95">
        <v>0</v>
      </c>
      <c r="AH430" s="94"/>
      <c r="AI430" s="95">
        <v>9844.65</v>
      </c>
      <c r="AJ430" s="95">
        <v>0</v>
      </c>
    </row>
    <row r="431" spans="1:36" customFormat="1" ht="15.75" thickBot="1" x14ac:dyDescent="0.3">
      <c r="A431" s="90" t="s">
        <v>1018</v>
      </c>
      <c r="B431" s="626" t="str">
        <f>VLOOKUP($D431,'Retail Rates'!$B$7:$D$38,2,FALSE)</f>
        <v>875</v>
      </c>
      <c r="C431" s="626" t="str">
        <f>VLOOKUP($D431,'Retail Rates'!$B$7:$D$38,3,FALSE)</f>
        <v>DGGS-C</v>
      </c>
      <c r="D431" s="90" t="s">
        <v>68</v>
      </c>
      <c r="E431" s="90" t="s">
        <v>877</v>
      </c>
      <c r="F431" s="90" t="s">
        <v>17</v>
      </c>
      <c r="G431" s="90" t="s">
        <v>1019</v>
      </c>
      <c r="H431" s="305">
        <v>1</v>
      </c>
      <c r="I431" s="95">
        <v>7</v>
      </c>
      <c r="J431" s="94"/>
      <c r="K431" s="95">
        <v>40</v>
      </c>
      <c r="L431" s="94"/>
      <c r="M431" s="95">
        <v>0.23</v>
      </c>
      <c r="N431" s="95">
        <v>0</v>
      </c>
      <c r="O431" s="95">
        <v>0</v>
      </c>
      <c r="P431" s="95">
        <v>2.46</v>
      </c>
      <c r="Q431" s="94"/>
      <c r="R431" s="94"/>
      <c r="S431" s="94"/>
      <c r="T431" s="95">
        <v>0</v>
      </c>
      <c r="U431" s="94"/>
      <c r="V431" s="94"/>
      <c r="W431" s="95">
        <v>544</v>
      </c>
      <c r="X431" s="95">
        <v>586.69000000000005</v>
      </c>
      <c r="Y431" s="94"/>
      <c r="Z431" s="94"/>
      <c r="AA431" s="94"/>
      <c r="AB431" s="94"/>
      <c r="AC431" s="94"/>
      <c r="AD431" s="94"/>
      <c r="AE431" s="94"/>
      <c r="AF431" s="94"/>
      <c r="AG431" s="95">
        <v>35.200000000000003</v>
      </c>
      <c r="AH431" s="94"/>
      <c r="AI431" s="95">
        <v>621.89</v>
      </c>
      <c r="AJ431" s="95">
        <v>0</v>
      </c>
    </row>
    <row r="432" spans="1:36" customFormat="1" ht="15.75" thickBot="1" x14ac:dyDescent="0.3">
      <c r="A432" s="90" t="s">
        <v>1018</v>
      </c>
      <c r="B432" s="626" t="str">
        <f>VLOOKUP($D432,'Retail Rates'!$B$7:$D$38,2,FALSE)</f>
        <v>895</v>
      </c>
      <c r="C432" s="626" t="str">
        <f>VLOOKUP($D432,'Retail Rates'!$B$7:$D$38,3,FALSE)</f>
        <v>FT-C</v>
      </c>
      <c r="D432" s="90" t="s">
        <v>50</v>
      </c>
      <c r="E432" s="90" t="s">
        <v>881</v>
      </c>
      <c r="F432" s="90" t="s">
        <v>661</v>
      </c>
      <c r="G432" s="90" t="s">
        <v>1000</v>
      </c>
      <c r="H432" s="304">
        <v>8</v>
      </c>
      <c r="I432" s="93">
        <v>326967</v>
      </c>
      <c r="J432" s="92"/>
      <c r="K432" s="92"/>
      <c r="L432" s="92"/>
      <c r="M432" s="92"/>
      <c r="N432" s="93">
        <v>0</v>
      </c>
      <c r="O432" s="93">
        <v>0</v>
      </c>
      <c r="P432" s="92"/>
      <c r="Q432" s="92"/>
      <c r="R432" s="92"/>
      <c r="S432" s="92"/>
      <c r="T432" s="92"/>
      <c r="U432" s="92"/>
      <c r="V432" s="92"/>
      <c r="W432" s="92"/>
      <c r="X432" s="92"/>
      <c r="Y432" s="93">
        <v>0</v>
      </c>
      <c r="Z432" s="92"/>
      <c r="AA432" s="93">
        <v>14252.48</v>
      </c>
      <c r="AB432" s="93">
        <v>0</v>
      </c>
      <c r="AC432" s="92"/>
      <c r="AD432" s="92"/>
      <c r="AE432" s="93">
        <v>4400</v>
      </c>
      <c r="AF432" s="93">
        <v>0</v>
      </c>
      <c r="AG432" s="93">
        <v>340.24</v>
      </c>
      <c r="AH432" s="92"/>
      <c r="AI432" s="93">
        <v>18992.72</v>
      </c>
      <c r="AJ432" s="93">
        <v>0</v>
      </c>
    </row>
    <row r="433" spans="1:36" customFormat="1" ht="15.75" thickBot="1" x14ac:dyDescent="0.3">
      <c r="A433" s="90" t="s">
        <v>1018</v>
      </c>
      <c r="B433" s="626" t="str">
        <f>VLOOKUP($D433,'Retail Rates'!$B$7:$D$38,2,FALSE)</f>
        <v>895</v>
      </c>
      <c r="C433" s="626" t="str">
        <f>VLOOKUP($D433,'Retail Rates'!$B$7:$D$38,3,FALSE)</f>
        <v>FT-C</v>
      </c>
      <c r="D433" s="90" t="s">
        <v>50</v>
      </c>
      <c r="E433" s="90" t="s">
        <v>881</v>
      </c>
      <c r="F433" s="90" t="s">
        <v>662</v>
      </c>
      <c r="G433" s="90" t="s">
        <v>1000</v>
      </c>
      <c r="H433" s="305">
        <v>2</v>
      </c>
      <c r="I433" s="95">
        <v>79187</v>
      </c>
      <c r="J433" s="94"/>
      <c r="K433" s="94"/>
      <c r="L433" s="94"/>
      <c r="M433" s="94"/>
      <c r="N433" s="95">
        <v>0</v>
      </c>
      <c r="O433" s="95">
        <v>0</v>
      </c>
      <c r="P433" s="94"/>
      <c r="Q433" s="94"/>
      <c r="R433" s="94"/>
      <c r="S433" s="94"/>
      <c r="T433" s="94"/>
      <c r="U433" s="94"/>
      <c r="V433" s="94"/>
      <c r="W433" s="94"/>
      <c r="X433" s="94"/>
      <c r="Y433" s="95">
        <v>72.83</v>
      </c>
      <c r="Z433" s="94"/>
      <c r="AA433" s="95">
        <v>3663.49</v>
      </c>
      <c r="AB433" s="95">
        <v>-1021.38</v>
      </c>
      <c r="AC433" s="95">
        <v>105.64</v>
      </c>
      <c r="AD433" s="94"/>
      <c r="AE433" s="95">
        <v>1100</v>
      </c>
      <c r="AF433" s="95">
        <v>101.03</v>
      </c>
      <c r="AG433" s="95">
        <v>59.69</v>
      </c>
      <c r="AH433" s="94"/>
      <c r="AI433" s="95">
        <v>3980.27</v>
      </c>
      <c r="AJ433" s="306">
        <v>-101.03</v>
      </c>
    </row>
    <row r="434" spans="1:36" customFormat="1" ht="15.75" thickBot="1" x14ac:dyDescent="0.3">
      <c r="A434" s="90" t="s">
        <v>1018</v>
      </c>
      <c r="B434" s="626" t="str">
        <f>VLOOKUP($D434,'Retail Rates'!$B$7:$D$38,2,FALSE)</f>
        <v>855</v>
      </c>
      <c r="C434" s="626" t="str">
        <f>VLOOKUP($D434,'Retail Rates'!$B$7:$D$38,3,FALSE)</f>
        <v>IGS</v>
      </c>
      <c r="D434" s="90" t="s">
        <v>878</v>
      </c>
      <c r="E434" s="90" t="s">
        <v>879</v>
      </c>
      <c r="F434" s="90" t="s">
        <v>21</v>
      </c>
      <c r="G434" s="90" t="s">
        <v>1000</v>
      </c>
      <c r="H434" s="305">
        <v>1</v>
      </c>
      <c r="I434" s="95">
        <v>0</v>
      </c>
      <c r="J434" s="94"/>
      <c r="K434" s="95">
        <v>0</v>
      </c>
      <c r="L434" s="95">
        <v>180</v>
      </c>
      <c r="M434" s="95">
        <v>0</v>
      </c>
      <c r="N434" s="95">
        <v>0</v>
      </c>
      <c r="O434" s="95">
        <v>0</v>
      </c>
      <c r="P434" s="95">
        <v>0</v>
      </c>
      <c r="Q434" s="95">
        <v>0</v>
      </c>
      <c r="R434" s="94"/>
      <c r="S434" s="94"/>
      <c r="T434" s="95">
        <v>259.54000000000002</v>
      </c>
      <c r="U434" s="94"/>
      <c r="V434" s="94"/>
      <c r="W434" s="94"/>
      <c r="X434" s="95">
        <v>439.54</v>
      </c>
      <c r="Y434" s="94"/>
      <c r="Z434" s="94"/>
      <c r="AA434" s="94"/>
      <c r="AB434" s="94"/>
      <c r="AC434" s="94"/>
      <c r="AD434" s="94"/>
      <c r="AE434" s="94"/>
      <c r="AF434" s="94"/>
      <c r="AG434" s="95">
        <v>26.37</v>
      </c>
      <c r="AH434" s="94"/>
      <c r="AI434" s="95">
        <v>465.91</v>
      </c>
      <c r="AJ434" s="95">
        <v>0</v>
      </c>
    </row>
    <row r="435" spans="1:36" customFormat="1" ht="15.75" thickBot="1" x14ac:dyDescent="0.3">
      <c r="A435" s="90" t="s">
        <v>1018</v>
      </c>
      <c r="B435" s="626" t="str">
        <f>VLOOKUP($D435,'Retail Rates'!$B$7:$D$38,2,FALSE)</f>
        <v>855</v>
      </c>
      <c r="C435" s="626" t="str">
        <f>VLOOKUP($D435,'Retail Rates'!$B$7:$D$38,3,FALSE)</f>
        <v>IGS</v>
      </c>
      <c r="D435" s="90" t="s">
        <v>878</v>
      </c>
      <c r="E435" s="90" t="s">
        <v>879</v>
      </c>
      <c r="F435" s="90" t="s">
        <v>21</v>
      </c>
      <c r="G435" s="90" t="s">
        <v>1019</v>
      </c>
      <c r="H435" s="304">
        <v>217</v>
      </c>
      <c r="I435" s="93">
        <v>79231</v>
      </c>
      <c r="J435" s="93">
        <v>563924</v>
      </c>
      <c r="K435" s="93">
        <v>4280</v>
      </c>
      <c r="L435" s="93">
        <v>19800</v>
      </c>
      <c r="M435" s="93">
        <v>118308.08</v>
      </c>
      <c r="N435" s="93">
        <v>0</v>
      </c>
      <c r="O435" s="93">
        <v>0</v>
      </c>
      <c r="P435" s="93">
        <v>225945.22</v>
      </c>
      <c r="Q435" s="93">
        <v>0</v>
      </c>
      <c r="R435" s="92"/>
      <c r="S435" s="92"/>
      <c r="T435" s="93">
        <v>56320.18</v>
      </c>
      <c r="U435" s="92"/>
      <c r="V435" s="92"/>
      <c r="W435" s="92"/>
      <c r="X435" s="93">
        <v>424653.48</v>
      </c>
      <c r="Y435" s="92"/>
      <c r="Z435" s="92"/>
      <c r="AA435" s="92"/>
      <c r="AB435" s="92"/>
      <c r="AC435" s="92"/>
      <c r="AD435" s="92"/>
      <c r="AE435" s="92"/>
      <c r="AF435" s="92"/>
      <c r="AG435" s="93">
        <v>23148.62</v>
      </c>
      <c r="AH435" s="92"/>
      <c r="AI435" s="93">
        <v>447802.1</v>
      </c>
      <c r="AJ435" s="93">
        <v>0</v>
      </c>
    </row>
    <row r="436" spans="1:36" customFormat="1" ht="15.75" thickBot="1" x14ac:dyDescent="0.3">
      <c r="A436" s="90" t="s">
        <v>1018</v>
      </c>
      <c r="B436" s="626" t="str">
        <f>VLOOKUP($D436,'Retail Rates'!$B$7:$D$38,2,FALSE)</f>
        <v>855</v>
      </c>
      <c r="C436" s="626" t="str">
        <f>VLOOKUP($D436,'Retail Rates'!$B$7:$D$38,3,FALSE)</f>
        <v>IGS</v>
      </c>
      <c r="D436" s="90" t="s">
        <v>878</v>
      </c>
      <c r="E436" s="90" t="s">
        <v>879</v>
      </c>
      <c r="F436" s="90" t="s">
        <v>17</v>
      </c>
      <c r="G436" s="90" t="s">
        <v>1019</v>
      </c>
      <c r="H436" s="304">
        <v>21</v>
      </c>
      <c r="I436" s="93">
        <v>6047</v>
      </c>
      <c r="J436" s="93">
        <v>17736</v>
      </c>
      <c r="K436" s="93">
        <v>640</v>
      </c>
      <c r="L436" s="93">
        <v>900</v>
      </c>
      <c r="M436" s="93">
        <v>4530.72</v>
      </c>
      <c r="N436" s="93">
        <v>0</v>
      </c>
      <c r="O436" s="93">
        <v>0</v>
      </c>
      <c r="P436" s="93">
        <v>8354.9699999999993</v>
      </c>
      <c r="Q436" s="93">
        <v>0</v>
      </c>
      <c r="R436" s="92"/>
      <c r="S436" s="92"/>
      <c r="T436" s="93">
        <v>5450.34</v>
      </c>
      <c r="U436" s="92"/>
      <c r="V436" s="92"/>
      <c r="W436" s="92"/>
      <c r="X436" s="93">
        <v>19876.03</v>
      </c>
      <c r="Y436" s="92"/>
      <c r="Z436" s="92"/>
      <c r="AA436" s="92"/>
      <c r="AB436" s="92"/>
      <c r="AC436" s="92"/>
      <c r="AD436" s="92"/>
      <c r="AE436" s="92"/>
      <c r="AF436" s="92"/>
      <c r="AG436" s="93">
        <v>999.96</v>
      </c>
      <c r="AH436" s="92"/>
      <c r="AI436" s="93">
        <v>20875.990000000002</v>
      </c>
      <c r="AJ436" s="93">
        <v>0</v>
      </c>
    </row>
    <row r="437" spans="1:36" customFormat="1" ht="15.75" thickBot="1" x14ac:dyDescent="0.3">
      <c r="A437" s="90" t="s">
        <v>1018</v>
      </c>
      <c r="B437" s="626" t="str">
        <f>VLOOKUP($D437,'Retail Rates'!$B$7:$D$38,2,FALSE)</f>
        <v>866</v>
      </c>
      <c r="C437" s="626" t="str">
        <f>VLOOKUP($D437,'Retail Rates'!$B$7:$D$38,3,FALSE)</f>
        <v>AAGS-I</v>
      </c>
      <c r="D437" s="90" t="s">
        <v>872</v>
      </c>
      <c r="E437" s="90" t="s">
        <v>873</v>
      </c>
      <c r="F437" s="90" t="s">
        <v>21</v>
      </c>
      <c r="G437" s="90" t="s">
        <v>1019</v>
      </c>
      <c r="H437" s="304">
        <v>2</v>
      </c>
      <c r="I437" s="93">
        <v>35046</v>
      </c>
      <c r="J437" s="92"/>
      <c r="K437" s="93">
        <v>800</v>
      </c>
      <c r="L437" s="92"/>
      <c r="M437" s="93">
        <v>2456.37</v>
      </c>
      <c r="N437" s="93">
        <v>0</v>
      </c>
      <c r="O437" s="93">
        <v>0</v>
      </c>
      <c r="P437" s="93">
        <v>12311.66</v>
      </c>
      <c r="Q437" s="93">
        <v>0</v>
      </c>
      <c r="R437" s="92"/>
      <c r="S437" s="92"/>
      <c r="T437" s="93">
        <v>5677.74</v>
      </c>
      <c r="U437" s="92"/>
      <c r="V437" s="92"/>
      <c r="W437" s="92"/>
      <c r="X437" s="93">
        <v>21245.77</v>
      </c>
      <c r="Y437" s="92"/>
      <c r="Z437" s="92"/>
      <c r="AA437" s="92"/>
      <c r="AB437" s="92"/>
      <c r="AC437" s="92"/>
      <c r="AD437" s="92"/>
      <c r="AE437" s="92"/>
      <c r="AF437" s="92"/>
      <c r="AG437" s="93">
        <v>0</v>
      </c>
      <c r="AH437" s="92"/>
      <c r="AI437" s="93">
        <v>21245.77</v>
      </c>
      <c r="AJ437" s="93">
        <v>0</v>
      </c>
    </row>
    <row r="438" spans="1:36" customFormat="1" ht="15.75" thickBot="1" x14ac:dyDescent="0.3">
      <c r="A438" s="90" t="s">
        <v>1018</v>
      </c>
      <c r="B438" s="626" t="str">
        <f>VLOOKUP($D438,'Retail Rates'!$B$7:$D$38,2,FALSE)</f>
        <v>882</v>
      </c>
      <c r="C438" s="626" t="str">
        <f>VLOOKUP($D438,'Retail Rates'!$B$7:$D$38,3,FALSE)</f>
        <v>IGS-TS-2</v>
      </c>
      <c r="D438" s="90" t="s">
        <v>1001</v>
      </c>
      <c r="E438" s="90" t="s">
        <v>1002</v>
      </c>
      <c r="F438" s="90" t="s">
        <v>663</v>
      </c>
      <c r="G438" s="90" t="s">
        <v>1000</v>
      </c>
      <c r="H438" s="305">
        <v>4</v>
      </c>
      <c r="I438" s="95">
        <v>4000</v>
      </c>
      <c r="J438" s="95">
        <v>340710</v>
      </c>
      <c r="K438" s="94"/>
      <c r="L438" s="94"/>
      <c r="M438" s="94"/>
      <c r="N438" s="95">
        <v>0</v>
      </c>
      <c r="O438" s="95">
        <v>0</v>
      </c>
      <c r="P438" s="94"/>
      <c r="Q438" s="94"/>
      <c r="R438" s="94"/>
      <c r="S438" s="94"/>
      <c r="T438" s="95">
        <v>1038.1600000000001</v>
      </c>
      <c r="U438" s="94"/>
      <c r="V438" s="94"/>
      <c r="W438" s="94"/>
      <c r="X438" s="95">
        <v>1038.1600000000001</v>
      </c>
      <c r="Y438" s="94"/>
      <c r="Z438" s="95">
        <v>6019.87</v>
      </c>
      <c r="AA438" s="95">
        <v>90586.4</v>
      </c>
      <c r="AB438" s="95">
        <v>720</v>
      </c>
      <c r="AC438" s="94"/>
      <c r="AD438" s="95">
        <v>0</v>
      </c>
      <c r="AE438" s="95">
        <v>2200</v>
      </c>
      <c r="AF438" s="94"/>
      <c r="AG438" s="95">
        <v>1491.94</v>
      </c>
      <c r="AH438" s="94"/>
      <c r="AI438" s="95">
        <v>102056.37</v>
      </c>
      <c r="AJ438" s="95">
        <v>0</v>
      </c>
    </row>
    <row r="439" spans="1:36" customFormat="1" ht="15.75" thickBot="1" x14ac:dyDescent="0.3">
      <c r="A439" s="90" t="s">
        <v>1018</v>
      </c>
      <c r="B439" s="626" t="str">
        <f>VLOOKUP($D439,'Retail Rates'!$B$7:$D$38,2,FALSE)</f>
        <v>882</v>
      </c>
      <c r="C439" s="626" t="str">
        <f>VLOOKUP($D439,'Retail Rates'!$B$7:$D$38,3,FALSE)</f>
        <v>IGS-TS-2</v>
      </c>
      <c r="D439" s="90" t="s">
        <v>1001</v>
      </c>
      <c r="E439" s="90" t="s">
        <v>1002</v>
      </c>
      <c r="F439" s="90" t="s">
        <v>662</v>
      </c>
      <c r="G439" s="90" t="s">
        <v>1000</v>
      </c>
      <c r="H439" s="304">
        <v>1</v>
      </c>
      <c r="I439" s="93">
        <v>1000</v>
      </c>
      <c r="J439" s="93">
        <v>120672</v>
      </c>
      <c r="K439" s="92"/>
      <c r="L439" s="92"/>
      <c r="M439" s="92"/>
      <c r="N439" s="93">
        <v>0</v>
      </c>
      <c r="O439" s="93">
        <v>0</v>
      </c>
      <c r="P439" s="92"/>
      <c r="Q439" s="92"/>
      <c r="R439" s="92"/>
      <c r="S439" s="92"/>
      <c r="T439" s="93">
        <v>259.54000000000002</v>
      </c>
      <c r="U439" s="92"/>
      <c r="V439" s="92"/>
      <c r="W439" s="92"/>
      <c r="X439" s="93">
        <v>259.54000000000002</v>
      </c>
      <c r="Y439" s="92"/>
      <c r="Z439" s="93">
        <v>5661.4</v>
      </c>
      <c r="AA439" s="93">
        <v>31953.61</v>
      </c>
      <c r="AB439" s="93">
        <v>180</v>
      </c>
      <c r="AC439" s="92"/>
      <c r="AD439" s="93">
        <v>0</v>
      </c>
      <c r="AE439" s="93">
        <v>550</v>
      </c>
      <c r="AF439" s="92"/>
      <c r="AG439" s="93">
        <v>0</v>
      </c>
      <c r="AH439" s="92"/>
      <c r="AI439" s="93">
        <v>38604.550000000003</v>
      </c>
      <c r="AJ439" s="93">
        <v>0</v>
      </c>
    </row>
    <row r="440" spans="1:36" customFormat="1" ht="15.75" thickBot="1" x14ac:dyDescent="0.3">
      <c r="A440" s="90" t="s">
        <v>1018</v>
      </c>
      <c r="B440" s="626" t="str">
        <f>VLOOKUP($D440,'Retail Rates'!$B$7:$D$38,2,FALSE)</f>
        <v>882</v>
      </c>
      <c r="C440" s="626" t="str">
        <f>VLOOKUP($D440,'Retail Rates'!$B$7:$D$38,3,FALSE)</f>
        <v>IGS-TS-2-PM</v>
      </c>
      <c r="D440" s="90" t="s">
        <v>93</v>
      </c>
      <c r="E440" s="90" t="s">
        <v>719</v>
      </c>
      <c r="F440" s="90" t="s">
        <v>663</v>
      </c>
      <c r="G440" s="90" t="s">
        <v>1000</v>
      </c>
      <c r="H440" s="304">
        <v>2</v>
      </c>
      <c r="I440" s="92"/>
      <c r="J440" s="92"/>
      <c r="K440" s="92"/>
      <c r="L440" s="92"/>
      <c r="M440" s="92"/>
      <c r="N440" s="93">
        <v>0</v>
      </c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3">
        <v>0</v>
      </c>
      <c r="AB440" s="93">
        <v>1255.27</v>
      </c>
      <c r="AC440" s="93">
        <v>4524.08</v>
      </c>
      <c r="AD440" s="92"/>
      <c r="AE440" s="93">
        <v>525</v>
      </c>
      <c r="AF440" s="93">
        <v>0</v>
      </c>
      <c r="AG440" s="93">
        <v>0</v>
      </c>
      <c r="AH440" s="92"/>
      <c r="AI440" s="93">
        <v>6304.35</v>
      </c>
      <c r="AJ440" s="93">
        <v>0</v>
      </c>
    </row>
    <row r="441" spans="1:36" customFormat="1" ht="15.75" thickBot="1" x14ac:dyDescent="0.3">
      <c r="A441" s="90" t="s">
        <v>1018</v>
      </c>
      <c r="B441" s="626" t="str">
        <f>VLOOKUP($D441,'Retail Rates'!$B$7:$D$38,2,FALSE)</f>
        <v>892</v>
      </c>
      <c r="C441" s="626" t="str">
        <f>VLOOKUP($D441,'Retail Rates'!$B$7:$D$38,3,FALSE)</f>
        <v>AAGS-I-TS-2</v>
      </c>
      <c r="D441" s="90" t="s">
        <v>1003</v>
      </c>
      <c r="E441" s="90" t="s">
        <v>1004</v>
      </c>
      <c r="F441" s="90" t="s">
        <v>663</v>
      </c>
      <c r="G441" s="90" t="s">
        <v>1000</v>
      </c>
      <c r="H441" s="305">
        <v>1</v>
      </c>
      <c r="I441" s="95">
        <v>46592</v>
      </c>
      <c r="J441" s="94"/>
      <c r="K441" s="94"/>
      <c r="L441" s="94"/>
      <c r="M441" s="94"/>
      <c r="N441" s="95">
        <v>0</v>
      </c>
      <c r="O441" s="94"/>
      <c r="P441" s="94"/>
      <c r="Q441" s="94"/>
      <c r="R441" s="94"/>
      <c r="S441" s="94"/>
      <c r="T441" s="95">
        <v>2838.87</v>
      </c>
      <c r="U441" s="94"/>
      <c r="V441" s="94"/>
      <c r="W441" s="94"/>
      <c r="X441" s="95">
        <v>2838.87</v>
      </c>
      <c r="Y441" s="94"/>
      <c r="Z441" s="95">
        <v>0</v>
      </c>
      <c r="AA441" s="95">
        <v>7198.93</v>
      </c>
      <c r="AB441" s="95">
        <v>400</v>
      </c>
      <c r="AC441" s="94"/>
      <c r="AD441" s="95">
        <v>0</v>
      </c>
      <c r="AE441" s="95">
        <v>550</v>
      </c>
      <c r="AF441" s="94"/>
      <c r="AG441" s="95">
        <v>0</v>
      </c>
      <c r="AH441" s="94"/>
      <c r="AI441" s="95">
        <v>10987.8</v>
      </c>
      <c r="AJ441" s="95">
        <v>0</v>
      </c>
    </row>
    <row r="442" spans="1:36" customFormat="1" ht="15.75" thickBot="1" x14ac:dyDescent="0.3">
      <c r="A442" s="90" t="s">
        <v>1018</v>
      </c>
      <c r="B442" s="626" t="str">
        <f>VLOOKUP($D442,'Retail Rates'!$B$7:$D$38,2,FALSE)</f>
        <v>892</v>
      </c>
      <c r="C442" s="626" t="str">
        <f>VLOOKUP($D442,'Retail Rates'!$B$7:$D$38,3,FALSE)</f>
        <v>AAGS-I-TS-2</v>
      </c>
      <c r="D442" s="90" t="s">
        <v>1003</v>
      </c>
      <c r="E442" s="90" t="s">
        <v>1004</v>
      </c>
      <c r="F442" s="90" t="s">
        <v>662</v>
      </c>
      <c r="G442" s="90" t="s">
        <v>1000</v>
      </c>
      <c r="H442" s="304">
        <v>1</v>
      </c>
      <c r="I442" s="93">
        <v>119068</v>
      </c>
      <c r="J442" s="92"/>
      <c r="K442" s="92"/>
      <c r="L442" s="92"/>
      <c r="M442" s="92"/>
      <c r="N442" s="93">
        <v>0</v>
      </c>
      <c r="O442" s="93">
        <v>0</v>
      </c>
      <c r="P442" s="92"/>
      <c r="Q442" s="92"/>
      <c r="R442" s="92"/>
      <c r="S442" s="92"/>
      <c r="T442" s="93">
        <v>2838.87</v>
      </c>
      <c r="U442" s="92"/>
      <c r="V442" s="92"/>
      <c r="W442" s="92"/>
      <c r="X442" s="93">
        <v>2838.87</v>
      </c>
      <c r="Y442" s="92"/>
      <c r="Z442" s="93">
        <v>5540.23</v>
      </c>
      <c r="AA442" s="93">
        <v>18397.2</v>
      </c>
      <c r="AB442" s="93">
        <v>400</v>
      </c>
      <c r="AC442" s="92"/>
      <c r="AD442" s="93">
        <v>0</v>
      </c>
      <c r="AE442" s="93">
        <v>550</v>
      </c>
      <c r="AF442" s="92"/>
      <c r="AG442" s="93">
        <v>0</v>
      </c>
      <c r="AH442" s="92"/>
      <c r="AI442" s="93">
        <v>27726.3</v>
      </c>
      <c r="AJ442" s="93">
        <v>0</v>
      </c>
    </row>
    <row r="443" spans="1:36" customFormat="1" ht="15.75" thickBot="1" x14ac:dyDescent="0.3">
      <c r="A443" s="90" t="s">
        <v>1018</v>
      </c>
      <c r="B443" s="626" t="str">
        <f>VLOOKUP($D443,'Retail Rates'!$B$7:$D$38,2,FALSE)</f>
        <v>896</v>
      </c>
      <c r="C443" s="626" t="str">
        <f>VLOOKUP($D443,'Retail Rates'!$B$7:$D$38,3,FALSE)</f>
        <v>FT-I</v>
      </c>
      <c r="D443" s="90" t="s">
        <v>933</v>
      </c>
      <c r="E443" s="90" t="s">
        <v>1005</v>
      </c>
      <c r="F443" s="90" t="s">
        <v>663</v>
      </c>
      <c r="G443" s="90" t="s">
        <v>918</v>
      </c>
      <c r="H443" s="304">
        <v>2</v>
      </c>
      <c r="I443" s="93">
        <v>-149129</v>
      </c>
      <c r="J443" s="92"/>
      <c r="K443" s="92"/>
      <c r="L443" s="92"/>
      <c r="M443" s="92"/>
      <c r="N443" s="93">
        <v>0</v>
      </c>
      <c r="O443" s="93">
        <v>0</v>
      </c>
      <c r="P443" s="92"/>
      <c r="Q443" s="92"/>
      <c r="R443" s="92"/>
      <c r="S443" s="92"/>
      <c r="T443" s="92"/>
      <c r="U443" s="92"/>
      <c r="V443" s="92"/>
      <c r="W443" s="92"/>
      <c r="X443" s="92"/>
      <c r="Y443" s="93">
        <v>-246.85</v>
      </c>
      <c r="Z443" s="92"/>
      <c r="AA443" s="93">
        <v>-6415.53</v>
      </c>
      <c r="AB443" s="93">
        <v>0</v>
      </c>
      <c r="AC443" s="92"/>
      <c r="AD443" s="92"/>
      <c r="AE443" s="93">
        <v>-1100</v>
      </c>
      <c r="AF443" s="93">
        <v>0</v>
      </c>
      <c r="AG443" s="93">
        <v>-465.74</v>
      </c>
      <c r="AH443" s="92"/>
      <c r="AI443" s="93">
        <v>-8228.1200000000008</v>
      </c>
      <c r="AJ443" s="93">
        <v>0</v>
      </c>
    </row>
    <row r="444" spans="1:36" customFormat="1" ht="15.75" thickBot="1" x14ac:dyDescent="0.3">
      <c r="A444" s="90" t="s">
        <v>1018</v>
      </c>
      <c r="B444" s="626" t="str">
        <f>VLOOKUP($D444,'Retail Rates'!$B$7:$D$38,2,FALSE)</f>
        <v>896</v>
      </c>
      <c r="C444" s="626" t="str">
        <f>VLOOKUP($D444,'Retail Rates'!$B$7:$D$38,3,FALSE)</f>
        <v>FT-I</v>
      </c>
      <c r="D444" s="90" t="s">
        <v>933</v>
      </c>
      <c r="E444" s="90" t="s">
        <v>1005</v>
      </c>
      <c r="F444" s="90" t="s">
        <v>663</v>
      </c>
      <c r="G444" s="90" t="s">
        <v>1000</v>
      </c>
      <c r="H444" s="305">
        <v>62</v>
      </c>
      <c r="I444" s="95">
        <v>6787133</v>
      </c>
      <c r="J444" s="94"/>
      <c r="K444" s="94"/>
      <c r="L444" s="94"/>
      <c r="M444" s="94"/>
      <c r="N444" s="95">
        <v>0</v>
      </c>
      <c r="O444" s="95">
        <v>0</v>
      </c>
      <c r="P444" s="94"/>
      <c r="Q444" s="94"/>
      <c r="R444" s="94"/>
      <c r="S444" s="94"/>
      <c r="T444" s="94"/>
      <c r="U444" s="94"/>
      <c r="V444" s="94"/>
      <c r="W444" s="94"/>
      <c r="X444" s="94"/>
      <c r="Y444" s="95">
        <v>1805.82</v>
      </c>
      <c r="Z444" s="94"/>
      <c r="AA444" s="95">
        <v>292892.53999999998</v>
      </c>
      <c r="AB444" s="95">
        <v>-1401.76</v>
      </c>
      <c r="AC444" s="95">
        <v>475.92</v>
      </c>
      <c r="AD444" s="94"/>
      <c r="AE444" s="95">
        <v>34100</v>
      </c>
      <c r="AF444" s="95">
        <v>450.35</v>
      </c>
      <c r="AG444" s="95">
        <v>14975.58</v>
      </c>
      <c r="AH444" s="94"/>
      <c r="AI444" s="95">
        <v>342848.1</v>
      </c>
      <c r="AJ444" s="306">
        <v>-450.35</v>
      </c>
    </row>
    <row r="445" spans="1:36" customFormat="1" ht="15.75" thickBot="1" x14ac:dyDescent="0.3">
      <c r="A445" s="90" t="s">
        <v>1018</v>
      </c>
      <c r="B445" s="626" t="str">
        <f>VLOOKUP($D445,'Retail Rates'!$B$7:$D$38,2,FALSE)</f>
        <v>896</v>
      </c>
      <c r="C445" s="626" t="str">
        <f>VLOOKUP($D445,'Retail Rates'!$B$7:$D$38,3,FALSE)</f>
        <v>FT-I</v>
      </c>
      <c r="D445" s="90" t="s">
        <v>933</v>
      </c>
      <c r="E445" s="90" t="s">
        <v>1005</v>
      </c>
      <c r="F445" s="90" t="s">
        <v>663</v>
      </c>
      <c r="G445" s="90" t="s">
        <v>1019</v>
      </c>
      <c r="H445" s="304">
        <v>1</v>
      </c>
      <c r="I445" s="93">
        <v>53162</v>
      </c>
      <c r="J445" s="92"/>
      <c r="K445" s="92"/>
      <c r="L445" s="92"/>
      <c r="M445" s="92"/>
      <c r="N445" s="93">
        <v>0</v>
      </c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3">
        <v>0</v>
      </c>
      <c r="Z445" s="92"/>
      <c r="AA445" s="93">
        <v>2287.0300000000002</v>
      </c>
      <c r="AB445" s="93">
        <v>0</v>
      </c>
      <c r="AC445" s="92"/>
      <c r="AD445" s="92"/>
      <c r="AE445" s="93">
        <v>550</v>
      </c>
      <c r="AF445" s="93">
        <v>0</v>
      </c>
      <c r="AG445" s="93">
        <v>260.44</v>
      </c>
      <c r="AH445" s="92"/>
      <c r="AI445" s="93">
        <v>3097.47</v>
      </c>
      <c r="AJ445" s="93">
        <v>0</v>
      </c>
    </row>
    <row r="446" spans="1:36" customFormat="1" ht="15.75" thickBot="1" x14ac:dyDescent="0.3">
      <c r="A446" s="90" t="s">
        <v>1018</v>
      </c>
      <c r="B446" s="626" t="str">
        <f>VLOOKUP($D446,'Retail Rates'!$B$7:$D$38,2,FALSE)</f>
        <v>896</v>
      </c>
      <c r="C446" s="626" t="str">
        <f>VLOOKUP($D446,'Retail Rates'!$B$7:$D$38,3,FALSE)</f>
        <v>FT-I</v>
      </c>
      <c r="D446" s="90" t="s">
        <v>933</v>
      </c>
      <c r="E446" s="90" t="s">
        <v>1005</v>
      </c>
      <c r="F446" s="90" t="s">
        <v>662</v>
      </c>
      <c r="G446" s="90" t="s">
        <v>1000</v>
      </c>
      <c r="H446" s="304">
        <v>1</v>
      </c>
      <c r="I446" s="93">
        <v>162421</v>
      </c>
      <c r="J446" s="92"/>
      <c r="K446" s="92"/>
      <c r="L446" s="92"/>
      <c r="M446" s="92"/>
      <c r="N446" s="93">
        <v>0</v>
      </c>
      <c r="O446" s="93">
        <v>0</v>
      </c>
      <c r="P446" s="92"/>
      <c r="Q446" s="92"/>
      <c r="R446" s="92"/>
      <c r="S446" s="92"/>
      <c r="T446" s="92"/>
      <c r="U446" s="92"/>
      <c r="V446" s="92"/>
      <c r="W446" s="92"/>
      <c r="X446" s="92"/>
      <c r="Y446" s="93">
        <v>0</v>
      </c>
      <c r="Z446" s="92"/>
      <c r="AA446" s="93">
        <v>6987.35</v>
      </c>
      <c r="AB446" s="93">
        <v>0</v>
      </c>
      <c r="AC446" s="92"/>
      <c r="AD446" s="92"/>
      <c r="AE446" s="93">
        <v>550</v>
      </c>
      <c r="AF446" s="93">
        <v>0</v>
      </c>
      <c r="AG446" s="93">
        <v>0</v>
      </c>
      <c r="AH446" s="92"/>
      <c r="AI446" s="93">
        <v>7537.35</v>
      </c>
      <c r="AJ446" s="93">
        <v>0</v>
      </c>
    </row>
    <row r="447" spans="1:36" customFormat="1" ht="15.75" thickBot="1" x14ac:dyDescent="0.3">
      <c r="A447" s="90" t="s">
        <v>1018</v>
      </c>
      <c r="B447" s="626" t="str">
        <f>VLOOKUP($D447,'Retail Rates'!$B$7:$D$38,2,FALSE)</f>
        <v>896</v>
      </c>
      <c r="C447" s="626" t="str">
        <f>VLOOKUP($D447,'Retail Rates'!$B$7:$D$38,3,FALSE)</f>
        <v>FT-I-PM</v>
      </c>
      <c r="D447" s="90" t="s">
        <v>54</v>
      </c>
      <c r="E447" s="90" t="s">
        <v>55</v>
      </c>
      <c r="F447" s="90" t="s">
        <v>663</v>
      </c>
      <c r="G447" s="90" t="s">
        <v>918</v>
      </c>
      <c r="H447" s="304">
        <v>1</v>
      </c>
      <c r="I447" s="92"/>
      <c r="J447" s="92"/>
      <c r="K447" s="92"/>
      <c r="L447" s="92"/>
      <c r="M447" s="92"/>
      <c r="N447" s="93">
        <v>0</v>
      </c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3">
        <v>-8368.68</v>
      </c>
      <c r="AB447" s="93">
        <v>1309.51</v>
      </c>
      <c r="AC447" s="93">
        <v>-28422.95</v>
      </c>
      <c r="AD447" s="92"/>
      <c r="AE447" s="93">
        <v>-3675</v>
      </c>
      <c r="AF447" s="93">
        <v>-3993.38</v>
      </c>
      <c r="AG447" s="93">
        <v>0</v>
      </c>
      <c r="AH447" s="92"/>
      <c r="AI447" s="93">
        <v>-39157.120000000003</v>
      </c>
      <c r="AJ447" s="306">
        <v>3993.38</v>
      </c>
    </row>
    <row r="448" spans="1:36" customFormat="1" ht="15.75" thickBot="1" x14ac:dyDescent="0.3">
      <c r="A448" s="90" t="s">
        <v>1018</v>
      </c>
      <c r="B448" s="626" t="str">
        <f>VLOOKUP($D448,'Retail Rates'!$B$7:$D$38,2,FALSE)</f>
        <v>896</v>
      </c>
      <c r="C448" s="626" t="str">
        <f>VLOOKUP($D448,'Retail Rates'!$B$7:$D$38,3,FALSE)</f>
        <v>FT-I-PM</v>
      </c>
      <c r="D448" s="90" t="s">
        <v>54</v>
      </c>
      <c r="E448" s="90" t="s">
        <v>55</v>
      </c>
      <c r="F448" s="90" t="s">
        <v>663</v>
      </c>
      <c r="G448" s="90" t="s">
        <v>1000</v>
      </c>
      <c r="H448" s="305">
        <v>5</v>
      </c>
      <c r="I448" s="94"/>
      <c r="J448" s="94"/>
      <c r="K448" s="94"/>
      <c r="L448" s="94"/>
      <c r="M448" s="94"/>
      <c r="N448" s="95">
        <v>0</v>
      </c>
      <c r="O448" s="95">
        <v>0</v>
      </c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5">
        <v>8924.39</v>
      </c>
      <c r="AB448" s="95">
        <v>1454.28</v>
      </c>
      <c r="AC448" s="95">
        <v>20094.39</v>
      </c>
      <c r="AD448" s="94"/>
      <c r="AE448" s="95">
        <v>5250</v>
      </c>
      <c r="AF448" s="95">
        <v>4258.5600000000004</v>
      </c>
      <c r="AG448" s="95">
        <v>513.41999999999996</v>
      </c>
      <c r="AH448" s="94"/>
      <c r="AI448" s="95">
        <v>36236.480000000003</v>
      </c>
      <c r="AJ448" s="306">
        <v>-4258.5600000000004</v>
      </c>
    </row>
    <row r="449" spans="1:36" customFormat="1" ht="15.75" thickBot="1" x14ac:dyDescent="0.3">
      <c r="A449" s="90" t="s">
        <v>1018</v>
      </c>
      <c r="B449" s="626" t="str">
        <f>VLOOKUP($D449,'Retail Rates'!$B$7:$D$38,2,FALSE)</f>
        <v>996</v>
      </c>
      <c r="C449" s="626" t="str">
        <f>VLOOKUP($D449,'Retail Rates'!$B$7:$D$38,3,FALSE)</f>
        <v>SPC-LGE</v>
      </c>
      <c r="D449" s="90" t="s">
        <v>45</v>
      </c>
      <c r="E449" s="90" t="s">
        <v>46</v>
      </c>
      <c r="F449" s="90" t="s">
        <v>165</v>
      </c>
      <c r="G449" s="90" t="s">
        <v>1019</v>
      </c>
      <c r="H449" s="305">
        <v>1</v>
      </c>
      <c r="I449" s="95">
        <v>237348</v>
      </c>
      <c r="J449" s="94"/>
      <c r="K449" s="95">
        <v>180</v>
      </c>
      <c r="L449" s="94"/>
      <c r="M449" s="95">
        <v>7901.31</v>
      </c>
      <c r="N449" s="95">
        <v>0</v>
      </c>
      <c r="O449" s="95">
        <v>0</v>
      </c>
      <c r="P449" s="95">
        <v>83380.350000000006</v>
      </c>
      <c r="Q449" s="94"/>
      <c r="R449" s="94"/>
      <c r="S449" s="94"/>
      <c r="T449" s="95">
        <v>259.54000000000002</v>
      </c>
      <c r="U449" s="94"/>
      <c r="V449" s="94"/>
      <c r="W449" s="95">
        <v>186513.62</v>
      </c>
      <c r="X449" s="95">
        <v>278234.82</v>
      </c>
      <c r="Y449" s="94"/>
      <c r="Z449" s="94"/>
      <c r="AA449" s="94"/>
      <c r="AB449" s="94"/>
      <c r="AC449" s="94"/>
      <c r="AD449" s="94"/>
      <c r="AE449" s="94"/>
      <c r="AF449" s="94"/>
      <c r="AG449" s="95">
        <v>0</v>
      </c>
      <c r="AH449" s="94"/>
      <c r="AI449" s="95">
        <v>278234.82</v>
      </c>
      <c r="AJ449" s="95">
        <v>0</v>
      </c>
    </row>
    <row r="450" spans="1:36" customFormat="1" ht="15.75" thickBot="1" x14ac:dyDescent="0.3">
      <c r="A450" s="90" t="s">
        <v>1018</v>
      </c>
      <c r="B450" s="626" t="str">
        <f>VLOOKUP($D450,'Retail Rates'!$B$7:$D$38,2,FALSE)</f>
        <v>997</v>
      </c>
      <c r="C450" s="626" t="str">
        <f>VLOOKUP($D450,'Retail Rates'!$B$7:$D$38,3,FALSE)</f>
        <v>SPC-P</v>
      </c>
      <c r="D450" s="90" t="s">
        <v>57</v>
      </c>
      <c r="E450" s="90" t="s">
        <v>58</v>
      </c>
      <c r="F450" s="90" t="s">
        <v>664</v>
      </c>
      <c r="G450" s="90" t="s">
        <v>1000</v>
      </c>
      <c r="H450" s="304">
        <v>1</v>
      </c>
      <c r="I450" s="93">
        <v>2623561</v>
      </c>
      <c r="J450" s="92"/>
      <c r="K450" s="92"/>
      <c r="L450" s="92"/>
      <c r="M450" s="92"/>
      <c r="N450" s="93">
        <v>0</v>
      </c>
      <c r="O450" s="93">
        <v>0</v>
      </c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3">
        <v>121126.85</v>
      </c>
      <c r="AB450" s="93">
        <v>-9671.48</v>
      </c>
      <c r="AC450" s="93">
        <v>-161.69999999999999</v>
      </c>
      <c r="AD450" s="92"/>
      <c r="AE450" s="92"/>
      <c r="AF450" s="93">
        <v>452.09</v>
      </c>
      <c r="AG450" s="93">
        <v>0</v>
      </c>
      <c r="AH450" s="92"/>
      <c r="AI450" s="93">
        <v>111293.67</v>
      </c>
      <c r="AJ450" s="306">
        <v>-452.09</v>
      </c>
    </row>
    <row r="451" spans="1:36" customFormat="1" ht="15.75" thickBot="1" x14ac:dyDescent="0.3">
      <c r="A451" s="90" t="s">
        <v>1018</v>
      </c>
      <c r="B451" s="626" t="str">
        <f>VLOOKUP($D451,'Retail Rates'!$B$7:$D$38,2,FALSE)</f>
        <v>811</v>
      </c>
      <c r="C451" s="626" t="str">
        <f>VLOOKUP($D451,'Retail Rates'!$B$7:$D$38,3,FALSE)</f>
        <v>RGS</v>
      </c>
      <c r="D451" s="90" t="s">
        <v>35</v>
      </c>
      <c r="E451" s="90" t="s">
        <v>36</v>
      </c>
      <c r="F451" s="90" t="s">
        <v>17</v>
      </c>
      <c r="G451" s="90" t="s">
        <v>1000</v>
      </c>
      <c r="H451" s="305">
        <v>1</v>
      </c>
      <c r="I451" s="95">
        <v>4</v>
      </c>
      <c r="J451" s="94"/>
      <c r="K451" s="95">
        <v>13.5</v>
      </c>
      <c r="L451" s="94"/>
      <c r="M451" s="95">
        <v>1.1499999999999999</v>
      </c>
      <c r="N451" s="95">
        <v>0</v>
      </c>
      <c r="O451" s="95">
        <v>0</v>
      </c>
      <c r="P451" s="95">
        <v>1.41</v>
      </c>
      <c r="Q451" s="95">
        <v>0.04</v>
      </c>
      <c r="R451" s="94"/>
      <c r="S451" s="95">
        <v>0.25</v>
      </c>
      <c r="T451" s="95">
        <v>5.14</v>
      </c>
      <c r="U451" s="95">
        <v>0</v>
      </c>
      <c r="V451" s="94"/>
      <c r="W451" s="94"/>
      <c r="X451" s="95">
        <v>21.24</v>
      </c>
      <c r="Y451" s="94"/>
      <c r="Z451" s="94"/>
      <c r="AA451" s="94"/>
      <c r="AB451" s="94"/>
      <c r="AC451" s="94"/>
      <c r="AD451" s="94"/>
      <c r="AE451" s="94"/>
      <c r="AF451" s="94"/>
      <c r="AG451" s="95">
        <v>1.27</v>
      </c>
      <c r="AH451" s="94"/>
      <c r="AI451" s="95">
        <v>22.76</v>
      </c>
      <c r="AJ451" s="95">
        <v>0</v>
      </c>
    </row>
    <row r="452" spans="1:36" customFormat="1" ht="15.75" thickBot="1" x14ac:dyDescent="0.3">
      <c r="A452" s="90" t="s">
        <v>1018</v>
      </c>
      <c r="B452" s="626" t="str">
        <f>VLOOKUP($D452,'Retail Rates'!$B$7:$D$38,2,FALSE)</f>
        <v>811</v>
      </c>
      <c r="C452" s="626" t="str">
        <f>VLOOKUP($D452,'Retail Rates'!$B$7:$D$38,3,FALSE)</f>
        <v>RGS</v>
      </c>
      <c r="D452" s="90" t="s">
        <v>35</v>
      </c>
      <c r="E452" s="90" t="s">
        <v>36</v>
      </c>
      <c r="F452" s="90" t="s">
        <v>17</v>
      </c>
      <c r="G452" s="90" t="s">
        <v>1019</v>
      </c>
      <c r="H452" s="304">
        <v>13</v>
      </c>
      <c r="I452" s="93">
        <v>111</v>
      </c>
      <c r="J452" s="92"/>
      <c r="K452" s="93">
        <v>176.85</v>
      </c>
      <c r="L452" s="92"/>
      <c r="M452" s="93">
        <v>31.86</v>
      </c>
      <c r="N452" s="93">
        <v>0</v>
      </c>
      <c r="O452" s="93">
        <v>0</v>
      </c>
      <c r="P452" s="93">
        <v>39</v>
      </c>
      <c r="Q452" s="93">
        <v>1.19</v>
      </c>
      <c r="R452" s="92"/>
      <c r="S452" s="93">
        <v>3.5</v>
      </c>
      <c r="T452" s="93">
        <v>67.33</v>
      </c>
      <c r="U452" s="93">
        <v>0</v>
      </c>
      <c r="V452" s="92"/>
      <c r="W452" s="92"/>
      <c r="X452" s="93">
        <v>316.23</v>
      </c>
      <c r="Y452" s="92"/>
      <c r="Z452" s="92"/>
      <c r="AA452" s="92"/>
      <c r="AB452" s="92"/>
      <c r="AC452" s="92"/>
      <c r="AD452" s="92"/>
      <c r="AE452" s="92"/>
      <c r="AF452" s="92"/>
      <c r="AG452" s="93">
        <v>17.32</v>
      </c>
      <c r="AH452" s="92"/>
      <c r="AI452" s="93">
        <v>337.05</v>
      </c>
      <c r="AJ452" s="93">
        <v>0</v>
      </c>
    </row>
    <row r="453" spans="1:36" customFormat="1" ht="15.75" thickBot="1" x14ac:dyDescent="0.3">
      <c r="A453" s="90" t="s">
        <v>1018</v>
      </c>
      <c r="B453" s="626" t="str">
        <f>VLOOKUP($D453,'Retail Rates'!$B$7:$D$38,2,FALSE)</f>
        <v>811</v>
      </c>
      <c r="C453" s="626" t="str">
        <f>VLOOKUP($D453,'Retail Rates'!$B$7:$D$38,3,FALSE)</f>
        <v>RGS</v>
      </c>
      <c r="D453" s="90" t="s">
        <v>35</v>
      </c>
      <c r="E453" s="90" t="s">
        <v>36</v>
      </c>
      <c r="F453" s="90" t="s">
        <v>20</v>
      </c>
      <c r="G453" s="90" t="s">
        <v>1000</v>
      </c>
      <c r="H453" s="304">
        <v>1</v>
      </c>
      <c r="I453" s="93">
        <v>19</v>
      </c>
      <c r="J453" s="92"/>
      <c r="K453" s="93">
        <v>13.5</v>
      </c>
      <c r="L453" s="92"/>
      <c r="M453" s="93">
        <v>5.45</v>
      </c>
      <c r="N453" s="93">
        <v>0</v>
      </c>
      <c r="O453" s="93">
        <v>0</v>
      </c>
      <c r="P453" s="93">
        <v>6.67</v>
      </c>
      <c r="Q453" s="93">
        <v>0.21</v>
      </c>
      <c r="R453" s="92"/>
      <c r="S453" s="93">
        <v>0.25</v>
      </c>
      <c r="T453" s="93">
        <v>5.14</v>
      </c>
      <c r="U453" s="93">
        <v>0</v>
      </c>
      <c r="V453" s="92"/>
      <c r="W453" s="92"/>
      <c r="X453" s="93">
        <v>30.97</v>
      </c>
      <c r="Y453" s="92"/>
      <c r="Z453" s="92"/>
      <c r="AA453" s="92"/>
      <c r="AB453" s="92"/>
      <c r="AC453" s="92"/>
      <c r="AD453" s="92"/>
      <c r="AE453" s="92"/>
      <c r="AF453" s="92"/>
      <c r="AG453" s="93">
        <v>0</v>
      </c>
      <c r="AH453" s="92"/>
      <c r="AI453" s="93">
        <v>31.22</v>
      </c>
      <c r="AJ453" s="93">
        <v>0</v>
      </c>
    </row>
    <row r="454" spans="1:36" customFormat="1" ht="15.75" thickBot="1" x14ac:dyDescent="0.3">
      <c r="A454" s="90" t="s">
        <v>1018</v>
      </c>
      <c r="B454" s="626" t="str">
        <f>VLOOKUP($D454,'Retail Rates'!$B$7:$D$38,2,FALSE)</f>
        <v>811</v>
      </c>
      <c r="C454" s="626" t="str">
        <f>VLOOKUP($D454,'Retail Rates'!$B$7:$D$38,3,FALSE)</f>
        <v>RGS</v>
      </c>
      <c r="D454" s="90" t="s">
        <v>35</v>
      </c>
      <c r="E454" s="90" t="s">
        <v>36</v>
      </c>
      <c r="F454" s="90" t="s">
        <v>20</v>
      </c>
      <c r="G454" s="90" t="s">
        <v>1019</v>
      </c>
      <c r="H454" s="305">
        <v>62</v>
      </c>
      <c r="I454" s="95">
        <v>593</v>
      </c>
      <c r="J454" s="94"/>
      <c r="K454" s="95">
        <v>837</v>
      </c>
      <c r="L454" s="94"/>
      <c r="M454" s="95">
        <v>170.15</v>
      </c>
      <c r="N454" s="95">
        <v>0</v>
      </c>
      <c r="O454" s="95">
        <v>0</v>
      </c>
      <c r="P454" s="95">
        <v>208.31</v>
      </c>
      <c r="Q454" s="95">
        <v>6.45</v>
      </c>
      <c r="R454" s="94"/>
      <c r="S454" s="95">
        <v>15.5</v>
      </c>
      <c r="T454" s="95">
        <v>318.68</v>
      </c>
      <c r="U454" s="95">
        <v>0</v>
      </c>
      <c r="V454" s="94"/>
      <c r="W454" s="94"/>
      <c r="X454" s="95">
        <v>1540.59</v>
      </c>
      <c r="Y454" s="94"/>
      <c r="Z454" s="94"/>
      <c r="AA454" s="94"/>
      <c r="AB454" s="94"/>
      <c r="AC454" s="94"/>
      <c r="AD454" s="94"/>
      <c r="AE454" s="94"/>
      <c r="AF454" s="94"/>
      <c r="AG454" s="95">
        <v>1.29</v>
      </c>
      <c r="AH454" s="94"/>
      <c r="AI454" s="95">
        <v>1557.38</v>
      </c>
      <c r="AJ454" s="95">
        <v>0</v>
      </c>
    </row>
    <row r="455" spans="1:36" customFormat="1" ht="15.75" thickBot="1" x14ac:dyDescent="0.3">
      <c r="A455" s="90" t="s">
        <v>1018</v>
      </c>
      <c r="B455" s="626" t="str">
        <f>VLOOKUP($D455,'Retail Rates'!$B$7:$D$38,2,FALSE)</f>
        <v>811</v>
      </c>
      <c r="C455" s="626" t="str">
        <f>VLOOKUP($D455,'Retail Rates'!$B$7:$D$38,3,FALSE)</f>
        <v>RGS</v>
      </c>
      <c r="D455" s="90" t="s">
        <v>35</v>
      </c>
      <c r="E455" s="90" t="s">
        <v>36</v>
      </c>
      <c r="F455" s="90" t="s">
        <v>28</v>
      </c>
      <c r="G455" s="90" t="s">
        <v>897</v>
      </c>
      <c r="H455" s="305">
        <v>1</v>
      </c>
      <c r="I455" s="95">
        <v>147</v>
      </c>
      <c r="J455" s="94"/>
      <c r="K455" s="95">
        <v>13.5</v>
      </c>
      <c r="L455" s="94"/>
      <c r="M455" s="95">
        <v>38.840000000000003</v>
      </c>
      <c r="N455" s="94"/>
      <c r="O455" s="94"/>
      <c r="P455" s="95">
        <v>91.6</v>
      </c>
      <c r="Q455" s="95">
        <v>2.39</v>
      </c>
      <c r="R455" s="94"/>
      <c r="S455" s="95">
        <v>0.25</v>
      </c>
      <c r="T455" s="95">
        <v>1.08</v>
      </c>
      <c r="U455" s="94"/>
      <c r="V455" s="94"/>
      <c r="W455" s="94"/>
      <c r="X455" s="95">
        <v>147.41</v>
      </c>
      <c r="Y455" s="94"/>
      <c r="Z455" s="94"/>
      <c r="AA455" s="94"/>
      <c r="AB455" s="94"/>
      <c r="AC455" s="94"/>
      <c r="AD455" s="94"/>
      <c r="AE455" s="94"/>
      <c r="AF455" s="94"/>
      <c r="AG455" s="95">
        <v>0</v>
      </c>
      <c r="AH455" s="94"/>
      <c r="AI455" s="95">
        <v>147.66</v>
      </c>
      <c r="AJ455" s="95">
        <v>0</v>
      </c>
    </row>
    <row r="456" spans="1:36" customFormat="1" ht="15.75" thickBot="1" x14ac:dyDescent="0.3">
      <c r="A456" s="90" t="s">
        <v>1018</v>
      </c>
      <c r="B456" s="626" t="str">
        <f>VLOOKUP($D456,'Retail Rates'!$B$7:$D$38,2,FALSE)</f>
        <v>811</v>
      </c>
      <c r="C456" s="626" t="str">
        <f>VLOOKUP($D456,'Retail Rates'!$B$7:$D$38,3,FALSE)</f>
        <v>RGS</v>
      </c>
      <c r="D456" s="90" t="s">
        <v>35</v>
      </c>
      <c r="E456" s="90" t="s">
        <v>36</v>
      </c>
      <c r="F456" s="90" t="s">
        <v>28</v>
      </c>
      <c r="G456" s="90" t="s">
        <v>898</v>
      </c>
      <c r="H456" s="304">
        <v>1</v>
      </c>
      <c r="I456" s="93">
        <v>4</v>
      </c>
      <c r="J456" s="92"/>
      <c r="K456" s="93">
        <v>13.5</v>
      </c>
      <c r="L456" s="92"/>
      <c r="M456" s="93">
        <v>1.06</v>
      </c>
      <c r="N456" s="93">
        <v>0</v>
      </c>
      <c r="O456" s="93">
        <v>0</v>
      </c>
      <c r="P456" s="93">
        <v>2.4900000000000002</v>
      </c>
      <c r="Q456" s="93">
        <v>0.06</v>
      </c>
      <c r="R456" s="92"/>
      <c r="S456" s="93">
        <v>0.25</v>
      </c>
      <c r="T456" s="93">
        <v>1.08</v>
      </c>
      <c r="U456" s="93">
        <v>0</v>
      </c>
      <c r="V456" s="92"/>
      <c r="W456" s="92"/>
      <c r="X456" s="93">
        <v>18.190000000000001</v>
      </c>
      <c r="Y456" s="92"/>
      <c r="Z456" s="92"/>
      <c r="AA456" s="92"/>
      <c r="AB456" s="92"/>
      <c r="AC456" s="92"/>
      <c r="AD456" s="92"/>
      <c r="AE456" s="92"/>
      <c r="AF456" s="92"/>
      <c r="AG456" s="93">
        <v>0</v>
      </c>
      <c r="AH456" s="92"/>
      <c r="AI456" s="93">
        <v>18.440000000000001</v>
      </c>
      <c r="AJ456" s="93">
        <v>0</v>
      </c>
    </row>
    <row r="457" spans="1:36" customFormat="1" ht="15.75" thickBot="1" x14ac:dyDescent="0.3">
      <c r="A457" s="90" t="s">
        <v>1018</v>
      </c>
      <c r="B457" s="626" t="str">
        <f>VLOOKUP($D457,'Retail Rates'!$B$7:$D$38,2,FALSE)</f>
        <v>811</v>
      </c>
      <c r="C457" s="626" t="str">
        <f>VLOOKUP($D457,'Retail Rates'!$B$7:$D$38,3,FALSE)</f>
        <v>RGS</v>
      </c>
      <c r="D457" s="90" t="s">
        <v>35</v>
      </c>
      <c r="E457" s="90" t="s">
        <v>36</v>
      </c>
      <c r="F457" s="90" t="s">
        <v>28</v>
      </c>
      <c r="G457" s="90" t="s">
        <v>899</v>
      </c>
      <c r="H457" s="305">
        <v>1</v>
      </c>
      <c r="I457" s="95">
        <v>4</v>
      </c>
      <c r="J457" s="94"/>
      <c r="K457" s="95">
        <v>13.5</v>
      </c>
      <c r="L457" s="94"/>
      <c r="M457" s="95">
        <v>1.06</v>
      </c>
      <c r="N457" s="95">
        <v>0</v>
      </c>
      <c r="O457" s="95">
        <v>0</v>
      </c>
      <c r="P457" s="95">
        <v>2.4900000000000002</v>
      </c>
      <c r="Q457" s="95">
        <v>0.06</v>
      </c>
      <c r="R457" s="95">
        <v>-0.3</v>
      </c>
      <c r="S457" s="95">
        <v>0.25</v>
      </c>
      <c r="T457" s="95">
        <v>1.08</v>
      </c>
      <c r="U457" s="95">
        <v>0</v>
      </c>
      <c r="V457" s="94"/>
      <c r="W457" s="94"/>
      <c r="X457" s="95">
        <v>17.89</v>
      </c>
      <c r="Y457" s="94"/>
      <c r="Z457" s="94"/>
      <c r="AA457" s="94"/>
      <c r="AB457" s="94"/>
      <c r="AC457" s="94"/>
      <c r="AD457" s="94"/>
      <c r="AE457" s="94"/>
      <c r="AF457" s="94"/>
      <c r="AG457" s="95">
        <v>0</v>
      </c>
      <c r="AH457" s="94"/>
      <c r="AI457" s="95">
        <v>18.14</v>
      </c>
      <c r="AJ457" s="95">
        <v>0</v>
      </c>
    </row>
    <row r="458" spans="1:36" customFormat="1" ht="15.75" thickBot="1" x14ac:dyDescent="0.3">
      <c r="A458" s="90" t="s">
        <v>1018</v>
      </c>
      <c r="B458" s="626" t="str">
        <f>VLOOKUP($D458,'Retail Rates'!$B$7:$D$38,2,FALSE)</f>
        <v>811</v>
      </c>
      <c r="C458" s="626" t="str">
        <f>VLOOKUP($D458,'Retail Rates'!$B$7:$D$38,3,FALSE)</f>
        <v>RGS</v>
      </c>
      <c r="D458" s="90" t="s">
        <v>35</v>
      </c>
      <c r="E458" s="90" t="s">
        <v>36</v>
      </c>
      <c r="F458" s="90" t="s">
        <v>28</v>
      </c>
      <c r="G458" s="90" t="s">
        <v>900</v>
      </c>
      <c r="H458" s="304">
        <v>1</v>
      </c>
      <c r="I458" s="93">
        <v>0</v>
      </c>
      <c r="J458" s="92"/>
      <c r="K458" s="93">
        <v>13.37</v>
      </c>
      <c r="L458" s="92"/>
      <c r="M458" s="93">
        <v>0</v>
      </c>
      <c r="N458" s="93">
        <v>0.28999999999999998</v>
      </c>
      <c r="O458" s="93">
        <v>-0.13</v>
      </c>
      <c r="P458" s="93">
        <v>0</v>
      </c>
      <c r="Q458" s="93">
        <v>0</v>
      </c>
      <c r="R458" s="92"/>
      <c r="S458" s="93">
        <v>0.25</v>
      </c>
      <c r="T458" s="93">
        <v>1.08</v>
      </c>
      <c r="U458" s="93">
        <v>0</v>
      </c>
      <c r="V458" s="92"/>
      <c r="W458" s="92"/>
      <c r="X458" s="93">
        <v>14.45</v>
      </c>
      <c r="Y458" s="92"/>
      <c r="Z458" s="92"/>
      <c r="AA458" s="92"/>
      <c r="AB458" s="92"/>
      <c r="AC458" s="92"/>
      <c r="AD458" s="92"/>
      <c r="AE458" s="92"/>
      <c r="AF458" s="92"/>
      <c r="AG458" s="93">
        <v>0</v>
      </c>
      <c r="AH458" s="92"/>
      <c r="AI458" s="93">
        <v>14.99</v>
      </c>
      <c r="AJ458" s="306">
        <v>0.13</v>
      </c>
    </row>
    <row r="459" spans="1:36" customFormat="1" ht="15.75" thickBot="1" x14ac:dyDescent="0.3">
      <c r="A459" s="90" t="s">
        <v>1018</v>
      </c>
      <c r="B459" s="626" t="str">
        <f>VLOOKUP($D459,'Retail Rates'!$B$7:$D$38,2,FALSE)</f>
        <v>811</v>
      </c>
      <c r="C459" s="626" t="str">
        <f>VLOOKUP($D459,'Retail Rates'!$B$7:$D$38,3,FALSE)</f>
        <v>RGS</v>
      </c>
      <c r="D459" s="90" t="s">
        <v>35</v>
      </c>
      <c r="E459" s="90" t="s">
        <v>36</v>
      </c>
      <c r="F459" s="90" t="s">
        <v>28</v>
      </c>
      <c r="G459" s="90" t="s">
        <v>901</v>
      </c>
      <c r="H459" s="305">
        <v>1</v>
      </c>
      <c r="I459" s="95">
        <v>0</v>
      </c>
      <c r="J459" s="94"/>
      <c r="K459" s="95">
        <v>13.37</v>
      </c>
      <c r="L459" s="94"/>
      <c r="M459" s="95">
        <v>0</v>
      </c>
      <c r="N459" s="95">
        <v>0.32</v>
      </c>
      <c r="O459" s="95">
        <v>-0.13</v>
      </c>
      <c r="P459" s="95">
        <v>0</v>
      </c>
      <c r="Q459" s="95">
        <v>0</v>
      </c>
      <c r="R459" s="94"/>
      <c r="S459" s="95">
        <v>0.25</v>
      </c>
      <c r="T459" s="95">
        <v>2.35</v>
      </c>
      <c r="U459" s="95">
        <v>0</v>
      </c>
      <c r="V459" s="94"/>
      <c r="W459" s="94"/>
      <c r="X459" s="95">
        <v>15.72</v>
      </c>
      <c r="Y459" s="94"/>
      <c r="Z459" s="94"/>
      <c r="AA459" s="94"/>
      <c r="AB459" s="94"/>
      <c r="AC459" s="94"/>
      <c r="AD459" s="94"/>
      <c r="AE459" s="94"/>
      <c r="AF459" s="94"/>
      <c r="AG459" s="95">
        <v>0</v>
      </c>
      <c r="AH459" s="94"/>
      <c r="AI459" s="95">
        <v>16.29</v>
      </c>
      <c r="AJ459" s="306">
        <v>0.13</v>
      </c>
    </row>
    <row r="460" spans="1:36" customFormat="1" ht="15.75" thickBot="1" x14ac:dyDescent="0.3">
      <c r="A460" s="90" t="s">
        <v>1018</v>
      </c>
      <c r="B460" s="626" t="str">
        <f>VLOOKUP($D460,'Retail Rates'!$B$7:$D$38,2,FALSE)</f>
        <v>811</v>
      </c>
      <c r="C460" s="626" t="str">
        <f>VLOOKUP($D460,'Retail Rates'!$B$7:$D$38,3,FALSE)</f>
        <v>RGS</v>
      </c>
      <c r="D460" s="90" t="s">
        <v>35</v>
      </c>
      <c r="E460" s="90" t="s">
        <v>36</v>
      </c>
      <c r="F460" s="90" t="s">
        <v>28</v>
      </c>
      <c r="G460" s="90" t="s">
        <v>902</v>
      </c>
      <c r="H460" s="304">
        <v>1</v>
      </c>
      <c r="I460" s="93">
        <v>0</v>
      </c>
      <c r="J460" s="92"/>
      <c r="K460" s="93">
        <v>13.37</v>
      </c>
      <c r="L460" s="92"/>
      <c r="M460" s="93">
        <v>0</v>
      </c>
      <c r="N460" s="93">
        <v>0.32</v>
      </c>
      <c r="O460" s="93">
        <v>-0.13</v>
      </c>
      <c r="P460" s="93">
        <v>0</v>
      </c>
      <c r="Q460" s="93">
        <v>0</v>
      </c>
      <c r="R460" s="92"/>
      <c r="S460" s="93">
        <v>0.25</v>
      </c>
      <c r="T460" s="93">
        <v>2.5299999999999998</v>
      </c>
      <c r="U460" s="93">
        <v>0</v>
      </c>
      <c r="V460" s="92"/>
      <c r="W460" s="92"/>
      <c r="X460" s="93">
        <v>15.9</v>
      </c>
      <c r="Y460" s="92"/>
      <c r="Z460" s="92"/>
      <c r="AA460" s="92"/>
      <c r="AB460" s="92"/>
      <c r="AC460" s="92"/>
      <c r="AD460" s="92"/>
      <c r="AE460" s="92"/>
      <c r="AF460" s="92"/>
      <c r="AG460" s="93">
        <v>0</v>
      </c>
      <c r="AH460" s="92"/>
      <c r="AI460" s="93">
        <v>16.47</v>
      </c>
      <c r="AJ460" s="306">
        <v>0.13</v>
      </c>
    </row>
    <row r="461" spans="1:36" customFormat="1" ht="15.75" thickBot="1" x14ac:dyDescent="0.3">
      <c r="A461" s="90" t="s">
        <v>1018</v>
      </c>
      <c r="B461" s="626" t="str">
        <f>VLOOKUP($D461,'Retail Rates'!$B$7:$D$38,2,FALSE)</f>
        <v>811</v>
      </c>
      <c r="C461" s="626" t="str">
        <f>VLOOKUP($D461,'Retail Rates'!$B$7:$D$38,3,FALSE)</f>
        <v>RGS</v>
      </c>
      <c r="D461" s="90" t="s">
        <v>35</v>
      </c>
      <c r="E461" s="90" t="s">
        <v>36</v>
      </c>
      <c r="F461" s="90" t="s">
        <v>28</v>
      </c>
      <c r="G461" s="90" t="s">
        <v>903</v>
      </c>
      <c r="H461" s="305">
        <v>1</v>
      </c>
      <c r="I461" s="95">
        <v>15</v>
      </c>
      <c r="J461" s="94"/>
      <c r="K461" s="95">
        <v>13.37</v>
      </c>
      <c r="L461" s="94"/>
      <c r="M461" s="95">
        <v>3.96</v>
      </c>
      <c r="N461" s="95">
        <v>0.55000000000000004</v>
      </c>
      <c r="O461" s="95">
        <v>-0.13</v>
      </c>
      <c r="P461" s="95">
        <v>7.49</v>
      </c>
      <c r="Q461" s="95">
        <v>0.28999999999999998</v>
      </c>
      <c r="R461" s="95">
        <v>-0.22</v>
      </c>
      <c r="S461" s="95">
        <v>0.25</v>
      </c>
      <c r="T461" s="95">
        <v>2.5299999999999998</v>
      </c>
      <c r="U461" s="95">
        <v>0</v>
      </c>
      <c r="V461" s="94"/>
      <c r="W461" s="94"/>
      <c r="X461" s="95">
        <v>27.42</v>
      </c>
      <c r="Y461" s="94"/>
      <c r="Z461" s="94"/>
      <c r="AA461" s="94"/>
      <c r="AB461" s="94"/>
      <c r="AC461" s="94"/>
      <c r="AD461" s="94"/>
      <c r="AE461" s="94"/>
      <c r="AF461" s="94"/>
      <c r="AG461" s="95">
        <v>0</v>
      </c>
      <c r="AH461" s="94"/>
      <c r="AI461" s="95">
        <v>28.22</v>
      </c>
      <c r="AJ461" s="306">
        <v>0.13</v>
      </c>
    </row>
    <row r="462" spans="1:36" customFormat="1" ht="15.75" thickBot="1" x14ac:dyDescent="0.3">
      <c r="A462" s="90" t="s">
        <v>1018</v>
      </c>
      <c r="B462" s="626" t="str">
        <f>VLOOKUP($D462,'Retail Rates'!$B$7:$D$38,2,FALSE)</f>
        <v>811</v>
      </c>
      <c r="C462" s="626" t="str">
        <f>VLOOKUP($D462,'Retail Rates'!$B$7:$D$38,3,FALSE)</f>
        <v>RGS</v>
      </c>
      <c r="D462" s="90" t="s">
        <v>35</v>
      </c>
      <c r="E462" s="90" t="s">
        <v>36</v>
      </c>
      <c r="F462" s="90" t="s">
        <v>28</v>
      </c>
      <c r="G462" s="90" t="s">
        <v>904</v>
      </c>
      <c r="H462" s="304">
        <v>1</v>
      </c>
      <c r="I462" s="93">
        <v>0</v>
      </c>
      <c r="J462" s="92"/>
      <c r="K462" s="93">
        <v>13.37</v>
      </c>
      <c r="L462" s="92"/>
      <c r="M462" s="93">
        <v>0</v>
      </c>
      <c r="N462" s="93">
        <v>0.32</v>
      </c>
      <c r="O462" s="93">
        <v>-0.13</v>
      </c>
      <c r="P462" s="93">
        <v>0</v>
      </c>
      <c r="Q462" s="93">
        <v>0</v>
      </c>
      <c r="R462" s="92"/>
      <c r="S462" s="93">
        <v>0.25</v>
      </c>
      <c r="T462" s="93">
        <v>2.5299999999999998</v>
      </c>
      <c r="U462" s="93">
        <v>0</v>
      </c>
      <c r="V462" s="92"/>
      <c r="W462" s="92"/>
      <c r="X462" s="93">
        <v>15.9</v>
      </c>
      <c r="Y462" s="92"/>
      <c r="Z462" s="92"/>
      <c r="AA462" s="92"/>
      <c r="AB462" s="92"/>
      <c r="AC462" s="92"/>
      <c r="AD462" s="92"/>
      <c r="AE462" s="92"/>
      <c r="AF462" s="92"/>
      <c r="AG462" s="93">
        <v>0</v>
      </c>
      <c r="AH462" s="92"/>
      <c r="AI462" s="93">
        <v>16.47</v>
      </c>
      <c r="AJ462" s="306">
        <v>0.13</v>
      </c>
    </row>
    <row r="463" spans="1:36" customFormat="1" ht="15.75" thickBot="1" x14ac:dyDescent="0.3">
      <c r="A463" s="90" t="s">
        <v>1018</v>
      </c>
      <c r="B463" s="626" t="str">
        <f>VLOOKUP($D463,'Retail Rates'!$B$7:$D$38,2,FALSE)</f>
        <v>811</v>
      </c>
      <c r="C463" s="626" t="str">
        <f>VLOOKUP($D463,'Retail Rates'!$B$7:$D$38,3,FALSE)</f>
        <v>RGS</v>
      </c>
      <c r="D463" s="90" t="s">
        <v>35</v>
      </c>
      <c r="E463" s="90" t="s">
        <v>36</v>
      </c>
      <c r="F463" s="90" t="s">
        <v>28</v>
      </c>
      <c r="G463" s="90" t="s">
        <v>905</v>
      </c>
      <c r="H463" s="305">
        <v>1</v>
      </c>
      <c r="I463" s="95">
        <v>0</v>
      </c>
      <c r="J463" s="94"/>
      <c r="K463" s="95">
        <v>13.37</v>
      </c>
      <c r="L463" s="94"/>
      <c r="M463" s="95">
        <v>0</v>
      </c>
      <c r="N463" s="95">
        <v>0.34</v>
      </c>
      <c r="O463" s="95">
        <v>-0.13</v>
      </c>
      <c r="P463" s="95">
        <v>0</v>
      </c>
      <c r="Q463" s="95">
        <v>0</v>
      </c>
      <c r="R463" s="94"/>
      <c r="S463" s="95">
        <v>0.25</v>
      </c>
      <c r="T463" s="95">
        <v>3.69</v>
      </c>
      <c r="U463" s="95">
        <v>0</v>
      </c>
      <c r="V463" s="94"/>
      <c r="W463" s="94"/>
      <c r="X463" s="95">
        <v>17.059999999999999</v>
      </c>
      <c r="Y463" s="94"/>
      <c r="Z463" s="94"/>
      <c r="AA463" s="94"/>
      <c r="AB463" s="94"/>
      <c r="AC463" s="94"/>
      <c r="AD463" s="94"/>
      <c r="AE463" s="94"/>
      <c r="AF463" s="94"/>
      <c r="AG463" s="95">
        <v>0</v>
      </c>
      <c r="AH463" s="94"/>
      <c r="AI463" s="95">
        <v>17.649999999999999</v>
      </c>
      <c r="AJ463" s="306">
        <v>0.13</v>
      </c>
    </row>
    <row r="464" spans="1:36" customFormat="1" ht="15.75" thickBot="1" x14ac:dyDescent="0.3">
      <c r="A464" s="90" t="s">
        <v>1018</v>
      </c>
      <c r="B464" s="626" t="str">
        <f>VLOOKUP($D464,'Retail Rates'!$B$7:$D$38,2,FALSE)</f>
        <v>811</v>
      </c>
      <c r="C464" s="626" t="str">
        <f>VLOOKUP($D464,'Retail Rates'!$B$7:$D$38,3,FALSE)</f>
        <v>RGS</v>
      </c>
      <c r="D464" s="90" t="s">
        <v>35</v>
      </c>
      <c r="E464" s="90" t="s">
        <v>36</v>
      </c>
      <c r="F464" s="90" t="s">
        <v>28</v>
      </c>
      <c r="G464" s="90" t="s">
        <v>906</v>
      </c>
      <c r="H464" s="304">
        <v>1</v>
      </c>
      <c r="I464" s="93">
        <v>0</v>
      </c>
      <c r="J464" s="92"/>
      <c r="K464" s="93">
        <v>13.37</v>
      </c>
      <c r="L464" s="92"/>
      <c r="M464" s="93">
        <v>0</v>
      </c>
      <c r="N464" s="93">
        <v>0.35</v>
      </c>
      <c r="O464" s="93">
        <v>-0.13</v>
      </c>
      <c r="P464" s="93">
        <v>0</v>
      </c>
      <c r="Q464" s="93">
        <v>0</v>
      </c>
      <c r="R464" s="92"/>
      <c r="S464" s="93">
        <v>0.25</v>
      </c>
      <c r="T464" s="93">
        <v>3.77</v>
      </c>
      <c r="U464" s="93">
        <v>0</v>
      </c>
      <c r="V464" s="92"/>
      <c r="W464" s="92"/>
      <c r="X464" s="93">
        <v>17.14</v>
      </c>
      <c r="Y464" s="92"/>
      <c r="Z464" s="92"/>
      <c r="AA464" s="92"/>
      <c r="AB464" s="92"/>
      <c r="AC464" s="92"/>
      <c r="AD464" s="92"/>
      <c r="AE464" s="92"/>
      <c r="AF464" s="92"/>
      <c r="AG464" s="93">
        <v>0</v>
      </c>
      <c r="AH464" s="92"/>
      <c r="AI464" s="93">
        <v>17.739999999999998</v>
      </c>
      <c r="AJ464" s="306">
        <v>0.13</v>
      </c>
    </row>
    <row r="465" spans="1:36" customFormat="1" ht="15.75" thickBot="1" x14ac:dyDescent="0.3">
      <c r="A465" s="90" t="s">
        <v>1018</v>
      </c>
      <c r="B465" s="626" t="str">
        <f>VLOOKUP($D465,'Retail Rates'!$B$7:$D$38,2,FALSE)</f>
        <v>811</v>
      </c>
      <c r="C465" s="626" t="str">
        <f>VLOOKUP($D465,'Retail Rates'!$B$7:$D$38,3,FALSE)</f>
        <v>RGS</v>
      </c>
      <c r="D465" s="90" t="s">
        <v>35</v>
      </c>
      <c r="E465" s="90" t="s">
        <v>36</v>
      </c>
      <c r="F465" s="90" t="s">
        <v>28</v>
      </c>
      <c r="G465" s="90" t="s">
        <v>907</v>
      </c>
      <c r="H465" s="305">
        <v>1</v>
      </c>
      <c r="I465" s="95">
        <v>0</v>
      </c>
      <c r="J465" s="94"/>
      <c r="K465" s="95">
        <v>13.5</v>
      </c>
      <c r="L465" s="94"/>
      <c r="M465" s="95">
        <v>0</v>
      </c>
      <c r="N465" s="95">
        <v>0.35</v>
      </c>
      <c r="O465" s="95">
        <v>0</v>
      </c>
      <c r="P465" s="95">
        <v>0</v>
      </c>
      <c r="Q465" s="95">
        <v>0</v>
      </c>
      <c r="R465" s="94"/>
      <c r="S465" s="95">
        <v>0.25</v>
      </c>
      <c r="T465" s="95">
        <v>3.77</v>
      </c>
      <c r="U465" s="95">
        <v>0</v>
      </c>
      <c r="V465" s="94"/>
      <c r="W465" s="94"/>
      <c r="X465" s="95">
        <v>17.27</v>
      </c>
      <c r="Y465" s="94"/>
      <c r="Z465" s="94"/>
      <c r="AA465" s="94"/>
      <c r="AB465" s="94"/>
      <c r="AC465" s="94"/>
      <c r="AD465" s="94"/>
      <c r="AE465" s="94"/>
      <c r="AF465" s="94"/>
      <c r="AG465" s="95">
        <v>0</v>
      </c>
      <c r="AH465" s="94"/>
      <c r="AI465" s="95">
        <v>17.87</v>
      </c>
      <c r="AJ465" s="95">
        <v>0</v>
      </c>
    </row>
    <row r="466" spans="1:36" customFormat="1" ht="15.75" thickBot="1" x14ac:dyDescent="0.3">
      <c r="A466" s="90" t="s">
        <v>1018</v>
      </c>
      <c r="B466" s="626" t="str">
        <f>VLOOKUP($D466,'Retail Rates'!$B$7:$D$38,2,FALSE)</f>
        <v>811</v>
      </c>
      <c r="C466" s="626" t="str">
        <f>VLOOKUP($D466,'Retail Rates'!$B$7:$D$38,3,FALSE)</f>
        <v>RGS</v>
      </c>
      <c r="D466" s="90" t="s">
        <v>35</v>
      </c>
      <c r="E466" s="90" t="s">
        <v>36</v>
      </c>
      <c r="F466" s="90" t="s">
        <v>28</v>
      </c>
      <c r="G466" s="90" t="s">
        <v>908</v>
      </c>
      <c r="H466" s="304">
        <v>1</v>
      </c>
      <c r="I466" s="93">
        <v>0</v>
      </c>
      <c r="J466" s="92"/>
      <c r="K466" s="93">
        <v>13.5</v>
      </c>
      <c r="L466" s="92"/>
      <c r="M466" s="93">
        <v>0</v>
      </c>
      <c r="N466" s="93">
        <v>0.35</v>
      </c>
      <c r="O466" s="93">
        <v>0</v>
      </c>
      <c r="P466" s="93">
        <v>0</v>
      </c>
      <c r="Q466" s="93">
        <v>0</v>
      </c>
      <c r="R466" s="92"/>
      <c r="S466" s="93">
        <v>0.25</v>
      </c>
      <c r="T466" s="93">
        <v>3.77</v>
      </c>
      <c r="U466" s="93">
        <v>0</v>
      </c>
      <c r="V466" s="92"/>
      <c r="W466" s="92"/>
      <c r="X466" s="93">
        <v>17.27</v>
      </c>
      <c r="Y466" s="92"/>
      <c r="Z466" s="92"/>
      <c r="AA466" s="92"/>
      <c r="AB466" s="92"/>
      <c r="AC466" s="92"/>
      <c r="AD466" s="92"/>
      <c r="AE466" s="92"/>
      <c r="AF466" s="92"/>
      <c r="AG466" s="93">
        <v>0</v>
      </c>
      <c r="AH466" s="92"/>
      <c r="AI466" s="93">
        <v>17.87</v>
      </c>
      <c r="AJ466" s="93">
        <v>0</v>
      </c>
    </row>
    <row r="467" spans="1:36" customFormat="1" ht="15.75" thickBot="1" x14ac:dyDescent="0.3">
      <c r="A467" s="90" t="s">
        <v>1018</v>
      </c>
      <c r="B467" s="626" t="str">
        <f>VLOOKUP($D467,'Retail Rates'!$B$7:$D$38,2,FALSE)</f>
        <v>811</v>
      </c>
      <c r="C467" s="626" t="str">
        <f>VLOOKUP($D467,'Retail Rates'!$B$7:$D$38,3,FALSE)</f>
        <v>RGS</v>
      </c>
      <c r="D467" s="90" t="s">
        <v>35</v>
      </c>
      <c r="E467" s="90" t="s">
        <v>36</v>
      </c>
      <c r="F467" s="90" t="s">
        <v>28</v>
      </c>
      <c r="G467" s="90" t="s">
        <v>909</v>
      </c>
      <c r="H467" s="305">
        <v>1</v>
      </c>
      <c r="I467" s="95">
        <v>0</v>
      </c>
      <c r="J467" s="94"/>
      <c r="K467" s="95">
        <v>13.5</v>
      </c>
      <c r="L467" s="94"/>
      <c r="M467" s="95">
        <v>0</v>
      </c>
      <c r="N467" s="95">
        <v>0.35</v>
      </c>
      <c r="O467" s="95">
        <v>0</v>
      </c>
      <c r="P467" s="95">
        <v>0</v>
      </c>
      <c r="Q467" s="95">
        <v>0</v>
      </c>
      <c r="R467" s="94"/>
      <c r="S467" s="95">
        <v>0.25</v>
      </c>
      <c r="T467" s="95">
        <v>3.77</v>
      </c>
      <c r="U467" s="95">
        <v>0</v>
      </c>
      <c r="V467" s="94"/>
      <c r="W467" s="94"/>
      <c r="X467" s="95">
        <v>17.27</v>
      </c>
      <c r="Y467" s="94"/>
      <c r="Z467" s="94"/>
      <c r="AA467" s="94"/>
      <c r="AB467" s="94"/>
      <c r="AC467" s="94"/>
      <c r="AD467" s="94"/>
      <c r="AE467" s="94"/>
      <c r="AF467" s="94"/>
      <c r="AG467" s="95">
        <v>0</v>
      </c>
      <c r="AH467" s="94"/>
      <c r="AI467" s="95">
        <v>17.87</v>
      </c>
      <c r="AJ467" s="95">
        <v>0</v>
      </c>
    </row>
    <row r="468" spans="1:36" customFormat="1" ht="15.75" thickBot="1" x14ac:dyDescent="0.3">
      <c r="A468" s="90" t="s">
        <v>1018</v>
      </c>
      <c r="B468" s="626" t="str">
        <f>VLOOKUP($D468,'Retail Rates'!$B$7:$D$38,2,FALSE)</f>
        <v>811</v>
      </c>
      <c r="C468" s="626" t="str">
        <f>VLOOKUP($D468,'Retail Rates'!$B$7:$D$38,3,FALSE)</f>
        <v>RGS</v>
      </c>
      <c r="D468" s="90" t="s">
        <v>35</v>
      </c>
      <c r="E468" s="90" t="s">
        <v>36</v>
      </c>
      <c r="F468" s="90" t="s">
        <v>28</v>
      </c>
      <c r="G468" s="90" t="s">
        <v>910</v>
      </c>
      <c r="H468" s="304">
        <v>2</v>
      </c>
      <c r="I468" s="93">
        <v>-1</v>
      </c>
      <c r="J468" s="92"/>
      <c r="K468" s="93">
        <v>13.5</v>
      </c>
      <c r="L468" s="92"/>
      <c r="M468" s="93">
        <v>-0.28999999999999998</v>
      </c>
      <c r="N468" s="93">
        <v>0.34</v>
      </c>
      <c r="O468" s="93">
        <v>0</v>
      </c>
      <c r="P468" s="93">
        <v>-0.28999999999999998</v>
      </c>
      <c r="Q468" s="93">
        <v>-0.01</v>
      </c>
      <c r="R468" s="92"/>
      <c r="S468" s="93">
        <v>0.25</v>
      </c>
      <c r="T468" s="93">
        <v>3.77</v>
      </c>
      <c r="U468" s="93">
        <v>0</v>
      </c>
      <c r="V468" s="92"/>
      <c r="W468" s="92"/>
      <c r="X468" s="93">
        <v>16.68</v>
      </c>
      <c r="Y468" s="92"/>
      <c r="Z468" s="92"/>
      <c r="AA468" s="92"/>
      <c r="AB468" s="92"/>
      <c r="AC468" s="92"/>
      <c r="AD468" s="92"/>
      <c r="AE468" s="92"/>
      <c r="AF468" s="92"/>
      <c r="AG468" s="93">
        <v>0</v>
      </c>
      <c r="AH468" s="92"/>
      <c r="AI468" s="93">
        <v>17.27</v>
      </c>
      <c r="AJ468" s="93">
        <v>0</v>
      </c>
    </row>
    <row r="469" spans="1:36" customFormat="1" ht="15.75" thickBot="1" x14ac:dyDescent="0.3">
      <c r="A469" s="90" t="s">
        <v>1018</v>
      </c>
      <c r="B469" s="626" t="str">
        <f>VLOOKUP($D469,'Retail Rates'!$B$7:$D$38,2,FALSE)</f>
        <v>811</v>
      </c>
      <c r="C469" s="626" t="str">
        <f>VLOOKUP($D469,'Retail Rates'!$B$7:$D$38,3,FALSE)</f>
        <v>RGS</v>
      </c>
      <c r="D469" s="90" t="s">
        <v>35</v>
      </c>
      <c r="E469" s="90" t="s">
        <v>36</v>
      </c>
      <c r="F469" s="90" t="s">
        <v>28</v>
      </c>
      <c r="G469" s="90" t="s">
        <v>911</v>
      </c>
      <c r="H469" s="305">
        <v>6</v>
      </c>
      <c r="I469" s="95">
        <v>-6</v>
      </c>
      <c r="J469" s="94"/>
      <c r="K469" s="95">
        <v>0</v>
      </c>
      <c r="L469" s="94"/>
      <c r="M469" s="95">
        <v>-1.74</v>
      </c>
      <c r="N469" s="95">
        <v>-0.28999999999999998</v>
      </c>
      <c r="O469" s="95">
        <v>0</v>
      </c>
      <c r="P469" s="95">
        <v>-1.91</v>
      </c>
      <c r="Q469" s="95">
        <v>-0.06</v>
      </c>
      <c r="R469" s="95">
        <v>-1.94</v>
      </c>
      <c r="S469" s="95">
        <v>0</v>
      </c>
      <c r="T469" s="95">
        <v>0</v>
      </c>
      <c r="U469" s="95">
        <v>0</v>
      </c>
      <c r="V469" s="94"/>
      <c r="W469" s="94"/>
      <c r="X469" s="95">
        <v>-5.65</v>
      </c>
      <c r="Y469" s="94"/>
      <c r="Z469" s="94"/>
      <c r="AA469" s="94"/>
      <c r="AB469" s="94"/>
      <c r="AC469" s="94"/>
      <c r="AD469" s="94"/>
      <c r="AE469" s="94"/>
      <c r="AF469" s="94"/>
      <c r="AG469" s="95">
        <v>0</v>
      </c>
      <c r="AH469" s="94"/>
      <c r="AI469" s="95">
        <v>-5.94</v>
      </c>
      <c r="AJ469" s="95">
        <v>0</v>
      </c>
    </row>
    <row r="470" spans="1:36" customFormat="1" ht="15.75" thickBot="1" x14ac:dyDescent="0.3">
      <c r="A470" s="90" t="s">
        <v>1018</v>
      </c>
      <c r="B470" s="626" t="str">
        <f>VLOOKUP($D470,'Retail Rates'!$B$7:$D$38,2,FALSE)</f>
        <v>811</v>
      </c>
      <c r="C470" s="626" t="str">
        <f>VLOOKUP($D470,'Retail Rates'!$B$7:$D$38,3,FALSE)</f>
        <v>RGS</v>
      </c>
      <c r="D470" s="90" t="s">
        <v>35</v>
      </c>
      <c r="E470" s="90" t="s">
        <v>36</v>
      </c>
      <c r="F470" s="90" t="s">
        <v>28</v>
      </c>
      <c r="G470" s="90" t="s">
        <v>912</v>
      </c>
      <c r="H470" s="304">
        <v>11</v>
      </c>
      <c r="I470" s="93">
        <v>-22</v>
      </c>
      <c r="J470" s="92"/>
      <c r="K470" s="93">
        <v>-7.2</v>
      </c>
      <c r="L470" s="92"/>
      <c r="M470" s="93">
        <v>-6.31</v>
      </c>
      <c r="N470" s="93">
        <v>-0.65</v>
      </c>
      <c r="O470" s="93">
        <v>0</v>
      </c>
      <c r="P470" s="93">
        <v>-7.5</v>
      </c>
      <c r="Q470" s="93">
        <v>-0.17</v>
      </c>
      <c r="R470" s="93">
        <v>0.33</v>
      </c>
      <c r="S470" s="93">
        <v>0</v>
      </c>
      <c r="T470" s="93">
        <v>-2.0099999999999998</v>
      </c>
      <c r="U470" s="93">
        <v>0</v>
      </c>
      <c r="V470" s="92"/>
      <c r="W470" s="92"/>
      <c r="X470" s="93">
        <v>-22.86</v>
      </c>
      <c r="Y470" s="92"/>
      <c r="Z470" s="92"/>
      <c r="AA470" s="92"/>
      <c r="AB470" s="92"/>
      <c r="AC470" s="92"/>
      <c r="AD470" s="92"/>
      <c r="AE470" s="92"/>
      <c r="AF470" s="92"/>
      <c r="AG470" s="93">
        <v>0</v>
      </c>
      <c r="AH470" s="92"/>
      <c r="AI470" s="93">
        <v>-23.51</v>
      </c>
      <c r="AJ470" s="93">
        <v>0</v>
      </c>
    </row>
    <row r="471" spans="1:36" customFormat="1" ht="15.75" thickBot="1" x14ac:dyDescent="0.3">
      <c r="A471" s="90" t="s">
        <v>1018</v>
      </c>
      <c r="B471" s="626" t="str">
        <f>VLOOKUP($D471,'Retail Rates'!$B$7:$D$38,2,FALSE)</f>
        <v>811</v>
      </c>
      <c r="C471" s="626" t="str">
        <f>VLOOKUP($D471,'Retail Rates'!$B$7:$D$38,3,FALSE)</f>
        <v>RGS</v>
      </c>
      <c r="D471" s="90" t="s">
        <v>35</v>
      </c>
      <c r="E471" s="90" t="s">
        <v>36</v>
      </c>
      <c r="F471" s="90" t="s">
        <v>28</v>
      </c>
      <c r="G471" s="90" t="s">
        <v>913</v>
      </c>
      <c r="H471" s="305">
        <v>12</v>
      </c>
      <c r="I471" s="95">
        <v>266</v>
      </c>
      <c r="J471" s="94"/>
      <c r="K471" s="95">
        <v>-13.5</v>
      </c>
      <c r="L471" s="94"/>
      <c r="M471" s="95">
        <v>76.290000000000006</v>
      </c>
      <c r="N471" s="95">
        <v>2.66</v>
      </c>
      <c r="O471" s="95">
        <v>0</v>
      </c>
      <c r="P471" s="95">
        <v>90.62</v>
      </c>
      <c r="Q471" s="95">
        <v>2.41</v>
      </c>
      <c r="R471" s="95">
        <v>-9.69</v>
      </c>
      <c r="S471" s="95">
        <v>-0.25</v>
      </c>
      <c r="T471" s="95">
        <v>-3.7</v>
      </c>
      <c r="U471" s="95">
        <v>0</v>
      </c>
      <c r="V471" s="94"/>
      <c r="W471" s="94"/>
      <c r="X471" s="95">
        <v>142.43</v>
      </c>
      <c r="Y471" s="94"/>
      <c r="Z471" s="94"/>
      <c r="AA471" s="94"/>
      <c r="AB471" s="94"/>
      <c r="AC471" s="94"/>
      <c r="AD471" s="94"/>
      <c r="AE471" s="94"/>
      <c r="AF471" s="94"/>
      <c r="AG471" s="95">
        <v>0</v>
      </c>
      <c r="AH471" s="94"/>
      <c r="AI471" s="95">
        <v>144.84</v>
      </c>
      <c r="AJ471" s="95">
        <v>0</v>
      </c>
    </row>
    <row r="472" spans="1:36" customFormat="1" ht="15.75" thickBot="1" x14ac:dyDescent="0.3">
      <c r="A472" s="90" t="s">
        <v>1018</v>
      </c>
      <c r="B472" s="626" t="str">
        <f>VLOOKUP($D472,'Retail Rates'!$B$7:$D$38,2,FALSE)</f>
        <v>811</v>
      </c>
      <c r="C472" s="626" t="str">
        <f>VLOOKUP($D472,'Retail Rates'!$B$7:$D$38,3,FALSE)</f>
        <v>RGS</v>
      </c>
      <c r="D472" s="90" t="s">
        <v>35</v>
      </c>
      <c r="E472" s="90" t="s">
        <v>36</v>
      </c>
      <c r="F472" s="90" t="s">
        <v>28</v>
      </c>
      <c r="G472" s="90" t="s">
        <v>914</v>
      </c>
      <c r="H472" s="304">
        <v>25</v>
      </c>
      <c r="I472" s="93">
        <v>-672</v>
      </c>
      <c r="J472" s="92"/>
      <c r="K472" s="93">
        <v>-10.35</v>
      </c>
      <c r="L472" s="92"/>
      <c r="M472" s="93">
        <v>-192.83</v>
      </c>
      <c r="N472" s="93">
        <v>-7.59</v>
      </c>
      <c r="O472" s="93">
        <v>0</v>
      </c>
      <c r="P472" s="93">
        <v>-221.59</v>
      </c>
      <c r="Q472" s="93">
        <v>-6.08</v>
      </c>
      <c r="R472" s="93">
        <v>-1.35</v>
      </c>
      <c r="S472" s="93">
        <v>0</v>
      </c>
      <c r="T472" s="93">
        <v>-2.92</v>
      </c>
      <c r="U472" s="93">
        <v>0</v>
      </c>
      <c r="V472" s="92"/>
      <c r="W472" s="92"/>
      <c r="X472" s="93">
        <v>-435.12</v>
      </c>
      <c r="Y472" s="92"/>
      <c r="Z472" s="92"/>
      <c r="AA472" s="92"/>
      <c r="AB472" s="92"/>
      <c r="AC472" s="92"/>
      <c r="AD472" s="92"/>
      <c r="AE472" s="92"/>
      <c r="AF472" s="92"/>
      <c r="AG472" s="93">
        <v>-5.83</v>
      </c>
      <c r="AH472" s="92"/>
      <c r="AI472" s="93">
        <v>-448.54</v>
      </c>
      <c r="AJ472" s="93">
        <v>0</v>
      </c>
    </row>
    <row r="473" spans="1:36" customFormat="1" ht="15.75" thickBot="1" x14ac:dyDescent="0.3">
      <c r="A473" s="90" t="s">
        <v>1018</v>
      </c>
      <c r="B473" s="626" t="str">
        <f>VLOOKUP($D473,'Retail Rates'!$B$7:$D$38,2,FALSE)</f>
        <v>811</v>
      </c>
      <c r="C473" s="626" t="str">
        <f>VLOOKUP($D473,'Retail Rates'!$B$7:$D$38,3,FALSE)</f>
        <v>RGS</v>
      </c>
      <c r="D473" s="90" t="s">
        <v>35</v>
      </c>
      <c r="E473" s="90" t="s">
        <v>36</v>
      </c>
      <c r="F473" s="90" t="s">
        <v>28</v>
      </c>
      <c r="G473" s="90" t="s">
        <v>915</v>
      </c>
      <c r="H473" s="305">
        <v>38</v>
      </c>
      <c r="I473" s="95">
        <v>-1214</v>
      </c>
      <c r="J473" s="94"/>
      <c r="K473" s="95">
        <v>-13.5</v>
      </c>
      <c r="L473" s="94"/>
      <c r="M473" s="95">
        <v>-348.33</v>
      </c>
      <c r="N473" s="95">
        <v>-12.26</v>
      </c>
      <c r="O473" s="95">
        <v>0</v>
      </c>
      <c r="P473" s="95">
        <v>-392.63</v>
      </c>
      <c r="Q473" s="95">
        <v>-11.05</v>
      </c>
      <c r="R473" s="95">
        <v>-101.8</v>
      </c>
      <c r="S473" s="95">
        <v>-0.25</v>
      </c>
      <c r="T473" s="95">
        <v>-4.8499999999999996</v>
      </c>
      <c r="U473" s="95">
        <v>0</v>
      </c>
      <c r="V473" s="94"/>
      <c r="W473" s="94"/>
      <c r="X473" s="95">
        <v>-872.16</v>
      </c>
      <c r="Y473" s="94"/>
      <c r="Z473" s="94"/>
      <c r="AA473" s="94"/>
      <c r="AB473" s="94"/>
      <c r="AC473" s="94"/>
      <c r="AD473" s="94"/>
      <c r="AE473" s="94"/>
      <c r="AF473" s="94"/>
      <c r="AG473" s="95">
        <v>-4.03</v>
      </c>
      <c r="AH473" s="94"/>
      <c r="AI473" s="95">
        <v>-888.7</v>
      </c>
      <c r="AJ473" s="95">
        <v>0</v>
      </c>
    </row>
    <row r="474" spans="1:36" customFormat="1" ht="15.75" thickBot="1" x14ac:dyDescent="0.3">
      <c r="A474" s="90" t="s">
        <v>1018</v>
      </c>
      <c r="B474" s="626" t="str">
        <f>VLOOKUP($D474,'Retail Rates'!$B$7:$D$38,2,FALSE)</f>
        <v>811</v>
      </c>
      <c r="C474" s="626" t="str">
        <f>VLOOKUP($D474,'Retail Rates'!$B$7:$D$38,3,FALSE)</f>
        <v>RGS</v>
      </c>
      <c r="D474" s="90" t="s">
        <v>35</v>
      </c>
      <c r="E474" s="90" t="s">
        <v>36</v>
      </c>
      <c r="F474" s="90" t="s">
        <v>28</v>
      </c>
      <c r="G474" s="90" t="s">
        <v>917</v>
      </c>
      <c r="H474" s="304">
        <v>81</v>
      </c>
      <c r="I474" s="93">
        <v>-2817</v>
      </c>
      <c r="J474" s="92"/>
      <c r="K474" s="93">
        <v>-34.200000000000003</v>
      </c>
      <c r="L474" s="92"/>
      <c r="M474" s="93">
        <v>-808.33</v>
      </c>
      <c r="N474" s="93">
        <v>-5.17</v>
      </c>
      <c r="O474" s="93">
        <v>0</v>
      </c>
      <c r="P474" s="93">
        <v>-911.11</v>
      </c>
      <c r="Q474" s="93">
        <v>-30.49</v>
      </c>
      <c r="R474" s="93">
        <v>-350.14</v>
      </c>
      <c r="S474" s="93">
        <v>-1</v>
      </c>
      <c r="T474" s="93">
        <v>-12.29</v>
      </c>
      <c r="U474" s="93">
        <v>0</v>
      </c>
      <c r="V474" s="92"/>
      <c r="W474" s="92"/>
      <c r="X474" s="93">
        <v>-2146.56</v>
      </c>
      <c r="Y474" s="92"/>
      <c r="Z474" s="92"/>
      <c r="AA474" s="92"/>
      <c r="AB474" s="92"/>
      <c r="AC474" s="92"/>
      <c r="AD474" s="92"/>
      <c r="AE474" s="92"/>
      <c r="AF474" s="92"/>
      <c r="AG474" s="93">
        <v>-11.21</v>
      </c>
      <c r="AH474" s="92"/>
      <c r="AI474" s="93">
        <v>-2163.94</v>
      </c>
      <c r="AJ474" s="93">
        <v>0</v>
      </c>
    </row>
    <row r="475" spans="1:36" customFormat="1" ht="15.75" thickBot="1" x14ac:dyDescent="0.3">
      <c r="A475" s="90" t="s">
        <v>1018</v>
      </c>
      <c r="B475" s="626" t="str">
        <f>VLOOKUP($D475,'Retail Rates'!$B$7:$D$38,2,FALSE)</f>
        <v>811</v>
      </c>
      <c r="C475" s="626" t="str">
        <f>VLOOKUP($D475,'Retail Rates'!$B$7:$D$38,3,FALSE)</f>
        <v>RGS</v>
      </c>
      <c r="D475" s="90" t="s">
        <v>35</v>
      </c>
      <c r="E475" s="90" t="s">
        <v>36</v>
      </c>
      <c r="F475" s="90" t="s">
        <v>28</v>
      </c>
      <c r="G475" s="90" t="s">
        <v>918</v>
      </c>
      <c r="H475" s="305">
        <v>137</v>
      </c>
      <c r="I475" s="95">
        <v>-2607</v>
      </c>
      <c r="J475" s="94"/>
      <c r="K475" s="95">
        <v>-76.95</v>
      </c>
      <c r="L475" s="94"/>
      <c r="M475" s="95">
        <v>-748.06</v>
      </c>
      <c r="N475" s="95">
        <v>-0.57999999999999996</v>
      </c>
      <c r="O475" s="95">
        <v>0</v>
      </c>
      <c r="P475" s="95">
        <v>-892.65</v>
      </c>
      <c r="Q475" s="95">
        <v>-28.22</v>
      </c>
      <c r="R475" s="94"/>
      <c r="S475" s="95">
        <v>-0.75</v>
      </c>
      <c r="T475" s="95">
        <v>-29.11</v>
      </c>
      <c r="U475" s="95">
        <v>0</v>
      </c>
      <c r="V475" s="94"/>
      <c r="W475" s="94"/>
      <c r="X475" s="95">
        <v>-1774.99</v>
      </c>
      <c r="Y475" s="94"/>
      <c r="Z475" s="94"/>
      <c r="AA475" s="94"/>
      <c r="AB475" s="94"/>
      <c r="AC475" s="94"/>
      <c r="AD475" s="94"/>
      <c r="AE475" s="94"/>
      <c r="AF475" s="94"/>
      <c r="AG475" s="95">
        <v>-1.96</v>
      </c>
      <c r="AH475" s="94"/>
      <c r="AI475" s="95">
        <v>-1778.28</v>
      </c>
      <c r="AJ475" s="95">
        <v>0</v>
      </c>
    </row>
    <row r="476" spans="1:36" customFormat="1" ht="15.75" thickBot="1" x14ac:dyDescent="0.3">
      <c r="A476" s="90" t="s">
        <v>1018</v>
      </c>
      <c r="B476" s="626" t="str">
        <f>VLOOKUP($D476,'Retail Rates'!$B$7:$D$38,2,FALSE)</f>
        <v>811</v>
      </c>
      <c r="C476" s="626" t="str">
        <f>VLOOKUP($D476,'Retail Rates'!$B$7:$D$38,3,FALSE)</f>
        <v>RGS</v>
      </c>
      <c r="D476" s="90" t="s">
        <v>35</v>
      </c>
      <c r="E476" s="90" t="s">
        <v>36</v>
      </c>
      <c r="F476" s="90" t="s">
        <v>28</v>
      </c>
      <c r="G476" s="90" t="s">
        <v>1000</v>
      </c>
      <c r="H476" s="304">
        <v>1065</v>
      </c>
      <c r="I476" s="93">
        <v>-7657</v>
      </c>
      <c r="J476" s="92"/>
      <c r="K476" s="93">
        <v>5390.1</v>
      </c>
      <c r="L476" s="92"/>
      <c r="M476" s="93">
        <v>-2197.1799999999998</v>
      </c>
      <c r="N476" s="93">
        <v>-1.1200000000000001</v>
      </c>
      <c r="O476" s="93">
        <v>0</v>
      </c>
      <c r="P476" s="93">
        <v>-2684.93</v>
      </c>
      <c r="Q476" s="93">
        <v>-83.19</v>
      </c>
      <c r="R476" s="92"/>
      <c r="S476" s="93">
        <v>147.75</v>
      </c>
      <c r="T476" s="93">
        <v>2052.2199999999998</v>
      </c>
      <c r="U476" s="93">
        <v>0</v>
      </c>
      <c r="V476" s="92"/>
      <c r="W476" s="92"/>
      <c r="X476" s="93">
        <v>2477.02</v>
      </c>
      <c r="Y476" s="92"/>
      <c r="Z476" s="92"/>
      <c r="AA476" s="92"/>
      <c r="AB476" s="92"/>
      <c r="AC476" s="92"/>
      <c r="AD476" s="92"/>
      <c r="AE476" s="92"/>
      <c r="AF476" s="92"/>
      <c r="AG476" s="93">
        <v>-8.35</v>
      </c>
      <c r="AH476" s="92"/>
      <c r="AI476" s="93">
        <v>2615.3000000000002</v>
      </c>
      <c r="AJ476" s="93">
        <v>0</v>
      </c>
    </row>
    <row r="477" spans="1:36" customFormat="1" ht="15.75" thickBot="1" x14ac:dyDescent="0.3">
      <c r="A477" s="90" t="s">
        <v>1018</v>
      </c>
      <c r="B477" s="626" t="str">
        <f>VLOOKUP($D477,'Retail Rates'!$B$7:$D$38,2,FALSE)</f>
        <v>811</v>
      </c>
      <c r="C477" s="626" t="str">
        <f>VLOOKUP($D477,'Retail Rates'!$B$7:$D$38,3,FALSE)</f>
        <v>RGS</v>
      </c>
      <c r="D477" s="90" t="s">
        <v>35</v>
      </c>
      <c r="E477" s="90" t="s">
        <v>36</v>
      </c>
      <c r="F477" s="90" t="s">
        <v>28</v>
      </c>
      <c r="G477" s="90" t="s">
        <v>1019</v>
      </c>
      <c r="H477" s="305">
        <v>294205</v>
      </c>
      <c r="I477" s="95">
        <v>3649640</v>
      </c>
      <c r="J477" s="94"/>
      <c r="K477" s="95">
        <v>3960420.8</v>
      </c>
      <c r="L477" s="94"/>
      <c r="M477" s="95">
        <v>1047200.36</v>
      </c>
      <c r="N477" s="95">
        <v>1783.4</v>
      </c>
      <c r="O477" s="95">
        <v>0</v>
      </c>
      <c r="P477" s="95">
        <v>1282406.6399999999</v>
      </c>
      <c r="Q477" s="95">
        <v>39682.230000000003</v>
      </c>
      <c r="R477" s="94"/>
      <c r="S477" s="95">
        <v>73988.25</v>
      </c>
      <c r="T477" s="95">
        <v>1507894.06</v>
      </c>
      <c r="U477" s="95">
        <v>0</v>
      </c>
      <c r="V477" s="94"/>
      <c r="W477" s="94"/>
      <c r="X477" s="95">
        <v>7837604.0899999999</v>
      </c>
      <c r="Y477" s="94"/>
      <c r="Z477" s="94"/>
      <c r="AA477" s="94"/>
      <c r="AB477" s="94"/>
      <c r="AC477" s="94"/>
      <c r="AD477" s="94"/>
      <c r="AE477" s="94"/>
      <c r="AF477" s="94"/>
      <c r="AG477" s="95">
        <v>32200.53</v>
      </c>
      <c r="AH477" s="94"/>
      <c r="AI477" s="95">
        <v>7945576.2699999996</v>
      </c>
      <c r="AJ477" s="95">
        <v>0</v>
      </c>
    </row>
    <row r="478" spans="1:36" customFormat="1" ht="15.75" thickBot="1" x14ac:dyDescent="0.3">
      <c r="A478" s="90" t="s">
        <v>1018</v>
      </c>
      <c r="B478" s="626" t="str">
        <f>VLOOKUP($D478,'Retail Rates'!$B$7:$D$38,2,FALSE)</f>
        <v>840</v>
      </c>
      <c r="C478" s="626" t="str">
        <f>VLOOKUP($D478,'Retail Rates'!$B$7:$D$38,3,FALSE)</f>
        <v>RGS</v>
      </c>
      <c r="D478" s="90" t="s">
        <v>37</v>
      </c>
      <c r="E478" s="90" t="s">
        <v>38</v>
      </c>
      <c r="F478" s="90" t="s">
        <v>20</v>
      </c>
      <c r="G478" s="90" t="s">
        <v>1019</v>
      </c>
      <c r="H478" s="304">
        <v>1</v>
      </c>
      <c r="I478" s="93">
        <v>98</v>
      </c>
      <c r="J478" s="92"/>
      <c r="K478" s="93">
        <v>13.5</v>
      </c>
      <c r="L478" s="92"/>
      <c r="M478" s="93">
        <v>28.12</v>
      </c>
      <c r="N478" s="93">
        <v>0</v>
      </c>
      <c r="O478" s="92"/>
      <c r="P478" s="93">
        <v>34.43</v>
      </c>
      <c r="Q478" s="93">
        <v>1.06</v>
      </c>
      <c r="R478" s="92"/>
      <c r="S478" s="92"/>
      <c r="T478" s="93">
        <v>5.14</v>
      </c>
      <c r="U478" s="93">
        <v>0</v>
      </c>
      <c r="V478" s="92"/>
      <c r="W478" s="92"/>
      <c r="X478" s="93">
        <v>82.25</v>
      </c>
      <c r="Y478" s="92"/>
      <c r="Z478" s="92"/>
      <c r="AA478" s="92"/>
      <c r="AB478" s="92"/>
      <c r="AC478" s="92"/>
      <c r="AD478" s="92"/>
      <c r="AE478" s="92"/>
      <c r="AF478" s="92"/>
      <c r="AG478" s="93">
        <v>0</v>
      </c>
      <c r="AH478" s="92"/>
      <c r="AI478" s="93">
        <v>82.25</v>
      </c>
      <c r="AJ478" s="93">
        <v>0</v>
      </c>
    </row>
    <row r="479" spans="1:36" customFormat="1" ht="15.75" thickBot="1" x14ac:dyDescent="0.3">
      <c r="A479" s="90" t="s">
        <v>1018</v>
      </c>
      <c r="B479" s="626" t="str">
        <f>VLOOKUP($D479,'Retail Rates'!$B$7:$D$38,2,FALSE)</f>
        <v>840</v>
      </c>
      <c r="C479" s="626" t="str">
        <f>VLOOKUP($D479,'Retail Rates'!$B$7:$D$38,3,FALSE)</f>
        <v>RGS</v>
      </c>
      <c r="D479" s="90" t="s">
        <v>37</v>
      </c>
      <c r="E479" s="90" t="s">
        <v>38</v>
      </c>
      <c r="F479" s="90" t="s">
        <v>28</v>
      </c>
      <c r="G479" s="90" t="s">
        <v>1019</v>
      </c>
      <c r="H479" s="305">
        <v>2</v>
      </c>
      <c r="I479" s="95">
        <v>181</v>
      </c>
      <c r="J479" s="94"/>
      <c r="K479" s="95">
        <v>27</v>
      </c>
      <c r="L479" s="94"/>
      <c r="M479" s="95">
        <v>51.93</v>
      </c>
      <c r="N479" s="95">
        <v>0</v>
      </c>
      <c r="O479" s="95">
        <v>0</v>
      </c>
      <c r="P479" s="95">
        <v>63.58</v>
      </c>
      <c r="Q479" s="95">
        <v>1.96</v>
      </c>
      <c r="R479" s="94"/>
      <c r="S479" s="94"/>
      <c r="T479" s="95">
        <v>10.28</v>
      </c>
      <c r="U479" s="95">
        <v>0</v>
      </c>
      <c r="V479" s="94"/>
      <c r="W479" s="94"/>
      <c r="X479" s="95">
        <v>154.75</v>
      </c>
      <c r="Y479" s="94"/>
      <c r="Z479" s="94"/>
      <c r="AA479" s="94"/>
      <c r="AB479" s="94"/>
      <c r="AC479" s="94"/>
      <c r="AD479" s="94"/>
      <c r="AE479" s="94"/>
      <c r="AF479" s="94"/>
      <c r="AG479" s="95">
        <v>0</v>
      </c>
      <c r="AH479" s="94"/>
      <c r="AI479" s="95">
        <v>154.75</v>
      </c>
      <c r="AJ479" s="95">
        <v>0</v>
      </c>
    </row>
    <row r="480" spans="1:36" customFormat="1" ht="15.75" thickBot="1" x14ac:dyDescent="0.3">
      <c r="A480" s="90" t="s">
        <v>1018</v>
      </c>
      <c r="B480" s="626" t="str">
        <f>VLOOKUP($D480,'Retail Rates'!$B$7:$D$38,2,FALSE)</f>
        <v>861</v>
      </c>
      <c r="C480" s="626" t="str">
        <f>VLOOKUP($D480,'Retail Rates'!$B$7:$D$38,3,FALSE)</f>
        <v>CGS</v>
      </c>
      <c r="D480" s="90" t="s">
        <v>29</v>
      </c>
      <c r="E480" s="90" t="s">
        <v>30</v>
      </c>
      <c r="F480" s="90" t="s">
        <v>17</v>
      </c>
      <c r="G480" s="90" t="s">
        <v>1019</v>
      </c>
      <c r="H480" s="305">
        <v>610</v>
      </c>
      <c r="I480" s="95">
        <v>613</v>
      </c>
      <c r="J480" s="94"/>
      <c r="K480" s="95">
        <v>24800</v>
      </c>
      <c r="L480" s="94"/>
      <c r="M480" s="95">
        <v>134.77000000000001</v>
      </c>
      <c r="N480" s="95">
        <v>2.44</v>
      </c>
      <c r="O480" s="95">
        <v>0</v>
      </c>
      <c r="P480" s="95">
        <v>214.55</v>
      </c>
      <c r="Q480" s="95">
        <v>0</v>
      </c>
      <c r="R480" s="94"/>
      <c r="S480" s="94"/>
      <c r="T480" s="94"/>
      <c r="U480" s="95">
        <v>0</v>
      </c>
      <c r="V480" s="94"/>
      <c r="W480" s="94"/>
      <c r="X480" s="95">
        <v>25149.32</v>
      </c>
      <c r="Y480" s="94"/>
      <c r="Z480" s="94"/>
      <c r="AA480" s="94"/>
      <c r="AB480" s="94"/>
      <c r="AC480" s="94"/>
      <c r="AD480" s="94"/>
      <c r="AE480" s="94"/>
      <c r="AF480" s="94"/>
      <c r="AG480" s="95">
        <v>1591.06</v>
      </c>
      <c r="AH480" s="94"/>
      <c r="AI480" s="95">
        <v>26742.82</v>
      </c>
      <c r="AJ480" s="95">
        <v>0</v>
      </c>
    </row>
    <row r="481" spans="1:36" customFormat="1" ht="15.75" thickBot="1" x14ac:dyDescent="0.3">
      <c r="A481" s="90" t="s">
        <v>1046</v>
      </c>
      <c r="B481" s="626" t="str">
        <f>VLOOKUP($D481,'Retail Rates'!$B$7:$D$38,2,FALSE)</f>
        <v>851</v>
      </c>
      <c r="C481" s="626" t="str">
        <f>VLOOKUP($D481,'Retail Rates'!$B$7:$D$38,3,FALSE)</f>
        <v>CGS</v>
      </c>
      <c r="D481" s="90" t="s">
        <v>26</v>
      </c>
      <c r="E481" s="90" t="s">
        <v>875</v>
      </c>
      <c r="F481" s="90" t="s">
        <v>17</v>
      </c>
      <c r="G481" s="90" t="s">
        <v>1047</v>
      </c>
      <c r="H481" s="304">
        <v>1</v>
      </c>
      <c r="I481" s="93">
        <v>8</v>
      </c>
      <c r="J481" s="92"/>
      <c r="K481" s="93">
        <v>30</v>
      </c>
      <c r="L481" s="92"/>
      <c r="M481" s="93">
        <v>1.5</v>
      </c>
      <c r="N481" s="93">
        <v>0</v>
      </c>
      <c r="O481" s="92"/>
      <c r="P481" s="93">
        <v>4.4800000000000004</v>
      </c>
      <c r="Q481" s="93">
        <v>0.01</v>
      </c>
      <c r="R481" s="92"/>
      <c r="S481" s="92"/>
      <c r="T481" s="92"/>
      <c r="U481" s="93">
        <v>0</v>
      </c>
      <c r="V481" s="92"/>
      <c r="W481" s="92"/>
      <c r="X481" s="93">
        <v>35.99</v>
      </c>
      <c r="Y481" s="92"/>
      <c r="Z481" s="92"/>
      <c r="AA481" s="92"/>
      <c r="AB481" s="92"/>
      <c r="AC481" s="92"/>
      <c r="AD481" s="92"/>
      <c r="AE481" s="92"/>
      <c r="AF481" s="92"/>
      <c r="AG481" s="93">
        <v>2.16</v>
      </c>
      <c r="AH481" s="92"/>
      <c r="AI481" s="93">
        <v>38.15</v>
      </c>
      <c r="AJ481" s="93">
        <v>0</v>
      </c>
    </row>
    <row r="482" spans="1:36" customFormat="1" ht="15.75" thickBot="1" x14ac:dyDescent="0.3">
      <c r="A482" s="90" t="s">
        <v>1046</v>
      </c>
      <c r="B482" s="626" t="str">
        <f>VLOOKUP($D482,'Retail Rates'!$B$7:$D$38,2,FALSE)</f>
        <v>851</v>
      </c>
      <c r="C482" s="626" t="str">
        <f>VLOOKUP($D482,'Retail Rates'!$B$7:$D$38,3,FALSE)</f>
        <v>CGS</v>
      </c>
      <c r="D482" s="90" t="s">
        <v>26</v>
      </c>
      <c r="E482" s="90" t="s">
        <v>875</v>
      </c>
      <c r="F482" s="90" t="s">
        <v>17</v>
      </c>
      <c r="G482" s="90" t="s">
        <v>1048</v>
      </c>
      <c r="H482" s="305">
        <v>1</v>
      </c>
      <c r="I482" s="95">
        <v>38</v>
      </c>
      <c r="J482" s="94"/>
      <c r="K482" s="95">
        <v>30</v>
      </c>
      <c r="L482" s="94"/>
      <c r="M482" s="95">
        <v>7.11</v>
      </c>
      <c r="N482" s="95">
        <v>0</v>
      </c>
      <c r="O482" s="94"/>
      <c r="P482" s="95">
        <v>21.3</v>
      </c>
      <c r="Q482" s="95">
        <v>0.04</v>
      </c>
      <c r="R482" s="94"/>
      <c r="S482" s="94"/>
      <c r="T482" s="94"/>
      <c r="U482" s="95">
        <v>0</v>
      </c>
      <c r="V482" s="94"/>
      <c r="W482" s="94"/>
      <c r="X482" s="95">
        <v>58.45</v>
      </c>
      <c r="Y482" s="94"/>
      <c r="Z482" s="94"/>
      <c r="AA482" s="94"/>
      <c r="AB482" s="94"/>
      <c r="AC482" s="94"/>
      <c r="AD482" s="94"/>
      <c r="AE482" s="94"/>
      <c r="AF482" s="94"/>
      <c r="AG482" s="95">
        <v>3.51</v>
      </c>
      <c r="AH482" s="94"/>
      <c r="AI482" s="95">
        <v>61.96</v>
      </c>
      <c r="AJ482" s="95">
        <v>0</v>
      </c>
    </row>
    <row r="483" spans="1:36" customFormat="1" ht="15.75" thickBot="1" x14ac:dyDescent="0.3">
      <c r="A483" s="90" t="s">
        <v>1046</v>
      </c>
      <c r="B483" s="626" t="str">
        <f>VLOOKUP($D483,'Retail Rates'!$B$7:$D$38,2,FALSE)</f>
        <v>851</v>
      </c>
      <c r="C483" s="626" t="str">
        <f>VLOOKUP($D483,'Retail Rates'!$B$7:$D$38,3,FALSE)</f>
        <v>CGS</v>
      </c>
      <c r="D483" s="90" t="s">
        <v>26</v>
      </c>
      <c r="E483" s="90" t="s">
        <v>875</v>
      </c>
      <c r="F483" s="90" t="s">
        <v>17</v>
      </c>
      <c r="G483" s="90" t="s">
        <v>1049</v>
      </c>
      <c r="H483" s="304">
        <v>1</v>
      </c>
      <c r="I483" s="93">
        <v>147</v>
      </c>
      <c r="J483" s="92"/>
      <c r="K483" s="93">
        <v>30</v>
      </c>
      <c r="L483" s="92"/>
      <c r="M483" s="93">
        <v>27.52</v>
      </c>
      <c r="N483" s="93">
        <v>0</v>
      </c>
      <c r="O483" s="92"/>
      <c r="P483" s="93">
        <v>77.239999999999995</v>
      </c>
      <c r="Q483" s="93">
        <v>0.14000000000000001</v>
      </c>
      <c r="R483" s="93">
        <v>5.91</v>
      </c>
      <c r="S483" s="92"/>
      <c r="T483" s="92"/>
      <c r="U483" s="93">
        <v>0</v>
      </c>
      <c r="V483" s="92"/>
      <c r="W483" s="92"/>
      <c r="X483" s="93">
        <v>140.81</v>
      </c>
      <c r="Y483" s="92"/>
      <c r="Z483" s="92"/>
      <c r="AA483" s="92"/>
      <c r="AB483" s="92"/>
      <c r="AC483" s="92"/>
      <c r="AD483" s="92"/>
      <c r="AE483" s="92"/>
      <c r="AF483" s="92"/>
      <c r="AG483" s="93">
        <v>8.4499999999999993</v>
      </c>
      <c r="AH483" s="92"/>
      <c r="AI483" s="93">
        <v>149.26</v>
      </c>
      <c r="AJ483" s="93">
        <v>0</v>
      </c>
    </row>
    <row r="484" spans="1:36" customFormat="1" ht="15.75" thickBot="1" x14ac:dyDescent="0.3">
      <c r="A484" s="90" t="s">
        <v>1046</v>
      </c>
      <c r="B484" s="626" t="str">
        <f>VLOOKUP($D484,'Retail Rates'!$B$7:$D$38,2,FALSE)</f>
        <v>851</v>
      </c>
      <c r="C484" s="626" t="str">
        <f>VLOOKUP($D484,'Retail Rates'!$B$7:$D$38,3,FALSE)</f>
        <v>CGS</v>
      </c>
      <c r="D484" s="90" t="s">
        <v>26</v>
      </c>
      <c r="E484" s="90" t="s">
        <v>875</v>
      </c>
      <c r="F484" s="90" t="s">
        <v>17</v>
      </c>
      <c r="G484" s="90" t="s">
        <v>1050</v>
      </c>
      <c r="H484" s="305">
        <v>1</v>
      </c>
      <c r="I484" s="95">
        <v>303</v>
      </c>
      <c r="J484" s="94"/>
      <c r="K484" s="95">
        <v>30</v>
      </c>
      <c r="L484" s="94"/>
      <c r="M484" s="95">
        <v>56.73</v>
      </c>
      <c r="N484" s="95">
        <v>0</v>
      </c>
      <c r="O484" s="94"/>
      <c r="P484" s="95">
        <v>156.35</v>
      </c>
      <c r="Q484" s="95">
        <v>0.28999999999999998</v>
      </c>
      <c r="R484" s="95">
        <v>10.52</v>
      </c>
      <c r="S484" s="94"/>
      <c r="T484" s="94"/>
      <c r="U484" s="95">
        <v>0</v>
      </c>
      <c r="V484" s="94"/>
      <c r="W484" s="94"/>
      <c r="X484" s="95">
        <v>253.89</v>
      </c>
      <c r="Y484" s="94"/>
      <c r="Z484" s="94"/>
      <c r="AA484" s="94"/>
      <c r="AB484" s="94"/>
      <c r="AC484" s="94"/>
      <c r="AD484" s="94"/>
      <c r="AE484" s="94"/>
      <c r="AF484" s="94"/>
      <c r="AG484" s="95">
        <v>15.23</v>
      </c>
      <c r="AH484" s="94"/>
      <c r="AI484" s="95">
        <v>269.12</v>
      </c>
      <c r="AJ484" s="95">
        <v>0</v>
      </c>
    </row>
    <row r="485" spans="1:36" customFormat="1" ht="15.75" thickBot="1" x14ac:dyDescent="0.3">
      <c r="A485" s="90" t="s">
        <v>1046</v>
      </c>
      <c r="B485" s="626" t="str">
        <f>VLOOKUP($D485,'Retail Rates'!$B$7:$D$38,2,FALSE)</f>
        <v>851</v>
      </c>
      <c r="C485" s="626" t="str">
        <f>VLOOKUP($D485,'Retail Rates'!$B$7:$D$38,3,FALSE)</f>
        <v>CGS</v>
      </c>
      <c r="D485" s="90" t="s">
        <v>26</v>
      </c>
      <c r="E485" s="90" t="s">
        <v>875</v>
      </c>
      <c r="F485" s="90" t="s">
        <v>17</v>
      </c>
      <c r="G485" s="90" t="s">
        <v>1051</v>
      </c>
      <c r="H485" s="304">
        <v>1</v>
      </c>
      <c r="I485" s="93">
        <v>479</v>
      </c>
      <c r="J485" s="92"/>
      <c r="K485" s="93">
        <v>30</v>
      </c>
      <c r="L485" s="92"/>
      <c r="M485" s="93">
        <v>89.68</v>
      </c>
      <c r="N485" s="93">
        <v>0</v>
      </c>
      <c r="O485" s="92"/>
      <c r="P485" s="93">
        <v>247.17</v>
      </c>
      <c r="Q485" s="93">
        <v>0.56000000000000005</v>
      </c>
      <c r="R485" s="93">
        <v>14.75</v>
      </c>
      <c r="S485" s="92"/>
      <c r="T485" s="92"/>
      <c r="U485" s="93">
        <v>0</v>
      </c>
      <c r="V485" s="92"/>
      <c r="W485" s="92"/>
      <c r="X485" s="93">
        <v>382.16</v>
      </c>
      <c r="Y485" s="92"/>
      <c r="Z485" s="92"/>
      <c r="AA485" s="92"/>
      <c r="AB485" s="92"/>
      <c r="AC485" s="92"/>
      <c r="AD485" s="92"/>
      <c r="AE485" s="92"/>
      <c r="AF485" s="92"/>
      <c r="AG485" s="93">
        <v>22.93</v>
      </c>
      <c r="AH485" s="92"/>
      <c r="AI485" s="93">
        <v>405.09</v>
      </c>
      <c r="AJ485" s="93">
        <v>0</v>
      </c>
    </row>
    <row r="486" spans="1:36" customFormat="1" ht="15.75" thickBot="1" x14ac:dyDescent="0.3">
      <c r="A486" s="90" t="s">
        <v>1046</v>
      </c>
      <c r="B486" s="626" t="str">
        <f>VLOOKUP($D486,'Retail Rates'!$B$7:$D$38,2,FALSE)</f>
        <v>851</v>
      </c>
      <c r="C486" s="626" t="str">
        <f>VLOOKUP($D486,'Retail Rates'!$B$7:$D$38,3,FALSE)</f>
        <v>CGS</v>
      </c>
      <c r="D486" s="90" t="s">
        <v>26</v>
      </c>
      <c r="E486" s="90" t="s">
        <v>875</v>
      </c>
      <c r="F486" s="90" t="s">
        <v>17</v>
      </c>
      <c r="G486" s="90" t="s">
        <v>1052</v>
      </c>
      <c r="H486" s="305">
        <v>1</v>
      </c>
      <c r="I486" s="95">
        <v>467</v>
      </c>
      <c r="J486" s="94"/>
      <c r="K486" s="95">
        <v>30</v>
      </c>
      <c r="L486" s="94"/>
      <c r="M486" s="95">
        <v>87.43</v>
      </c>
      <c r="N486" s="95">
        <v>0</v>
      </c>
      <c r="O486" s="94"/>
      <c r="P486" s="95">
        <v>225.72</v>
      </c>
      <c r="Q486" s="95">
        <v>0.54</v>
      </c>
      <c r="R486" s="95">
        <v>16.32</v>
      </c>
      <c r="S486" s="94"/>
      <c r="T486" s="94"/>
      <c r="U486" s="95">
        <v>0</v>
      </c>
      <c r="V486" s="94"/>
      <c r="W486" s="94"/>
      <c r="X486" s="95">
        <v>360.01</v>
      </c>
      <c r="Y486" s="94"/>
      <c r="Z486" s="94"/>
      <c r="AA486" s="94"/>
      <c r="AB486" s="94"/>
      <c r="AC486" s="94"/>
      <c r="AD486" s="94"/>
      <c r="AE486" s="94"/>
      <c r="AF486" s="94"/>
      <c r="AG486" s="95">
        <v>21.6</v>
      </c>
      <c r="AH486" s="94"/>
      <c r="AI486" s="95">
        <v>381.61</v>
      </c>
      <c r="AJ486" s="95">
        <v>0</v>
      </c>
    </row>
    <row r="487" spans="1:36" customFormat="1" ht="15.75" thickBot="1" x14ac:dyDescent="0.3">
      <c r="A487" s="90" t="s">
        <v>1046</v>
      </c>
      <c r="B487" s="626" t="str">
        <f>VLOOKUP($D487,'Retail Rates'!$B$7:$D$38,2,FALSE)</f>
        <v>851</v>
      </c>
      <c r="C487" s="626" t="str">
        <f>VLOOKUP($D487,'Retail Rates'!$B$7:$D$38,3,FALSE)</f>
        <v>CGS</v>
      </c>
      <c r="D487" s="90" t="s">
        <v>26</v>
      </c>
      <c r="E487" s="90" t="s">
        <v>875</v>
      </c>
      <c r="F487" s="90" t="s">
        <v>17</v>
      </c>
      <c r="G487" s="90" t="s">
        <v>1053</v>
      </c>
      <c r="H487" s="304">
        <v>1</v>
      </c>
      <c r="I487" s="93">
        <v>156</v>
      </c>
      <c r="J487" s="92"/>
      <c r="K487" s="93">
        <v>30</v>
      </c>
      <c r="L487" s="92"/>
      <c r="M487" s="93">
        <v>29.21</v>
      </c>
      <c r="N487" s="93">
        <v>0</v>
      </c>
      <c r="O487" s="92"/>
      <c r="P487" s="93">
        <v>73.98</v>
      </c>
      <c r="Q487" s="93">
        <v>0.18</v>
      </c>
      <c r="R487" s="93">
        <v>26.72</v>
      </c>
      <c r="S487" s="92"/>
      <c r="T487" s="92"/>
      <c r="U487" s="93">
        <v>0</v>
      </c>
      <c r="V487" s="92"/>
      <c r="W487" s="92"/>
      <c r="X487" s="93">
        <v>160.09</v>
      </c>
      <c r="Y487" s="92"/>
      <c r="Z487" s="92"/>
      <c r="AA487" s="92"/>
      <c r="AB487" s="92"/>
      <c r="AC487" s="92"/>
      <c r="AD487" s="92"/>
      <c r="AE487" s="92"/>
      <c r="AF487" s="92"/>
      <c r="AG487" s="93">
        <v>9.61</v>
      </c>
      <c r="AH487" s="92"/>
      <c r="AI487" s="93">
        <v>169.7</v>
      </c>
      <c r="AJ487" s="93">
        <v>0</v>
      </c>
    </row>
    <row r="488" spans="1:36" customFormat="1" ht="15.75" thickBot="1" x14ac:dyDescent="0.3">
      <c r="A488" s="90" t="s">
        <v>1046</v>
      </c>
      <c r="B488" s="626" t="str">
        <f>VLOOKUP($D488,'Retail Rates'!$B$7:$D$38,2,FALSE)</f>
        <v>851</v>
      </c>
      <c r="C488" s="626" t="str">
        <f>VLOOKUP($D488,'Retail Rates'!$B$7:$D$38,3,FALSE)</f>
        <v>CGS</v>
      </c>
      <c r="D488" s="90" t="s">
        <v>26</v>
      </c>
      <c r="E488" s="90" t="s">
        <v>875</v>
      </c>
      <c r="F488" s="90" t="s">
        <v>17</v>
      </c>
      <c r="G488" s="90" t="s">
        <v>1054</v>
      </c>
      <c r="H488" s="305">
        <v>1</v>
      </c>
      <c r="I488" s="95">
        <v>88</v>
      </c>
      <c r="J488" s="94"/>
      <c r="K488" s="95">
        <v>30</v>
      </c>
      <c r="L488" s="94"/>
      <c r="M488" s="95">
        <v>16.48</v>
      </c>
      <c r="N488" s="95">
        <v>0</v>
      </c>
      <c r="O488" s="94"/>
      <c r="P488" s="95">
        <v>41.73</v>
      </c>
      <c r="Q488" s="95">
        <v>0.12</v>
      </c>
      <c r="R488" s="95">
        <v>7.04</v>
      </c>
      <c r="S488" s="94"/>
      <c r="T488" s="94"/>
      <c r="U488" s="95">
        <v>0</v>
      </c>
      <c r="V488" s="94"/>
      <c r="W488" s="94"/>
      <c r="X488" s="95">
        <v>95.37</v>
      </c>
      <c r="Y488" s="94"/>
      <c r="Z488" s="94"/>
      <c r="AA488" s="94"/>
      <c r="AB488" s="94"/>
      <c r="AC488" s="94"/>
      <c r="AD488" s="94"/>
      <c r="AE488" s="94"/>
      <c r="AF488" s="94"/>
      <c r="AG488" s="95">
        <v>5.72</v>
      </c>
      <c r="AH488" s="94"/>
      <c r="AI488" s="95">
        <v>101.09</v>
      </c>
      <c r="AJ488" s="95">
        <v>0</v>
      </c>
    </row>
    <row r="489" spans="1:36" customFormat="1" ht="15.75" thickBot="1" x14ac:dyDescent="0.3">
      <c r="A489" s="90" t="s">
        <v>1046</v>
      </c>
      <c r="B489" s="626" t="str">
        <f>VLOOKUP($D489,'Retail Rates'!$B$7:$D$38,2,FALSE)</f>
        <v>851</v>
      </c>
      <c r="C489" s="626" t="str">
        <f>VLOOKUP($D489,'Retail Rates'!$B$7:$D$38,3,FALSE)</f>
        <v>CGS</v>
      </c>
      <c r="D489" s="90" t="s">
        <v>26</v>
      </c>
      <c r="E489" s="90" t="s">
        <v>875</v>
      </c>
      <c r="F489" s="90" t="s">
        <v>17</v>
      </c>
      <c r="G489" s="90" t="s">
        <v>649</v>
      </c>
      <c r="H489" s="304">
        <v>1</v>
      </c>
      <c r="I489" s="93">
        <v>16</v>
      </c>
      <c r="J489" s="92"/>
      <c r="K489" s="93">
        <v>30</v>
      </c>
      <c r="L489" s="92"/>
      <c r="M489" s="93">
        <v>3</v>
      </c>
      <c r="N489" s="93">
        <v>0</v>
      </c>
      <c r="O489" s="92"/>
      <c r="P489" s="93">
        <v>5.84</v>
      </c>
      <c r="Q489" s="93">
        <v>0.02</v>
      </c>
      <c r="R489" s="92"/>
      <c r="S489" s="92"/>
      <c r="T489" s="92"/>
      <c r="U489" s="93">
        <v>0</v>
      </c>
      <c r="V489" s="92"/>
      <c r="W489" s="92"/>
      <c r="X489" s="93">
        <v>38.86</v>
      </c>
      <c r="Y489" s="92"/>
      <c r="Z489" s="92"/>
      <c r="AA489" s="92"/>
      <c r="AB489" s="92"/>
      <c r="AC489" s="92"/>
      <c r="AD489" s="92"/>
      <c r="AE489" s="92"/>
      <c r="AF489" s="92"/>
      <c r="AG489" s="93">
        <v>2.33</v>
      </c>
      <c r="AH489" s="92"/>
      <c r="AI489" s="93">
        <v>41.19</v>
      </c>
      <c r="AJ489" s="93">
        <v>0</v>
      </c>
    </row>
    <row r="490" spans="1:36" customFormat="1" ht="15.75" thickBot="1" x14ac:dyDescent="0.3">
      <c r="A490" s="90" t="s">
        <v>1046</v>
      </c>
      <c r="B490" s="626" t="str">
        <f>VLOOKUP($D490,'Retail Rates'!$B$7:$D$38,2,FALSE)</f>
        <v>851</v>
      </c>
      <c r="C490" s="626" t="str">
        <f>VLOOKUP($D490,'Retail Rates'!$B$7:$D$38,3,FALSE)</f>
        <v>CGS</v>
      </c>
      <c r="D490" s="90" t="s">
        <v>26</v>
      </c>
      <c r="E490" s="90" t="s">
        <v>875</v>
      </c>
      <c r="F490" s="90" t="s">
        <v>17</v>
      </c>
      <c r="G490" s="90" t="s">
        <v>650</v>
      </c>
      <c r="H490" s="305">
        <v>1</v>
      </c>
      <c r="I490" s="95">
        <v>11</v>
      </c>
      <c r="J490" s="94"/>
      <c r="K490" s="95">
        <v>30</v>
      </c>
      <c r="L490" s="94"/>
      <c r="M490" s="95">
        <v>2.06</v>
      </c>
      <c r="N490" s="95">
        <v>0</v>
      </c>
      <c r="O490" s="94"/>
      <c r="P490" s="95">
        <v>3.84</v>
      </c>
      <c r="Q490" s="95">
        <v>0.02</v>
      </c>
      <c r="R490" s="94"/>
      <c r="S490" s="94"/>
      <c r="T490" s="94"/>
      <c r="U490" s="95">
        <v>0</v>
      </c>
      <c r="V490" s="94"/>
      <c r="W490" s="94"/>
      <c r="X490" s="95">
        <v>35.92</v>
      </c>
      <c r="Y490" s="94"/>
      <c r="Z490" s="94"/>
      <c r="AA490" s="94"/>
      <c r="AB490" s="94"/>
      <c r="AC490" s="94"/>
      <c r="AD490" s="94"/>
      <c r="AE490" s="94"/>
      <c r="AF490" s="94"/>
      <c r="AG490" s="95">
        <v>2.16</v>
      </c>
      <c r="AH490" s="94"/>
      <c r="AI490" s="95">
        <v>38.08</v>
      </c>
      <c r="AJ490" s="95">
        <v>0</v>
      </c>
    </row>
    <row r="491" spans="1:36" customFormat="1" ht="15.75" thickBot="1" x14ac:dyDescent="0.3">
      <c r="A491" s="90" t="s">
        <v>1046</v>
      </c>
      <c r="B491" s="626" t="str">
        <f>VLOOKUP($D491,'Retail Rates'!$B$7:$D$38,2,FALSE)</f>
        <v>851</v>
      </c>
      <c r="C491" s="626" t="str">
        <f>VLOOKUP($D491,'Retail Rates'!$B$7:$D$38,3,FALSE)</f>
        <v>CGS</v>
      </c>
      <c r="D491" s="90" t="s">
        <v>26</v>
      </c>
      <c r="E491" s="90" t="s">
        <v>875</v>
      </c>
      <c r="F491" s="90" t="s">
        <v>17</v>
      </c>
      <c r="G491" s="90" t="s">
        <v>651</v>
      </c>
      <c r="H491" s="304">
        <v>1</v>
      </c>
      <c r="I491" s="93">
        <v>11</v>
      </c>
      <c r="J491" s="92"/>
      <c r="K491" s="93">
        <v>30</v>
      </c>
      <c r="L491" s="92"/>
      <c r="M491" s="93">
        <v>2.06</v>
      </c>
      <c r="N491" s="93">
        <v>0</v>
      </c>
      <c r="O491" s="92"/>
      <c r="P491" s="93">
        <v>3.84</v>
      </c>
      <c r="Q491" s="93">
        <v>0.02</v>
      </c>
      <c r="R491" s="92"/>
      <c r="S491" s="92"/>
      <c r="T491" s="92"/>
      <c r="U491" s="93">
        <v>0</v>
      </c>
      <c r="V491" s="92"/>
      <c r="W491" s="92"/>
      <c r="X491" s="93">
        <v>35.92</v>
      </c>
      <c r="Y491" s="92"/>
      <c r="Z491" s="92"/>
      <c r="AA491" s="92"/>
      <c r="AB491" s="92"/>
      <c r="AC491" s="92"/>
      <c r="AD491" s="92"/>
      <c r="AE491" s="92"/>
      <c r="AF491" s="92"/>
      <c r="AG491" s="93">
        <v>2.16</v>
      </c>
      <c r="AH491" s="92"/>
      <c r="AI491" s="93">
        <v>38.08</v>
      </c>
      <c r="AJ491" s="93">
        <v>0</v>
      </c>
    </row>
    <row r="492" spans="1:36" customFormat="1" ht="15.75" thickBot="1" x14ac:dyDescent="0.3">
      <c r="A492" s="90" t="s">
        <v>1046</v>
      </c>
      <c r="B492" s="626" t="str">
        <f>VLOOKUP($D492,'Retail Rates'!$B$7:$D$38,2,FALSE)</f>
        <v>851</v>
      </c>
      <c r="C492" s="626" t="str">
        <f>VLOOKUP($D492,'Retail Rates'!$B$7:$D$38,3,FALSE)</f>
        <v>CGS</v>
      </c>
      <c r="D492" s="90" t="s">
        <v>26</v>
      </c>
      <c r="E492" s="90" t="s">
        <v>875</v>
      </c>
      <c r="F492" s="90" t="s">
        <v>17</v>
      </c>
      <c r="G492" s="90" t="s">
        <v>652</v>
      </c>
      <c r="H492" s="305">
        <v>1</v>
      </c>
      <c r="I492" s="95">
        <v>9</v>
      </c>
      <c r="J492" s="94"/>
      <c r="K492" s="95">
        <v>30</v>
      </c>
      <c r="L492" s="94"/>
      <c r="M492" s="95">
        <v>1.68</v>
      </c>
      <c r="N492" s="95">
        <v>0</v>
      </c>
      <c r="O492" s="94"/>
      <c r="P492" s="95">
        <v>3.52</v>
      </c>
      <c r="Q492" s="95">
        <v>0.01</v>
      </c>
      <c r="R492" s="94"/>
      <c r="S492" s="94"/>
      <c r="T492" s="94"/>
      <c r="U492" s="95">
        <v>0</v>
      </c>
      <c r="V492" s="94"/>
      <c r="W492" s="94"/>
      <c r="X492" s="95">
        <v>35.21</v>
      </c>
      <c r="Y492" s="94"/>
      <c r="Z492" s="94"/>
      <c r="AA492" s="94"/>
      <c r="AB492" s="94"/>
      <c r="AC492" s="94"/>
      <c r="AD492" s="94"/>
      <c r="AE492" s="94"/>
      <c r="AF492" s="94"/>
      <c r="AG492" s="95">
        <v>0.27</v>
      </c>
      <c r="AH492" s="94"/>
      <c r="AI492" s="95">
        <v>35.479999999999997</v>
      </c>
      <c r="AJ492" s="95">
        <v>0</v>
      </c>
    </row>
    <row r="493" spans="1:36" customFormat="1" ht="15.75" thickBot="1" x14ac:dyDescent="0.3">
      <c r="A493" s="90" t="s">
        <v>1046</v>
      </c>
      <c r="B493" s="626" t="str">
        <f>VLOOKUP($D493,'Retail Rates'!$B$7:$D$38,2,FALSE)</f>
        <v>851</v>
      </c>
      <c r="C493" s="626" t="str">
        <f>VLOOKUP($D493,'Retail Rates'!$B$7:$D$38,3,FALSE)</f>
        <v>CGS</v>
      </c>
      <c r="D493" s="90" t="s">
        <v>26</v>
      </c>
      <c r="E493" s="90" t="s">
        <v>875</v>
      </c>
      <c r="F493" s="90" t="s">
        <v>17</v>
      </c>
      <c r="G493" s="90" t="s">
        <v>653</v>
      </c>
      <c r="H493" s="304">
        <v>1</v>
      </c>
      <c r="I493" s="93">
        <v>10</v>
      </c>
      <c r="J493" s="92"/>
      <c r="K493" s="93">
        <v>30</v>
      </c>
      <c r="L493" s="92"/>
      <c r="M493" s="93">
        <v>1.87</v>
      </c>
      <c r="N493" s="93">
        <v>0</v>
      </c>
      <c r="O493" s="92"/>
      <c r="P493" s="93">
        <v>3.96</v>
      </c>
      <c r="Q493" s="93">
        <v>0.01</v>
      </c>
      <c r="R493" s="92"/>
      <c r="S493" s="92"/>
      <c r="T493" s="92"/>
      <c r="U493" s="93">
        <v>0</v>
      </c>
      <c r="V493" s="92"/>
      <c r="W493" s="92"/>
      <c r="X493" s="93">
        <v>35.840000000000003</v>
      </c>
      <c r="Y493" s="92"/>
      <c r="Z493" s="92"/>
      <c r="AA493" s="92"/>
      <c r="AB493" s="92"/>
      <c r="AC493" s="92"/>
      <c r="AD493" s="92"/>
      <c r="AE493" s="92"/>
      <c r="AF493" s="92"/>
      <c r="AG493" s="93">
        <v>0.31</v>
      </c>
      <c r="AH493" s="92"/>
      <c r="AI493" s="93">
        <v>36.15</v>
      </c>
      <c r="AJ493" s="93">
        <v>0</v>
      </c>
    </row>
    <row r="494" spans="1:36" customFormat="1" ht="15.75" thickBot="1" x14ac:dyDescent="0.3">
      <c r="A494" s="90" t="s">
        <v>1046</v>
      </c>
      <c r="B494" s="626" t="str">
        <f>VLOOKUP($D494,'Retail Rates'!$B$7:$D$38,2,FALSE)</f>
        <v>851</v>
      </c>
      <c r="C494" s="626" t="str">
        <f>VLOOKUP($D494,'Retail Rates'!$B$7:$D$38,3,FALSE)</f>
        <v>CGS</v>
      </c>
      <c r="D494" s="90" t="s">
        <v>26</v>
      </c>
      <c r="E494" s="90" t="s">
        <v>875</v>
      </c>
      <c r="F494" s="90" t="s">
        <v>17</v>
      </c>
      <c r="G494" s="90" t="s">
        <v>654</v>
      </c>
      <c r="H494" s="305">
        <v>2</v>
      </c>
      <c r="I494" s="95">
        <v>13</v>
      </c>
      <c r="J494" s="94"/>
      <c r="K494" s="95">
        <v>29.99</v>
      </c>
      <c r="L494" s="94"/>
      <c r="M494" s="95">
        <v>2.4300000000000002</v>
      </c>
      <c r="N494" s="95">
        <v>0</v>
      </c>
      <c r="O494" s="94"/>
      <c r="P494" s="95">
        <v>5.15</v>
      </c>
      <c r="Q494" s="95">
        <v>0.02</v>
      </c>
      <c r="R494" s="94"/>
      <c r="S494" s="94"/>
      <c r="T494" s="94"/>
      <c r="U494" s="95">
        <v>0</v>
      </c>
      <c r="V494" s="94"/>
      <c r="W494" s="94"/>
      <c r="X494" s="95">
        <v>37.590000000000003</v>
      </c>
      <c r="Y494" s="94"/>
      <c r="Z494" s="94"/>
      <c r="AA494" s="94"/>
      <c r="AB494" s="94"/>
      <c r="AC494" s="94"/>
      <c r="AD494" s="94"/>
      <c r="AE494" s="94"/>
      <c r="AF494" s="94"/>
      <c r="AG494" s="95">
        <v>-0.1</v>
      </c>
      <c r="AH494" s="94"/>
      <c r="AI494" s="95">
        <v>37.49</v>
      </c>
      <c r="AJ494" s="95">
        <v>0</v>
      </c>
    </row>
    <row r="495" spans="1:36" customFormat="1" ht="15.75" thickBot="1" x14ac:dyDescent="0.3">
      <c r="A495" s="90" t="s">
        <v>1046</v>
      </c>
      <c r="B495" s="626" t="str">
        <f>VLOOKUP($D495,'Retail Rates'!$B$7:$D$38,2,FALSE)</f>
        <v>851</v>
      </c>
      <c r="C495" s="626" t="str">
        <f>VLOOKUP($D495,'Retail Rates'!$B$7:$D$38,3,FALSE)</f>
        <v>CGS</v>
      </c>
      <c r="D495" s="90" t="s">
        <v>26</v>
      </c>
      <c r="E495" s="90" t="s">
        <v>875</v>
      </c>
      <c r="F495" s="90" t="s">
        <v>17</v>
      </c>
      <c r="G495" s="90" t="s">
        <v>655</v>
      </c>
      <c r="H495" s="304">
        <v>3</v>
      </c>
      <c r="I495" s="93">
        <v>255</v>
      </c>
      <c r="J495" s="92"/>
      <c r="K495" s="93">
        <v>30</v>
      </c>
      <c r="L495" s="92"/>
      <c r="M495" s="93">
        <v>47.74</v>
      </c>
      <c r="N495" s="93">
        <v>0</v>
      </c>
      <c r="O495" s="92"/>
      <c r="P495" s="93">
        <v>106.88</v>
      </c>
      <c r="Q495" s="93">
        <v>0.35</v>
      </c>
      <c r="R495" s="93">
        <v>-5.37</v>
      </c>
      <c r="S495" s="92"/>
      <c r="T495" s="92"/>
      <c r="U495" s="93">
        <v>0</v>
      </c>
      <c r="V495" s="92"/>
      <c r="W495" s="92"/>
      <c r="X495" s="93">
        <v>179.6</v>
      </c>
      <c r="Y495" s="92"/>
      <c r="Z495" s="92"/>
      <c r="AA495" s="92"/>
      <c r="AB495" s="92"/>
      <c r="AC495" s="92"/>
      <c r="AD495" s="92"/>
      <c r="AE495" s="92"/>
      <c r="AF495" s="92"/>
      <c r="AG495" s="93">
        <v>4.92</v>
      </c>
      <c r="AH495" s="92"/>
      <c r="AI495" s="93">
        <v>184.52</v>
      </c>
      <c r="AJ495" s="93">
        <v>0</v>
      </c>
    </row>
    <row r="496" spans="1:36" customFormat="1" ht="15.75" thickBot="1" x14ac:dyDescent="0.3">
      <c r="A496" s="90" t="s">
        <v>1046</v>
      </c>
      <c r="B496" s="626" t="str">
        <f>VLOOKUP($D496,'Retail Rates'!$B$7:$D$38,2,FALSE)</f>
        <v>851</v>
      </c>
      <c r="C496" s="626" t="str">
        <f>VLOOKUP($D496,'Retail Rates'!$B$7:$D$38,3,FALSE)</f>
        <v>CGS</v>
      </c>
      <c r="D496" s="90" t="s">
        <v>26</v>
      </c>
      <c r="E496" s="90" t="s">
        <v>875</v>
      </c>
      <c r="F496" s="90" t="s">
        <v>17</v>
      </c>
      <c r="G496" s="90" t="s">
        <v>656</v>
      </c>
      <c r="H496" s="305">
        <v>3</v>
      </c>
      <c r="I496" s="95">
        <v>275</v>
      </c>
      <c r="J496" s="94"/>
      <c r="K496" s="95">
        <v>30</v>
      </c>
      <c r="L496" s="94"/>
      <c r="M496" s="95">
        <v>51.49</v>
      </c>
      <c r="N496" s="95">
        <v>0</v>
      </c>
      <c r="O496" s="94"/>
      <c r="P496" s="95">
        <v>116.88</v>
      </c>
      <c r="Q496" s="95">
        <v>0.38</v>
      </c>
      <c r="R496" s="95">
        <v>22.32</v>
      </c>
      <c r="S496" s="94"/>
      <c r="T496" s="94"/>
      <c r="U496" s="95">
        <v>0</v>
      </c>
      <c r="V496" s="94"/>
      <c r="W496" s="94"/>
      <c r="X496" s="95">
        <v>221.07</v>
      </c>
      <c r="Y496" s="94"/>
      <c r="Z496" s="94"/>
      <c r="AA496" s="94"/>
      <c r="AB496" s="94"/>
      <c r="AC496" s="94"/>
      <c r="AD496" s="94"/>
      <c r="AE496" s="94"/>
      <c r="AF496" s="94"/>
      <c r="AG496" s="95">
        <v>5.8</v>
      </c>
      <c r="AH496" s="94"/>
      <c r="AI496" s="95">
        <v>226.87</v>
      </c>
      <c r="AJ496" s="95">
        <v>0</v>
      </c>
    </row>
    <row r="497" spans="1:36" customFormat="1" ht="15.75" thickBot="1" x14ac:dyDescent="0.3">
      <c r="A497" s="90" t="s">
        <v>1046</v>
      </c>
      <c r="B497" s="626" t="str">
        <f>VLOOKUP($D497,'Retail Rates'!$B$7:$D$38,2,FALSE)</f>
        <v>851</v>
      </c>
      <c r="C497" s="626" t="str">
        <f>VLOOKUP($D497,'Retail Rates'!$B$7:$D$38,3,FALSE)</f>
        <v>CGS</v>
      </c>
      <c r="D497" s="90" t="s">
        <v>26</v>
      </c>
      <c r="E497" s="90" t="s">
        <v>875</v>
      </c>
      <c r="F497" s="90" t="s">
        <v>17</v>
      </c>
      <c r="G497" s="90" t="s">
        <v>657</v>
      </c>
      <c r="H497" s="304">
        <v>3</v>
      </c>
      <c r="I497" s="93">
        <v>627</v>
      </c>
      <c r="J497" s="92"/>
      <c r="K497" s="93">
        <v>33.53</v>
      </c>
      <c r="L497" s="92"/>
      <c r="M497" s="93">
        <v>127.27</v>
      </c>
      <c r="N497" s="93">
        <v>0</v>
      </c>
      <c r="O497" s="92"/>
      <c r="P497" s="93">
        <v>266.48</v>
      </c>
      <c r="Q497" s="93">
        <v>0.59</v>
      </c>
      <c r="R497" s="93">
        <v>4.22</v>
      </c>
      <c r="S497" s="92"/>
      <c r="T497" s="93">
        <v>7.93</v>
      </c>
      <c r="U497" s="93">
        <v>0</v>
      </c>
      <c r="V497" s="92"/>
      <c r="W497" s="92"/>
      <c r="X497" s="93">
        <v>440.02</v>
      </c>
      <c r="Y497" s="92"/>
      <c r="Z497" s="92"/>
      <c r="AA497" s="92"/>
      <c r="AB497" s="92"/>
      <c r="AC497" s="92"/>
      <c r="AD497" s="92"/>
      <c r="AE497" s="92"/>
      <c r="AF497" s="92"/>
      <c r="AG497" s="93">
        <v>13.6</v>
      </c>
      <c r="AH497" s="92"/>
      <c r="AI497" s="93">
        <v>453.62</v>
      </c>
      <c r="AJ497" s="93">
        <v>0</v>
      </c>
    </row>
    <row r="498" spans="1:36" customFormat="1" ht="15.75" thickBot="1" x14ac:dyDescent="0.3">
      <c r="A498" s="90" t="s">
        <v>1046</v>
      </c>
      <c r="B498" s="626" t="str">
        <f>VLOOKUP($D498,'Retail Rates'!$B$7:$D$38,2,FALSE)</f>
        <v>851</v>
      </c>
      <c r="C498" s="626" t="str">
        <f>VLOOKUP($D498,'Retail Rates'!$B$7:$D$38,3,FALSE)</f>
        <v>CGS</v>
      </c>
      <c r="D498" s="90" t="s">
        <v>26</v>
      </c>
      <c r="E498" s="90" t="s">
        <v>875</v>
      </c>
      <c r="F498" s="90" t="s">
        <v>17</v>
      </c>
      <c r="G498" s="90" t="s">
        <v>658</v>
      </c>
      <c r="H498" s="305">
        <v>3</v>
      </c>
      <c r="I498" s="95">
        <v>590</v>
      </c>
      <c r="J498" s="94"/>
      <c r="K498" s="95">
        <v>35</v>
      </c>
      <c r="L498" s="94"/>
      <c r="M498" s="95">
        <v>123.89</v>
      </c>
      <c r="N498" s="95">
        <v>0</v>
      </c>
      <c r="O498" s="94"/>
      <c r="P498" s="95">
        <v>253.34</v>
      </c>
      <c r="Q498" s="95">
        <v>0.55000000000000004</v>
      </c>
      <c r="R498" s="95">
        <v>2.92</v>
      </c>
      <c r="S498" s="94"/>
      <c r="T498" s="95">
        <v>11.24</v>
      </c>
      <c r="U498" s="95">
        <v>0</v>
      </c>
      <c r="V498" s="94"/>
      <c r="W498" s="94"/>
      <c r="X498" s="95">
        <v>426.94</v>
      </c>
      <c r="Y498" s="94"/>
      <c r="Z498" s="94"/>
      <c r="AA498" s="94"/>
      <c r="AB498" s="94"/>
      <c r="AC498" s="94"/>
      <c r="AD498" s="94"/>
      <c r="AE498" s="94"/>
      <c r="AF498" s="94"/>
      <c r="AG498" s="95">
        <v>13.42</v>
      </c>
      <c r="AH498" s="94"/>
      <c r="AI498" s="95">
        <v>440.36</v>
      </c>
      <c r="AJ498" s="95">
        <v>0</v>
      </c>
    </row>
    <row r="499" spans="1:36" customFormat="1" ht="15.75" thickBot="1" x14ac:dyDescent="0.3">
      <c r="A499" s="90" t="s">
        <v>1046</v>
      </c>
      <c r="B499" s="626" t="str">
        <f>VLOOKUP($D499,'Retail Rates'!$B$7:$D$38,2,FALSE)</f>
        <v>851</v>
      </c>
      <c r="C499" s="626" t="str">
        <f>VLOOKUP($D499,'Retail Rates'!$B$7:$D$38,3,FALSE)</f>
        <v>CGS</v>
      </c>
      <c r="D499" s="90" t="s">
        <v>26</v>
      </c>
      <c r="E499" s="90" t="s">
        <v>875</v>
      </c>
      <c r="F499" s="90" t="s">
        <v>17</v>
      </c>
      <c r="G499" s="90" t="s">
        <v>659</v>
      </c>
      <c r="H499" s="304">
        <v>3</v>
      </c>
      <c r="I499" s="93">
        <v>569</v>
      </c>
      <c r="J499" s="92"/>
      <c r="K499" s="93">
        <v>35</v>
      </c>
      <c r="L499" s="92"/>
      <c r="M499" s="93">
        <v>119.48</v>
      </c>
      <c r="N499" s="93">
        <v>0</v>
      </c>
      <c r="O499" s="92"/>
      <c r="P499" s="93">
        <v>245.06</v>
      </c>
      <c r="Q499" s="93">
        <v>0.53</v>
      </c>
      <c r="R499" s="93">
        <v>-26.41</v>
      </c>
      <c r="S499" s="92"/>
      <c r="T499" s="93">
        <v>11.24</v>
      </c>
      <c r="U499" s="93">
        <v>0</v>
      </c>
      <c r="V499" s="92"/>
      <c r="W499" s="92"/>
      <c r="X499" s="93">
        <v>384.9</v>
      </c>
      <c r="Y499" s="92"/>
      <c r="Z499" s="92"/>
      <c r="AA499" s="92"/>
      <c r="AB499" s="92"/>
      <c r="AC499" s="92"/>
      <c r="AD499" s="92"/>
      <c r="AE499" s="92"/>
      <c r="AF499" s="92"/>
      <c r="AG499" s="93">
        <v>13.83</v>
      </c>
      <c r="AH499" s="92"/>
      <c r="AI499" s="93">
        <v>398.73</v>
      </c>
      <c r="AJ499" s="93">
        <v>0</v>
      </c>
    </row>
    <row r="500" spans="1:36" customFormat="1" ht="15.75" thickBot="1" x14ac:dyDescent="0.3">
      <c r="A500" s="90" t="s">
        <v>1046</v>
      </c>
      <c r="B500" s="626" t="str">
        <f>VLOOKUP($D500,'Retail Rates'!$B$7:$D$38,2,FALSE)</f>
        <v>851</v>
      </c>
      <c r="C500" s="626" t="str">
        <f>VLOOKUP($D500,'Retail Rates'!$B$7:$D$38,3,FALSE)</f>
        <v>CGS</v>
      </c>
      <c r="D500" s="90" t="s">
        <v>26</v>
      </c>
      <c r="E500" s="90" t="s">
        <v>875</v>
      </c>
      <c r="F500" s="90" t="s">
        <v>17</v>
      </c>
      <c r="G500" s="90" t="s">
        <v>660</v>
      </c>
      <c r="H500" s="305">
        <v>3</v>
      </c>
      <c r="I500" s="95">
        <v>254</v>
      </c>
      <c r="J500" s="94"/>
      <c r="K500" s="95">
        <v>35</v>
      </c>
      <c r="L500" s="94"/>
      <c r="M500" s="95">
        <v>53.34</v>
      </c>
      <c r="N500" s="95">
        <v>0</v>
      </c>
      <c r="O500" s="94"/>
      <c r="P500" s="95">
        <v>109.4</v>
      </c>
      <c r="Q500" s="95">
        <v>0.24</v>
      </c>
      <c r="R500" s="95">
        <v>-3.91</v>
      </c>
      <c r="S500" s="94"/>
      <c r="T500" s="95">
        <v>11.24</v>
      </c>
      <c r="U500" s="95">
        <v>0</v>
      </c>
      <c r="V500" s="94"/>
      <c r="W500" s="94"/>
      <c r="X500" s="95">
        <v>205.31</v>
      </c>
      <c r="Y500" s="94"/>
      <c r="Z500" s="94"/>
      <c r="AA500" s="94"/>
      <c r="AB500" s="94"/>
      <c r="AC500" s="94"/>
      <c r="AD500" s="94"/>
      <c r="AE500" s="94"/>
      <c r="AF500" s="94"/>
      <c r="AG500" s="95">
        <v>6.25</v>
      </c>
      <c r="AH500" s="94"/>
      <c r="AI500" s="95">
        <v>211.56</v>
      </c>
      <c r="AJ500" s="95">
        <v>0</v>
      </c>
    </row>
    <row r="501" spans="1:36" customFormat="1" ht="15.75" thickBot="1" x14ac:dyDescent="0.3">
      <c r="A501" s="90" t="s">
        <v>1046</v>
      </c>
      <c r="B501" s="626" t="str">
        <f>VLOOKUP($D501,'Retail Rates'!$B$7:$D$38,2,FALSE)</f>
        <v>851</v>
      </c>
      <c r="C501" s="626" t="str">
        <f>VLOOKUP($D501,'Retail Rates'!$B$7:$D$38,3,FALSE)</f>
        <v>CGS</v>
      </c>
      <c r="D501" s="90" t="s">
        <v>26</v>
      </c>
      <c r="E501" s="90" t="s">
        <v>875</v>
      </c>
      <c r="F501" s="90" t="s">
        <v>17</v>
      </c>
      <c r="G501" s="90" t="s">
        <v>665</v>
      </c>
      <c r="H501" s="304">
        <v>1</v>
      </c>
      <c r="I501" s="93">
        <v>45</v>
      </c>
      <c r="J501" s="92"/>
      <c r="K501" s="93">
        <v>35</v>
      </c>
      <c r="L501" s="92"/>
      <c r="M501" s="93">
        <v>9.4499999999999993</v>
      </c>
      <c r="N501" s="93">
        <v>0</v>
      </c>
      <c r="O501" s="92"/>
      <c r="P501" s="93">
        <v>22.87</v>
      </c>
      <c r="Q501" s="93">
        <v>0.04</v>
      </c>
      <c r="R501" s="92"/>
      <c r="S501" s="92"/>
      <c r="T501" s="93">
        <v>11.24</v>
      </c>
      <c r="U501" s="93">
        <v>0</v>
      </c>
      <c r="V501" s="92"/>
      <c r="W501" s="92"/>
      <c r="X501" s="93">
        <v>78.599999999999994</v>
      </c>
      <c r="Y501" s="92"/>
      <c r="Z501" s="92"/>
      <c r="AA501" s="92"/>
      <c r="AB501" s="92"/>
      <c r="AC501" s="92"/>
      <c r="AD501" s="92"/>
      <c r="AE501" s="92"/>
      <c r="AF501" s="92"/>
      <c r="AG501" s="93">
        <v>1.39</v>
      </c>
      <c r="AH501" s="92"/>
      <c r="AI501" s="93">
        <v>79.989999999999995</v>
      </c>
      <c r="AJ501" s="93">
        <v>0</v>
      </c>
    </row>
    <row r="502" spans="1:36" customFormat="1" ht="15.75" thickBot="1" x14ac:dyDescent="0.3">
      <c r="A502" s="90" t="s">
        <v>1046</v>
      </c>
      <c r="B502" s="626" t="str">
        <f>VLOOKUP($D502,'Retail Rates'!$B$7:$D$38,2,FALSE)</f>
        <v>851</v>
      </c>
      <c r="C502" s="626" t="str">
        <f>VLOOKUP($D502,'Retail Rates'!$B$7:$D$38,3,FALSE)</f>
        <v>CGS</v>
      </c>
      <c r="D502" s="90" t="s">
        <v>26</v>
      </c>
      <c r="E502" s="90" t="s">
        <v>875</v>
      </c>
      <c r="F502" s="90" t="s">
        <v>17</v>
      </c>
      <c r="G502" s="90" t="s">
        <v>713</v>
      </c>
      <c r="H502" s="305">
        <v>1</v>
      </c>
      <c r="I502" s="95">
        <v>20</v>
      </c>
      <c r="J502" s="94"/>
      <c r="K502" s="95">
        <v>35</v>
      </c>
      <c r="L502" s="94"/>
      <c r="M502" s="95">
        <v>4.2</v>
      </c>
      <c r="N502" s="95">
        <v>0</v>
      </c>
      <c r="O502" s="94"/>
      <c r="P502" s="95">
        <v>10.66</v>
      </c>
      <c r="Q502" s="95">
        <v>0.02</v>
      </c>
      <c r="R502" s="94"/>
      <c r="S502" s="94"/>
      <c r="T502" s="95">
        <v>11.24</v>
      </c>
      <c r="U502" s="95">
        <v>0</v>
      </c>
      <c r="V502" s="94"/>
      <c r="W502" s="94"/>
      <c r="X502" s="95">
        <v>61.12</v>
      </c>
      <c r="Y502" s="94"/>
      <c r="Z502" s="94"/>
      <c r="AA502" s="94"/>
      <c r="AB502" s="94"/>
      <c r="AC502" s="94"/>
      <c r="AD502" s="94"/>
      <c r="AE502" s="94"/>
      <c r="AF502" s="94"/>
      <c r="AG502" s="95">
        <v>0.9</v>
      </c>
      <c r="AH502" s="94"/>
      <c r="AI502" s="95">
        <v>62.02</v>
      </c>
      <c r="AJ502" s="95">
        <v>0</v>
      </c>
    </row>
    <row r="503" spans="1:36" customFormat="1" ht="15.75" thickBot="1" x14ac:dyDescent="0.3">
      <c r="A503" s="90" t="s">
        <v>1046</v>
      </c>
      <c r="B503" s="626" t="str">
        <f>VLOOKUP($D503,'Retail Rates'!$B$7:$D$38,2,FALSE)</f>
        <v>851</v>
      </c>
      <c r="C503" s="626" t="str">
        <f>VLOOKUP($D503,'Retail Rates'!$B$7:$D$38,3,FALSE)</f>
        <v>CGS</v>
      </c>
      <c r="D503" s="90" t="s">
        <v>26</v>
      </c>
      <c r="E503" s="90" t="s">
        <v>875</v>
      </c>
      <c r="F503" s="90" t="s">
        <v>17</v>
      </c>
      <c r="G503" s="90" t="s">
        <v>714</v>
      </c>
      <c r="H503" s="304">
        <v>1</v>
      </c>
      <c r="I503" s="93">
        <v>22</v>
      </c>
      <c r="J503" s="92"/>
      <c r="K503" s="93">
        <v>35</v>
      </c>
      <c r="L503" s="92"/>
      <c r="M503" s="93">
        <v>4.62</v>
      </c>
      <c r="N503" s="93">
        <v>0</v>
      </c>
      <c r="O503" s="92"/>
      <c r="P503" s="93">
        <v>11.73</v>
      </c>
      <c r="Q503" s="93">
        <v>0.02</v>
      </c>
      <c r="R503" s="92"/>
      <c r="S503" s="92"/>
      <c r="T503" s="93">
        <v>11.24</v>
      </c>
      <c r="U503" s="93">
        <v>0</v>
      </c>
      <c r="V503" s="92"/>
      <c r="W503" s="92"/>
      <c r="X503" s="93">
        <v>62.61</v>
      </c>
      <c r="Y503" s="92"/>
      <c r="Z503" s="92"/>
      <c r="AA503" s="92"/>
      <c r="AB503" s="92"/>
      <c r="AC503" s="92"/>
      <c r="AD503" s="92"/>
      <c r="AE503" s="92"/>
      <c r="AF503" s="92"/>
      <c r="AG503" s="93">
        <v>0.99</v>
      </c>
      <c r="AH503" s="92"/>
      <c r="AI503" s="93">
        <v>63.6</v>
      </c>
      <c r="AJ503" s="93">
        <v>0</v>
      </c>
    </row>
    <row r="504" spans="1:36" customFormat="1" ht="15.75" thickBot="1" x14ac:dyDescent="0.3">
      <c r="A504" s="90" t="s">
        <v>1046</v>
      </c>
      <c r="B504" s="626" t="str">
        <f>VLOOKUP($D504,'Retail Rates'!$B$7:$D$38,2,FALSE)</f>
        <v>851</v>
      </c>
      <c r="C504" s="626" t="str">
        <f>VLOOKUP($D504,'Retail Rates'!$B$7:$D$38,3,FALSE)</f>
        <v>CGS</v>
      </c>
      <c r="D504" s="90" t="s">
        <v>26</v>
      </c>
      <c r="E504" s="90" t="s">
        <v>875</v>
      </c>
      <c r="F504" s="90" t="s">
        <v>17</v>
      </c>
      <c r="G504" s="90" t="s">
        <v>721</v>
      </c>
      <c r="H504" s="305">
        <v>1</v>
      </c>
      <c r="I504" s="95">
        <v>22</v>
      </c>
      <c r="J504" s="94"/>
      <c r="K504" s="95">
        <v>35</v>
      </c>
      <c r="L504" s="94"/>
      <c r="M504" s="95">
        <v>4.62</v>
      </c>
      <c r="N504" s="95">
        <v>0</v>
      </c>
      <c r="O504" s="94"/>
      <c r="P504" s="95">
        <v>12.03</v>
      </c>
      <c r="Q504" s="95">
        <v>0.02</v>
      </c>
      <c r="R504" s="94"/>
      <c r="S504" s="94"/>
      <c r="T504" s="95">
        <v>11.24</v>
      </c>
      <c r="U504" s="95">
        <v>0</v>
      </c>
      <c r="V504" s="94"/>
      <c r="W504" s="94"/>
      <c r="X504" s="95">
        <v>62.91</v>
      </c>
      <c r="Y504" s="94"/>
      <c r="Z504" s="94"/>
      <c r="AA504" s="94"/>
      <c r="AB504" s="94"/>
      <c r="AC504" s="94"/>
      <c r="AD504" s="94"/>
      <c r="AE504" s="94"/>
      <c r="AF504" s="94"/>
      <c r="AG504" s="95">
        <v>0.95</v>
      </c>
      <c r="AH504" s="94"/>
      <c r="AI504" s="95">
        <v>63.86</v>
      </c>
      <c r="AJ504" s="95">
        <v>0</v>
      </c>
    </row>
    <row r="505" spans="1:36" customFormat="1" ht="15.75" thickBot="1" x14ac:dyDescent="0.3">
      <c r="A505" s="90" t="s">
        <v>1046</v>
      </c>
      <c r="B505" s="626" t="str">
        <f>VLOOKUP($D505,'Retail Rates'!$B$7:$D$38,2,FALSE)</f>
        <v>851</v>
      </c>
      <c r="C505" s="626" t="str">
        <f>VLOOKUP($D505,'Retail Rates'!$B$7:$D$38,3,FALSE)</f>
        <v>CGS</v>
      </c>
      <c r="D505" s="90" t="s">
        <v>26</v>
      </c>
      <c r="E505" s="90" t="s">
        <v>875</v>
      </c>
      <c r="F505" s="90" t="s">
        <v>17</v>
      </c>
      <c r="G505" s="90" t="s">
        <v>722</v>
      </c>
      <c r="H505" s="304">
        <v>1</v>
      </c>
      <c r="I505" s="93">
        <v>20</v>
      </c>
      <c r="J505" s="92"/>
      <c r="K505" s="93">
        <v>35</v>
      </c>
      <c r="L505" s="92"/>
      <c r="M505" s="93">
        <v>4.2</v>
      </c>
      <c r="N505" s="93">
        <v>0</v>
      </c>
      <c r="O505" s="92"/>
      <c r="P505" s="93">
        <v>11.03</v>
      </c>
      <c r="Q505" s="93">
        <v>0.02</v>
      </c>
      <c r="R505" s="92"/>
      <c r="S505" s="92"/>
      <c r="T505" s="93">
        <v>11.24</v>
      </c>
      <c r="U505" s="93">
        <v>0</v>
      </c>
      <c r="V505" s="92"/>
      <c r="W505" s="92"/>
      <c r="X505" s="93">
        <v>61.49</v>
      </c>
      <c r="Y505" s="92"/>
      <c r="Z505" s="92"/>
      <c r="AA505" s="92"/>
      <c r="AB505" s="92"/>
      <c r="AC505" s="92"/>
      <c r="AD505" s="92"/>
      <c r="AE505" s="92"/>
      <c r="AF505" s="92"/>
      <c r="AG505" s="93">
        <v>0.92</v>
      </c>
      <c r="AH505" s="92"/>
      <c r="AI505" s="93">
        <v>62.41</v>
      </c>
      <c r="AJ505" s="93">
        <v>0</v>
      </c>
    </row>
    <row r="506" spans="1:36" customFormat="1" ht="15.75" thickBot="1" x14ac:dyDescent="0.3">
      <c r="A506" s="90" t="s">
        <v>1046</v>
      </c>
      <c r="B506" s="626" t="str">
        <f>VLOOKUP($D506,'Retail Rates'!$B$7:$D$38,2,FALSE)</f>
        <v>851</v>
      </c>
      <c r="C506" s="626" t="str">
        <f>VLOOKUP($D506,'Retail Rates'!$B$7:$D$38,3,FALSE)</f>
        <v>CGS</v>
      </c>
      <c r="D506" s="90" t="s">
        <v>26</v>
      </c>
      <c r="E506" s="90" t="s">
        <v>875</v>
      </c>
      <c r="F506" s="90" t="s">
        <v>17</v>
      </c>
      <c r="G506" s="90" t="s">
        <v>723</v>
      </c>
      <c r="H506" s="305">
        <v>1</v>
      </c>
      <c r="I506" s="95">
        <v>37</v>
      </c>
      <c r="J506" s="94"/>
      <c r="K506" s="95">
        <v>35</v>
      </c>
      <c r="L506" s="94"/>
      <c r="M506" s="95">
        <v>7.77</v>
      </c>
      <c r="N506" s="95">
        <v>0</v>
      </c>
      <c r="O506" s="94"/>
      <c r="P506" s="95">
        <v>20.41</v>
      </c>
      <c r="Q506" s="95">
        <v>0.04</v>
      </c>
      <c r="R506" s="94"/>
      <c r="S506" s="94"/>
      <c r="T506" s="95">
        <v>11.24</v>
      </c>
      <c r="U506" s="95">
        <v>0</v>
      </c>
      <c r="V506" s="94"/>
      <c r="W506" s="94"/>
      <c r="X506" s="95">
        <v>74.459999999999994</v>
      </c>
      <c r="Y506" s="94"/>
      <c r="Z506" s="94"/>
      <c r="AA506" s="94"/>
      <c r="AB506" s="94"/>
      <c r="AC506" s="94"/>
      <c r="AD506" s="94"/>
      <c r="AE506" s="94"/>
      <c r="AF506" s="94"/>
      <c r="AG506" s="95">
        <v>1.65</v>
      </c>
      <c r="AH506" s="94"/>
      <c r="AI506" s="95">
        <v>76.11</v>
      </c>
      <c r="AJ506" s="95">
        <v>0</v>
      </c>
    </row>
    <row r="507" spans="1:36" customFormat="1" ht="15.75" thickBot="1" x14ac:dyDescent="0.3">
      <c r="A507" s="90" t="s">
        <v>1046</v>
      </c>
      <c r="B507" s="626" t="str">
        <f>VLOOKUP($D507,'Retail Rates'!$B$7:$D$38,2,FALSE)</f>
        <v>851</v>
      </c>
      <c r="C507" s="626" t="str">
        <f>VLOOKUP($D507,'Retail Rates'!$B$7:$D$38,3,FALSE)</f>
        <v>CGS</v>
      </c>
      <c r="D507" s="90" t="s">
        <v>26</v>
      </c>
      <c r="E507" s="90" t="s">
        <v>875</v>
      </c>
      <c r="F507" s="90" t="s">
        <v>17</v>
      </c>
      <c r="G507" s="90" t="s">
        <v>724</v>
      </c>
      <c r="H507" s="304">
        <v>3</v>
      </c>
      <c r="I507" s="93">
        <v>255</v>
      </c>
      <c r="J507" s="92"/>
      <c r="K507" s="93">
        <v>35</v>
      </c>
      <c r="L507" s="92"/>
      <c r="M507" s="93">
        <v>53.55</v>
      </c>
      <c r="N507" s="93">
        <v>0</v>
      </c>
      <c r="O507" s="92"/>
      <c r="P507" s="93">
        <v>134.57</v>
      </c>
      <c r="Q507" s="93">
        <v>0.24</v>
      </c>
      <c r="R507" s="93">
        <v>-4.82</v>
      </c>
      <c r="S507" s="92"/>
      <c r="T507" s="93">
        <v>11.24</v>
      </c>
      <c r="U507" s="93">
        <v>0</v>
      </c>
      <c r="V507" s="92"/>
      <c r="W507" s="92"/>
      <c r="X507" s="93">
        <v>229.78</v>
      </c>
      <c r="Y507" s="92"/>
      <c r="Z507" s="92"/>
      <c r="AA507" s="92"/>
      <c r="AB507" s="92"/>
      <c r="AC507" s="92"/>
      <c r="AD507" s="92"/>
      <c r="AE507" s="92"/>
      <c r="AF507" s="92"/>
      <c r="AG507" s="93">
        <v>6.76</v>
      </c>
      <c r="AH507" s="92"/>
      <c r="AI507" s="93">
        <v>236.54</v>
      </c>
      <c r="AJ507" s="93">
        <v>0</v>
      </c>
    </row>
    <row r="508" spans="1:36" customFormat="1" ht="15.75" thickBot="1" x14ac:dyDescent="0.3">
      <c r="A508" s="90" t="s">
        <v>1046</v>
      </c>
      <c r="B508" s="626" t="str">
        <f>VLOOKUP($D508,'Retail Rates'!$B$7:$D$38,2,FALSE)</f>
        <v>851</v>
      </c>
      <c r="C508" s="626" t="str">
        <f>VLOOKUP($D508,'Retail Rates'!$B$7:$D$38,3,FALSE)</f>
        <v>CGS</v>
      </c>
      <c r="D508" s="90" t="s">
        <v>26</v>
      </c>
      <c r="E508" s="90" t="s">
        <v>875</v>
      </c>
      <c r="F508" s="90" t="s">
        <v>17</v>
      </c>
      <c r="G508" s="90" t="s">
        <v>725</v>
      </c>
      <c r="H508" s="305">
        <v>3</v>
      </c>
      <c r="I508" s="95">
        <v>537</v>
      </c>
      <c r="J508" s="94"/>
      <c r="K508" s="95">
        <v>35</v>
      </c>
      <c r="L508" s="94"/>
      <c r="M508" s="95">
        <v>112.76</v>
      </c>
      <c r="N508" s="95">
        <v>0</v>
      </c>
      <c r="O508" s="94"/>
      <c r="P508" s="95">
        <v>277.83</v>
      </c>
      <c r="Q508" s="95">
        <v>0.51</v>
      </c>
      <c r="R508" s="95">
        <v>-5.68</v>
      </c>
      <c r="S508" s="94"/>
      <c r="T508" s="95">
        <v>11.24</v>
      </c>
      <c r="U508" s="95">
        <v>0</v>
      </c>
      <c r="V508" s="94"/>
      <c r="W508" s="94"/>
      <c r="X508" s="95">
        <v>431.66</v>
      </c>
      <c r="Y508" s="94"/>
      <c r="Z508" s="94"/>
      <c r="AA508" s="94"/>
      <c r="AB508" s="94"/>
      <c r="AC508" s="94"/>
      <c r="AD508" s="94"/>
      <c r="AE508" s="94"/>
      <c r="AF508" s="94"/>
      <c r="AG508" s="95">
        <v>12.59</v>
      </c>
      <c r="AH508" s="94"/>
      <c r="AI508" s="95">
        <v>444.25</v>
      </c>
      <c r="AJ508" s="95">
        <v>0</v>
      </c>
    </row>
    <row r="509" spans="1:36" customFormat="1" ht="15.75" thickBot="1" x14ac:dyDescent="0.3">
      <c r="A509" s="90" t="s">
        <v>1046</v>
      </c>
      <c r="B509" s="626" t="str">
        <f>VLOOKUP($D509,'Retail Rates'!$B$7:$D$38,2,FALSE)</f>
        <v>851</v>
      </c>
      <c r="C509" s="626" t="str">
        <f>VLOOKUP($D509,'Retail Rates'!$B$7:$D$38,3,FALSE)</f>
        <v>CGS</v>
      </c>
      <c r="D509" s="90" t="s">
        <v>26</v>
      </c>
      <c r="E509" s="90" t="s">
        <v>875</v>
      </c>
      <c r="F509" s="90" t="s">
        <v>17</v>
      </c>
      <c r="G509" s="90" t="s">
        <v>758</v>
      </c>
      <c r="H509" s="304">
        <v>3</v>
      </c>
      <c r="I509" s="93">
        <v>963</v>
      </c>
      <c r="J509" s="92"/>
      <c r="K509" s="93">
        <v>35</v>
      </c>
      <c r="L509" s="92"/>
      <c r="M509" s="93">
        <v>202.22</v>
      </c>
      <c r="N509" s="93">
        <v>0</v>
      </c>
      <c r="O509" s="92"/>
      <c r="P509" s="93">
        <v>498.23</v>
      </c>
      <c r="Q509" s="93">
        <v>0.94</v>
      </c>
      <c r="R509" s="93">
        <v>-29.82</v>
      </c>
      <c r="S509" s="92"/>
      <c r="T509" s="93">
        <v>10.68</v>
      </c>
      <c r="U509" s="93">
        <v>0</v>
      </c>
      <c r="V509" s="92"/>
      <c r="W509" s="92"/>
      <c r="X509" s="93">
        <v>717.25</v>
      </c>
      <c r="Y509" s="92"/>
      <c r="Z509" s="92"/>
      <c r="AA509" s="92"/>
      <c r="AB509" s="92"/>
      <c r="AC509" s="92"/>
      <c r="AD509" s="92"/>
      <c r="AE509" s="92"/>
      <c r="AF509" s="92"/>
      <c r="AG509" s="93">
        <v>27.78</v>
      </c>
      <c r="AH509" s="92"/>
      <c r="AI509" s="93">
        <v>745.03</v>
      </c>
      <c r="AJ509" s="93">
        <v>0</v>
      </c>
    </row>
    <row r="510" spans="1:36" customFormat="1" ht="15.75" thickBot="1" x14ac:dyDescent="0.3">
      <c r="A510" s="90" t="s">
        <v>1046</v>
      </c>
      <c r="B510" s="626" t="str">
        <f>VLOOKUP($D510,'Retail Rates'!$B$7:$D$38,2,FALSE)</f>
        <v>851</v>
      </c>
      <c r="C510" s="626" t="str">
        <f>VLOOKUP($D510,'Retail Rates'!$B$7:$D$38,3,FALSE)</f>
        <v>CGS</v>
      </c>
      <c r="D510" s="90" t="s">
        <v>26</v>
      </c>
      <c r="E510" s="90" t="s">
        <v>875</v>
      </c>
      <c r="F510" s="90" t="s">
        <v>17</v>
      </c>
      <c r="G510" s="90" t="s">
        <v>759</v>
      </c>
      <c r="H510" s="305">
        <v>3</v>
      </c>
      <c r="I510" s="95">
        <v>705</v>
      </c>
      <c r="J510" s="94"/>
      <c r="K510" s="95">
        <v>35</v>
      </c>
      <c r="L510" s="94"/>
      <c r="M510" s="95">
        <v>148.04</v>
      </c>
      <c r="N510" s="95">
        <v>0</v>
      </c>
      <c r="O510" s="94"/>
      <c r="P510" s="95">
        <v>365.7</v>
      </c>
      <c r="Q510" s="95">
        <v>0.69</v>
      </c>
      <c r="R510" s="95">
        <v>-22.03</v>
      </c>
      <c r="S510" s="94"/>
      <c r="T510" s="95">
        <v>10.54</v>
      </c>
      <c r="U510" s="95">
        <v>0</v>
      </c>
      <c r="V510" s="94"/>
      <c r="W510" s="94"/>
      <c r="X510" s="95">
        <v>537.94000000000005</v>
      </c>
      <c r="Y510" s="94"/>
      <c r="Z510" s="94"/>
      <c r="AA510" s="94"/>
      <c r="AB510" s="94"/>
      <c r="AC510" s="94"/>
      <c r="AD510" s="94"/>
      <c r="AE510" s="94"/>
      <c r="AF510" s="94"/>
      <c r="AG510" s="95">
        <v>16.850000000000001</v>
      </c>
      <c r="AH510" s="94"/>
      <c r="AI510" s="95">
        <v>554.79</v>
      </c>
      <c r="AJ510" s="95">
        <v>0</v>
      </c>
    </row>
    <row r="511" spans="1:36" customFormat="1" ht="15.75" thickBot="1" x14ac:dyDescent="0.3">
      <c r="A511" s="90" t="s">
        <v>1046</v>
      </c>
      <c r="B511" s="626" t="str">
        <f>VLOOKUP($D511,'Retail Rates'!$B$7:$D$38,2,FALSE)</f>
        <v>851</v>
      </c>
      <c r="C511" s="626" t="str">
        <f>VLOOKUP($D511,'Retail Rates'!$B$7:$D$38,3,FALSE)</f>
        <v>CGS</v>
      </c>
      <c r="D511" s="90" t="s">
        <v>26</v>
      </c>
      <c r="E511" s="90" t="s">
        <v>875</v>
      </c>
      <c r="F511" s="90" t="s">
        <v>17</v>
      </c>
      <c r="G511" s="90" t="s">
        <v>760</v>
      </c>
      <c r="H511" s="304">
        <v>3</v>
      </c>
      <c r="I511" s="93">
        <v>617</v>
      </c>
      <c r="J511" s="92"/>
      <c r="K511" s="93">
        <v>35</v>
      </c>
      <c r="L511" s="92"/>
      <c r="M511" s="93">
        <v>129.56</v>
      </c>
      <c r="N511" s="93">
        <v>0</v>
      </c>
      <c r="O511" s="92"/>
      <c r="P511" s="93">
        <v>320.17</v>
      </c>
      <c r="Q511" s="93">
        <v>0.6</v>
      </c>
      <c r="R511" s="93">
        <v>-28.11</v>
      </c>
      <c r="S511" s="92"/>
      <c r="T511" s="93">
        <v>10.54</v>
      </c>
      <c r="U511" s="93">
        <v>0</v>
      </c>
      <c r="V511" s="92"/>
      <c r="W511" s="92"/>
      <c r="X511" s="93">
        <v>467.76</v>
      </c>
      <c r="Y511" s="92"/>
      <c r="Z511" s="92"/>
      <c r="AA511" s="92"/>
      <c r="AB511" s="92"/>
      <c r="AC511" s="92"/>
      <c r="AD511" s="92"/>
      <c r="AE511" s="92"/>
      <c r="AF511" s="92"/>
      <c r="AG511" s="93">
        <v>16.29</v>
      </c>
      <c r="AH511" s="92"/>
      <c r="AI511" s="93">
        <v>484.05</v>
      </c>
      <c r="AJ511" s="93">
        <v>0</v>
      </c>
    </row>
    <row r="512" spans="1:36" customFormat="1" ht="15.75" thickBot="1" x14ac:dyDescent="0.3">
      <c r="A512" s="90" t="s">
        <v>1046</v>
      </c>
      <c r="B512" s="626" t="str">
        <f>VLOOKUP($D512,'Retail Rates'!$B$7:$D$38,2,FALSE)</f>
        <v>851</v>
      </c>
      <c r="C512" s="626" t="str">
        <f>VLOOKUP($D512,'Retail Rates'!$B$7:$D$38,3,FALSE)</f>
        <v>CGS</v>
      </c>
      <c r="D512" s="90" t="s">
        <v>26</v>
      </c>
      <c r="E512" s="90" t="s">
        <v>875</v>
      </c>
      <c r="F512" s="90" t="s">
        <v>17</v>
      </c>
      <c r="G512" s="90" t="s">
        <v>768</v>
      </c>
      <c r="H512" s="305">
        <v>3</v>
      </c>
      <c r="I512" s="95">
        <v>236</v>
      </c>
      <c r="J512" s="94"/>
      <c r="K512" s="95">
        <v>35</v>
      </c>
      <c r="L512" s="94"/>
      <c r="M512" s="95">
        <v>49.56</v>
      </c>
      <c r="N512" s="95">
        <v>0</v>
      </c>
      <c r="O512" s="94"/>
      <c r="P512" s="95">
        <v>122.46</v>
      </c>
      <c r="Q512" s="95">
        <v>0.22</v>
      </c>
      <c r="R512" s="95">
        <v>7.13</v>
      </c>
      <c r="S512" s="94"/>
      <c r="T512" s="95">
        <v>10.54</v>
      </c>
      <c r="U512" s="95">
        <v>0</v>
      </c>
      <c r="V512" s="94"/>
      <c r="W512" s="94"/>
      <c r="X512" s="95">
        <v>224.91</v>
      </c>
      <c r="Y512" s="94"/>
      <c r="Z512" s="94"/>
      <c r="AA512" s="94"/>
      <c r="AB512" s="94"/>
      <c r="AC512" s="94"/>
      <c r="AD512" s="94"/>
      <c r="AE512" s="94"/>
      <c r="AF512" s="94"/>
      <c r="AG512" s="95">
        <v>7.21</v>
      </c>
      <c r="AH512" s="94"/>
      <c r="AI512" s="95">
        <v>232.12</v>
      </c>
      <c r="AJ512" s="95">
        <v>0</v>
      </c>
    </row>
    <row r="513" spans="1:36" customFormat="1" ht="15.75" thickBot="1" x14ac:dyDescent="0.3">
      <c r="A513" s="90" t="s">
        <v>1046</v>
      </c>
      <c r="B513" s="626" t="str">
        <f>VLOOKUP($D513,'Retail Rates'!$B$7:$D$38,2,FALSE)</f>
        <v>851</v>
      </c>
      <c r="C513" s="626" t="str">
        <f>VLOOKUP($D513,'Retail Rates'!$B$7:$D$38,3,FALSE)</f>
        <v>CGS</v>
      </c>
      <c r="D513" s="90" t="s">
        <v>26</v>
      </c>
      <c r="E513" s="90" t="s">
        <v>875</v>
      </c>
      <c r="F513" s="90" t="s">
        <v>17</v>
      </c>
      <c r="G513" s="90" t="s">
        <v>769</v>
      </c>
      <c r="H513" s="304">
        <v>2</v>
      </c>
      <c r="I513" s="93">
        <v>34</v>
      </c>
      <c r="J513" s="92"/>
      <c r="K513" s="93">
        <v>35</v>
      </c>
      <c r="L513" s="92"/>
      <c r="M513" s="93">
        <v>7.14</v>
      </c>
      <c r="N513" s="93">
        <v>0</v>
      </c>
      <c r="O513" s="92"/>
      <c r="P513" s="93">
        <v>19.71</v>
      </c>
      <c r="Q513" s="93">
        <v>0.03</v>
      </c>
      <c r="R513" s="92"/>
      <c r="S513" s="92"/>
      <c r="T513" s="93">
        <v>5.61</v>
      </c>
      <c r="U513" s="93">
        <v>0</v>
      </c>
      <c r="V513" s="92"/>
      <c r="W513" s="92"/>
      <c r="X513" s="93">
        <v>67.489999999999995</v>
      </c>
      <c r="Y513" s="92"/>
      <c r="Z513" s="92"/>
      <c r="AA513" s="92"/>
      <c r="AB513" s="92"/>
      <c r="AC513" s="92"/>
      <c r="AD513" s="92"/>
      <c r="AE513" s="92"/>
      <c r="AF513" s="92"/>
      <c r="AG513" s="93">
        <v>1.53</v>
      </c>
      <c r="AH513" s="92"/>
      <c r="AI513" s="93">
        <v>69.02</v>
      </c>
      <c r="AJ513" s="93">
        <v>0</v>
      </c>
    </row>
    <row r="514" spans="1:36" customFormat="1" ht="15.75" thickBot="1" x14ac:dyDescent="0.3">
      <c r="A514" s="90" t="s">
        <v>1046</v>
      </c>
      <c r="B514" s="626" t="str">
        <f>VLOOKUP($D514,'Retail Rates'!$B$7:$D$38,2,FALSE)</f>
        <v>851</v>
      </c>
      <c r="C514" s="626" t="str">
        <f>VLOOKUP($D514,'Retail Rates'!$B$7:$D$38,3,FALSE)</f>
        <v>CGS</v>
      </c>
      <c r="D514" s="90" t="s">
        <v>26</v>
      </c>
      <c r="E514" s="90" t="s">
        <v>875</v>
      </c>
      <c r="F514" s="90" t="s">
        <v>17</v>
      </c>
      <c r="G514" s="90" t="s">
        <v>771</v>
      </c>
      <c r="H514" s="305">
        <v>1</v>
      </c>
      <c r="I514" s="95">
        <v>31</v>
      </c>
      <c r="J514" s="94"/>
      <c r="K514" s="95">
        <v>35</v>
      </c>
      <c r="L514" s="94"/>
      <c r="M514" s="95">
        <v>6.51</v>
      </c>
      <c r="N514" s="95">
        <v>0</v>
      </c>
      <c r="O514" s="94"/>
      <c r="P514" s="95">
        <v>18.47</v>
      </c>
      <c r="Q514" s="95">
        <v>0.03</v>
      </c>
      <c r="R514" s="94"/>
      <c r="S514" s="94"/>
      <c r="T514" s="95">
        <v>4.83</v>
      </c>
      <c r="U514" s="95">
        <v>0</v>
      </c>
      <c r="V514" s="94"/>
      <c r="W514" s="94"/>
      <c r="X514" s="95">
        <v>64.84</v>
      </c>
      <c r="Y514" s="94"/>
      <c r="Z514" s="94"/>
      <c r="AA514" s="94"/>
      <c r="AB514" s="94"/>
      <c r="AC514" s="94"/>
      <c r="AD514" s="94"/>
      <c r="AE514" s="94"/>
      <c r="AF514" s="94"/>
      <c r="AG514" s="95">
        <v>1.45</v>
      </c>
      <c r="AH514" s="94"/>
      <c r="AI514" s="95">
        <v>66.290000000000006</v>
      </c>
      <c r="AJ514" s="95">
        <v>0</v>
      </c>
    </row>
    <row r="515" spans="1:36" customFormat="1" ht="15.75" thickBot="1" x14ac:dyDescent="0.3">
      <c r="A515" s="90" t="s">
        <v>1046</v>
      </c>
      <c r="B515" s="626" t="str">
        <f>VLOOKUP($D515,'Retail Rates'!$B$7:$D$38,2,FALSE)</f>
        <v>851</v>
      </c>
      <c r="C515" s="626" t="str">
        <f>VLOOKUP($D515,'Retail Rates'!$B$7:$D$38,3,FALSE)</f>
        <v>CGS</v>
      </c>
      <c r="D515" s="90" t="s">
        <v>26</v>
      </c>
      <c r="E515" s="90" t="s">
        <v>875</v>
      </c>
      <c r="F515" s="90" t="s">
        <v>17</v>
      </c>
      <c r="G515" s="90" t="s">
        <v>783</v>
      </c>
      <c r="H515" s="304">
        <v>2</v>
      </c>
      <c r="I515" s="93">
        <v>22</v>
      </c>
      <c r="J515" s="92"/>
      <c r="K515" s="93">
        <v>35</v>
      </c>
      <c r="L515" s="92"/>
      <c r="M515" s="93">
        <v>4.62</v>
      </c>
      <c r="N515" s="93">
        <v>0</v>
      </c>
      <c r="O515" s="93">
        <v>0</v>
      </c>
      <c r="P515" s="93">
        <v>13.11</v>
      </c>
      <c r="Q515" s="93">
        <v>0.03</v>
      </c>
      <c r="R515" s="92"/>
      <c r="S515" s="92"/>
      <c r="T515" s="93">
        <v>4.83</v>
      </c>
      <c r="U515" s="93">
        <v>0</v>
      </c>
      <c r="V515" s="92"/>
      <c r="W515" s="92"/>
      <c r="X515" s="93">
        <v>57.59</v>
      </c>
      <c r="Y515" s="92"/>
      <c r="Z515" s="92"/>
      <c r="AA515" s="92"/>
      <c r="AB515" s="92"/>
      <c r="AC515" s="92"/>
      <c r="AD515" s="92"/>
      <c r="AE515" s="92"/>
      <c r="AF515" s="92"/>
      <c r="AG515" s="93">
        <v>1.45</v>
      </c>
      <c r="AH515" s="92"/>
      <c r="AI515" s="93">
        <v>59.04</v>
      </c>
      <c r="AJ515" s="93">
        <v>0</v>
      </c>
    </row>
    <row r="516" spans="1:36" customFormat="1" ht="15.75" thickBot="1" x14ac:dyDescent="0.3">
      <c r="A516" s="90" t="s">
        <v>1046</v>
      </c>
      <c r="B516" s="626" t="str">
        <f>VLOOKUP($D516,'Retail Rates'!$B$7:$D$38,2,FALSE)</f>
        <v>851</v>
      </c>
      <c r="C516" s="626" t="str">
        <f>VLOOKUP($D516,'Retail Rates'!$B$7:$D$38,3,FALSE)</f>
        <v>CGS</v>
      </c>
      <c r="D516" s="90" t="s">
        <v>26</v>
      </c>
      <c r="E516" s="90" t="s">
        <v>875</v>
      </c>
      <c r="F516" s="90" t="s">
        <v>17</v>
      </c>
      <c r="G516" s="90" t="s">
        <v>798</v>
      </c>
      <c r="H516" s="305">
        <v>3</v>
      </c>
      <c r="I516" s="95">
        <v>22</v>
      </c>
      <c r="J516" s="94"/>
      <c r="K516" s="95">
        <v>35</v>
      </c>
      <c r="L516" s="94"/>
      <c r="M516" s="95">
        <v>4.62</v>
      </c>
      <c r="N516" s="95">
        <v>0</v>
      </c>
      <c r="O516" s="95">
        <v>0</v>
      </c>
      <c r="P516" s="95">
        <v>13.58</v>
      </c>
      <c r="Q516" s="95">
        <v>0.03</v>
      </c>
      <c r="R516" s="94"/>
      <c r="S516" s="94"/>
      <c r="T516" s="95">
        <v>4.83</v>
      </c>
      <c r="U516" s="95">
        <v>0</v>
      </c>
      <c r="V516" s="94"/>
      <c r="W516" s="94"/>
      <c r="X516" s="95">
        <v>58.06</v>
      </c>
      <c r="Y516" s="94"/>
      <c r="Z516" s="94"/>
      <c r="AA516" s="94"/>
      <c r="AB516" s="94"/>
      <c r="AC516" s="94"/>
      <c r="AD516" s="94"/>
      <c r="AE516" s="94"/>
      <c r="AF516" s="94"/>
      <c r="AG516" s="95">
        <v>1.49</v>
      </c>
      <c r="AH516" s="94"/>
      <c r="AI516" s="95">
        <v>59.55</v>
      </c>
      <c r="AJ516" s="95">
        <v>0</v>
      </c>
    </row>
    <row r="517" spans="1:36" customFormat="1" ht="15.75" thickBot="1" x14ac:dyDescent="0.3">
      <c r="A517" s="90" t="s">
        <v>1046</v>
      </c>
      <c r="B517" s="626" t="str">
        <f>VLOOKUP($D517,'Retail Rates'!$B$7:$D$38,2,FALSE)</f>
        <v>851</v>
      </c>
      <c r="C517" s="626" t="str">
        <f>VLOOKUP($D517,'Retail Rates'!$B$7:$D$38,3,FALSE)</f>
        <v>CGS</v>
      </c>
      <c r="D517" s="90" t="s">
        <v>26</v>
      </c>
      <c r="E517" s="90" t="s">
        <v>875</v>
      </c>
      <c r="F517" s="90" t="s">
        <v>17</v>
      </c>
      <c r="G517" s="90" t="s">
        <v>897</v>
      </c>
      <c r="H517" s="304">
        <v>2</v>
      </c>
      <c r="I517" s="93">
        <v>18</v>
      </c>
      <c r="J517" s="92"/>
      <c r="K517" s="93">
        <v>35</v>
      </c>
      <c r="L517" s="92"/>
      <c r="M517" s="93">
        <v>3.78</v>
      </c>
      <c r="N517" s="93">
        <v>0</v>
      </c>
      <c r="O517" s="93">
        <v>0</v>
      </c>
      <c r="P517" s="93">
        <v>11.22</v>
      </c>
      <c r="Q517" s="93">
        <v>0.01</v>
      </c>
      <c r="R517" s="92"/>
      <c r="S517" s="92"/>
      <c r="T517" s="93">
        <v>4.83</v>
      </c>
      <c r="U517" s="93">
        <v>0</v>
      </c>
      <c r="V517" s="92"/>
      <c r="W517" s="92"/>
      <c r="X517" s="93">
        <v>54.84</v>
      </c>
      <c r="Y517" s="92"/>
      <c r="Z517" s="92"/>
      <c r="AA517" s="92"/>
      <c r="AB517" s="92"/>
      <c r="AC517" s="92"/>
      <c r="AD517" s="92"/>
      <c r="AE517" s="92"/>
      <c r="AF517" s="92"/>
      <c r="AG517" s="93">
        <v>1.3</v>
      </c>
      <c r="AH517" s="92"/>
      <c r="AI517" s="93">
        <v>56.14</v>
      </c>
      <c r="AJ517" s="93">
        <v>0</v>
      </c>
    </row>
    <row r="518" spans="1:36" customFormat="1" ht="15.75" thickBot="1" x14ac:dyDescent="0.3">
      <c r="A518" s="90" t="s">
        <v>1046</v>
      </c>
      <c r="B518" s="626" t="str">
        <f>VLOOKUP($D518,'Retail Rates'!$B$7:$D$38,2,FALSE)</f>
        <v>851</v>
      </c>
      <c r="C518" s="626" t="str">
        <f>VLOOKUP($D518,'Retail Rates'!$B$7:$D$38,3,FALSE)</f>
        <v>CGS</v>
      </c>
      <c r="D518" s="90" t="s">
        <v>26</v>
      </c>
      <c r="E518" s="90" t="s">
        <v>875</v>
      </c>
      <c r="F518" s="90" t="s">
        <v>17</v>
      </c>
      <c r="G518" s="90" t="s">
        <v>898</v>
      </c>
      <c r="H518" s="305">
        <v>2</v>
      </c>
      <c r="I518" s="95">
        <v>35</v>
      </c>
      <c r="J518" s="94"/>
      <c r="K518" s="95">
        <v>35</v>
      </c>
      <c r="L518" s="94"/>
      <c r="M518" s="95">
        <v>7.35</v>
      </c>
      <c r="N518" s="95">
        <v>0</v>
      </c>
      <c r="O518" s="95">
        <v>0</v>
      </c>
      <c r="P518" s="95">
        <v>21.81</v>
      </c>
      <c r="Q518" s="95">
        <v>0.03</v>
      </c>
      <c r="R518" s="94"/>
      <c r="S518" s="94"/>
      <c r="T518" s="95">
        <v>4.83</v>
      </c>
      <c r="U518" s="95">
        <v>0</v>
      </c>
      <c r="V518" s="94"/>
      <c r="W518" s="94"/>
      <c r="X518" s="95">
        <v>69.02</v>
      </c>
      <c r="Y518" s="94"/>
      <c r="Z518" s="94"/>
      <c r="AA518" s="94"/>
      <c r="AB518" s="94"/>
      <c r="AC518" s="94"/>
      <c r="AD518" s="94"/>
      <c r="AE518" s="94"/>
      <c r="AF518" s="94"/>
      <c r="AG518" s="95">
        <v>1.5</v>
      </c>
      <c r="AH518" s="94"/>
      <c r="AI518" s="95">
        <v>70.52</v>
      </c>
      <c r="AJ518" s="95">
        <v>0</v>
      </c>
    </row>
    <row r="519" spans="1:36" customFormat="1" ht="15.75" thickBot="1" x14ac:dyDescent="0.3">
      <c r="A519" s="90" t="s">
        <v>1046</v>
      </c>
      <c r="B519" s="626" t="str">
        <f>VLOOKUP($D519,'Retail Rates'!$B$7:$D$38,2,FALSE)</f>
        <v>851</v>
      </c>
      <c r="C519" s="626" t="str">
        <f>VLOOKUP($D519,'Retail Rates'!$B$7:$D$38,3,FALSE)</f>
        <v>CGS</v>
      </c>
      <c r="D519" s="90" t="s">
        <v>26</v>
      </c>
      <c r="E519" s="90" t="s">
        <v>875</v>
      </c>
      <c r="F519" s="90" t="s">
        <v>17</v>
      </c>
      <c r="G519" s="90" t="s">
        <v>899</v>
      </c>
      <c r="H519" s="304">
        <v>6</v>
      </c>
      <c r="I519" s="93">
        <v>383</v>
      </c>
      <c r="J519" s="92"/>
      <c r="K519" s="93">
        <v>35</v>
      </c>
      <c r="L519" s="92"/>
      <c r="M519" s="93">
        <v>80.430000000000007</v>
      </c>
      <c r="N519" s="93">
        <v>0</v>
      </c>
      <c r="O519" s="93">
        <v>0</v>
      </c>
      <c r="P519" s="93">
        <v>218.87</v>
      </c>
      <c r="Q519" s="93">
        <v>0.36</v>
      </c>
      <c r="R519" s="93">
        <v>-20.13</v>
      </c>
      <c r="S519" s="92"/>
      <c r="T519" s="93">
        <v>4.83</v>
      </c>
      <c r="U519" s="93">
        <v>0</v>
      </c>
      <c r="V519" s="92"/>
      <c r="W519" s="92"/>
      <c r="X519" s="93">
        <v>319.36</v>
      </c>
      <c r="Y519" s="92"/>
      <c r="Z519" s="92"/>
      <c r="AA519" s="92"/>
      <c r="AB519" s="92"/>
      <c r="AC519" s="92"/>
      <c r="AD519" s="92"/>
      <c r="AE519" s="92"/>
      <c r="AF519" s="92"/>
      <c r="AG519" s="93">
        <v>9.94</v>
      </c>
      <c r="AH519" s="92"/>
      <c r="AI519" s="93">
        <v>329.3</v>
      </c>
      <c r="AJ519" s="93">
        <v>0</v>
      </c>
    </row>
    <row r="520" spans="1:36" customFormat="1" ht="15.75" thickBot="1" x14ac:dyDescent="0.3">
      <c r="A520" s="90" t="s">
        <v>1046</v>
      </c>
      <c r="B520" s="626" t="str">
        <f>VLOOKUP($D520,'Retail Rates'!$B$7:$D$38,2,FALSE)</f>
        <v>851</v>
      </c>
      <c r="C520" s="626" t="str">
        <f>VLOOKUP($D520,'Retail Rates'!$B$7:$D$38,3,FALSE)</f>
        <v>CGS</v>
      </c>
      <c r="D520" s="90" t="s">
        <v>26</v>
      </c>
      <c r="E520" s="90" t="s">
        <v>875</v>
      </c>
      <c r="F520" s="90" t="s">
        <v>17</v>
      </c>
      <c r="G520" s="90" t="s">
        <v>900</v>
      </c>
      <c r="H520" s="305">
        <v>6</v>
      </c>
      <c r="I520" s="95">
        <v>469</v>
      </c>
      <c r="J520" s="94"/>
      <c r="K520" s="95">
        <v>34.869999999999997</v>
      </c>
      <c r="L520" s="94"/>
      <c r="M520" s="95">
        <v>98.49</v>
      </c>
      <c r="N520" s="95">
        <v>8.24</v>
      </c>
      <c r="O520" s="95">
        <v>-0.13</v>
      </c>
      <c r="P520" s="95">
        <v>263.24</v>
      </c>
      <c r="Q520" s="95">
        <v>0.42</v>
      </c>
      <c r="R520" s="95">
        <v>6.39</v>
      </c>
      <c r="S520" s="94"/>
      <c r="T520" s="95">
        <v>4.83</v>
      </c>
      <c r="U520" s="95">
        <v>0</v>
      </c>
      <c r="V520" s="94"/>
      <c r="W520" s="94"/>
      <c r="X520" s="95">
        <v>408.24</v>
      </c>
      <c r="Y520" s="94"/>
      <c r="Z520" s="94"/>
      <c r="AA520" s="94"/>
      <c r="AB520" s="94"/>
      <c r="AC520" s="94"/>
      <c r="AD520" s="94"/>
      <c r="AE520" s="94"/>
      <c r="AF520" s="94"/>
      <c r="AG520" s="95">
        <v>11.85</v>
      </c>
      <c r="AH520" s="94"/>
      <c r="AI520" s="95">
        <v>428.33</v>
      </c>
      <c r="AJ520" s="306">
        <v>0.13</v>
      </c>
    </row>
    <row r="521" spans="1:36" customFormat="1" ht="15.75" thickBot="1" x14ac:dyDescent="0.3">
      <c r="A521" s="90" t="s">
        <v>1046</v>
      </c>
      <c r="B521" s="626" t="str">
        <f>VLOOKUP($D521,'Retail Rates'!$B$7:$D$38,2,FALSE)</f>
        <v>851</v>
      </c>
      <c r="C521" s="626" t="str">
        <f>VLOOKUP($D521,'Retail Rates'!$B$7:$D$38,3,FALSE)</f>
        <v>CGS</v>
      </c>
      <c r="D521" s="90" t="s">
        <v>26</v>
      </c>
      <c r="E521" s="90" t="s">
        <v>875</v>
      </c>
      <c r="F521" s="90" t="s">
        <v>17</v>
      </c>
      <c r="G521" s="90" t="s">
        <v>901</v>
      </c>
      <c r="H521" s="304">
        <v>6</v>
      </c>
      <c r="I521" s="93">
        <v>656</v>
      </c>
      <c r="J521" s="92"/>
      <c r="K521" s="93">
        <v>34.869999999999997</v>
      </c>
      <c r="L521" s="92"/>
      <c r="M521" s="93">
        <v>137.75</v>
      </c>
      <c r="N521" s="93">
        <v>11.11</v>
      </c>
      <c r="O521" s="93">
        <v>-0.13</v>
      </c>
      <c r="P521" s="93">
        <v>368.19</v>
      </c>
      <c r="Q521" s="93">
        <v>0.61</v>
      </c>
      <c r="R521" s="93">
        <v>-1.52</v>
      </c>
      <c r="S521" s="92"/>
      <c r="T521" s="93">
        <v>10.07</v>
      </c>
      <c r="U521" s="93">
        <v>0</v>
      </c>
      <c r="V521" s="92"/>
      <c r="W521" s="92"/>
      <c r="X521" s="93">
        <v>549.97</v>
      </c>
      <c r="Y521" s="92"/>
      <c r="Z521" s="92"/>
      <c r="AA521" s="92"/>
      <c r="AB521" s="92"/>
      <c r="AC521" s="92"/>
      <c r="AD521" s="92"/>
      <c r="AE521" s="92"/>
      <c r="AF521" s="92"/>
      <c r="AG521" s="93">
        <v>18.2</v>
      </c>
      <c r="AH521" s="92"/>
      <c r="AI521" s="93">
        <v>579.28</v>
      </c>
      <c r="AJ521" s="306">
        <v>0.13</v>
      </c>
    </row>
    <row r="522" spans="1:36" customFormat="1" ht="15.75" thickBot="1" x14ac:dyDescent="0.3">
      <c r="A522" s="90" t="s">
        <v>1046</v>
      </c>
      <c r="B522" s="626" t="str">
        <f>VLOOKUP($D522,'Retail Rates'!$B$7:$D$38,2,FALSE)</f>
        <v>851</v>
      </c>
      <c r="C522" s="626" t="str">
        <f>VLOOKUP($D522,'Retail Rates'!$B$7:$D$38,3,FALSE)</f>
        <v>CGS</v>
      </c>
      <c r="D522" s="90" t="s">
        <v>26</v>
      </c>
      <c r="E522" s="90" t="s">
        <v>875</v>
      </c>
      <c r="F522" s="90" t="s">
        <v>17</v>
      </c>
      <c r="G522" s="90" t="s">
        <v>902</v>
      </c>
      <c r="H522" s="305">
        <v>6</v>
      </c>
      <c r="I522" s="95">
        <v>764</v>
      </c>
      <c r="J522" s="94"/>
      <c r="K522" s="95">
        <v>34.869999999999997</v>
      </c>
      <c r="L522" s="94"/>
      <c r="M522" s="95">
        <v>160.43</v>
      </c>
      <c r="N522" s="95">
        <v>11.15</v>
      </c>
      <c r="O522" s="95">
        <v>-0.13</v>
      </c>
      <c r="P522" s="95">
        <v>386.07</v>
      </c>
      <c r="Q522" s="95">
        <v>0.7</v>
      </c>
      <c r="R522" s="95">
        <v>-43.28</v>
      </c>
      <c r="S522" s="94"/>
      <c r="T522" s="95">
        <v>11.37</v>
      </c>
      <c r="U522" s="95">
        <v>0</v>
      </c>
      <c r="V522" s="94"/>
      <c r="W522" s="94"/>
      <c r="X522" s="95">
        <v>550.16</v>
      </c>
      <c r="Y522" s="94"/>
      <c r="Z522" s="94"/>
      <c r="AA522" s="94"/>
      <c r="AB522" s="94"/>
      <c r="AC522" s="94"/>
      <c r="AD522" s="94"/>
      <c r="AE522" s="94"/>
      <c r="AF522" s="94"/>
      <c r="AG522" s="95">
        <v>17.100000000000001</v>
      </c>
      <c r="AH522" s="94"/>
      <c r="AI522" s="95">
        <v>578.41</v>
      </c>
      <c r="AJ522" s="306">
        <v>0.13</v>
      </c>
    </row>
    <row r="523" spans="1:36" customFormat="1" ht="15.75" thickBot="1" x14ac:dyDescent="0.3">
      <c r="A523" s="90" t="s">
        <v>1046</v>
      </c>
      <c r="B523" s="626" t="str">
        <f>VLOOKUP($D523,'Retail Rates'!$B$7:$D$38,2,FALSE)</f>
        <v>851</v>
      </c>
      <c r="C523" s="626" t="str">
        <f>VLOOKUP($D523,'Retail Rates'!$B$7:$D$38,3,FALSE)</f>
        <v>CGS</v>
      </c>
      <c r="D523" s="90" t="s">
        <v>26</v>
      </c>
      <c r="E523" s="90" t="s">
        <v>875</v>
      </c>
      <c r="F523" s="90" t="s">
        <v>17</v>
      </c>
      <c r="G523" s="90" t="s">
        <v>903</v>
      </c>
      <c r="H523" s="304">
        <v>6</v>
      </c>
      <c r="I523" s="93">
        <v>403</v>
      </c>
      <c r="J523" s="92"/>
      <c r="K523" s="93">
        <v>34.869999999999997</v>
      </c>
      <c r="L523" s="92"/>
      <c r="M523" s="93">
        <v>84.63</v>
      </c>
      <c r="N523" s="93">
        <v>6.65</v>
      </c>
      <c r="O523" s="93">
        <v>-0.13</v>
      </c>
      <c r="P523" s="93">
        <v>201.29</v>
      </c>
      <c r="Q523" s="93">
        <v>0.38</v>
      </c>
      <c r="R523" s="93">
        <v>-3.08</v>
      </c>
      <c r="S523" s="92"/>
      <c r="T523" s="93">
        <v>11.37</v>
      </c>
      <c r="U523" s="93">
        <v>0</v>
      </c>
      <c r="V523" s="92"/>
      <c r="W523" s="92"/>
      <c r="X523" s="93">
        <v>329.46</v>
      </c>
      <c r="Y523" s="92"/>
      <c r="Z523" s="92"/>
      <c r="AA523" s="92"/>
      <c r="AB523" s="92"/>
      <c r="AC523" s="92"/>
      <c r="AD523" s="92"/>
      <c r="AE523" s="92"/>
      <c r="AF523" s="92"/>
      <c r="AG523" s="93">
        <v>11.27</v>
      </c>
      <c r="AH523" s="92"/>
      <c r="AI523" s="93">
        <v>347.38</v>
      </c>
      <c r="AJ523" s="306">
        <v>0.13</v>
      </c>
    </row>
    <row r="524" spans="1:36" customFormat="1" ht="15.75" thickBot="1" x14ac:dyDescent="0.3">
      <c r="A524" s="90" t="s">
        <v>1046</v>
      </c>
      <c r="B524" s="626" t="str">
        <f>VLOOKUP($D524,'Retail Rates'!$B$7:$D$38,2,FALSE)</f>
        <v>851</v>
      </c>
      <c r="C524" s="626" t="str">
        <f>VLOOKUP($D524,'Retail Rates'!$B$7:$D$38,3,FALSE)</f>
        <v>CGS</v>
      </c>
      <c r="D524" s="90" t="s">
        <v>26</v>
      </c>
      <c r="E524" s="90" t="s">
        <v>875</v>
      </c>
      <c r="F524" s="90" t="s">
        <v>17</v>
      </c>
      <c r="G524" s="90" t="s">
        <v>904</v>
      </c>
      <c r="H524" s="305">
        <v>6</v>
      </c>
      <c r="I524" s="95">
        <v>112</v>
      </c>
      <c r="J524" s="94"/>
      <c r="K524" s="95">
        <v>34.869999999999997</v>
      </c>
      <c r="L524" s="94"/>
      <c r="M524" s="95">
        <v>23.52</v>
      </c>
      <c r="N524" s="95">
        <v>2.67</v>
      </c>
      <c r="O524" s="95">
        <v>-0.13</v>
      </c>
      <c r="P524" s="95">
        <v>55.94</v>
      </c>
      <c r="Q524" s="95">
        <v>7.0000000000000007E-2</v>
      </c>
      <c r="R524" s="95">
        <v>5.59</v>
      </c>
      <c r="S524" s="94"/>
      <c r="T524" s="95">
        <v>11.37</v>
      </c>
      <c r="U524" s="95">
        <v>0</v>
      </c>
      <c r="V524" s="94"/>
      <c r="W524" s="94"/>
      <c r="X524" s="95">
        <v>131.36000000000001</v>
      </c>
      <c r="Y524" s="94"/>
      <c r="Z524" s="94"/>
      <c r="AA524" s="94"/>
      <c r="AB524" s="94"/>
      <c r="AC524" s="94"/>
      <c r="AD524" s="94"/>
      <c r="AE524" s="94"/>
      <c r="AF524" s="94"/>
      <c r="AG524" s="95">
        <v>3.45</v>
      </c>
      <c r="AH524" s="94"/>
      <c r="AI524" s="95">
        <v>137.47999999999999</v>
      </c>
      <c r="AJ524" s="306">
        <v>0.13</v>
      </c>
    </row>
    <row r="525" spans="1:36" customFormat="1" ht="15.75" thickBot="1" x14ac:dyDescent="0.3">
      <c r="A525" s="90" t="s">
        <v>1046</v>
      </c>
      <c r="B525" s="626" t="str">
        <f>VLOOKUP($D525,'Retail Rates'!$B$7:$D$38,2,FALSE)</f>
        <v>851</v>
      </c>
      <c r="C525" s="626" t="str">
        <f>VLOOKUP($D525,'Retail Rates'!$B$7:$D$38,3,FALSE)</f>
        <v>CGS</v>
      </c>
      <c r="D525" s="90" t="s">
        <v>26</v>
      </c>
      <c r="E525" s="90" t="s">
        <v>875</v>
      </c>
      <c r="F525" s="90" t="s">
        <v>17</v>
      </c>
      <c r="G525" s="90" t="s">
        <v>905</v>
      </c>
      <c r="H525" s="304">
        <v>5</v>
      </c>
      <c r="I525" s="93">
        <v>49</v>
      </c>
      <c r="J525" s="92"/>
      <c r="K525" s="93">
        <v>34.869999999999997</v>
      </c>
      <c r="L525" s="92"/>
      <c r="M525" s="93">
        <v>10.29</v>
      </c>
      <c r="N525" s="93">
        <v>1.66</v>
      </c>
      <c r="O525" s="93">
        <v>-0.13</v>
      </c>
      <c r="P525" s="93">
        <v>21.38</v>
      </c>
      <c r="Q525" s="93">
        <v>0.03</v>
      </c>
      <c r="R525" s="92"/>
      <c r="S525" s="92"/>
      <c r="T525" s="93">
        <v>16.059999999999999</v>
      </c>
      <c r="U525" s="93">
        <v>0</v>
      </c>
      <c r="V525" s="92"/>
      <c r="W525" s="92"/>
      <c r="X525" s="93">
        <v>82.63</v>
      </c>
      <c r="Y525" s="92"/>
      <c r="Z525" s="92"/>
      <c r="AA525" s="92"/>
      <c r="AB525" s="92"/>
      <c r="AC525" s="92"/>
      <c r="AD525" s="92"/>
      <c r="AE525" s="92"/>
      <c r="AF525" s="92"/>
      <c r="AG525" s="93">
        <v>1.22</v>
      </c>
      <c r="AH525" s="92"/>
      <c r="AI525" s="93">
        <v>85.51</v>
      </c>
      <c r="AJ525" s="306">
        <v>0.13</v>
      </c>
    </row>
    <row r="526" spans="1:36" customFormat="1" ht="15.75" thickBot="1" x14ac:dyDescent="0.3">
      <c r="A526" s="90" t="s">
        <v>1046</v>
      </c>
      <c r="B526" s="626" t="str">
        <f>VLOOKUP($D526,'Retail Rates'!$B$7:$D$38,2,FALSE)</f>
        <v>851</v>
      </c>
      <c r="C526" s="626" t="str">
        <f>VLOOKUP($D526,'Retail Rates'!$B$7:$D$38,3,FALSE)</f>
        <v>CGS</v>
      </c>
      <c r="D526" s="90" t="s">
        <v>26</v>
      </c>
      <c r="E526" s="90" t="s">
        <v>875</v>
      </c>
      <c r="F526" s="90" t="s">
        <v>17</v>
      </c>
      <c r="G526" s="90" t="s">
        <v>906</v>
      </c>
      <c r="H526" s="305">
        <v>3</v>
      </c>
      <c r="I526" s="95">
        <v>47</v>
      </c>
      <c r="J526" s="94"/>
      <c r="K526" s="95">
        <v>34.869999999999997</v>
      </c>
      <c r="L526" s="94"/>
      <c r="M526" s="95">
        <v>9.8699999999999992</v>
      </c>
      <c r="N526" s="95">
        <v>1.63</v>
      </c>
      <c r="O526" s="95">
        <v>-0.13</v>
      </c>
      <c r="P526" s="95">
        <v>19.54</v>
      </c>
      <c r="Q526" s="95">
        <v>0.03</v>
      </c>
      <c r="R526" s="94"/>
      <c r="S526" s="94"/>
      <c r="T526" s="95">
        <v>16.920000000000002</v>
      </c>
      <c r="U526" s="95">
        <v>0</v>
      </c>
      <c r="V526" s="94"/>
      <c r="W526" s="94"/>
      <c r="X526" s="95">
        <v>81.23</v>
      </c>
      <c r="Y526" s="94"/>
      <c r="Z526" s="94"/>
      <c r="AA526" s="94"/>
      <c r="AB526" s="94"/>
      <c r="AC526" s="94"/>
      <c r="AD526" s="94"/>
      <c r="AE526" s="94"/>
      <c r="AF526" s="94"/>
      <c r="AG526" s="95">
        <v>5.32</v>
      </c>
      <c r="AH526" s="94"/>
      <c r="AI526" s="95">
        <v>88.18</v>
      </c>
      <c r="AJ526" s="306">
        <v>0.13</v>
      </c>
    </row>
    <row r="527" spans="1:36" customFormat="1" ht="15.75" thickBot="1" x14ac:dyDescent="0.3">
      <c r="A527" s="90" t="s">
        <v>1046</v>
      </c>
      <c r="B527" s="626" t="str">
        <f>VLOOKUP($D527,'Retail Rates'!$B$7:$D$38,2,FALSE)</f>
        <v>851</v>
      </c>
      <c r="C527" s="626" t="str">
        <f>VLOOKUP($D527,'Retail Rates'!$B$7:$D$38,3,FALSE)</f>
        <v>CGS</v>
      </c>
      <c r="D527" s="90" t="s">
        <v>26</v>
      </c>
      <c r="E527" s="90" t="s">
        <v>875</v>
      </c>
      <c r="F527" s="90" t="s">
        <v>17</v>
      </c>
      <c r="G527" s="90" t="s">
        <v>907</v>
      </c>
      <c r="H527" s="304">
        <v>3</v>
      </c>
      <c r="I527" s="93">
        <v>47</v>
      </c>
      <c r="J527" s="92"/>
      <c r="K527" s="93">
        <v>39.130000000000003</v>
      </c>
      <c r="L527" s="92"/>
      <c r="M527" s="93">
        <v>10.08</v>
      </c>
      <c r="N527" s="93">
        <v>1.71</v>
      </c>
      <c r="O527" s="93">
        <v>0</v>
      </c>
      <c r="P527" s="93">
        <v>19.55</v>
      </c>
      <c r="Q527" s="93">
        <v>0.02</v>
      </c>
      <c r="R527" s="92"/>
      <c r="S527" s="92"/>
      <c r="T527" s="93">
        <v>16.920000000000002</v>
      </c>
      <c r="U527" s="93">
        <v>0</v>
      </c>
      <c r="V527" s="92"/>
      <c r="W527" s="92"/>
      <c r="X527" s="93">
        <v>85.7</v>
      </c>
      <c r="Y527" s="92"/>
      <c r="Z527" s="92"/>
      <c r="AA527" s="92"/>
      <c r="AB527" s="92"/>
      <c r="AC527" s="92"/>
      <c r="AD527" s="92"/>
      <c r="AE527" s="92"/>
      <c r="AF527" s="92"/>
      <c r="AG527" s="93">
        <v>5.59</v>
      </c>
      <c r="AH527" s="92"/>
      <c r="AI527" s="93">
        <v>93</v>
      </c>
      <c r="AJ527" s="93">
        <v>0</v>
      </c>
    </row>
    <row r="528" spans="1:36" customFormat="1" ht="15.75" thickBot="1" x14ac:dyDescent="0.3">
      <c r="A528" s="90" t="s">
        <v>1046</v>
      </c>
      <c r="B528" s="626" t="str">
        <f>VLOOKUP($D528,'Retail Rates'!$B$7:$D$38,2,FALSE)</f>
        <v>851</v>
      </c>
      <c r="C528" s="626" t="str">
        <f>VLOOKUP($D528,'Retail Rates'!$B$7:$D$38,3,FALSE)</f>
        <v>CGS</v>
      </c>
      <c r="D528" s="90" t="s">
        <v>26</v>
      </c>
      <c r="E528" s="90" t="s">
        <v>875</v>
      </c>
      <c r="F528" s="90" t="s">
        <v>17</v>
      </c>
      <c r="G528" s="90" t="s">
        <v>908</v>
      </c>
      <c r="H528" s="305">
        <v>3</v>
      </c>
      <c r="I528" s="95">
        <v>5</v>
      </c>
      <c r="J528" s="94"/>
      <c r="K528" s="95">
        <v>40</v>
      </c>
      <c r="L528" s="94"/>
      <c r="M528" s="95">
        <v>1.07</v>
      </c>
      <c r="N528" s="95">
        <v>1.2</v>
      </c>
      <c r="O528" s="95">
        <v>0</v>
      </c>
      <c r="P528" s="95">
        <v>1.62</v>
      </c>
      <c r="Q528" s="95">
        <v>0</v>
      </c>
      <c r="R528" s="94"/>
      <c r="S528" s="94"/>
      <c r="T528" s="95">
        <v>16.920000000000002</v>
      </c>
      <c r="U528" s="95">
        <v>0</v>
      </c>
      <c r="V528" s="94"/>
      <c r="W528" s="94"/>
      <c r="X528" s="95">
        <v>59.61</v>
      </c>
      <c r="Y528" s="94"/>
      <c r="Z528" s="94"/>
      <c r="AA528" s="94"/>
      <c r="AB528" s="94"/>
      <c r="AC528" s="94"/>
      <c r="AD528" s="94"/>
      <c r="AE528" s="94"/>
      <c r="AF528" s="94"/>
      <c r="AG528" s="95">
        <v>3.95</v>
      </c>
      <c r="AH528" s="94"/>
      <c r="AI528" s="95">
        <v>64.760000000000005</v>
      </c>
      <c r="AJ528" s="95">
        <v>0</v>
      </c>
    </row>
    <row r="529" spans="1:36" customFormat="1" ht="15.75" thickBot="1" x14ac:dyDescent="0.3">
      <c r="A529" s="90" t="s">
        <v>1046</v>
      </c>
      <c r="B529" s="626" t="str">
        <f>VLOOKUP($D529,'Retail Rates'!$B$7:$D$38,2,FALSE)</f>
        <v>851</v>
      </c>
      <c r="C529" s="626" t="str">
        <f>VLOOKUP($D529,'Retail Rates'!$B$7:$D$38,3,FALSE)</f>
        <v>CGS</v>
      </c>
      <c r="D529" s="90" t="s">
        <v>26</v>
      </c>
      <c r="E529" s="90" t="s">
        <v>875</v>
      </c>
      <c r="F529" s="90" t="s">
        <v>17</v>
      </c>
      <c r="G529" s="90" t="s">
        <v>909</v>
      </c>
      <c r="H529" s="304">
        <v>5</v>
      </c>
      <c r="I529" s="93">
        <v>-9</v>
      </c>
      <c r="J529" s="92"/>
      <c r="K529" s="93">
        <v>-40</v>
      </c>
      <c r="L529" s="92"/>
      <c r="M529" s="93">
        <v>-1.93</v>
      </c>
      <c r="N529" s="93">
        <v>-1.23</v>
      </c>
      <c r="O529" s="93">
        <v>0</v>
      </c>
      <c r="P529" s="93">
        <v>-2.68</v>
      </c>
      <c r="Q529" s="93">
        <v>0</v>
      </c>
      <c r="R529" s="92"/>
      <c r="S529" s="92"/>
      <c r="T529" s="93">
        <v>-16.920000000000002</v>
      </c>
      <c r="U529" s="93">
        <v>0</v>
      </c>
      <c r="V529" s="92"/>
      <c r="W529" s="92"/>
      <c r="X529" s="93">
        <v>-61.53</v>
      </c>
      <c r="Y529" s="92"/>
      <c r="Z529" s="92"/>
      <c r="AA529" s="92"/>
      <c r="AB529" s="92"/>
      <c r="AC529" s="92"/>
      <c r="AD529" s="92"/>
      <c r="AE529" s="92"/>
      <c r="AF529" s="92"/>
      <c r="AG529" s="93">
        <v>-3.48</v>
      </c>
      <c r="AH529" s="92"/>
      <c r="AI529" s="93">
        <v>-66.239999999999995</v>
      </c>
      <c r="AJ529" s="93">
        <v>0</v>
      </c>
    </row>
    <row r="530" spans="1:36" customFormat="1" ht="15.75" thickBot="1" x14ac:dyDescent="0.3">
      <c r="A530" s="90" t="s">
        <v>1046</v>
      </c>
      <c r="B530" s="626" t="str">
        <f>VLOOKUP($D530,'Retail Rates'!$B$7:$D$38,2,FALSE)</f>
        <v>851</v>
      </c>
      <c r="C530" s="626" t="str">
        <f>VLOOKUP($D530,'Retail Rates'!$B$7:$D$38,3,FALSE)</f>
        <v>CGS</v>
      </c>
      <c r="D530" s="90" t="s">
        <v>26</v>
      </c>
      <c r="E530" s="90" t="s">
        <v>875</v>
      </c>
      <c r="F530" s="90" t="s">
        <v>17</v>
      </c>
      <c r="G530" s="90" t="s">
        <v>910</v>
      </c>
      <c r="H530" s="305">
        <v>5</v>
      </c>
      <c r="I530" s="95">
        <v>-12</v>
      </c>
      <c r="J530" s="94"/>
      <c r="K530" s="95">
        <v>-40</v>
      </c>
      <c r="L530" s="94"/>
      <c r="M530" s="95">
        <v>-2.58</v>
      </c>
      <c r="N530" s="95">
        <v>-1.26</v>
      </c>
      <c r="O530" s="95">
        <v>0</v>
      </c>
      <c r="P530" s="95">
        <v>-3.58</v>
      </c>
      <c r="Q530" s="95">
        <v>0</v>
      </c>
      <c r="R530" s="94"/>
      <c r="S530" s="94"/>
      <c r="T530" s="95">
        <v>-16.920000000000002</v>
      </c>
      <c r="U530" s="95">
        <v>0</v>
      </c>
      <c r="V530" s="94"/>
      <c r="W530" s="94"/>
      <c r="X530" s="95">
        <v>-63.08</v>
      </c>
      <c r="Y530" s="94"/>
      <c r="Z530" s="94"/>
      <c r="AA530" s="94"/>
      <c r="AB530" s="94"/>
      <c r="AC530" s="94"/>
      <c r="AD530" s="94"/>
      <c r="AE530" s="94"/>
      <c r="AF530" s="94"/>
      <c r="AG530" s="95">
        <v>-7.45</v>
      </c>
      <c r="AH530" s="94"/>
      <c r="AI530" s="95">
        <v>-71.790000000000006</v>
      </c>
      <c r="AJ530" s="95">
        <v>0</v>
      </c>
    </row>
    <row r="531" spans="1:36" customFormat="1" ht="15.75" thickBot="1" x14ac:dyDescent="0.3">
      <c r="A531" s="90" t="s">
        <v>1046</v>
      </c>
      <c r="B531" s="626" t="str">
        <f>VLOOKUP($D531,'Retail Rates'!$B$7:$D$38,2,FALSE)</f>
        <v>851</v>
      </c>
      <c r="C531" s="626" t="str">
        <f>VLOOKUP($D531,'Retail Rates'!$B$7:$D$38,3,FALSE)</f>
        <v>CGS</v>
      </c>
      <c r="D531" s="90" t="s">
        <v>26</v>
      </c>
      <c r="E531" s="90" t="s">
        <v>875</v>
      </c>
      <c r="F531" s="90" t="s">
        <v>17</v>
      </c>
      <c r="G531" s="90" t="s">
        <v>911</v>
      </c>
      <c r="H531" s="304">
        <v>9</v>
      </c>
      <c r="I531" s="93">
        <v>87</v>
      </c>
      <c r="J531" s="92"/>
      <c r="K531" s="93">
        <v>-40</v>
      </c>
      <c r="L531" s="92"/>
      <c r="M531" s="93">
        <v>18.71</v>
      </c>
      <c r="N531" s="93">
        <v>-0.1</v>
      </c>
      <c r="O531" s="93">
        <v>0</v>
      </c>
      <c r="P531" s="93">
        <v>29.02</v>
      </c>
      <c r="Q531" s="93">
        <v>0.06</v>
      </c>
      <c r="R531" s="93">
        <v>4.28</v>
      </c>
      <c r="S531" s="92"/>
      <c r="T531" s="93">
        <v>-16.920000000000002</v>
      </c>
      <c r="U531" s="93">
        <v>0</v>
      </c>
      <c r="V531" s="92"/>
      <c r="W531" s="92"/>
      <c r="X531" s="93">
        <v>-4.8499999999999996</v>
      </c>
      <c r="Y531" s="92"/>
      <c r="Z531" s="92"/>
      <c r="AA531" s="92"/>
      <c r="AB531" s="92"/>
      <c r="AC531" s="92"/>
      <c r="AD531" s="92"/>
      <c r="AE531" s="92"/>
      <c r="AF531" s="92"/>
      <c r="AG531" s="93">
        <v>-5.25</v>
      </c>
      <c r="AH531" s="92"/>
      <c r="AI531" s="93">
        <v>-10.199999999999999</v>
      </c>
      <c r="AJ531" s="93">
        <v>0</v>
      </c>
    </row>
    <row r="532" spans="1:36" customFormat="1" ht="15.75" thickBot="1" x14ac:dyDescent="0.3">
      <c r="A532" s="90" t="s">
        <v>1046</v>
      </c>
      <c r="B532" s="626" t="str">
        <f>VLOOKUP($D532,'Retail Rates'!$B$7:$D$38,2,FALSE)</f>
        <v>851</v>
      </c>
      <c r="C532" s="626" t="str">
        <f>VLOOKUP($D532,'Retail Rates'!$B$7:$D$38,3,FALSE)</f>
        <v>CGS</v>
      </c>
      <c r="D532" s="90" t="s">
        <v>26</v>
      </c>
      <c r="E532" s="90" t="s">
        <v>875</v>
      </c>
      <c r="F532" s="90" t="s">
        <v>17</v>
      </c>
      <c r="G532" s="90" t="s">
        <v>912</v>
      </c>
      <c r="H532" s="305">
        <v>13</v>
      </c>
      <c r="I532" s="95">
        <v>123</v>
      </c>
      <c r="J532" s="94"/>
      <c r="K532" s="95">
        <v>-56</v>
      </c>
      <c r="L532" s="94"/>
      <c r="M532" s="95">
        <v>26.43</v>
      </c>
      <c r="N532" s="95">
        <v>1.27</v>
      </c>
      <c r="O532" s="95">
        <v>0</v>
      </c>
      <c r="P532" s="95">
        <v>41.95</v>
      </c>
      <c r="Q532" s="95">
        <v>7.0000000000000007E-2</v>
      </c>
      <c r="R532" s="95">
        <v>50.8</v>
      </c>
      <c r="S532" s="94"/>
      <c r="T532" s="95">
        <v>-23.69</v>
      </c>
      <c r="U532" s="95">
        <v>0</v>
      </c>
      <c r="V532" s="94"/>
      <c r="W532" s="94"/>
      <c r="X532" s="95">
        <v>39.56</v>
      </c>
      <c r="Y532" s="94"/>
      <c r="Z532" s="94"/>
      <c r="AA532" s="94"/>
      <c r="AB532" s="94"/>
      <c r="AC532" s="94"/>
      <c r="AD532" s="94"/>
      <c r="AE532" s="94"/>
      <c r="AF532" s="94"/>
      <c r="AG532" s="95">
        <v>-5.31</v>
      </c>
      <c r="AH532" s="94"/>
      <c r="AI532" s="95">
        <v>35.520000000000003</v>
      </c>
      <c r="AJ532" s="95">
        <v>0</v>
      </c>
    </row>
    <row r="533" spans="1:36" customFormat="1" ht="15.75" thickBot="1" x14ac:dyDescent="0.3">
      <c r="A533" s="90" t="s">
        <v>1046</v>
      </c>
      <c r="B533" s="626" t="str">
        <f>VLOOKUP($D533,'Retail Rates'!$B$7:$D$38,2,FALSE)</f>
        <v>851</v>
      </c>
      <c r="C533" s="626" t="str">
        <f>VLOOKUP($D533,'Retail Rates'!$B$7:$D$38,3,FALSE)</f>
        <v>CGS</v>
      </c>
      <c r="D533" s="90" t="s">
        <v>26</v>
      </c>
      <c r="E533" s="90" t="s">
        <v>875</v>
      </c>
      <c r="F533" s="90" t="s">
        <v>17</v>
      </c>
      <c r="G533" s="90" t="s">
        <v>913</v>
      </c>
      <c r="H533" s="304">
        <v>14</v>
      </c>
      <c r="I533" s="93">
        <v>552</v>
      </c>
      <c r="J533" s="92"/>
      <c r="K533" s="93">
        <v>-80</v>
      </c>
      <c r="L533" s="92"/>
      <c r="M533" s="93">
        <v>118.71</v>
      </c>
      <c r="N533" s="93">
        <v>4.8899999999999997</v>
      </c>
      <c r="O533" s="93">
        <v>0</v>
      </c>
      <c r="P533" s="93">
        <v>188.06</v>
      </c>
      <c r="Q533" s="93">
        <v>0.31</v>
      </c>
      <c r="R533" s="93">
        <v>-13.7</v>
      </c>
      <c r="S533" s="92"/>
      <c r="T533" s="93">
        <v>-35.54</v>
      </c>
      <c r="U533" s="93">
        <v>0</v>
      </c>
      <c r="V533" s="92"/>
      <c r="W533" s="92"/>
      <c r="X533" s="93">
        <v>177.84</v>
      </c>
      <c r="Y533" s="92"/>
      <c r="Z533" s="92"/>
      <c r="AA533" s="92"/>
      <c r="AB533" s="92"/>
      <c r="AC533" s="92"/>
      <c r="AD533" s="92"/>
      <c r="AE533" s="92"/>
      <c r="AF533" s="92"/>
      <c r="AG533" s="93">
        <v>-0.55000000000000004</v>
      </c>
      <c r="AH533" s="92"/>
      <c r="AI533" s="93">
        <v>182.18</v>
      </c>
      <c r="AJ533" s="93">
        <v>0</v>
      </c>
    </row>
    <row r="534" spans="1:36" customFormat="1" ht="15.75" thickBot="1" x14ac:dyDescent="0.3">
      <c r="A534" s="90" t="s">
        <v>1046</v>
      </c>
      <c r="B534" s="626" t="str">
        <f>VLOOKUP($D534,'Retail Rates'!$B$7:$D$38,2,FALSE)</f>
        <v>851</v>
      </c>
      <c r="C534" s="626" t="str">
        <f>VLOOKUP($D534,'Retail Rates'!$B$7:$D$38,3,FALSE)</f>
        <v>CGS</v>
      </c>
      <c r="D534" s="90" t="s">
        <v>26</v>
      </c>
      <c r="E534" s="90" t="s">
        <v>875</v>
      </c>
      <c r="F534" s="90" t="s">
        <v>17</v>
      </c>
      <c r="G534" s="90" t="s">
        <v>914</v>
      </c>
      <c r="H534" s="305">
        <v>14</v>
      </c>
      <c r="I534" s="95">
        <v>254</v>
      </c>
      <c r="J534" s="94"/>
      <c r="K534" s="95">
        <v>-120</v>
      </c>
      <c r="L534" s="94"/>
      <c r="M534" s="95">
        <v>54.62</v>
      </c>
      <c r="N534" s="95">
        <v>0.05</v>
      </c>
      <c r="O534" s="95">
        <v>0</v>
      </c>
      <c r="P534" s="95">
        <v>81.8</v>
      </c>
      <c r="Q534" s="95">
        <v>0.12</v>
      </c>
      <c r="R534" s="95">
        <v>3.63</v>
      </c>
      <c r="S534" s="94"/>
      <c r="T534" s="95">
        <v>-69.930000000000007</v>
      </c>
      <c r="U534" s="95">
        <v>0</v>
      </c>
      <c r="V534" s="94"/>
      <c r="W534" s="94"/>
      <c r="X534" s="95">
        <v>-49.76</v>
      </c>
      <c r="Y534" s="94"/>
      <c r="Z534" s="94"/>
      <c r="AA534" s="94"/>
      <c r="AB534" s="94"/>
      <c r="AC534" s="94"/>
      <c r="AD534" s="94"/>
      <c r="AE534" s="94"/>
      <c r="AF534" s="94"/>
      <c r="AG534" s="95">
        <v>-11.83</v>
      </c>
      <c r="AH534" s="94"/>
      <c r="AI534" s="95">
        <v>-61.54</v>
      </c>
      <c r="AJ534" s="95">
        <v>0</v>
      </c>
    </row>
    <row r="535" spans="1:36" customFormat="1" ht="15.75" thickBot="1" x14ac:dyDescent="0.3">
      <c r="A535" s="90" t="s">
        <v>1046</v>
      </c>
      <c r="B535" s="626" t="str">
        <f>VLOOKUP($D535,'Retail Rates'!$B$7:$D$38,2,FALSE)</f>
        <v>851</v>
      </c>
      <c r="C535" s="626" t="str">
        <f>VLOOKUP($D535,'Retail Rates'!$B$7:$D$38,3,FALSE)</f>
        <v>CGS</v>
      </c>
      <c r="D535" s="90" t="s">
        <v>26</v>
      </c>
      <c r="E535" s="90" t="s">
        <v>875</v>
      </c>
      <c r="F535" s="90" t="s">
        <v>17</v>
      </c>
      <c r="G535" s="90" t="s">
        <v>915</v>
      </c>
      <c r="H535" s="304">
        <v>15</v>
      </c>
      <c r="I535" s="93">
        <v>418</v>
      </c>
      <c r="J535" s="92"/>
      <c r="K535" s="93">
        <v>-120</v>
      </c>
      <c r="L535" s="92"/>
      <c r="M535" s="93">
        <v>89.89</v>
      </c>
      <c r="N535" s="93">
        <v>3.35</v>
      </c>
      <c r="O535" s="93">
        <v>0</v>
      </c>
      <c r="P535" s="93">
        <v>135.16999999999999</v>
      </c>
      <c r="Q535" s="93">
        <v>0.22</v>
      </c>
      <c r="R535" s="93">
        <v>73.180000000000007</v>
      </c>
      <c r="S535" s="92"/>
      <c r="T535" s="93">
        <v>-77.61</v>
      </c>
      <c r="U535" s="93">
        <v>0</v>
      </c>
      <c r="V535" s="92"/>
      <c r="W535" s="92"/>
      <c r="X535" s="93">
        <v>100.85</v>
      </c>
      <c r="Y535" s="92"/>
      <c r="Z535" s="92"/>
      <c r="AA535" s="92"/>
      <c r="AB535" s="92"/>
      <c r="AC535" s="92"/>
      <c r="AD535" s="92"/>
      <c r="AE535" s="92"/>
      <c r="AF535" s="92"/>
      <c r="AG535" s="93">
        <v>-1.37</v>
      </c>
      <c r="AH535" s="92"/>
      <c r="AI535" s="93">
        <v>102.83</v>
      </c>
      <c r="AJ535" s="93">
        <v>0</v>
      </c>
    </row>
    <row r="536" spans="1:36" customFormat="1" ht="15.75" thickBot="1" x14ac:dyDescent="0.3">
      <c r="A536" s="90" t="s">
        <v>1046</v>
      </c>
      <c r="B536" s="626" t="str">
        <f>VLOOKUP($D536,'Retail Rates'!$B$7:$D$38,2,FALSE)</f>
        <v>851</v>
      </c>
      <c r="C536" s="626" t="str">
        <f>VLOOKUP($D536,'Retail Rates'!$B$7:$D$38,3,FALSE)</f>
        <v>CGS</v>
      </c>
      <c r="D536" s="90" t="s">
        <v>26</v>
      </c>
      <c r="E536" s="90" t="s">
        <v>875</v>
      </c>
      <c r="F536" s="90" t="s">
        <v>17</v>
      </c>
      <c r="G536" s="90" t="s">
        <v>917</v>
      </c>
      <c r="H536" s="305">
        <v>18</v>
      </c>
      <c r="I536" s="95">
        <v>-1575</v>
      </c>
      <c r="J536" s="95">
        <v>-89</v>
      </c>
      <c r="K536" s="95">
        <v>-200</v>
      </c>
      <c r="L536" s="94"/>
      <c r="M536" s="95">
        <v>-353.38</v>
      </c>
      <c r="N536" s="95">
        <v>0</v>
      </c>
      <c r="O536" s="95">
        <v>0</v>
      </c>
      <c r="P536" s="95">
        <v>-538.19000000000005</v>
      </c>
      <c r="Q536" s="95">
        <v>-0.97</v>
      </c>
      <c r="R536" s="95">
        <v>-81.900000000000006</v>
      </c>
      <c r="S536" s="94"/>
      <c r="T536" s="95">
        <v>-129.4</v>
      </c>
      <c r="U536" s="95">
        <v>0</v>
      </c>
      <c r="V536" s="94"/>
      <c r="W536" s="94"/>
      <c r="X536" s="95">
        <v>-1303.8399999999999</v>
      </c>
      <c r="Y536" s="94"/>
      <c r="Z536" s="94"/>
      <c r="AA536" s="94"/>
      <c r="AB536" s="94"/>
      <c r="AC536" s="94"/>
      <c r="AD536" s="94"/>
      <c r="AE536" s="94"/>
      <c r="AF536" s="94"/>
      <c r="AG536" s="95">
        <v>-84.52</v>
      </c>
      <c r="AH536" s="94"/>
      <c r="AI536" s="95">
        <v>-1388.36</v>
      </c>
      <c r="AJ536" s="95">
        <v>0</v>
      </c>
    </row>
    <row r="537" spans="1:36" customFormat="1" ht="15.75" thickBot="1" x14ac:dyDescent="0.3">
      <c r="A537" s="90" t="s">
        <v>1046</v>
      </c>
      <c r="B537" s="626" t="str">
        <f>VLOOKUP($D537,'Retail Rates'!$B$7:$D$38,2,FALSE)</f>
        <v>851</v>
      </c>
      <c r="C537" s="626" t="str">
        <f>VLOOKUP($D537,'Retail Rates'!$B$7:$D$38,3,FALSE)</f>
        <v>CGS</v>
      </c>
      <c r="D537" s="90" t="s">
        <v>26</v>
      </c>
      <c r="E537" s="90" t="s">
        <v>875</v>
      </c>
      <c r="F537" s="90" t="s">
        <v>17</v>
      </c>
      <c r="G537" s="90" t="s">
        <v>918</v>
      </c>
      <c r="H537" s="304">
        <v>24</v>
      </c>
      <c r="I537" s="93">
        <v>-1794</v>
      </c>
      <c r="J537" s="93">
        <v>-780</v>
      </c>
      <c r="K537" s="93">
        <v>-202.67</v>
      </c>
      <c r="L537" s="93">
        <v>0</v>
      </c>
      <c r="M537" s="93">
        <v>-514.49</v>
      </c>
      <c r="N537" s="93">
        <v>0</v>
      </c>
      <c r="O537" s="93">
        <v>0</v>
      </c>
      <c r="P537" s="93">
        <v>-859.91</v>
      </c>
      <c r="Q537" s="93">
        <v>-1.45</v>
      </c>
      <c r="R537" s="92"/>
      <c r="S537" s="92"/>
      <c r="T537" s="93">
        <v>-135.86000000000001</v>
      </c>
      <c r="U537" s="93">
        <v>0</v>
      </c>
      <c r="V537" s="92"/>
      <c r="W537" s="92"/>
      <c r="X537" s="93">
        <v>-1714.38</v>
      </c>
      <c r="Y537" s="92"/>
      <c r="Z537" s="92"/>
      <c r="AA537" s="92"/>
      <c r="AB537" s="92"/>
      <c r="AC537" s="92"/>
      <c r="AD537" s="92"/>
      <c r="AE537" s="92"/>
      <c r="AF537" s="92"/>
      <c r="AG537" s="93">
        <v>-121.45</v>
      </c>
      <c r="AH537" s="92"/>
      <c r="AI537" s="93">
        <v>-1835.83</v>
      </c>
      <c r="AJ537" s="93">
        <v>0</v>
      </c>
    </row>
    <row r="538" spans="1:36" customFormat="1" ht="15.75" thickBot="1" x14ac:dyDescent="0.3">
      <c r="A538" s="90" t="s">
        <v>1046</v>
      </c>
      <c r="B538" s="626" t="str">
        <f>VLOOKUP($D538,'Retail Rates'!$B$7:$D$38,2,FALSE)</f>
        <v>851</v>
      </c>
      <c r="C538" s="626" t="str">
        <f>VLOOKUP($D538,'Retail Rates'!$B$7:$D$38,3,FALSE)</f>
        <v>CGS</v>
      </c>
      <c r="D538" s="90" t="s">
        <v>26</v>
      </c>
      <c r="E538" s="90" t="s">
        <v>875</v>
      </c>
      <c r="F538" s="90" t="s">
        <v>17</v>
      </c>
      <c r="G538" s="90" t="s">
        <v>1000</v>
      </c>
      <c r="H538" s="305">
        <v>35</v>
      </c>
      <c r="I538" s="95">
        <v>-933</v>
      </c>
      <c r="J538" s="95">
        <v>593</v>
      </c>
      <c r="K538" s="95">
        <v>-285.33</v>
      </c>
      <c r="L538" s="95">
        <v>180</v>
      </c>
      <c r="M538" s="95">
        <v>-102.76</v>
      </c>
      <c r="N538" s="95">
        <v>0</v>
      </c>
      <c r="O538" s="95">
        <v>0</v>
      </c>
      <c r="P538" s="95">
        <v>-119.44</v>
      </c>
      <c r="Q538" s="95">
        <v>-0.22</v>
      </c>
      <c r="R538" s="94"/>
      <c r="S538" s="94"/>
      <c r="T538" s="95">
        <v>-168.12</v>
      </c>
      <c r="U538" s="95">
        <v>0</v>
      </c>
      <c r="V538" s="94"/>
      <c r="W538" s="94"/>
      <c r="X538" s="95">
        <v>-495.87</v>
      </c>
      <c r="Y538" s="94"/>
      <c r="Z538" s="94"/>
      <c r="AA538" s="94"/>
      <c r="AB538" s="94"/>
      <c r="AC538" s="94"/>
      <c r="AD538" s="94"/>
      <c r="AE538" s="94"/>
      <c r="AF538" s="94"/>
      <c r="AG538" s="95">
        <v>-38.99</v>
      </c>
      <c r="AH538" s="94"/>
      <c r="AI538" s="95">
        <v>-534.86</v>
      </c>
      <c r="AJ538" s="95">
        <v>0</v>
      </c>
    </row>
    <row r="539" spans="1:36" customFormat="1" ht="15.75" thickBot="1" x14ac:dyDescent="0.3">
      <c r="A539" s="90" t="s">
        <v>1046</v>
      </c>
      <c r="B539" s="626" t="str">
        <f>VLOOKUP($D539,'Retail Rates'!$B$7:$D$38,2,FALSE)</f>
        <v>851</v>
      </c>
      <c r="C539" s="626" t="str">
        <f>VLOOKUP($D539,'Retail Rates'!$B$7:$D$38,3,FALSE)</f>
        <v>CGS</v>
      </c>
      <c r="D539" s="90" t="s">
        <v>26</v>
      </c>
      <c r="E539" s="90" t="s">
        <v>875</v>
      </c>
      <c r="F539" s="90" t="s">
        <v>17</v>
      </c>
      <c r="G539" s="90" t="s">
        <v>1019</v>
      </c>
      <c r="H539" s="304">
        <v>634</v>
      </c>
      <c r="I539" s="93">
        <v>24375</v>
      </c>
      <c r="J539" s="93">
        <v>8113</v>
      </c>
      <c r="K539" s="93">
        <v>20018</v>
      </c>
      <c r="L539" s="93">
        <v>3804</v>
      </c>
      <c r="M539" s="93">
        <v>6580.94</v>
      </c>
      <c r="N539" s="93">
        <v>-0.1</v>
      </c>
      <c r="O539" s="93">
        <v>0</v>
      </c>
      <c r="P539" s="93">
        <v>11428.04</v>
      </c>
      <c r="Q539" s="93">
        <v>18.309999999999999</v>
      </c>
      <c r="R539" s="92"/>
      <c r="S539" s="92"/>
      <c r="T539" s="93">
        <v>14296.62</v>
      </c>
      <c r="U539" s="93">
        <v>0</v>
      </c>
      <c r="V539" s="92"/>
      <c r="W539" s="92"/>
      <c r="X539" s="93">
        <v>56145.91</v>
      </c>
      <c r="Y539" s="92"/>
      <c r="Z539" s="92"/>
      <c r="AA539" s="92"/>
      <c r="AB539" s="92"/>
      <c r="AC539" s="92"/>
      <c r="AD539" s="92"/>
      <c r="AE539" s="92"/>
      <c r="AF539" s="92"/>
      <c r="AG539" s="93">
        <v>2832.42</v>
      </c>
      <c r="AH539" s="92"/>
      <c r="AI539" s="93">
        <v>58978.23</v>
      </c>
      <c r="AJ539" s="93">
        <v>0</v>
      </c>
    </row>
    <row r="540" spans="1:36" customFormat="1" ht="15.75" thickBot="1" x14ac:dyDescent="0.3">
      <c r="A540" s="90" t="s">
        <v>1046</v>
      </c>
      <c r="B540" s="626" t="str">
        <f>VLOOKUP($D540,'Retail Rates'!$B$7:$D$38,2,FALSE)</f>
        <v>851</v>
      </c>
      <c r="C540" s="626" t="str">
        <f>VLOOKUP($D540,'Retail Rates'!$B$7:$D$38,3,FALSE)</f>
        <v>CGS</v>
      </c>
      <c r="D540" s="90" t="s">
        <v>26</v>
      </c>
      <c r="E540" s="90" t="s">
        <v>875</v>
      </c>
      <c r="F540" s="90" t="s">
        <v>17</v>
      </c>
      <c r="G540" s="90" t="s">
        <v>1055</v>
      </c>
      <c r="H540" s="305">
        <v>23214</v>
      </c>
      <c r="I540" s="95">
        <v>1673902</v>
      </c>
      <c r="J540" s="95">
        <v>705932</v>
      </c>
      <c r="K540" s="95">
        <v>893114.74</v>
      </c>
      <c r="L540" s="95">
        <v>150582</v>
      </c>
      <c r="M540" s="95">
        <v>476482.31</v>
      </c>
      <c r="N540" s="95">
        <v>1098.53</v>
      </c>
      <c r="O540" s="95">
        <v>0</v>
      </c>
      <c r="P540" s="95">
        <v>876084.96</v>
      </c>
      <c r="Q540" s="95">
        <v>1351.31</v>
      </c>
      <c r="R540" s="94"/>
      <c r="S540" s="94"/>
      <c r="T540" s="95">
        <v>634937.09</v>
      </c>
      <c r="U540" s="95">
        <v>0</v>
      </c>
      <c r="V540" s="94"/>
      <c r="W540" s="94"/>
      <c r="X540" s="95">
        <v>3032552.41</v>
      </c>
      <c r="Y540" s="94"/>
      <c r="Z540" s="94"/>
      <c r="AA540" s="94"/>
      <c r="AB540" s="94"/>
      <c r="AC540" s="94"/>
      <c r="AD540" s="94"/>
      <c r="AE540" s="94"/>
      <c r="AF540" s="94"/>
      <c r="AG540" s="95">
        <v>175480.03</v>
      </c>
      <c r="AH540" s="94"/>
      <c r="AI540" s="95">
        <v>3209130.97</v>
      </c>
      <c r="AJ540" s="95">
        <v>0</v>
      </c>
    </row>
    <row r="541" spans="1:36" customFormat="1" ht="15.75" thickBot="1" x14ac:dyDescent="0.3">
      <c r="A541" s="90" t="s">
        <v>1046</v>
      </c>
      <c r="B541" s="626" t="str">
        <f>VLOOKUP($D541,'Retail Rates'!$B$7:$D$38,2,FALSE)</f>
        <v>851</v>
      </c>
      <c r="C541" s="626" t="str">
        <f>VLOOKUP($D541,'Retail Rates'!$B$7:$D$38,3,FALSE)</f>
        <v>CGS</v>
      </c>
      <c r="D541" s="90" t="s">
        <v>26</v>
      </c>
      <c r="E541" s="90" t="s">
        <v>875</v>
      </c>
      <c r="F541" s="90" t="s">
        <v>20</v>
      </c>
      <c r="G541" s="90" t="s">
        <v>914</v>
      </c>
      <c r="H541" s="305">
        <v>1</v>
      </c>
      <c r="I541" s="95">
        <v>1959</v>
      </c>
      <c r="J541" s="94"/>
      <c r="K541" s="95">
        <v>40</v>
      </c>
      <c r="L541" s="94"/>
      <c r="M541" s="95">
        <v>421.26</v>
      </c>
      <c r="N541" s="95">
        <v>23.18</v>
      </c>
      <c r="O541" s="95">
        <v>0</v>
      </c>
      <c r="P541" s="95">
        <v>638.9</v>
      </c>
      <c r="Q541" s="95">
        <v>1.06</v>
      </c>
      <c r="R541" s="95">
        <v>32.08</v>
      </c>
      <c r="S541" s="94"/>
      <c r="T541" s="95">
        <v>25.56</v>
      </c>
      <c r="U541" s="95">
        <v>0</v>
      </c>
      <c r="V541" s="94"/>
      <c r="W541" s="94"/>
      <c r="X541" s="95">
        <v>1158.8599999999999</v>
      </c>
      <c r="Y541" s="94"/>
      <c r="Z541" s="94"/>
      <c r="AA541" s="94"/>
      <c r="AB541" s="94"/>
      <c r="AC541" s="94"/>
      <c r="AD541" s="94"/>
      <c r="AE541" s="94"/>
      <c r="AF541" s="94"/>
      <c r="AG541" s="95">
        <v>0</v>
      </c>
      <c r="AH541" s="94"/>
      <c r="AI541" s="95">
        <v>1182.04</v>
      </c>
      <c r="AJ541" s="95">
        <v>0</v>
      </c>
    </row>
    <row r="542" spans="1:36" customFormat="1" ht="15.75" thickBot="1" x14ac:dyDescent="0.3">
      <c r="A542" s="90" t="s">
        <v>1046</v>
      </c>
      <c r="B542" s="626" t="str">
        <f>VLOOKUP($D542,'Retail Rates'!$B$7:$D$38,2,FALSE)</f>
        <v>851</v>
      </c>
      <c r="C542" s="626" t="str">
        <f>VLOOKUP($D542,'Retail Rates'!$B$7:$D$38,3,FALSE)</f>
        <v>CGS</v>
      </c>
      <c r="D542" s="90" t="s">
        <v>26</v>
      </c>
      <c r="E542" s="90" t="s">
        <v>875</v>
      </c>
      <c r="F542" s="90" t="s">
        <v>20</v>
      </c>
      <c r="G542" s="90" t="s">
        <v>915</v>
      </c>
      <c r="H542" s="304">
        <v>3</v>
      </c>
      <c r="I542" s="93">
        <v>512</v>
      </c>
      <c r="J542" s="92"/>
      <c r="K542" s="93">
        <v>40</v>
      </c>
      <c r="L542" s="93">
        <v>180</v>
      </c>
      <c r="M542" s="93">
        <v>110.1</v>
      </c>
      <c r="N542" s="93">
        <v>12.02</v>
      </c>
      <c r="O542" s="93">
        <v>0</v>
      </c>
      <c r="P542" s="93">
        <v>165.59</v>
      </c>
      <c r="Q542" s="93">
        <v>0.27</v>
      </c>
      <c r="R542" s="93">
        <v>53.36</v>
      </c>
      <c r="S542" s="92"/>
      <c r="T542" s="93">
        <v>51.74</v>
      </c>
      <c r="U542" s="93">
        <v>0</v>
      </c>
      <c r="V542" s="92"/>
      <c r="W542" s="92"/>
      <c r="X542" s="93">
        <v>601.05999999999995</v>
      </c>
      <c r="Y542" s="92"/>
      <c r="Z542" s="92"/>
      <c r="AA542" s="92"/>
      <c r="AB542" s="92"/>
      <c r="AC542" s="92"/>
      <c r="AD542" s="92"/>
      <c r="AE542" s="92"/>
      <c r="AF542" s="92"/>
      <c r="AG542" s="93">
        <v>0</v>
      </c>
      <c r="AH542" s="92"/>
      <c r="AI542" s="93">
        <v>613.08000000000004</v>
      </c>
      <c r="AJ542" s="93">
        <v>0</v>
      </c>
    </row>
    <row r="543" spans="1:36" customFormat="1" ht="15.75" thickBot="1" x14ac:dyDescent="0.3">
      <c r="A543" s="90" t="s">
        <v>1046</v>
      </c>
      <c r="B543" s="626" t="str">
        <f>VLOOKUP($D543,'Retail Rates'!$B$7:$D$38,2,FALSE)</f>
        <v>851</v>
      </c>
      <c r="C543" s="626" t="str">
        <f>VLOOKUP($D543,'Retail Rates'!$B$7:$D$38,3,FALSE)</f>
        <v>CGS</v>
      </c>
      <c r="D543" s="90" t="s">
        <v>26</v>
      </c>
      <c r="E543" s="90" t="s">
        <v>875</v>
      </c>
      <c r="F543" s="90" t="s">
        <v>20</v>
      </c>
      <c r="G543" s="90" t="s">
        <v>917</v>
      </c>
      <c r="H543" s="305">
        <v>3</v>
      </c>
      <c r="I543" s="95">
        <v>652</v>
      </c>
      <c r="J543" s="95">
        <v>562</v>
      </c>
      <c r="K543" s="95">
        <v>40</v>
      </c>
      <c r="L543" s="95">
        <v>180</v>
      </c>
      <c r="M543" s="95">
        <v>232.96</v>
      </c>
      <c r="N543" s="95">
        <v>0</v>
      </c>
      <c r="O543" s="95">
        <v>0</v>
      </c>
      <c r="P543" s="95">
        <v>392.65</v>
      </c>
      <c r="Q543" s="95">
        <v>0.69</v>
      </c>
      <c r="R543" s="95">
        <v>48.6</v>
      </c>
      <c r="S543" s="94"/>
      <c r="T543" s="95">
        <v>51.74</v>
      </c>
      <c r="U543" s="95">
        <v>0</v>
      </c>
      <c r="V543" s="94"/>
      <c r="W543" s="94"/>
      <c r="X543" s="95">
        <v>946.64</v>
      </c>
      <c r="Y543" s="94"/>
      <c r="Z543" s="94"/>
      <c r="AA543" s="94"/>
      <c r="AB543" s="94"/>
      <c r="AC543" s="94"/>
      <c r="AD543" s="94"/>
      <c r="AE543" s="94"/>
      <c r="AF543" s="94"/>
      <c r="AG543" s="95">
        <v>0</v>
      </c>
      <c r="AH543" s="94"/>
      <c r="AI543" s="95">
        <v>946.64</v>
      </c>
      <c r="AJ543" s="95">
        <v>0</v>
      </c>
    </row>
    <row r="544" spans="1:36" customFormat="1" ht="15.75" thickBot="1" x14ac:dyDescent="0.3">
      <c r="A544" s="90" t="s">
        <v>1046</v>
      </c>
      <c r="B544" s="626" t="str">
        <f>VLOOKUP($D544,'Retail Rates'!$B$7:$D$38,2,FALSE)</f>
        <v>851</v>
      </c>
      <c r="C544" s="626" t="str">
        <f>VLOOKUP($D544,'Retail Rates'!$B$7:$D$38,3,FALSE)</f>
        <v>CGS</v>
      </c>
      <c r="D544" s="90" t="s">
        <v>26</v>
      </c>
      <c r="E544" s="90" t="s">
        <v>875</v>
      </c>
      <c r="F544" s="90" t="s">
        <v>20</v>
      </c>
      <c r="G544" s="90" t="s">
        <v>918</v>
      </c>
      <c r="H544" s="304">
        <v>4</v>
      </c>
      <c r="I544" s="93">
        <v>690</v>
      </c>
      <c r="J544" s="93">
        <v>396</v>
      </c>
      <c r="K544" s="93">
        <v>40</v>
      </c>
      <c r="L544" s="93">
        <v>180</v>
      </c>
      <c r="M544" s="93">
        <v>213.73</v>
      </c>
      <c r="N544" s="93">
        <v>0</v>
      </c>
      <c r="O544" s="93">
        <v>0</v>
      </c>
      <c r="P544" s="93">
        <v>377.2</v>
      </c>
      <c r="Q544" s="93">
        <v>0.63</v>
      </c>
      <c r="R544" s="92"/>
      <c r="S544" s="92"/>
      <c r="T544" s="93">
        <v>54.24</v>
      </c>
      <c r="U544" s="93">
        <v>0</v>
      </c>
      <c r="V544" s="92"/>
      <c r="W544" s="92"/>
      <c r="X544" s="93">
        <v>865.8</v>
      </c>
      <c r="Y544" s="92"/>
      <c r="Z544" s="92"/>
      <c r="AA544" s="92"/>
      <c r="AB544" s="92"/>
      <c r="AC544" s="92"/>
      <c r="AD544" s="92"/>
      <c r="AE544" s="92"/>
      <c r="AF544" s="92"/>
      <c r="AG544" s="93">
        <v>0</v>
      </c>
      <c r="AH544" s="92"/>
      <c r="AI544" s="93">
        <v>865.8</v>
      </c>
      <c r="AJ544" s="93">
        <v>0</v>
      </c>
    </row>
    <row r="545" spans="1:36" customFormat="1" ht="15.75" thickBot="1" x14ac:dyDescent="0.3">
      <c r="A545" s="90" t="s">
        <v>1046</v>
      </c>
      <c r="B545" s="626" t="str">
        <f>VLOOKUP($D545,'Retail Rates'!$B$7:$D$38,2,FALSE)</f>
        <v>851</v>
      </c>
      <c r="C545" s="626" t="str">
        <f>VLOOKUP($D545,'Retail Rates'!$B$7:$D$38,3,FALSE)</f>
        <v>CGS</v>
      </c>
      <c r="D545" s="90" t="s">
        <v>26</v>
      </c>
      <c r="E545" s="90" t="s">
        <v>875</v>
      </c>
      <c r="F545" s="90" t="s">
        <v>20</v>
      </c>
      <c r="G545" s="90" t="s">
        <v>1000</v>
      </c>
      <c r="H545" s="305">
        <v>6</v>
      </c>
      <c r="I545" s="95">
        <v>-193</v>
      </c>
      <c r="J545" s="94"/>
      <c r="K545" s="95">
        <v>80</v>
      </c>
      <c r="L545" s="95">
        <v>180</v>
      </c>
      <c r="M545" s="95">
        <v>-41.51</v>
      </c>
      <c r="N545" s="95">
        <v>0</v>
      </c>
      <c r="O545" s="95">
        <v>0</v>
      </c>
      <c r="P545" s="95">
        <v>-67.81</v>
      </c>
      <c r="Q545" s="95">
        <v>-0.11</v>
      </c>
      <c r="R545" s="94"/>
      <c r="S545" s="94"/>
      <c r="T545" s="95">
        <v>82.23</v>
      </c>
      <c r="U545" s="95">
        <v>0</v>
      </c>
      <c r="V545" s="94"/>
      <c r="W545" s="94"/>
      <c r="X545" s="95">
        <v>232.8</v>
      </c>
      <c r="Y545" s="94"/>
      <c r="Z545" s="94"/>
      <c r="AA545" s="94"/>
      <c r="AB545" s="94"/>
      <c r="AC545" s="94"/>
      <c r="AD545" s="94"/>
      <c r="AE545" s="94"/>
      <c r="AF545" s="94"/>
      <c r="AG545" s="95">
        <v>0</v>
      </c>
      <c r="AH545" s="94"/>
      <c r="AI545" s="95">
        <v>232.8</v>
      </c>
      <c r="AJ545" s="95">
        <v>0</v>
      </c>
    </row>
    <row r="546" spans="1:36" customFormat="1" ht="15.75" thickBot="1" x14ac:dyDescent="0.3">
      <c r="A546" s="90" t="s">
        <v>1046</v>
      </c>
      <c r="B546" s="626" t="str">
        <f>VLOOKUP($D546,'Retail Rates'!$B$7:$D$38,2,FALSE)</f>
        <v>851</v>
      </c>
      <c r="C546" s="626" t="str">
        <f>VLOOKUP($D546,'Retail Rates'!$B$7:$D$38,3,FALSE)</f>
        <v>CGS</v>
      </c>
      <c r="D546" s="90" t="s">
        <v>26</v>
      </c>
      <c r="E546" s="90" t="s">
        <v>875</v>
      </c>
      <c r="F546" s="90" t="s">
        <v>20</v>
      </c>
      <c r="G546" s="90" t="s">
        <v>1019</v>
      </c>
      <c r="H546" s="304">
        <v>88</v>
      </c>
      <c r="I546" s="93">
        <v>8928</v>
      </c>
      <c r="J546" s="93">
        <v>7483</v>
      </c>
      <c r="K546" s="93">
        <v>2360</v>
      </c>
      <c r="L546" s="93">
        <v>4296</v>
      </c>
      <c r="M546" s="93">
        <v>3154.94</v>
      </c>
      <c r="N546" s="93">
        <v>2.41</v>
      </c>
      <c r="O546" s="93">
        <v>0</v>
      </c>
      <c r="P546" s="93">
        <v>5766.66</v>
      </c>
      <c r="Q546" s="93">
        <v>9.34</v>
      </c>
      <c r="R546" s="92"/>
      <c r="S546" s="92"/>
      <c r="T546" s="93">
        <v>2271.38</v>
      </c>
      <c r="U546" s="93">
        <v>0</v>
      </c>
      <c r="V546" s="92"/>
      <c r="W546" s="92"/>
      <c r="X546" s="93">
        <v>17858.32</v>
      </c>
      <c r="Y546" s="92"/>
      <c r="Z546" s="92"/>
      <c r="AA546" s="92"/>
      <c r="AB546" s="92"/>
      <c r="AC546" s="92"/>
      <c r="AD546" s="92"/>
      <c r="AE546" s="92"/>
      <c r="AF546" s="92"/>
      <c r="AG546" s="93">
        <v>58.86</v>
      </c>
      <c r="AH546" s="92"/>
      <c r="AI546" s="93">
        <v>17919.59</v>
      </c>
      <c r="AJ546" s="93">
        <v>0</v>
      </c>
    </row>
    <row r="547" spans="1:36" customFormat="1" ht="15.75" thickBot="1" x14ac:dyDescent="0.3">
      <c r="A547" s="90" t="s">
        <v>1046</v>
      </c>
      <c r="B547" s="626" t="str">
        <f>VLOOKUP($D547,'Retail Rates'!$B$7:$D$38,2,FALSE)</f>
        <v>851</v>
      </c>
      <c r="C547" s="626" t="str">
        <f>VLOOKUP($D547,'Retail Rates'!$B$7:$D$38,3,FALSE)</f>
        <v>CGS</v>
      </c>
      <c r="D547" s="90" t="s">
        <v>26</v>
      </c>
      <c r="E547" s="90" t="s">
        <v>875</v>
      </c>
      <c r="F547" s="90" t="s">
        <v>20</v>
      </c>
      <c r="G547" s="90" t="s">
        <v>1055</v>
      </c>
      <c r="H547" s="305">
        <v>1063</v>
      </c>
      <c r="I547" s="95">
        <v>118004</v>
      </c>
      <c r="J547" s="95">
        <v>110807</v>
      </c>
      <c r="K547" s="95">
        <v>32448</v>
      </c>
      <c r="L547" s="95">
        <v>45180</v>
      </c>
      <c r="M547" s="95">
        <v>43663.91</v>
      </c>
      <c r="N547" s="95">
        <v>84.72</v>
      </c>
      <c r="O547" s="95">
        <v>0</v>
      </c>
      <c r="P547" s="95">
        <v>84312.16</v>
      </c>
      <c r="Q547" s="95">
        <v>130.06</v>
      </c>
      <c r="R547" s="94"/>
      <c r="S547" s="94"/>
      <c r="T547" s="95">
        <v>29114.9</v>
      </c>
      <c r="U547" s="95">
        <v>0</v>
      </c>
      <c r="V547" s="94"/>
      <c r="W547" s="94"/>
      <c r="X547" s="95">
        <v>234849.03</v>
      </c>
      <c r="Y547" s="94"/>
      <c r="Z547" s="94"/>
      <c r="AA547" s="94"/>
      <c r="AB547" s="94"/>
      <c r="AC547" s="94"/>
      <c r="AD547" s="94"/>
      <c r="AE547" s="94"/>
      <c r="AF547" s="94"/>
      <c r="AG547" s="95">
        <v>1604.79</v>
      </c>
      <c r="AH547" s="94"/>
      <c r="AI547" s="95">
        <v>236538.54</v>
      </c>
      <c r="AJ547" s="95">
        <v>0</v>
      </c>
    </row>
    <row r="548" spans="1:36" customFormat="1" ht="15.75" thickBot="1" x14ac:dyDescent="0.3">
      <c r="A548" s="90" t="s">
        <v>1046</v>
      </c>
      <c r="B548" s="626" t="str">
        <f>VLOOKUP($D548,'Retail Rates'!$B$7:$D$38,2,FALSE)</f>
        <v>851</v>
      </c>
      <c r="C548" s="626" t="str">
        <f>VLOOKUP($D548,'Retail Rates'!$B$7:$D$38,3,FALSE)</f>
        <v>CGS</v>
      </c>
      <c r="D548" s="90" t="s">
        <v>26</v>
      </c>
      <c r="E548" s="90" t="s">
        <v>875</v>
      </c>
      <c r="F548" s="90" t="s">
        <v>28</v>
      </c>
      <c r="G548" s="90" t="s">
        <v>1055</v>
      </c>
      <c r="H548" s="305">
        <v>12</v>
      </c>
      <c r="I548" s="95">
        <v>1185</v>
      </c>
      <c r="J548" s="94"/>
      <c r="K548" s="95">
        <v>480</v>
      </c>
      <c r="L548" s="94"/>
      <c r="M548" s="95">
        <v>254.83</v>
      </c>
      <c r="N548" s="95">
        <v>0</v>
      </c>
      <c r="O548" s="95">
        <v>0</v>
      </c>
      <c r="P548" s="95">
        <v>432.01</v>
      </c>
      <c r="Q548" s="95">
        <v>0.67</v>
      </c>
      <c r="R548" s="94"/>
      <c r="S548" s="94"/>
      <c r="T548" s="95">
        <v>328.92</v>
      </c>
      <c r="U548" s="95">
        <v>0</v>
      </c>
      <c r="V548" s="94"/>
      <c r="W548" s="94"/>
      <c r="X548" s="95">
        <v>1496.43</v>
      </c>
      <c r="Y548" s="94"/>
      <c r="Z548" s="94"/>
      <c r="AA548" s="94"/>
      <c r="AB548" s="94"/>
      <c r="AC548" s="94"/>
      <c r="AD548" s="94"/>
      <c r="AE548" s="94"/>
      <c r="AF548" s="94"/>
      <c r="AG548" s="95">
        <v>7.9</v>
      </c>
      <c r="AH548" s="94"/>
      <c r="AI548" s="95">
        <v>1504.33</v>
      </c>
      <c r="AJ548" s="95">
        <v>0</v>
      </c>
    </row>
    <row r="549" spans="1:36" customFormat="1" ht="15.75" thickBot="1" x14ac:dyDescent="0.3">
      <c r="A549" s="90" t="s">
        <v>1046</v>
      </c>
      <c r="B549" s="626" t="str">
        <f>VLOOKUP($D549,'Retail Rates'!$B$7:$D$38,2,FALSE)</f>
        <v>851</v>
      </c>
      <c r="C549" s="626" t="str">
        <f>VLOOKUP($D549,'Retail Rates'!$B$7:$D$38,3,FALSE)</f>
        <v>CGS</v>
      </c>
      <c r="D549" s="90" t="s">
        <v>707</v>
      </c>
      <c r="E549" s="90" t="s">
        <v>876</v>
      </c>
      <c r="F549" s="90" t="s">
        <v>17</v>
      </c>
      <c r="G549" s="90" t="s">
        <v>1055</v>
      </c>
      <c r="H549" s="305">
        <v>1</v>
      </c>
      <c r="I549" s="95">
        <v>276</v>
      </c>
      <c r="J549" s="94"/>
      <c r="K549" s="95">
        <v>40</v>
      </c>
      <c r="L549" s="94"/>
      <c r="M549" s="95">
        <v>59.35</v>
      </c>
      <c r="N549" s="95">
        <v>0</v>
      </c>
      <c r="O549" s="95">
        <v>0</v>
      </c>
      <c r="P549" s="95">
        <v>104.37</v>
      </c>
      <c r="Q549" s="95">
        <v>0.16</v>
      </c>
      <c r="R549" s="94"/>
      <c r="S549" s="94"/>
      <c r="T549" s="95">
        <v>27.41</v>
      </c>
      <c r="U549" s="94"/>
      <c r="V549" s="94"/>
      <c r="W549" s="94"/>
      <c r="X549" s="95">
        <v>231.29</v>
      </c>
      <c r="Y549" s="94"/>
      <c r="Z549" s="94"/>
      <c r="AA549" s="94"/>
      <c r="AB549" s="94"/>
      <c r="AC549" s="94"/>
      <c r="AD549" s="94"/>
      <c r="AE549" s="94"/>
      <c r="AF549" s="94"/>
      <c r="AG549" s="95">
        <v>13.88</v>
      </c>
      <c r="AH549" s="94"/>
      <c r="AI549" s="95">
        <v>245.17</v>
      </c>
      <c r="AJ549" s="95">
        <v>0</v>
      </c>
    </row>
    <row r="550" spans="1:36" customFormat="1" ht="15.75" thickBot="1" x14ac:dyDescent="0.3">
      <c r="A550" s="90" t="s">
        <v>1046</v>
      </c>
      <c r="B550" s="626" t="str">
        <f>VLOOKUP($D550,'Retail Rates'!$B$7:$D$38,2,FALSE)</f>
        <v>865</v>
      </c>
      <c r="C550" s="626" t="str">
        <f>VLOOKUP($D550,'Retail Rates'!$B$7:$D$38,3,FALSE)</f>
        <v>AAGS-C</v>
      </c>
      <c r="D550" s="90" t="s">
        <v>18</v>
      </c>
      <c r="E550" s="90" t="s">
        <v>453</v>
      </c>
      <c r="F550" s="90" t="s">
        <v>17</v>
      </c>
      <c r="G550" s="90" t="s">
        <v>1055</v>
      </c>
      <c r="H550" s="304">
        <v>1</v>
      </c>
      <c r="I550" s="93">
        <v>10402</v>
      </c>
      <c r="J550" s="92"/>
      <c r="K550" s="93">
        <v>400</v>
      </c>
      <c r="L550" s="92"/>
      <c r="M550" s="93">
        <v>729.08</v>
      </c>
      <c r="N550" s="93">
        <v>0</v>
      </c>
      <c r="O550" s="93">
        <v>0</v>
      </c>
      <c r="P550" s="93">
        <v>3765.6</v>
      </c>
      <c r="Q550" s="93">
        <v>5.93</v>
      </c>
      <c r="R550" s="92"/>
      <c r="S550" s="92"/>
      <c r="T550" s="93">
        <v>2838.87</v>
      </c>
      <c r="U550" s="93">
        <v>0</v>
      </c>
      <c r="V550" s="92"/>
      <c r="W550" s="92"/>
      <c r="X550" s="93">
        <v>7739.48</v>
      </c>
      <c r="Y550" s="92"/>
      <c r="Z550" s="92"/>
      <c r="AA550" s="92"/>
      <c r="AB550" s="92"/>
      <c r="AC550" s="92"/>
      <c r="AD550" s="92"/>
      <c r="AE550" s="92"/>
      <c r="AF550" s="92"/>
      <c r="AG550" s="93">
        <v>464.37</v>
      </c>
      <c r="AH550" s="92"/>
      <c r="AI550" s="93">
        <v>8203.85</v>
      </c>
      <c r="AJ550" s="93">
        <v>0</v>
      </c>
    </row>
    <row r="551" spans="1:36" customFormat="1" ht="15.75" thickBot="1" x14ac:dyDescent="0.3">
      <c r="A551" s="90" t="s">
        <v>1046</v>
      </c>
      <c r="B551" s="626" t="str">
        <f>VLOOKUP($D551,'Retail Rates'!$B$7:$D$38,2,FALSE)</f>
        <v>865</v>
      </c>
      <c r="C551" s="626" t="str">
        <f>VLOOKUP($D551,'Retail Rates'!$B$7:$D$38,3,FALSE)</f>
        <v>AAGS-C</v>
      </c>
      <c r="D551" s="90" t="s">
        <v>18</v>
      </c>
      <c r="E551" s="90" t="s">
        <v>453</v>
      </c>
      <c r="F551" s="90" t="s">
        <v>20</v>
      </c>
      <c r="G551" s="90" t="s">
        <v>1055</v>
      </c>
      <c r="H551" s="305">
        <v>1</v>
      </c>
      <c r="I551" s="95">
        <v>14828</v>
      </c>
      <c r="J551" s="94"/>
      <c r="K551" s="95">
        <v>400</v>
      </c>
      <c r="L551" s="94"/>
      <c r="M551" s="95">
        <v>1039.29</v>
      </c>
      <c r="N551" s="95">
        <v>0</v>
      </c>
      <c r="O551" s="95">
        <v>0</v>
      </c>
      <c r="P551" s="95">
        <v>5572.73</v>
      </c>
      <c r="Q551" s="95">
        <v>8.4499999999999993</v>
      </c>
      <c r="R551" s="94"/>
      <c r="S551" s="94"/>
      <c r="T551" s="95">
        <v>2838.87</v>
      </c>
      <c r="U551" s="95">
        <v>0</v>
      </c>
      <c r="V551" s="94"/>
      <c r="W551" s="94"/>
      <c r="X551" s="95">
        <v>9859.34</v>
      </c>
      <c r="Y551" s="94"/>
      <c r="Z551" s="94"/>
      <c r="AA551" s="94"/>
      <c r="AB551" s="94"/>
      <c r="AC551" s="94"/>
      <c r="AD551" s="94"/>
      <c r="AE551" s="94"/>
      <c r="AF551" s="94"/>
      <c r="AG551" s="95">
        <v>0</v>
      </c>
      <c r="AH551" s="94"/>
      <c r="AI551" s="95">
        <v>9859.34</v>
      </c>
      <c r="AJ551" s="95">
        <v>0</v>
      </c>
    </row>
    <row r="552" spans="1:36" customFormat="1" ht="15.75" thickBot="1" x14ac:dyDescent="0.3">
      <c r="A552" s="90" t="s">
        <v>1046</v>
      </c>
      <c r="B552" s="626" t="str">
        <f>VLOOKUP($D552,'Retail Rates'!$B$7:$D$38,2,FALSE)</f>
        <v>875</v>
      </c>
      <c r="C552" s="626" t="str">
        <f>VLOOKUP($D552,'Retail Rates'!$B$7:$D$38,3,FALSE)</f>
        <v>DGGS-C</v>
      </c>
      <c r="D552" s="90" t="s">
        <v>68</v>
      </c>
      <c r="E552" s="90" t="s">
        <v>877</v>
      </c>
      <c r="F552" s="90" t="s">
        <v>17</v>
      </c>
      <c r="G552" s="90" t="s">
        <v>1055</v>
      </c>
      <c r="H552" s="305">
        <v>1</v>
      </c>
      <c r="I552" s="95">
        <v>7</v>
      </c>
      <c r="J552" s="94"/>
      <c r="K552" s="95">
        <v>40</v>
      </c>
      <c r="L552" s="94"/>
      <c r="M552" s="95">
        <v>0.23</v>
      </c>
      <c r="N552" s="95">
        <v>0</v>
      </c>
      <c r="O552" s="95">
        <v>0</v>
      </c>
      <c r="P552" s="95">
        <v>2.61</v>
      </c>
      <c r="Q552" s="94"/>
      <c r="R552" s="94"/>
      <c r="S552" s="94"/>
      <c r="T552" s="95">
        <v>0</v>
      </c>
      <c r="U552" s="94"/>
      <c r="V552" s="94"/>
      <c r="W552" s="95">
        <v>544</v>
      </c>
      <c r="X552" s="95">
        <v>586.84</v>
      </c>
      <c r="Y552" s="94"/>
      <c r="Z552" s="94"/>
      <c r="AA552" s="94"/>
      <c r="AB552" s="94"/>
      <c r="AC552" s="94"/>
      <c r="AD552" s="94"/>
      <c r="AE552" s="94"/>
      <c r="AF552" s="94"/>
      <c r="AG552" s="95">
        <v>35.21</v>
      </c>
      <c r="AH552" s="94"/>
      <c r="AI552" s="95">
        <v>622.04999999999995</v>
      </c>
      <c r="AJ552" s="95">
        <v>0</v>
      </c>
    </row>
    <row r="553" spans="1:36" customFormat="1" ht="15.75" thickBot="1" x14ac:dyDescent="0.3">
      <c r="A553" s="90" t="s">
        <v>1046</v>
      </c>
      <c r="B553" s="626" t="str">
        <f>VLOOKUP($D553,'Retail Rates'!$B$7:$D$38,2,FALSE)</f>
        <v>895</v>
      </c>
      <c r="C553" s="626" t="str">
        <f>VLOOKUP($D553,'Retail Rates'!$B$7:$D$38,3,FALSE)</f>
        <v>FT-C</v>
      </c>
      <c r="D553" s="90" t="s">
        <v>50</v>
      </c>
      <c r="E553" s="90" t="s">
        <v>881</v>
      </c>
      <c r="F553" s="90" t="s">
        <v>661</v>
      </c>
      <c r="G553" s="90" t="s">
        <v>1019</v>
      </c>
      <c r="H553" s="304">
        <v>8</v>
      </c>
      <c r="I553" s="93">
        <v>333986</v>
      </c>
      <c r="J553" s="92"/>
      <c r="K553" s="92"/>
      <c r="L553" s="92"/>
      <c r="M553" s="92"/>
      <c r="N553" s="93">
        <v>0</v>
      </c>
      <c r="O553" s="93">
        <v>0</v>
      </c>
      <c r="P553" s="92"/>
      <c r="Q553" s="92"/>
      <c r="R553" s="92"/>
      <c r="S553" s="92"/>
      <c r="T553" s="92"/>
      <c r="U553" s="92"/>
      <c r="V553" s="92"/>
      <c r="W553" s="92"/>
      <c r="X553" s="92"/>
      <c r="Y553" s="93">
        <v>0</v>
      </c>
      <c r="Z553" s="92"/>
      <c r="AA553" s="93">
        <v>14558.44</v>
      </c>
      <c r="AB553" s="93">
        <v>0</v>
      </c>
      <c r="AC553" s="92"/>
      <c r="AD553" s="92"/>
      <c r="AE553" s="93">
        <v>4400</v>
      </c>
      <c r="AF553" s="93">
        <v>0</v>
      </c>
      <c r="AG553" s="93">
        <v>358.03</v>
      </c>
      <c r="AH553" s="92"/>
      <c r="AI553" s="93">
        <v>19316.47</v>
      </c>
      <c r="AJ553" s="93">
        <v>0</v>
      </c>
    </row>
    <row r="554" spans="1:36" customFormat="1" ht="15.75" thickBot="1" x14ac:dyDescent="0.3">
      <c r="A554" s="90" t="s">
        <v>1046</v>
      </c>
      <c r="B554" s="626" t="str">
        <f>VLOOKUP($D554,'Retail Rates'!$B$7:$D$38,2,FALSE)</f>
        <v>895</v>
      </c>
      <c r="C554" s="626" t="str">
        <f>VLOOKUP($D554,'Retail Rates'!$B$7:$D$38,3,FALSE)</f>
        <v>FT-C</v>
      </c>
      <c r="D554" s="90" t="s">
        <v>50</v>
      </c>
      <c r="E554" s="90" t="s">
        <v>881</v>
      </c>
      <c r="F554" s="90" t="s">
        <v>662</v>
      </c>
      <c r="G554" s="90" t="s">
        <v>1019</v>
      </c>
      <c r="H554" s="305">
        <v>2</v>
      </c>
      <c r="I554" s="95">
        <v>71915</v>
      </c>
      <c r="J554" s="94"/>
      <c r="K554" s="94"/>
      <c r="L554" s="94"/>
      <c r="M554" s="94"/>
      <c r="N554" s="95">
        <v>0</v>
      </c>
      <c r="O554" s="95">
        <v>0</v>
      </c>
      <c r="P554" s="94"/>
      <c r="Q554" s="94"/>
      <c r="R554" s="94"/>
      <c r="S554" s="94"/>
      <c r="T554" s="94"/>
      <c r="U554" s="94"/>
      <c r="V554" s="94"/>
      <c r="W554" s="94"/>
      <c r="X554" s="94"/>
      <c r="Y554" s="95">
        <v>47.15</v>
      </c>
      <c r="Z554" s="94"/>
      <c r="AA554" s="95">
        <v>3345.52</v>
      </c>
      <c r="AB554" s="95">
        <v>-1648.76</v>
      </c>
      <c r="AC554" s="95">
        <v>61.98</v>
      </c>
      <c r="AD554" s="94"/>
      <c r="AE554" s="95">
        <v>1100</v>
      </c>
      <c r="AF554" s="95">
        <v>100.56</v>
      </c>
      <c r="AG554" s="95">
        <v>28.27</v>
      </c>
      <c r="AH554" s="94"/>
      <c r="AI554" s="95">
        <v>2934.16</v>
      </c>
      <c r="AJ554" s="306">
        <v>-100.56</v>
      </c>
    </row>
    <row r="555" spans="1:36" customFormat="1" ht="15.75" thickBot="1" x14ac:dyDescent="0.3">
      <c r="A555" s="90" t="s">
        <v>1046</v>
      </c>
      <c r="B555" s="626" t="str">
        <f>VLOOKUP($D555,'Retail Rates'!$B$7:$D$38,2,FALSE)</f>
        <v>855</v>
      </c>
      <c r="C555" s="626" t="str">
        <f>VLOOKUP($D555,'Retail Rates'!$B$7:$D$38,3,FALSE)</f>
        <v>IGS Opt Out</v>
      </c>
      <c r="D555" s="90" t="s">
        <v>31</v>
      </c>
      <c r="E555" s="90" t="s">
        <v>880</v>
      </c>
      <c r="F555" s="90" t="s">
        <v>21</v>
      </c>
      <c r="G555" s="90" t="s">
        <v>1047</v>
      </c>
      <c r="H555" s="305">
        <v>1</v>
      </c>
      <c r="I555" s="95">
        <v>-8</v>
      </c>
      <c r="J555" s="94"/>
      <c r="K555" s="95">
        <v>-30</v>
      </c>
      <c r="L555" s="94"/>
      <c r="M555" s="95">
        <v>-1.52</v>
      </c>
      <c r="N555" s="95">
        <v>0</v>
      </c>
      <c r="O555" s="94"/>
      <c r="P555" s="95">
        <v>-4.4800000000000004</v>
      </c>
      <c r="Q555" s="94"/>
      <c r="R555" s="94"/>
      <c r="S555" s="94"/>
      <c r="T555" s="94"/>
      <c r="U555" s="95">
        <v>0</v>
      </c>
      <c r="V555" s="94"/>
      <c r="W555" s="94"/>
      <c r="X555" s="95">
        <v>-36</v>
      </c>
      <c r="Y555" s="94"/>
      <c r="Z555" s="94"/>
      <c r="AA555" s="94"/>
      <c r="AB555" s="94"/>
      <c r="AC555" s="94"/>
      <c r="AD555" s="94"/>
      <c r="AE555" s="94"/>
      <c r="AF555" s="94"/>
      <c r="AG555" s="95">
        <v>-2.16</v>
      </c>
      <c r="AH555" s="94"/>
      <c r="AI555" s="95">
        <v>-38.159999999999997</v>
      </c>
      <c r="AJ555" s="95">
        <v>0</v>
      </c>
    </row>
    <row r="556" spans="1:36" customFormat="1" ht="15.75" thickBot="1" x14ac:dyDescent="0.3">
      <c r="A556" s="90" t="s">
        <v>1046</v>
      </c>
      <c r="B556" s="626" t="str">
        <f>VLOOKUP($D556,'Retail Rates'!$B$7:$D$38,2,FALSE)</f>
        <v>855</v>
      </c>
      <c r="C556" s="626" t="str">
        <f>VLOOKUP($D556,'Retail Rates'!$B$7:$D$38,3,FALSE)</f>
        <v>IGS Opt Out</v>
      </c>
      <c r="D556" s="90" t="s">
        <v>31</v>
      </c>
      <c r="E556" s="90" t="s">
        <v>880</v>
      </c>
      <c r="F556" s="90" t="s">
        <v>21</v>
      </c>
      <c r="G556" s="90" t="s">
        <v>1048</v>
      </c>
      <c r="H556" s="304">
        <v>1</v>
      </c>
      <c r="I556" s="93">
        <v>-38</v>
      </c>
      <c r="J556" s="92"/>
      <c r="K556" s="93">
        <v>-30</v>
      </c>
      <c r="L556" s="92"/>
      <c r="M556" s="93">
        <v>-7.23</v>
      </c>
      <c r="N556" s="93">
        <v>0</v>
      </c>
      <c r="O556" s="92"/>
      <c r="P556" s="93">
        <v>-21.3</v>
      </c>
      <c r="Q556" s="92"/>
      <c r="R556" s="92"/>
      <c r="S556" s="92"/>
      <c r="T556" s="92"/>
      <c r="U556" s="93">
        <v>0</v>
      </c>
      <c r="V556" s="92"/>
      <c r="W556" s="92"/>
      <c r="X556" s="93">
        <v>-58.53</v>
      </c>
      <c r="Y556" s="92"/>
      <c r="Z556" s="92"/>
      <c r="AA556" s="92"/>
      <c r="AB556" s="92"/>
      <c r="AC556" s="92"/>
      <c r="AD556" s="92"/>
      <c r="AE556" s="92"/>
      <c r="AF556" s="92"/>
      <c r="AG556" s="93">
        <v>-3.51</v>
      </c>
      <c r="AH556" s="92"/>
      <c r="AI556" s="93">
        <v>-62.04</v>
      </c>
      <c r="AJ556" s="93">
        <v>0</v>
      </c>
    </row>
    <row r="557" spans="1:36" customFormat="1" ht="15.75" thickBot="1" x14ac:dyDescent="0.3">
      <c r="A557" s="90" t="s">
        <v>1046</v>
      </c>
      <c r="B557" s="626" t="str">
        <f>VLOOKUP($D557,'Retail Rates'!$B$7:$D$38,2,FALSE)</f>
        <v>855</v>
      </c>
      <c r="C557" s="626" t="str">
        <f>VLOOKUP($D557,'Retail Rates'!$B$7:$D$38,3,FALSE)</f>
        <v>IGS Opt Out</v>
      </c>
      <c r="D557" s="90" t="s">
        <v>31</v>
      </c>
      <c r="E557" s="90" t="s">
        <v>880</v>
      </c>
      <c r="F557" s="90" t="s">
        <v>21</v>
      </c>
      <c r="G557" s="90" t="s">
        <v>1049</v>
      </c>
      <c r="H557" s="305">
        <v>1</v>
      </c>
      <c r="I557" s="95">
        <v>-147</v>
      </c>
      <c r="J557" s="94"/>
      <c r="K557" s="95">
        <v>-30</v>
      </c>
      <c r="L557" s="94"/>
      <c r="M557" s="95">
        <v>-27.96</v>
      </c>
      <c r="N557" s="95">
        <v>0</v>
      </c>
      <c r="O557" s="94"/>
      <c r="P557" s="95">
        <v>-77.19</v>
      </c>
      <c r="Q557" s="94"/>
      <c r="R557" s="94"/>
      <c r="S557" s="94"/>
      <c r="T557" s="94"/>
      <c r="U557" s="95">
        <v>0</v>
      </c>
      <c r="V557" s="94"/>
      <c r="W557" s="94"/>
      <c r="X557" s="95">
        <v>-135.15</v>
      </c>
      <c r="Y557" s="94"/>
      <c r="Z557" s="94"/>
      <c r="AA557" s="94"/>
      <c r="AB557" s="94"/>
      <c r="AC557" s="94"/>
      <c r="AD557" s="94"/>
      <c r="AE557" s="94"/>
      <c r="AF557" s="94"/>
      <c r="AG557" s="95">
        <v>-8.11</v>
      </c>
      <c r="AH557" s="94"/>
      <c r="AI557" s="95">
        <v>-143.26</v>
      </c>
      <c r="AJ557" s="95">
        <v>0</v>
      </c>
    </row>
    <row r="558" spans="1:36" customFormat="1" ht="15.75" thickBot="1" x14ac:dyDescent="0.3">
      <c r="A558" s="90" t="s">
        <v>1046</v>
      </c>
      <c r="B558" s="626" t="str">
        <f>VLOOKUP($D558,'Retail Rates'!$B$7:$D$38,2,FALSE)</f>
        <v>855</v>
      </c>
      <c r="C558" s="626" t="str">
        <f>VLOOKUP($D558,'Retail Rates'!$B$7:$D$38,3,FALSE)</f>
        <v>IGS Opt Out</v>
      </c>
      <c r="D558" s="90" t="s">
        <v>31</v>
      </c>
      <c r="E558" s="90" t="s">
        <v>880</v>
      </c>
      <c r="F558" s="90" t="s">
        <v>21</v>
      </c>
      <c r="G558" s="90" t="s">
        <v>1050</v>
      </c>
      <c r="H558" s="304">
        <v>1</v>
      </c>
      <c r="I558" s="93">
        <v>-303</v>
      </c>
      <c r="J558" s="92"/>
      <c r="K558" s="93">
        <v>-30</v>
      </c>
      <c r="L558" s="92"/>
      <c r="M558" s="93">
        <v>-57.64</v>
      </c>
      <c r="N558" s="93">
        <v>0</v>
      </c>
      <c r="O558" s="92"/>
      <c r="P558" s="93">
        <v>-156.35</v>
      </c>
      <c r="Q558" s="92"/>
      <c r="R558" s="92"/>
      <c r="S558" s="92"/>
      <c r="T558" s="92"/>
      <c r="U558" s="93">
        <v>0</v>
      </c>
      <c r="V558" s="92"/>
      <c r="W558" s="92"/>
      <c r="X558" s="93">
        <v>-243.99</v>
      </c>
      <c r="Y558" s="92"/>
      <c r="Z558" s="92"/>
      <c r="AA558" s="92"/>
      <c r="AB558" s="92"/>
      <c r="AC558" s="92"/>
      <c r="AD558" s="92"/>
      <c r="AE558" s="92"/>
      <c r="AF558" s="92"/>
      <c r="AG558" s="93">
        <v>-14.64</v>
      </c>
      <c r="AH558" s="92"/>
      <c r="AI558" s="93">
        <v>-258.63</v>
      </c>
      <c r="AJ558" s="93">
        <v>0</v>
      </c>
    </row>
    <row r="559" spans="1:36" customFormat="1" ht="15.75" thickBot="1" x14ac:dyDescent="0.3">
      <c r="A559" s="90" t="s">
        <v>1046</v>
      </c>
      <c r="B559" s="626" t="str">
        <f>VLOOKUP($D559,'Retail Rates'!$B$7:$D$38,2,FALSE)</f>
        <v>855</v>
      </c>
      <c r="C559" s="626" t="str">
        <f>VLOOKUP($D559,'Retail Rates'!$B$7:$D$38,3,FALSE)</f>
        <v>IGS Opt Out</v>
      </c>
      <c r="D559" s="90" t="s">
        <v>31</v>
      </c>
      <c r="E559" s="90" t="s">
        <v>880</v>
      </c>
      <c r="F559" s="90" t="s">
        <v>21</v>
      </c>
      <c r="G559" s="90" t="s">
        <v>1051</v>
      </c>
      <c r="H559" s="305">
        <v>1</v>
      </c>
      <c r="I559" s="95">
        <v>-479</v>
      </c>
      <c r="J559" s="94"/>
      <c r="K559" s="95">
        <v>-30</v>
      </c>
      <c r="L559" s="94"/>
      <c r="M559" s="95">
        <v>-91.12</v>
      </c>
      <c r="N559" s="95">
        <v>0</v>
      </c>
      <c r="O559" s="94"/>
      <c r="P559" s="95">
        <v>-247.17</v>
      </c>
      <c r="Q559" s="94"/>
      <c r="R559" s="94"/>
      <c r="S559" s="94"/>
      <c r="T559" s="94"/>
      <c r="U559" s="95">
        <v>0</v>
      </c>
      <c r="V559" s="94"/>
      <c r="W559" s="94"/>
      <c r="X559" s="95">
        <v>-368.29</v>
      </c>
      <c r="Y559" s="94"/>
      <c r="Z559" s="94"/>
      <c r="AA559" s="94"/>
      <c r="AB559" s="94"/>
      <c r="AC559" s="94"/>
      <c r="AD559" s="94"/>
      <c r="AE559" s="94"/>
      <c r="AF559" s="94"/>
      <c r="AG559" s="95">
        <v>-22.1</v>
      </c>
      <c r="AH559" s="94"/>
      <c r="AI559" s="95">
        <v>-390.39</v>
      </c>
      <c r="AJ559" s="95">
        <v>0</v>
      </c>
    </row>
    <row r="560" spans="1:36" customFormat="1" ht="15.75" thickBot="1" x14ac:dyDescent="0.3">
      <c r="A560" s="90" t="s">
        <v>1046</v>
      </c>
      <c r="B560" s="626" t="str">
        <f>VLOOKUP($D560,'Retail Rates'!$B$7:$D$38,2,FALSE)</f>
        <v>855</v>
      </c>
      <c r="C560" s="626" t="str">
        <f>VLOOKUP($D560,'Retail Rates'!$B$7:$D$38,3,FALSE)</f>
        <v>IGS Opt Out</v>
      </c>
      <c r="D560" s="90" t="s">
        <v>31</v>
      </c>
      <c r="E560" s="90" t="s">
        <v>880</v>
      </c>
      <c r="F560" s="90" t="s">
        <v>21</v>
      </c>
      <c r="G560" s="90" t="s">
        <v>1052</v>
      </c>
      <c r="H560" s="304">
        <v>1</v>
      </c>
      <c r="I560" s="93">
        <v>-467</v>
      </c>
      <c r="J560" s="92"/>
      <c r="K560" s="93">
        <v>-30</v>
      </c>
      <c r="L560" s="92"/>
      <c r="M560" s="93">
        <v>-88.83</v>
      </c>
      <c r="N560" s="93">
        <v>0</v>
      </c>
      <c r="O560" s="92"/>
      <c r="P560" s="93">
        <v>-225.64</v>
      </c>
      <c r="Q560" s="92"/>
      <c r="R560" s="92"/>
      <c r="S560" s="92"/>
      <c r="T560" s="92"/>
      <c r="U560" s="93">
        <v>0</v>
      </c>
      <c r="V560" s="92"/>
      <c r="W560" s="92"/>
      <c r="X560" s="93">
        <v>-344.47</v>
      </c>
      <c r="Y560" s="92"/>
      <c r="Z560" s="92"/>
      <c r="AA560" s="92"/>
      <c r="AB560" s="92"/>
      <c r="AC560" s="92"/>
      <c r="AD560" s="92"/>
      <c r="AE560" s="92"/>
      <c r="AF560" s="92"/>
      <c r="AG560" s="93">
        <v>-20.67</v>
      </c>
      <c r="AH560" s="92"/>
      <c r="AI560" s="93">
        <v>-365.14</v>
      </c>
      <c r="AJ560" s="93">
        <v>0</v>
      </c>
    </row>
    <row r="561" spans="1:36" customFormat="1" ht="15.75" thickBot="1" x14ac:dyDescent="0.3">
      <c r="A561" s="90" t="s">
        <v>1046</v>
      </c>
      <c r="B561" s="626" t="str">
        <f>VLOOKUP($D561,'Retail Rates'!$B$7:$D$38,2,FALSE)</f>
        <v>855</v>
      </c>
      <c r="C561" s="626" t="str">
        <f>VLOOKUP($D561,'Retail Rates'!$B$7:$D$38,3,FALSE)</f>
        <v>IGS Opt Out</v>
      </c>
      <c r="D561" s="90" t="s">
        <v>31</v>
      </c>
      <c r="E561" s="90" t="s">
        <v>880</v>
      </c>
      <c r="F561" s="90" t="s">
        <v>21</v>
      </c>
      <c r="G561" s="90" t="s">
        <v>1053</v>
      </c>
      <c r="H561" s="305">
        <v>1</v>
      </c>
      <c r="I561" s="95">
        <v>-156</v>
      </c>
      <c r="J561" s="94"/>
      <c r="K561" s="95">
        <v>-30</v>
      </c>
      <c r="L561" s="94"/>
      <c r="M561" s="95">
        <v>-29.67</v>
      </c>
      <c r="N561" s="95">
        <v>0</v>
      </c>
      <c r="O561" s="94"/>
      <c r="P561" s="95">
        <v>-73.98</v>
      </c>
      <c r="Q561" s="94"/>
      <c r="R561" s="94"/>
      <c r="S561" s="94"/>
      <c r="T561" s="94"/>
      <c r="U561" s="95">
        <v>0</v>
      </c>
      <c r="V561" s="94"/>
      <c r="W561" s="94"/>
      <c r="X561" s="95">
        <v>-133.65</v>
      </c>
      <c r="Y561" s="94"/>
      <c r="Z561" s="94"/>
      <c r="AA561" s="94"/>
      <c r="AB561" s="94"/>
      <c r="AC561" s="94"/>
      <c r="AD561" s="94"/>
      <c r="AE561" s="94"/>
      <c r="AF561" s="94"/>
      <c r="AG561" s="95">
        <v>-8.02</v>
      </c>
      <c r="AH561" s="94"/>
      <c r="AI561" s="95">
        <v>-141.66999999999999</v>
      </c>
      <c r="AJ561" s="95">
        <v>0</v>
      </c>
    </row>
    <row r="562" spans="1:36" customFormat="1" ht="15.75" thickBot="1" x14ac:dyDescent="0.3">
      <c r="A562" s="90" t="s">
        <v>1046</v>
      </c>
      <c r="B562" s="626" t="str">
        <f>VLOOKUP($D562,'Retail Rates'!$B$7:$D$38,2,FALSE)</f>
        <v>855</v>
      </c>
      <c r="C562" s="626" t="str">
        <f>VLOOKUP($D562,'Retail Rates'!$B$7:$D$38,3,FALSE)</f>
        <v>IGS Opt Out</v>
      </c>
      <c r="D562" s="90" t="s">
        <v>31</v>
      </c>
      <c r="E562" s="90" t="s">
        <v>880</v>
      </c>
      <c r="F562" s="90" t="s">
        <v>21</v>
      </c>
      <c r="G562" s="90" t="s">
        <v>1054</v>
      </c>
      <c r="H562" s="304">
        <v>1</v>
      </c>
      <c r="I562" s="93">
        <v>-88</v>
      </c>
      <c r="J562" s="92"/>
      <c r="K562" s="93">
        <v>-30</v>
      </c>
      <c r="L562" s="92"/>
      <c r="M562" s="93">
        <v>-16.739999999999998</v>
      </c>
      <c r="N562" s="93">
        <v>0</v>
      </c>
      <c r="O562" s="92"/>
      <c r="P562" s="93">
        <v>-41.73</v>
      </c>
      <c r="Q562" s="92"/>
      <c r="R562" s="92"/>
      <c r="S562" s="92"/>
      <c r="T562" s="92"/>
      <c r="U562" s="93">
        <v>0</v>
      </c>
      <c r="V562" s="92"/>
      <c r="W562" s="92"/>
      <c r="X562" s="93">
        <v>-88.47</v>
      </c>
      <c r="Y562" s="92"/>
      <c r="Z562" s="92"/>
      <c r="AA562" s="92"/>
      <c r="AB562" s="92"/>
      <c r="AC562" s="92"/>
      <c r="AD562" s="92"/>
      <c r="AE562" s="92"/>
      <c r="AF562" s="92"/>
      <c r="AG562" s="93">
        <v>-5.31</v>
      </c>
      <c r="AH562" s="92"/>
      <c r="AI562" s="93">
        <v>-93.78</v>
      </c>
      <c r="AJ562" s="93">
        <v>0</v>
      </c>
    </row>
    <row r="563" spans="1:36" customFormat="1" ht="15.75" thickBot="1" x14ac:dyDescent="0.3">
      <c r="A563" s="90" t="s">
        <v>1046</v>
      </c>
      <c r="B563" s="626" t="str">
        <f>VLOOKUP($D563,'Retail Rates'!$B$7:$D$38,2,FALSE)</f>
        <v>855</v>
      </c>
      <c r="C563" s="626" t="str">
        <f>VLOOKUP($D563,'Retail Rates'!$B$7:$D$38,3,FALSE)</f>
        <v>IGS Opt Out</v>
      </c>
      <c r="D563" s="90" t="s">
        <v>31</v>
      </c>
      <c r="E563" s="90" t="s">
        <v>880</v>
      </c>
      <c r="F563" s="90" t="s">
        <v>21</v>
      </c>
      <c r="G563" s="90" t="s">
        <v>649</v>
      </c>
      <c r="H563" s="305">
        <v>1</v>
      </c>
      <c r="I563" s="95">
        <v>-16</v>
      </c>
      <c r="J563" s="94"/>
      <c r="K563" s="95">
        <v>-30</v>
      </c>
      <c r="L563" s="94"/>
      <c r="M563" s="95">
        <v>-3.04</v>
      </c>
      <c r="N563" s="95">
        <v>0</v>
      </c>
      <c r="O563" s="94"/>
      <c r="P563" s="95">
        <v>-5.84</v>
      </c>
      <c r="Q563" s="94"/>
      <c r="R563" s="94"/>
      <c r="S563" s="94"/>
      <c r="T563" s="94"/>
      <c r="U563" s="95">
        <v>0</v>
      </c>
      <c r="V563" s="94"/>
      <c r="W563" s="94"/>
      <c r="X563" s="95">
        <v>-38.880000000000003</v>
      </c>
      <c r="Y563" s="94"/>
      <c r="Z563" s="94"/>
      <c r="AA563" s="94"/>
      <c r="AB563" s="94"/>
      <c r="AC563" s="94"/>
      <c r="AD563" s="94"/>
      <c r="AE563" s="94"/>
      <c r="AF563" s="94"/>
      <c r="AG563" s="95">
        <v>-2.33</v>
      </c>
      <c r="AH563" s="94"/>
      <c r="AI563" s="95">
        <v>-41.21</v>
      </c>
      <c r="AJ563" s="95">
        <v>0</v>
      </c>
    </row>
    <row r="564" spans="1:36" customFormat="1" ht="15.75" thickBot="1" x14ac:dyDescent="0.3">
      <c r="A564" s="90" t="s">
        <v>1046</v>
      </c>
      <c r="B564" s="626" t="str">
        <f>VLOOKUP($D564,'Retail Rates'!$B$7:$D$38,2,FALSE)</f>
        <v>855</v>
      </c>
      <c r="C564" s="626" t="str">
        <f>VLOOKUP($D564,'Retail Rates'!$B$7:$D$38,3,FALSE)</f>
        <v>IGS Opt Out</v>
      </c>
      <c r="D564" s="90" t="s">
        <v>31</v>
      </c>
      <c r="E564" s="90" t="s">
        <v>880</v>
      </c>
      <c r="F564" s="90" t="s">
        <v>21</v>
      </c>
      <c r="G564" s="90" t="s">
        <v>650</v>
      </c>
      <c r="H564" s="304">
        <v>1</v>
      </c>
      <c r="I564" s="93">
        <v>-11</v>
      </c>
      <c r="J564" s="92"/>
      <c r="K564" s="93">
        <v>-30</v>
      </c>
      <c r="L564" s="92"/>
      <c r="M564" s="93">
        <v>-2.09</v>
      </c>
      <c r="N564" s="93">
        <v>0</v>
      </c>
      <c r="O564" s="92"/>
      <c r="P564" s="93">
        <v>-3.84</v>
      </c>
      <c r="Q564" s="92"/>
      <c r="R564" s="92"/>
      <c r="S564" s="92"/>
      <c r="T564" s="92"/>
      <c r="U564" s="93">
        <v>0</v>
      </c>
      <c r="V564" s="92"/>
      <c r="W564" s="92"/>
      <c r="X564" s="93">
        <v>-35.93</v>
      </c>
      <c r="Y564" s="92"/>
      <c r="Z564" s="92"/>
      <c r="AA564" s="92"/>
      <c r="AB564" s="92"/>
      <c r="AC564" s="92"/>
      <c r="AD564" s="92"/>
      <c r="AE564" s="92"/>
      <c r="AF564" s="92"/>
      <c r="AG564" s="93">
        <v>-2.16</v>
      </c>
      <c r="AH564" s="92"/>
      <c r="AI564" s="93">
        <v>-38.090000000000003</v>
      </c>
      <c r="AJ564" s="93">
        <v>0</v>
      </c>
    </row>
    <row r="565" spans="1:36" customFormat="1" ht="15.75" thickBot="1" x14ac:dyDescent="0.3">
      <c r="A565" s="90" t="s">
        <v>1046</v>
      </c>
      <c r="B565" s="626" t="str">
        <f>VLOOKUP($D565,'Retail Rates'!$B$7:$D$38,2,FALSE)</f>
        <v>855</v>
      </c>
      <c r="C565" s="626" t="str">
        <f>VLOOKUP($D565,'Retail Rates'!$B$7:$D$38,3,FALSE)</f>
        <v>IGS Opt Out</v>
      </c>
      <c r="D565" s="90" t="s">
        <v>31</v>
      </c>
      <c r="E565" s="90" t="s">
        <v>880</v>
      </c>
      <c r="F565" s="90" t="s">
        <v>21</v>
      </c>
      <c r="G565" s="90" t="s">
        <v>651</v>
      </c>
      <c r="H565" s="305">
        <v>1</v>
      </c>
      <c r="I565" s="95">
        <v>-11</v>
      </c>
      <c r="J565" s="94"/>
      <c r="K565" s="95">
        <v>-30</v>
      </c>
      <c r="L565" s="94"/>
      <c r="M565" s="95">
        <v>-2.09</v>
      </c>
      <c r="N565" s="95">
        <v>0</v>
      </c>
      <c r="O565" s="94"/>
      <c r="P565" s="95">
        <v>-3.84</v>
      </c>
      <c r="Q565" s="94"/>
      <c r="R565" s="94"/>
      <c r="S565" s="94"/>
      <c r="T565" s="94"/>
      <c r="U565" s="95">
        <v>0</v>
      </c>
      <c r="V565" s="94"/>
      <c r="W565" s="94"/>
      <c r="X565" s="95">
        <v>-35.93</v>
      </c>
      <c r="Y565" s="94"/>
      <c r="Z565" s="94"/>
      <c r="AA565" s="94"/>
      <c r="AB565" s="94"/>
      <c r="AC565" s="94"/>
      <c r="AD565" s="94"/>
      <c r="AE565" s="94"/>
      <c r="AF565" s="94"/>
      <c r="AG565" s="95">
        <v>-2.16</v>
      </c>
      <c r="AH565" s="94"/>
      <c r="AI565" s="95">
        <v>-38.090000000000003</v>
      </c>
      <c r="AJ565" s="95">
        <v>0</v>
      </c>
    </row>
    <row r="566" spans="1:36" customFormat="1" ht="15.75" thickBot="1" x14ac:dyDescent="0.3">
      <c r="A566" s="90" t="s">
        <v>1046</v>
      </c>
      <c r="B566" s="626" t="str">
        <f>VLOOKUP($D566,'Retail Rates'!$B$7:$D$38,2,FALSE)</f>
        <v>855</v>
      </c>
      <c r="C566" s="626" t="str">
        <f>VLOOKUP($D566,'Retail Rates'!$B$7:$D$38,3,FALSE)</f>
        <v>IGS Opt Out</v>
      </c>
      <c r="D566" s="90" t="s">
        <v>31</v>
      </c>
      <c r="E566" s="90" t="s">
        <v>880</v>
      </c>
      <c r="F566" s="90" t="s">
        <v>21</v>
      </c>
      <c r="G566" s="90" t="s">
        <v>652</v>
      </c>
      <c r="H566" s="304">
        <v>1</v>
      </c>
      <c r="I566" s="93">
        <v>-9</v>
      </c>
      <c r="J566" s="92"/>
      <c r="K566" s="93">
        <v>-30</v>
      </c>
      <c r="L566" s="92"/>
      <c r="M566" s="93">
        <v>-1.71</v>
      </c>
      <c r="N566" s="93">
        <v>0</v>
      </c>
      <c r="O566" s="92"/>
      <c r="P566" s="93">
        <v>-3.52</v>
      </c>
      <c r="Q566" s="92"/>
      <c r="R566" s="92"/>
      <c r="S566" s="92"/>
      <c r="T566" s="92"/>
      <c r="U566" s="93">
        <v>0</v>
      </c>
      <c r="V566" s="92"/>
      <c r="W566" s="92"/>
      <c r="X566" s="93">
        <v>-35.229999999999997</v>
      </c>
      <c r="Y566" s="92"/>
      <c r="Z566" s="92"/>
      <c r="AA566" s="92"/>
      <c r="AB566" s="92"/>
      <c r="AC566" s="92"/>
      <c r="AD566" s="92"/>
      <c r="AE566" s="92"/>
      <c r="AF566" s="92"/>
      <c r="AG566" s="93">
        <v>-2.11</v>
      </c>
      <c r="AH566" s="92"/>
      <c r="AI566" s="93">
        <v>-37.340000000000003</v>
      </c>
      <c r="AJ566" s="93">
        <v>0</v>
      </c>
    </row>
    <row r="567" spans="1:36" customFormat="1" ht="15.75" thickBot="1" x14ac:dyDescent="0.3">
      <c r="A567" s="90" t="s">
        <v>1046</v>
      </c>
      <c r="B567" s="626" t="str">
        <f>VLOOKUP($D567,'Retail Rates'!$B$7:$D$38,2,FALSE)</f>
        <v>855</v>
      </c>
      <c r="C567" s="626" t="str">
        <f>VLOOKUP($D567,'Retail Rates'!$B$7:$D$38,3,FALSE)</f>
        <v>IGS Opt Out</v>
      </c>
      <c r="D567" s="90" t="s">
        <v>31</v>
      </c>
      <c r="E567" s="90" t="s">
        <v>880</v>
      </c>
      <c r="F567" s="90" t="s">
        <v>21</v>
      </c>
      <c r="G567" s="90" t="s">
        <v>653</v>
      </c>
      <c r="H567" s="305">
        <v>1</v>
      </c>
      <c r="I567" s="95">
        <v>-10</v>
      </c>
      <c r="J567" s="94"/>
      <c r="K567" s="95">
        <v>-30</v>
      </c>
      <c r="L567" s="94"/>
      <c r="M567" s="95">
        <v>-1.9</v>
      </c>
      <c r="N567" s="95">
        <v>0</v>
      </c>
      <c r="O567" s="94"/>
      <c r="P567" s="95">
        <v>-3.96</v>
      </c>
      <c r="Q567" s="94"/>
      <c r="R567" s="94"/>
      <c r="S567" s="94"/>
      <c r="T567" s="94"/>
      <c r="U567" s="95">
        <v>0</v>
      </c>
      <c r="V567" s="94"/>
      <c r="W567" s="94"/>
      <c r="X567" s="95">
        <v>-35.86</v>
      </c>
      <c r="Y567" s="94"/>
      <c r="Z567" s="94"/>
      <c r="AA567" s="94"/>
      <c r="AB567" s="94"/>
      <c r="AC567" s="94"/>
      <c r="AD567" s="94"/>
      <c r="AE567" s="94"/>
      <c r="AF567" s="94"/>
      <c r="AG567" s="95">
        <v>-2.15</v>
      </c>
      <c r="AH567" s="94"/>
      <c r="AI567" s="95">
        <v>-38.01</v>
      </c>
      <c r="AJ567" s="95">
        <v>0</v>
      </c>
    </row>
    <row r="568" spans="1:36" customFormat="1" ht="15.75" thickBot="1" x14ac:dyDescent="0.3">
      <c r="A568" s="90" t="s">
        <v>1046</v>
      </c>
      <c r="B568" s="626" t="str">
        <f>VLOOKUP($D568,'Retail Rates'!$B$7:$D$38,2,FALSE)</f>
        <v>855</v>
      </c>
      <c r="C568" s="626" t="str">
        <f>VLOOKUP($D568,'Retail Rates'!$B$7:$D$38,3,FALSE)</f>
        <v>IGS Opt Out</v>
      </c>
      <c r="D568" s="90" t="s">
        <v>31</v>
      </c>
      <c r="E568" s="90" t="s">
        <v>880</v>
      </c>
      <c r="F568" s="90" t="s">
        <v>21</v>
      </c>
      <c r="G568" s="90" t="s">
        <v>654</v>
      </c>
      <c r="H568" s="304">
        <v>1</v>
      </c>
      <c r="I568" s="93">
        <v>-13</v>
      </c>
      <c r="J568" s="92"/>
      <c r="K568" s="93">
        <v>-30</v>
      </c>
      <c r="L568" s="92"/>
      <c r="M568" s="93">
        <v>-2.4700000000000002</v>
      </c>
      <c r="N568" s="93">
        <v>0</v>
      </c>
      <c r="O568" s="92"/>
      <c r="P568" s="93">
        <v>-5.15</v>
      </c>
      <c r="Q568" s="92"/>
      <c r="R568" s="92"/>
      <c r="S568" s="92"/>
      <c r="T568" s="92"/>
      <c r="U568" s="93">
        <v>0</v>
      </c>
      <c r="V568" s="92"/>
      <c r="W568" s="92"/>
      <c r="X568" s="93">
        <v>-37.619999999999997</v>
      </c>
      <c r="Y568" s="92"/>
      <c r="Z568" s="92"/>
      <c r="AA568" s="92"/>
      <c r="AB568" s="92"/>
      <c r="AC568" s="92"/>
      <c r="AD568" s="92"/>
      <c r="AE568" s="92"/>
      <c r="AF568" s="92"/>
      <c r="AG568" s="93">
        <v>-2.2599999999999998</v>
      </c>
      <c r="AH568" s="92"/>
      <c r="AI568" s="93">
        <v>-39.880000000000003</v>
      </c>
      <c r="AJ568" s="93">
        <v>0</v>
      </c>
    </row>
    <row r="569" spans="1:36" customFormat="1" ht="15.75" thickBot="1" x14ac:dyDescent="0.3">
      <c r="A569" s="90" t="s">
        <v>1046</v>
      </c>
      <c r="B569" s="626" t="str">
        <f>VLOOKUP($D569,'Retail Rates'!$B$7:$D$38,2,FALSE)</f>
        <v>855</v>
      </c>
      <c r="C569" s="626" t="str">
        <f>VLOOKUP($D569,'Retail Rates'!$B$7:$D$38,3,FALSE)</f>
        <v>IGS Opt Out</v>
      </c>
      <c r="D569" s="90" t="s">
        <v>31</v>
      </c>
      <c r="E569" s="90" t="s">
        <v>880</v>
      </c>
      <c r="F569" s="90" t="s">
        <v>21</v>
      </c>
      <c r="G569" s="90" t="s">
        <v>655</v>
      </c>
      <c r="H569" s="305">
        <v>1</v>
      </c>
      <c r="I569" s="95">
        <v>-255</v>
      </c>
      <c r="J569" s="94"/>
      <c r="K569" s="95">
        <v>-30</v>
      </c>
      <c r="L569" s="94"/>
      <c r="M569" s="95">
        <v>-48.51</v>
      </c>
      <c r="N569" s="95">
        <v>0</v>
      </c>
      <c r="O569" s="94"/>
      <c r="P569" s="95">
        <v>-106.97</v>
      </c>
      <c r="Q569" s="94"/>
      <c r="R569" s="94"/>
      <c r="S569" s="94"/>
      <c r="T569" s="94"/>
      <c r="U569" s="95">
        <v>0</v>
      </c>
      <c r="V569" s="94"/>
      <c r="W569" s="94"/>
      <c r="X569" s="95">
        <v>-185.48</v>
      </c>
      <c r="Y569" s="94"/>
      <c r="Z569" s="94"/>
      <c r="AA569" s="94"/>
      <c r="AB569" s="94"/>
      <c r="AC569" s="94"/>
      <c r="AD569" s="94"/>
      <c r="AE569" s="94"/>
      <c r="AF569" s="94"/>
      <c r="AG569" s="95">
        <v>-11.13</v>
      </c>
      <c r="AH569" s="94"/>
      <c r="AI569" s="95">
        <v>-196.61</v>
      </c>
      <c r="AJ569" s="95">
        <v>0</v>
      </c>
    </row>
    <row r="570" spans="1:36" customFormat="1" ht="15.75" thickBot="1" x14ac:dyDescent="0.3">
      <c r="A570" s="90" t="s">
        <v>1046</v>
      </c>
      <c r="B570" s="626" t="str">
        <f>VLOOKUP($D570,'Retail Rates'!$B$7:$D$38,2,FALSE)</f>
        <v>855</v>
      </c>
      <c r="C570" s="626" t="str">
        <f>VLOOKUP($D570,'Retail Rates'!$B$7:$D$38,3,FALSE)</f>
        <v>IGS Opt Out</v>
      </c>
      <c r="D570" s="90" t="s">
        <v>31</v>
      </c>
      <c r="E570" s="90" t="s">
        <v>880</v>
      </c>
      <c r="F570" s="90" t="s">
        <v>21</v>
      </c>
      <c r="G570" s="90" t="s">
        <v>656</v>
      </c>
      <c r="H570" s="304">
        <v>1</v>
      </c>
      <c r="I570" s="93">
        <v>-275</v>
      </c>
      <c r="J570" s="92"/>
      <c r="K570" s="93">
        <v>-30</v>
      </c>
      <c r="L570" s="92"/>
      <c r="M570" s="93">
        <v>-52.31</v>
      </c>
      <c r="N570" s="93">
        <v>0</v>
      </c>
      <c r="O570" s="92"/>
      <c r="P570" s="93">
        <v>-116.88</v>
      </c>
      <c r="Q570" s="92"/>
      <c r="R570" s="92"/>
      <c r="S570" s="92"/>
      <c r="T570" s="92"/>
      <c r="U570" s="93">
        <v>0</v>
      </c>
      <c r="V570" s="92"/>
      <c r="W570" s="92"/>
      <c r="X570" s="93">
        <v>-199.19</v>
      </c>
      <c r="Y570" s="92"/>
      <c r="Z570" s="92"/>
      <c r="AA570" s="92"/>
      <c r="AB570" s="92"/>
      <c r="AC570" s="92"/>
      <c r="AD570" s="92"/>
      <c r="AE570" s="92"/>
      <c r="AF570" s="92"/>
      <c r="AG570" s="93">
        <v>-11.95</v>
      </c>
      <c r="AH570" s="92"/>
      <c r="AI570" s="93">
        <v>-211.14</v>
      </c>
      <c r="AJ570" s="93">
        <v>0</v>
      </c>
    </row>
    <row r="571" spans="1:36" customFormat="1" ht="15.75" thickBot="1" x14ac:dyDescent="0.3">
      <c r="A571" s="90" t="s">
        <v>1046</v>
      </c>
      <c r="B571" s="626" t="str">
        <f>VLOOKUP($D571,'Retail Rates'!$B$7:$D$38,2,FALSE)</f>
        <v>855</v>
      </c>
      <c r="C571" s="626" t="str">
        <f>VLOOKUP($D571,'Retail Rates'!$B$7:$D$38,3,FALSE)</f>
        <v>IGS Opt Out</v>
      </c>
      <c r="D571" s="90" t="s">
        <v>31</v>
      </c>
      <c r="E571" s="90" t="s">
        <v>880</v>
      </c>
      <c r="F571" s="90" t="s">
        <v>21</v>
      </c>
      <c r="G571" s="90" t="s">
        <v>657</v>
      </c>
      <c r="H571" s="305">
        <v>1</v>
      </c>
      <c r="I571" s="95">
        <v>-627</v>
      </c>
      <c r="J571" s="94"/>
      <c r="K571" s="95">
        <v>-33.53</v>
      </c>
      <c r="L571" s="94"/>
      <c r="M571" s="95">
        <v>-129.91</v>
      </c>
      <c r="N571" s="95">
        <v>0</v>
      </c>
      <c r="O571" s="94"/>
      <c r="P571" s="95">
        <v>-266.48</v>
      </c>
      <c r="Q571" s="94"/>
      <c r="R571" s="94"/>
      <c r="S571" s="94"/>
      <c r="T571" s="95">
        <v>-63.76</v>
      </c>
      <c r="U571" s="95">
        <v>0</v>
      </c>
      <c r="V571" s="94"/>
      <c r="W571" s="94"/>
      <c r="X571" s="95">
        <v>-493.68</v>
      </c>
      <c r="Y571" s="94"/>
      <c r="Z571" s="94"/>
      <c r="AA571" s="94"/>
      <c r="AB571" s="94"/>
      <c r="AC571" s="94"/>
      <c r="AD571" s="94"/>
      <c r="AE571" s="94"/>
      <c r="AF571" s="94"/>
      <c r="AG571" s="95">
        <v>-29.62</v>
      </c>
      <c r="AH571" s="94"/>
      <c r="AI571" s="95">
        <v>-523.29999999999995</v>
      </c>
      <c r="AJ571" s="95">
        <v>0</v>
      </c>
    </row>
    <row r="572" spans="1:36" customFormat="1" ht="15.75" thickBot="1" x14ac:dyDescent="0.3">
      <c r="A572" s="90" t="s">
        <v>1046</v>
      </c>
      <c r="B572" s="626" t="str">
        <f>VLOOKUP($D572,'Retail Rates'!$B$7:$D$38,2,FALSE)</f>
        <v>855</v>
      </c>
      <c r="C572" s="626" t="str">
        <f>VLOOKUP($D572,'Retail Rates'!$B$7:$D$38,3,FALSE)</f>
        <v>IGS Opt Out</v>
      </c>
      <c r="D572" s="90" t="s">
        <v>31</v>
      </c>
      <c r="E572" s="90" t="s">
        <v>880</v>
      </c>
      <c r="F572" s="90" t="s">
        <v>21</v>
      </c>
      <c r="G572" s="90" t="s">
        <v>658</v>
      </c>
      <c r="H572" s="304">
        <v>1</v>
      </c>
      <c r="I572" s="93">
        <v>-590</v>
      </c>
      <c r="J572" s="92"/>
      <c r="K572" s="93">
        <v>-35</v>
      </c>
      <c r="L572" s="92"/>
      <c r="M572" s="93">
        <v>-126.57</v>
      </c>
      <c r="N572" s="93">
        <v>0</v>
      </c>
      <c r="O572" s="92"/>
      <c r="P572" s="93">
        <v>-253.36</v>
      </c>
      <c r="Q572" s="92"/>
      <c r="R572" s="92"/>
      <c r="S572" s="92"/>
      <c r="T572" s="93">
        <v>-90.32</v>
      </c>
      <c r="U572" s="93">
        <v>0</v>
      </c>
      <c r="V572" s="92"/>
      <c r="W572" s="92"/>
      <c r="X572" s="93">
        <v>-505.25</v>
      </c>
      <c r="Y572" s="92"/>
      <c r="Z572" s="92"/>
      <c r="AA572" s="92"/>
      <c r="AB572" s="92"/>
      <c r="AC572" s="92"/>
      <c r="AD572" s="92"/>
      <c r="AE572" s="92"/>
      <c r="AF572" s="92"/>
      <c r="AG572" s="93">
        <v>-30.32</v>
      </c>
      <c r="AH572" s="92"/>
      <c r="AI572" s="93">
        <v>-535.57000000000005</v>
      </c>
      <c r="AJ572" s="93">
        <v>0</v>
      </c>
    </row>
    <row r="573" spans="1:36" customFormat="1" ht="15.75" thickBot="1" x14ac:dyDescent="0.3">
      <c r="A573" s="90" t="s">
        <v>1046</v>
      </c>
      <c r="B573" s="626" t="str">
        <f>VLOOKUP($D573,'Retail Rates'!$B$7:$D$38,2,FALSE)</f>
        <v>855</v>
      </c>
      <c r="C573" s="626" t="str">
        <f>VLOOKUP($D573,'Retail Rates'!$B$7:$D$38,3,FALSE)</f>
        <v>IGS Opt Out</v>
      </c>
      <c r="D573" s="90" t="s">
        <v>31</v>
      </c>
      <c r="E573" s="90" t="s">
        <v>880</v>
      </c>
      <c r="F573" s="90" t="s">
        <v>21</v>
      </c>
      <c r="G573" s="90" t="s">
        <v>659</v>
      </c>
      <c r="H573" s="305">
        <v>1</v>
      </c>
      <c r="I573" s="95">
        <v>-569</v>
      </c>
      <c r="J573" s="94"/>
      <c r="K573" s="95">
        <v>-35</v>
      </c>
      <c r="L573" s="94"/>
      <c r="M573" s="95">
        <v>-122.06</v>
      </c>
      <c r="N573" s="95">
        <v>0</v>
      </c>
      <c r="O573" s="94"/>
      <c r="P573" s="95">
        <v>-245.06</v>
      </c>
      <c r="Q573" s="94"/>
      <c r="R573" s="94"/>
      <c r="S573" s="94"/>
      <c r="T573" s="95">
        <v>-90.32</v>
      </c>
      <c r="U573" s="95">
        <v>0</v>
      </c>
      <c r="V573" s="94"/>
      <c r="W573" s="94"/>
      <c r="X573" s="95">
        <v>-492.44</v>
      </c>
      <c r="Y573" s="94"/>
      <c r="Z573" s="94"/>
      <c r="AA573" s="94"/>
      <c r="AB573" s="94"/>
      <c r="AC573" s="94"/>
      <c r="AD573" s="94"/>
      <c r="AE573" s="94"/>
      <c r="AF573" s="94"/>
      <c r="AG573" s="95">
        <v>-29.55</v>
      </c>
      <c r="AH573" s="94"/>
      <c r="AI573" s="95">
        <v>-521.99</v>
      </c>
      <c r="AJ573" s="95">
        <v>0</v>
      </c>
    </row>
    <row r="574" spans="1:36" customFormat="1" ht="15.75" thickBot="1" x14ac:dyDescent="0.3">
      <c r="A574" s="90" t="s">
        <v>1046</v>
      </c>
      <c r="B574" s="626" t="str">
        <f>VLOOKUP($D574,'Retail Rates'!$B$7:$D$38,2,FALSE)</f>
        <v>855</v>
      </c>
      <c r="C574" s="626" t="str">
        <f>VLOOKUP($D574,'Retail Rates'!$B$7:$D$38,3,FALSE)</f>
        <v>IGS Opt Out</v>
      </c>
      <c r="D574" s="90" t="s">
        <v>31</v>
      </c>
      <c r="E574" s="90" t="s">
        <v>880</v>
      </c>
      <c r="F574" s="90" t="s">
        <v>21</v>
      </c>
      <c r="G574" s="90" t="s">
        <v>660</v>
      </c>
      <c r="H574" s="304">
        <v>1</v>
      </c>
      <c r="I574" s="93">
        <v>-254</v>
      </c>
      <c r="J574" s="92"/>
      <c r="K574" s="93">
        <v>-35</v>
      </c>
      <c r="L574" s="92"/>
      <c r="M574" s="93">
        <v>-54.49</v>
      </c>
      <c r="N574" s="93">
        <v>0</v>
      </c>
      <c r="O574" s="92"/>
      <c r="P574" s="93">
        <v>-109.4</v>
      </c>
      <c r="Q574" s="92"/>
      <c r="R574" s="92"/>
      <c r="S574" s="92"/>
      <c r="T574" s="93">
        <v>-90.32</v>
      </c>
      <c r="U574" s="93">
        <v>0</v>
      </c>
      <c r="V574" s="92"/>
      <c r="W574" s="92"/>
      <c r="X574" s="93">
        <v>-289.20999999999998</v>
      </c>
      <c r="Y574" s="92"/>
      <c r="Z574" s="92"/>
      <c r="AA574" s="92"/>
      <c r="AB574" s="92"/>
      <c r="AC574" s="92"/>
      <c r="AD574" s="92"/>
      <c r="AE574" s="92"/>
      <c r="AF574" s="92"/>
      <c r="AG574" s="93">
        <v>-17.350000000000001</v>
      </c>
      <c r="AH574" s="92"/>
      <c r="AI574" s="93">
        <v>-306.56</v>
      </c>
      <c r="AJ574" s="93">
        <v>0</v>
      </c>
    </row>
    <row r="575" spans="1:36" customFormat="1" ht="15.75" thickBot="1" x14ac:dyDescent="0.3">
      <c r="A575" s="90" t="s">
        <v>1046</v>
      </c>
      <c r="B575" s="626" t="str">
        <f>VLOOKUP($D575,'Retail Rates'!$B$7:$D$38,2,FALSE)</f>
        <v>855</v>
      </c>
      <c r="C575" s="626" t="str">
        <f>VLOOKUP($D575,'Retail Rates'!$B$7:$D$38,3,FALSE)</f>
        <v>IGS Opt Out</v>
      </c>
      <c r="D575" s="90" t="s">
        <v>31</v>
      </c>
      <c r="E575" s="90" t="s">
        <v>880</v>
      </c>
      <c r="F575" s="90" t="s">
        <v>21</v>
      </c>
      <c r="G575" s="90" t="s">
        <v>665</v>
      </c>
      <c r="H575" s="305">
        <v>1</v>
      </c>
      <c r="I575" s="95">
        <v>-45</v>
      </c>
      <c r="J575" s="94"/>
      <c r="K575" s="95">
        <v>-35</v>
      </c>
      <c r="L575" s="94"/>
      <c r="M575" s="95">
        <v>-9.65</v>
      </c>
      <c r="N575" s="95">
        <v>0</v>
      </c>
      <c r="O575" s="94"/>
      <c r="P575" s="95">
        <v>-22.87</v>
      </c>
      <c r="Q575" s="94"/>
      <c r="R575" s="94"/>
      <c r="S575" s="94"/>
      <c r="T575" s="95">
        <v>-90.32</v>
      </c>
      <c r="U575" s="95">
        <v>0</v>
      </c>
      <c r="V575" s="94"/>
      <c r="W575" s="94"/>
      <c r="X575" s="95">
        <v>-157.84</v>
      </c>
      <c r="Y575" s="94"/>
      <c r="Z575" s="94"/>
      <c r="AA575" s="94"/>
      <c r="AB575" s="94"/>
      <c r="AC575" s="94"/>
      <c r="AD575" s="94"/>
      <c r="AE575" s="94"/>
      <c r="AF575" s="94"/>
      <c r="AG575" s="95">
        <v>-9.4700000000000006</v>
      </c>
      <c r="AH575" s="94"/>
      <c r="AI575" s="95">
        <v>-167.31</v>
      </c>
      <c r="AJ575" s="95">
        <v>0</v>
      </c>
    </row>
    <row r="576" spans="1:36" customFormat="1" ht="15.75" thickBot="1" x14ac:dyDescent="0.3">
      <c r="A576" s="90" t="s">
        <v>1046</v>
      </c>
      <c r="B576" s="626" t="str">
        <f>VLOOKUP($D576,'Retail Rates'!$B$7:$D$38,2,FALSE)</f>
        <v>855</v>
      </c>
      <c r="C576" s="626" t="str">
        <f>VLOOKUP($D576,'Retail Rates'!$B$7:$D$38,3,FALSE)</f>
        <v>IGS Opt Out</v>
      </c>
      <c r="D576" s="90" t="s">
        <v>31</v>
      </c>
      <c r="E576" s="90" t="s">
        <v>880</v>
      </c>
      <c r="F576" s="90" t="s">
        <v>21</v>
      </c>
      <c r="G576" s="90" t="s">
        <v>713</v>
      </c>
      <c r="H576" s="304">
        <v>1</v>
      </c>
      <c r="I576" s="93">
        <v>-20</v>
      </c>
      <c r="J576" s="92"/>
      <c r="K576" s="93">
        <v>-35</v>
      </c>
      <c r="L576" s="92"/>
      <c r="M576" s="93">
        <v>-4.29</v>
      </c>
      <c r="N576" s="93">
        <v>0</v>
      </c>
      <c r="O576" s="92"/>
      <c r="P576" s="93">
        <v>-10.66</v>
      </c>
      <c r="Q576" s="92"/>
      <c r="R576" s="92"/>
      <c r="S576" s="92"/>
      <c r="T576" s="93">
        <v>-90.32</v>
      </c>
      <c r="U576" s="93">
        <v>0</v>
      </c>
      <c r="V576" s="92"/>
      <c r="W576" s="92"/>
      <c r="X576" s="93">
        <v>-140.27000000000001</v>
      </c>
      <c r="Y576" s="92"/>
      <c r="Z576" s="92"/>
      <c r="AA576" s="92"/>
      <c r="AB576" s="92"/>
      <c r="AC576" s="92"/>
      <c r="AD576" s="92"/>
      <c r="AE576" s="92"/>
      <c r="AF576" s="92"/>
      <c r="AG576" s="93">
        <v>-8.42</v>
      </c>
      <c r="AH576" s="92"/>
      <c r="AI576" s="93">
        <v>-148.69</v>
      </c>
      <c r="AJ576" s="93">
        <v>0</v>
      </c>
    </row>
    <row r="577" spans="1:36" customFormat="1" ht="15.75" thickBot="1" x14ac:dyDescent="0.3">
      <c r="A577" s="90" t="s">
        <v>1046</v>
      </c>
      <c r="B577" s="626" t="str">
        <f>VLOOKUP($D577,'Retail Rates'!$B$7:$D$38,2,FALSE)</f>
        <v>855</v>
      </c>
      <c r="C577" s="626" t="str">
        <f>VLOOKUP($D577,'Retail Rates'!$B$7:$D$38,3,FALSE)</f>
        <v>IGS Opt Out</v>
      </c>
      <c r="D577" s="90" t="s">
        <v>31</v>
      </c>
      <c r="E577" s="90" t="s">
        <v>880</v>
      </c>
      <c r="F577" s="90" t="s">
        <v>21</v>
      </c>
      <c r="G577" s="90" t="s">
        <v>714</v>
      </c>
      <c r="H577" s="305">
        <v>1</v>
      </c>
      <c r="I577" s="95">
        <v>-22</v>
      </c>
      <c r="J577" s="94"/>
      <c r="K577" s="95">
        <v>-35</v>
      </c>
      <c r="L577" s="94"/>
      <c r="M577" s="95">
        <v>-4.72</v>
      </c>
      <c r="N577" s="95">
        <v>0</v>
      </c>
      <c r="O577" s="94"/>
      <c r="P577" s="95">
        <v>-11.73</v>
      </c>
      <c r="Q577" s="94"/>
      <c r="R577" s="94"/>
      <c r="S577" s="94"/>
      <c r="T577" s="95">
        <v>-90.32</v>
      </c>
      <c r="U577" s="95">
        <v>0</v>
      </c>
      <c r="V577" s="94"/>
      <c r="W577" s="94"/>
      <c r="X577" s="95">
        <v>-141.77000000000001</v>
      </c>
      <c r="Y577" s="94"/>
      <c r="Z577" s="94"/>
      <c r="AA577" s="94"/>
      <c r="AB577" s="94"/>
      <c r="AC577" s="94"/>
      <c r="AD577" s="94"/>
      <c r="AE577" s="94"/>
      <c r="AF577" s="94"/>
      <c r="AG577" s="95">
        <v>-8.51</v>
      </c>
      <c r="AH577" s="94"/>
      <c r="AI577" s="95">
        <v>-150.28</v>
      </c>
      <c r="AJ577" s="95">
        <v>0</v>
      </c>
    </row>
    <row r="578" spans="1:36" customFormat="1" ht="15.75" thickBot="1" x14ac:dyDescent="0.3">
      <c r="A578" s="90" t="s">
        <v>1046</v>
      </c>
      <c r="B578" s="626" t="str">
        <f>VLOOKUP($D578,'Retail Rates'!$B$7:$D$38,2,FALSE)</f>
        <v>855</v>
      </c>
      <c r="C578" s="626" t="str">
        <f>VLOOKUP($D578,'Retail Rates'!$B$7:$D$38,3,FALSE)</f>
        <v>IGS Opt Out</v>
      </c>
      <c r="D578" s="90" t="s">
        <v>31</v>
      </c>
      <c r="E578" s="90" t="s">
        <v>880</v>
      </c>
      <c r="F578" s="90" t="s">
        <v>21</v>
      </c>
      <c r="G578" s="90" t="s">
        <v>721</v>
      </c>
      <c r="H578" s="304">
        <v>1</v>
      </c>
      <c r="I578" s="93">
        <v>-22</v>
      </c>
      <c r="J578" s="92"/>
      <c r="K578" s="93">
        <v>-35</v>
      </c>
      <c r="L578" s="92"/>
      <c r="M578" s="93">
        <v>-4.72</v>
      </c>
      <c r="N578" s="93">
        <v>0</v>
      </c>
      <c r="O578" s="92"/>
      <c r="P578" s="93">
        <v>-12.03</v>
      </c>
      <c r="Q578" s="92"/>
      <c r="R578" s="92"/>
      <c r="S578" s="92"/>
      <c r="T578" s="93">
        <v>-90.32</v>
      </c>
      <c r="U578" s="93">
        <v>0</v>
      </c>
      <c r="V578" s="92"/>
      <c r="W578" s="92"/>
      <c r="X578" s="93">
        <v>-142.07</v>
      </c>
      <c r="Y578" s="92"/>
      <c r="Z578" s="92"/>
      <c r="AA578" s="92"/>
      <c r="AB578" s="92"/>
      <c r="AC578" s="92"/>
      <c r="AD578" s="92"/>
      <c r="AE578" s="92"/>
      <c r="AF578" s="92"/>
      <c r="AG578" s="93">
        <v>-8.52</v>
      </c>
      <c r="AH578" s="92"/>
      <c r="AI578" s="93">
        <v>-150.59</v>
      </c>
      <c r="AJ578" s="93">
        <v>0</v>
      </c>
    </row>
    <row r="579" spans="1:36" customFormat="1" ht="15.75" thickBot="1" x14ac:dyDescent="0.3">
      <c r="A579" s="90" t="s">
        <v>1046</v>
      </c>
      <c r="B579" s="626" t="str">
        <f>VLOOKUP($D579,'Retail Rates'!$B$7:$D$38,2,FALSE)</f>
        <v>855</v>
      </c>
      <c r="C579" s="626" t="str">
        <f>VLOOKUP($D579,'Retail Rates'!$B$7:$D$38,3,FALSE)</f>
        <v>IGS Opt Out</v>
      </c>
      <c r="D579" s="90" t="s">
        <v>31</v>
      </c>
      <c r="E579" s="90" t="s">
        <v>880</v>
      </c>
      <c r="F579" s="90" t="s">
        <v>21</v>
      </c>
      <c r="G579" s="90" t="s">
        <v>722</v>
      </c>
      <c r="H579" s="305">
        <v>1</v>
      </c>
      <c r="I579" s="95">
        <v>-20</v>
      </c>
      <c r="J579" s="94"/>
      <c r="K579" s="95">
        <v>-35</v>
      </c>
      <c r="L579" s="94"/>
      <c r="M579" s="95">
        <v>-4.29</v>
      </c>
      <c r="N579" s="95">
        <v>0</v>
      </c>
      <c r="O579" s="94"/>
      <c r="P579" s="95">
        <v>-11.03</v>
      </c>
      <c r="Q579" s="94"/>
      <c r="R579" s="94"/>
      <c r="S579" s="94"/>
      <c r="T579" s="95">
        <v>-90.32</v>
      </c>
      <c r="U579" s="95">
        <v>0</v>
      </c>
      <c r="V579" s="94"/>
      <c r="W579" s="94"/>
      <c r="X579" s="95">
        <v>-140.63999999999999</v>
      </c>
      <c r="Y579" s="94"/>
      <c r="Z579" s="94"/>
      <c r="AA579" s="94"/>
      <c r="AB579" s="94"/>
      <c r="AC579" s="94"/>
      <c r="AD579" s="94"/>
      <c r="AE579" s="94"/>
      <c r="AF579" s="94"/>
      <c r="AG579" s="95">
        <v>-8.44</v>
      </c>
      <c r="AH579" s="94"/>
      <c r="AI579" s="95">
        <v>-149.08000000000001</v>
      </c>
      <c r="AJ579" s="95">
        <v>0</v>
      </c>
    </row>
    <row r="580" spans="1:36" customFormat="1" ht="15.75" thickBot="1" x14ac:dyDescent="0.3">
      <c r="A580" s="90" t="s">
        <v>1046</v>
      </c>
      <c r="B580" s="626" t="str">
        <f>VLOOKUP($D580,'Retail Rates'!$B$7:$D$38,2,FALSE)</f>
        <v>855</v>
      </c>
      <c r="C580" s="626" t="str">
        <f>VLOOKUP($D580,'Retail Rates'!$B$7:$D$38,3,FALSE)</f>
        <v>IGS Opt Out</v>
      </c>
      <c r="D580" s="90" t="s">
        <v>31</v>
      </c>
      <c r="E580" s="90" t="s">
        <v>880</v>
      </c>
      <c r="F580" s="90" t="s">
        <v>21</v>
      </c>
      <c r="G580" s="90" t="s">
        <v>723</v>
      </c>
      <c r="H580" s="304">
        <v>1</v>
      </c>
      <c r="I580" s="93">
        <v>-37</v>
      </c>
      <c r="J580" s="92"/>
      <c r="K580" s="93">
        <v>-35</v>
      </c>
      <c r="L580" s="92"/>
      <c r="M580" s="93">
        <v>-7.94</v>
      </c>
      <c r="N580" s="93">
        <v>0</v>
      </c>
      <c r="O580" s="92"/>
      <c r="P580" s="93">
        <v>-20.41</v>
      </c>
      <c r="Q580" s="92"/>
      <c r="R580" s="92"/>
      <c r="S580" s="92"/>
      <c r="T580" s="93">
        <v>-90.32</v>
      </c>
      <c r="U580" s="93">
        <v>0</v>
      </c>
      <c r="V580" s="92"/>
      <c r="W580" s="92"/>
      <c r="X580" s="93">
        <v>-153.66999999999999</v>
      </c>
      <c r="Y580" s="92"/>
      <c r="Z580" s="92"/>
      <c r="AA580" s="92"/>
      <c r="AB580" s="92"/>
      <c r="AC580" s="92"/>
      <c r="AD580" s="92"/>
      <c r="AE580" s="92"/>
      <c r="AF580" s="92"/>
      <c r="AG580" s="93">
        <v>-9.2200000000000006</v>
      </c>
      <c r="AH580" s="92"/>
      <c r="AI580" s="93">
        <v>-162.88999999999999</v>
      </c>
      <c r="AJ580" s="93">
        <v>0</v>
      </c>
    </row>
    <row r="581" spans="1:36" customFormat="1" ht="15.75" thickBot="1" x14ac:dyDescent="0.3">
      <c r="A581" s="90" t="s">
        <v>1046</v>
      </c>
      <c r="B581" s="626" t="str">
        <f>VLOOKUP($D581,'Retail Rates'!$B$7:$D$38,2,FALSE)</f>
        <v>855</v>
      </c>
      <c r="C581" s="626" t="str">
        <f>VLOOKUP($D581,'Retail Rates'!$B$7:$D$38,3,FALSE)</f>
        <v>IGS Opt Out</v>
      </c>
      <c r="D581" s="90" t="s">
        <v>31</v>
      </c>
      <c r="E581" s="90" t="s">
        <v>880</v>
      </c>
      <c r="F581" s="90" t="s">
        <v>21</v>
      </c>
      <c r="G581" s="90" t="s">
        <v>724</v>
      </c>
      <c r="H581" s="305">
        <v>1</v>
      </c>
      <c r="I581" s="95">
        <v>-255</v>
      </c>
      <c r="J581" s="94"/>
      <c r="K581" s="95">
        <v>-35</v>
      </c>
      <c r="L581" s="94"/>
      <c r="M581" s="95">
        <v>-54.7</v>
      </c>
      <c r="N581" s="95">
        <v>0</v>
      </c>
      <c r="O581" s="94"/>
      <c r="P581" s="95">
        <v>-134.51</v>
      </c>
      <c r="Q581" s="94"/>
      <c r="R581" s="94"/>
      <c r="S581" s="94"/>
      <c r="T581" s="95">
        <v>-90.32</v>
      </c>
      <c r="U581" s="95">
        <v>0</v>
      </c>
      <c r="V581" s="94"/>
      <c r="W581" s="94"/>
      <c r="X581" s="95">
        <v>-314.52999999999997</v>
      </c>
      <c r="Y581" s="94"/>
      <c r="Z581" s="94"/>
      <c r="AA581" s="94"/>
      <c r="AB581" s="94"/>
      <c r="AC581" s="94"/>
      <c r="AD581" s="94"/>
      <c r="AE581" s="94"/>
      <c r="AF581" s="94"/>
      <c r="AG581" s="95">
        <v>-18.87</v>
      </c>
      <c r="AH581" s="94"/>
      <c r="AI581" s="95">
        <v>-333.4</v>
      </c>
      <c r="AJ581" s="95">
        <v>0</v>
      </c>
    </row>
    <row r="582" spans="1:36" customFormat="1" ht="15.75" thickBot="1" x14ac:dyDescent="0.3">
      <c r="A582" s="90" t="s">
        <v>1046</v>
      </c>
      <c r="B582" s="626" t="str">
        <f>VLOOKUP($D582,'Retail Rates'!$B$7:$D$38,2,FALSE)</f>
        <v>855</v>
      </c>
      <c r="C582" s="626" t="str">
        <f>VLOOKUP($D582,'Retail Rates'!$B$7:$D$38,3,FALSE)</f>
        <v>IGS Opt Out</v>
      </c>
      <c r="D582" s="90" t="s">
        <v>31</v>
      </c>
      <c r="E582" s="90" t="s">
        <v>880</v>
      </c>
      <c r="F582" s="90" t="s">
        <v>21</v>
      </c>
      <c r="G582" s="90" t="s">
        <v>725</v>
      </c>
      <c r="H582" s="304">
        <v>1</v>
      </c>
      <c r="I582" s="93">
        <v>-537</v>
      </c>
      <c r="J582" s="92"/>
      <c r="K582" s="93">
        <v>-35</v>
      </c>
      <c r="L582" s="92"/>
      <c r="M582" s="93">
        <v>-115.2</v>
      </c>
      <c r="N582" s="93">
        <v>0</v>
      </c>
      <c r="O582" s="92"/>
      <c r="P582" s="93">
        <v>-277.83</v>
      </c>
      <c r="Q582" s="92"/>
      <c r="R582" s="92"/>
      <c r="S582" s="92"/>
      <c r="T582" s="93">
        <v>-90.32</v>
      </c>
      <c r="U582" s="93">
        <v>0</v>
      </c>
      <c r="V582" s="92"/>
      <c r="W582" s="92"/>
      <c r="X582" s="93">
        <v>-518.35</v>
      </c>
      <c r="Y582" s="92"/>
      <c r="Z582" s="92"/>
      <c r="AA582" s="92"/>
      <c r="AB582" s="92"/>
      <c r="AC582" s="92"/>
      <c r="AD582" s="92"/>
      <c r="AE582" s="92"/>
      <c r="AF582" s="92"/>
      <c r="AG582" s="93">
        <v>-31.1</v>
      </c>
      <c r="AH582" s="92"/>
      <c r="AI582" s="93">
        <v>-549.45000000000005</v>
      </c>
      <c r="AJ582" s="93">
        <v>0</v>
      </c>
    </row>
    <row r="583" spans="1:36" customFormat="1" ht="15.75" thickBot="1" x14ac:dyDescent="0.3">
      <c r="A583" s="90" t="s">
        <v>1046</v>
      </c>
      <c r="B583" s="626" t="str">
        <f>VLOOKUP($D583,'Retail Rates'!$B$7:$D$38,2,FALSE)</f>
        <v>855</v>
      </c>
      <c r="C583" s="626" t="str">
        <f>VLOOKUP($D583,'Retail Rates'!$B$7:$D$38,3,FALSE)</f>
        <v>IGS Opt Out</v>
      </c>
      <c r="D583" s="90" t="s">
        <v>31</v>
      </c>
      <c r="E583" s="90" t="s">
        <v>880</v>
      </c>
      <c r="F583" s="90" t="s">
        <v>21</v>
      </c>
      <c r="G583" s="90" t="s">
        <v>758</v>
      </c>
      <c r="H583" s="305">
        <v>1</v>
      </c>
      <c r="I583" s="95">
        <v>-963</v>
      </c>
      <c r="J583" s="94"/>
      <c r="K583" s="95">
        <v>-35</v>
      </c>
      <c r="L583" s="94"/>
      <c r="M583" s="95">
        <v>-206.58</v>
      </c>
      <c r="N583" s="95">
        <v>0</v>
      </c>
      <c r="O583" s="94"/>
      <c r="P583" s="95">
        <v>-498.23</v>
      </c>
      <c r="Q583" s="94"/>
      <c r="R583" s="94"/>
      <c r="S583" s="94"/>
      <c r="T583" s="95">
        <v>-92.64</v>
      </c>
      <c r="U583" s="95">
        <v>0</v>
      </c>
      <c r="V583" s="94"/>
      <c r="W583" s="94"/>
      <c r="X583" s="95">
        <v>-832.45</v>
      </c>
      <c r="Y583" s="94"/>
      <c r="Z583" s="94"/>
      <c r="AA583" s="94"/>
      <c r="AB583" s="94"/>
      <c r="AC583" s="94"/>
      <c r="AD583" s="94"/>
      <c r="AE583" s="94"/>
      <c r="AF583" s="94"/>
      <c r="AG583" s="95">
        <v>-49.95</v>
      </c>
      <c r="AH583" s="94"/>
      <c r="AI583" s="95">
        <v>-882.4</v>
      </c>
      <c r="AJ583" s="95">
        <v>0</v>
      </c>
    </row>
    <row r="584" spans="1:36" customFormat="1" ht="15.75" thickBot="1" x14ac:dyDescent="0.3">
      <c r="A584" s="90" t="s">
        <v>1046</v>
      </c>
      <c r="B584" s="626" t="str">
        <f>VLOOKUP($D584,'Retail Rates'!$B$7:$D$38,2,FALSE)</f>
        <v>855</v>
      </c>
      <c r="C584" s="626" t="str">
        <f>VLOOKUP($D584,'Retail Rates'!$B$7:$D$38,3,FALSE)</f>
        <v>IGS Opt Out</v>
      </c>
      <c r="D584" s="90" t="s">
        <v>31</v>
      </c>
      <c r="E584" s="90" t="s">
        <v>880</v>
      </c>
      <c r="F584" s="90" t="s">
        <v>21</v>
      </c>
      <c r="G584" s="90" t="s">
        <v>759</v>
      </c>
      <c r="H584" s="304">
        <v>1</v>
      </c>
      <c r="I584" s="93">
        <v>-705</v>
      </c>
      <c r="J584" s="92"/>
      <c r="K584" s="93">
        <v>-35</v>
      </c>
      <c r="L584" s="92"/>
      <c r="M584" s="93">
        <v>-151.24</v>
      </c>
      <c r="N584" s="93">
        <v>0</v>
      </c>
      <c r="O584" s="92"/>
      <c r="P584" s="93">
        <v>-365.7</v>
      </c>
      <c r="Q584" s="92"/>
      <c r="R584" s="92"/>
      <c r="S584" s="92"/>
      <c r="T584" s="93">
        <v>-93.2</v>
      </c>
      <c r="U584" s="93">
        <v>0</v>
      </c>
      <c r="V584" s="92"/>
      <c r="W584" s="92"/>
      <c r="X584" s="93">
        <v>-645.14</v>
      </c>
      <c r="Y584" s="92"/>
      <c r="Z584" s="92"/>
      <c r="AA584" s="92"/>
      <c r="AB584" s="92"/>
      <c r="AC584" s="92"/>
      <c r="AD584" s="92"/>
      <c r="AE584" s="92"/>
      <c r="AF584" s="92"/>
      <c r="AG584" s="93">
        <v>-38.71</v>
      </c>
      <c r="AH584" s="92"/>
      <c r="AI584" s="93">
        <v>-683.85</v>
      </c>
      <c r="AJ584" s="93">
        <v>0</v>
      </c>
    </row>
    <row r="585" spans="1:36" customFormat="1" ht="15.75" thickBot="1" x14ac:dyDescent="0.3">
      <c r="A585" s="90" t="s">
        <v>1046</v>
      </c>
      <c r="B585" s="626" t="str">
        <f>VLOOKUP($D585,'Retail Rates'!$B$7:$D$38,2,FALSE)</f>
        <v>855</v>
      </c>
      <c r="C585" s="626" t="str">
        <f>VLOOKUP($D585,'Retail Rates'!$B$7:$D$38,3,FALSE)</f>
        <v>IGS Opt Out</v>
      </c>
      <c r="D585" s="90" t="s">
        <v>31</v>
      </c>
      <c r="E585" s="90" t="s">
        <v>880</v>
      </c>
      <c r="F585" s="90" t="s">
        <v>21</v>
      </c>
      <c r="G585" s="90" t="s">
        <v>760</v>
      </c>
      <c r="H585" s="305">
        <v>1</v>
      </c>
      <c r="I585" s="95">
        <v>-617</v>
      </c>
      <c r="J585" s="94"/>
      <c r="K585" s="95">
        <v>-35</v>
      </c>
      <c r="L585" s="94"/>
      <c r="M585" s="95">
        <v>-132.36000000000001</v>
      </c>
      <c r="N585" s="95">
        <v>0</v>
      </c>
      <c r="O585" s="94"/>
      <c r="P585" s="95">
        <v>-320.17</v>
      </c>
      <c r="Q585" s="94"/>
      <c r="R585" s="94"/>
      <c r="S585" s="94"/>
      <c r="T585" s="95">
        <v>-93.2</v>
      </c>
      <c r="U585" s="95">
        <v>0</v>
      </c>
      <c r="V585" s="94"/>
      <c r="W585" s="94"/>
      <c r="X585" s="95">
        <v>-580.73</v>
      </c>
      <c r="Y585" s="94"/>
      <c r="Z585" s="94"/>
      <c r="AA585" s="94"/>
      <c r="AB585" s="94"/>
      <c r="AC585" s="94"/>
      <c r="AD585" s="94"/>
      <c r="AE585" s="94"/>
      <c r="AF585" s="94"/>
      <c r="AG585" s="95">
        <v>-34.840000000000003</v>
      </c>
      <c r="AH585" s="94"/>
      <c r="AI585" s="95">
        <v>-615.57000000000005</v>
      </c>
      <c r="AJ585" s="95">
        <v>0</v>
      </c>
    </row>
    <row r="586" spans="1:36" customFormat="1" ht="15.75" thickBot="1" x14ac:dyDescent="0.3">
      <c r="A586" s="90" t="s">
        <v>1046</v>
      </c>
      <c r="B586" s="626" t="str">
        <f>VLOOKUP($D586,'Retail Rates'!$B$7:$D$38,2,FALSE)</f>
        <v>855</v>
      </c>
      <c r="C586" s="626" t="str">
        <f>VLOOKUP($D586,'Retail Rates'!$B$7:$D$38,3,FALSE)</f>
        <v>IGS Opt Out</v>
      </c>
      <c r="D586" s="90" t="s">
        <v>31</v>
      </c>
      <c r="E586" s="90" t="s">
        <v>880</v>
      </c>
      <c r="F586" s="90" t="s">
        <v>21</v>
      </c>
      <c r="G586" s="90" t="s">
        <v>768</v>
      </c>
      <c r="H586" s="304">
        <v>1</v>
      </c>
      <c r="I586" s="93">
        <v>-236</v>
      </c>
      <c r="J586" s="92"/>
      <c r="K586" s="93">
        <v>-35</v>
      </c>
      <c r="L586" s="92"/>
      <c r="M586" s="93">
        <v>-50.63</v>
      </c>
      <c r="N586" s="93">
        <v>0</v>
      </c>
      <c r="O586" s="92"/>
      <c r="P586" s="93">
        <v>-122.46</v>
      </c>
      <c r="Q586" s="92"/>
      <c r="R586" s="92"/>
      <c r="S586" s="92"/>
      <c r="T586" s="93">
        <v>-93.2</v>
      </c>
      <c r="U586" s="93">
        <v>0</v>
      </c>
      <c r="V586" s="92"/>
      <c r="W586" s="92"/>
      <c r="X586" s="93">
        <v>-301.29000000000002</v>
      </c>
      <c r="Y586" s="92"/>
      <c r="Z586" s="92"/>
      <c r="AA586" s="92"/>
      <c r="AB586" s="92"/>
      <c r="AC586" s="92"/>
      <c r="AD586" s="92"/>
      <c r="AE586" s="92"/>
      <c r="AF586" s="92"/>
      <c r="AG586" s="93">
        <v>-18.079999999999998</v>
      </c>
      <c r="AH586" s="92"/>
      <c r="AI586" s="93">
        <v>-319.37</v>
      </c>
      <c r="AJ586" s="93">
        <v>0</v>
      </c>
    </row>
    <row r="587" spans="1:36" customFormat="1" ht="15.75" thickBot="1" x14ac:dyDescent="0.3">
      <c r="A587" s="90" t="s">
        <v>1046</v>
      </c>
      <c r="B587" s="626" t="str">
        <f>VLOOKUP($D587,'Retail Rates'!$B$7:$D$38,2,FALSE)</f>
        <v>855</v>
      </c>
      <c r="C587" s="626" t="str">
        <f>VLOOKUP($D587,'Retail Rates'!$B$7:$D$38,3,FALSE)</f>
        <v>IGS Opt Out</v>
      </c>
      <c r="D587" s="90" t="s">
        <v>31</v>
      </c>
      <c r="E587" s="90" t="s">
        <v>880</v>
      </c>
      <c r="F587" s="90" t="s">
        <v>21</v>
      </c>
      <c r="G587" s="90" t="s">
        <v>769</v>
      </c>
      <c r="H587" s="305">
        <v>1</v>
      </c>
      <c r="I587" s="95">
        <v>-34</v>
      </c>
      <c r="J587" s="94"/>
      <c r="K587" s="95">
        <v>-35</v>
      </c>
      <c r="L587" s="94"/>
      <c r="M587" s="95">
        <v>-7.29</v>
      </c>
      <c r="N587" s="95">
        <v>0</v>
      </c>
      <c r="O587" s="94"/>
      <c r="P587" s="95">
        <v>-19.79</v>
      </c>
      <c r="Q587" s="94"/>
      <c r="R587" s="94"/>
      <c r="S587" s="94"/>
      <c r="T587" s="95">
        <v>-49.66</v>
      </c>
      <c r="U587" s="95">
        <v>0</v>
      </c>
      <c r="V587" s="94"/>
      <c r="W587" s="94"/>
      <c r="X587" s="95">
        <v>-111.74</v>
      </c>
      <c r="Y587" s="94"/>
      <c r="Z587" s="94"/>
      <c r="AA587" s="94"/>
      <c r="AB587" s="94"/>
      <c r="AC587" s="94"/>
      <c r="AD587" s="94"/>
      <c r="AE587" s="94"/>
      <c r="AF587" s="94"/>
      <c r="AG587" s="95">
        <v>-6.7</v>
      </c>
      <c r="AH587" s="94"/>
      <c r="AI587" s="95">
        <v>-118.44</v>
      </c>
      <c r="AJ587" s="95">
        <v>0</v>
      </c>
    </row>
    <row r="588" spans="1:36" customFormat="1" ht="15.75" thickBot="1" x14ac:dyDescent="0.3">
      <c r="A588" s="90" t="s">
        <v>1046</v>
      </c>
      <c r="B588" s="626" t="str">
        <f>VLOOKUP($D588,'Retail Rates'!$B$7:$D$38,2,FALSE)</f>
        <v>855</v>
      </c>
      <c r="C588" s="626" t="str">
        <f>VLOOKUP($D588,'Retail Rates'!$B$7:$D$38,3,FALSE)</f>
        <v>IGS Opt Out</v>
      </c>
      <c r="D588" s="90" t="s">
        <v>31</v>
      </c>
      <c r="E588" s="90" t="s">
        <v>880</v>
      </c>
      <c r="F588" s="90" t="s">
        <v>21</v>
      </c>
      <c r="G588" s="90" t="s">
        <v>771</v>
      </c>
      <c r="H588" s="304">
        <v>1</v>
      </c>
      <c r="I588" s="93">
        <v>-31</v>
      </c>
      <c r="J588" s="92"/>
      <c r="K588" s="93">
        <v>-35</v>
      </c>
      <c r="L588" s="92"/>
      <c r="M588" s="93">
        <v>-6.65</v>
      </c>
      <c r="N588" s="93">
        <v>0</v>
      </c>
      <c r="O588" s="92"/>
      <c r="P588" s="93">
        <v>-18.47</v>
      </c>
      <c r="Q588" s="92"/>
      <c r="R588" s="92"/>
      <c r="S588" s="92"/>
      <c r="T588" s="93">
        <v>-42.69</v>
      </c>
      <c r="U588" s="93">
        <v>0</v>
      </c>
      <c r="V588" s="92"/>
      <c r="W588" s="92"/>
      <c r="X588" s="93">
        <v>-102.81</v>
      </c>
      <c r="Y588" s="92"/>
      <c r="Z588" s="92"/>
      <c r="AA588" s="92"/>
      <c r="AB588" s="92"/>
      <c r="AC588" s="92"/>
      <c r="AD588" s="92"/>
      <c r="AE588" s="92"/>
      <c r="AF588" s="92"/>
      <c r="AG588" s="93">
        <v>-6.17</v>
      </c>
      <c r="AH588" s="92"/>
      <c r="AI588" s="93">
        <v>-108.98</v>
      </c>
      <c r="AJ588" s="93">
        <v>0</v>
      </c>
    </row>
    <row r="589" spans="1:36" customFormat="1" ht="15.75" thickBot="1" x14ac:dyDescent="0.3">
      <c r="A589" s="90" t="s">
        <v>1046</v>
      </c>
      <c r="B589" s="626" t="str">
        <f>VLOOKUP($D589,'Retail Rates'!$B$7:$D$38,2,FALSE)</f>
        <v>855</v>
      </c>
      <c r="C589" s="626" t="str">
        <f>VLOOKUP($D589,'Retail Rates'!$B$7:$D$38,3,FALSE)</f>
        <v>IGS Opt Out</v>
      </c>
      <c r="D589" s="90" t="s">
        <v>31</v>
      </c>
      <c r="E589" s="90" t="s">
        <v>880</v>
      </c>
      <c r="F589" s="90" t="s">
        <v>21</v>
      </c>
      <c r="G589" s="90" t="s">
        <v>783</v>
      </c>
      <c r="H589" s="305">
        <v>1</v>
      </c>
      <c r="I589" s="95">
        <v>-30</v>
      </c>
      <c r="J589" s="94"/>
      <c r="K589" s="95">
        <v>-35</v>
      </c>
      <c r="L589" s="94"/>
      <c r="M589" s="95">
        <v>-6.44</v>
      </c>
      <c r="N589" s="95">
        <v>0</v>
      </c>
      <c r="O589" s="94"/>
      <c r="P589" s="95">
        <v>-17.88</v>
      </c>
      <c r="Q589" s="94"/>
      <c r="R589" s="94"/>
      <c r="S589" s="94"/>
      <c r="T589" s="95">
        <v>-42.69</v>
      </c>
      <c r="U589" s="95">
        <v>0</v>
      </c>
      <c r="V589" s="94"/>
      <c r="W589" s="94"/>
      <c r="X589" s="95">
        <v>-102.01</v>
      </c>
      <c r="Y589" s="94"/>
      <c r="Z589" s="94"/>
      <c r="AA589" s="94"/>
      <c r="AB589" s="94"/>
      <c r="AC589" s="94"/>
      <c r="AD589" s="94"/>
      <c r="AE589" s="94"/>
      <c r="AF589" s="94"/>
      <c r="AG589" s="95">
        <v>-6.12</v>
      </c>
      <c r="AH589" s="94"/>
      <c r="AI589" s="95">
        <v>-108.13</v>
      </c>
      <c r="AJ589" s="95">
        <v>0</v>
      </c>
    </row>
    <row r="590" spans="1:36" customFormat="1" ht="15.75" thickBot="1" x14ac:dyDescent="0.3">
      <c r="A590" s="90" t="s">
        <v>1046</v>
      </c>
      <c r="B590" s="626" t="str">
        <f>VLOOKUP($D590,'Retail Rates'!$B$7:$D$38,2,FALSE)</f>
        <v>855</v>
      </c>
      <c r="C590" s="626" t="str">
        <f>VLOOKUP($D590,'Retail Rates'!$B$7:$D$38,3,FALSE)</f>
        <v>IGS Opt Out</v>
      </c>
      <c r="D590" s="90" t="s">
        <v>31</v>
      </c>
      <c r="E590" s="90" t="s">
        <v>880</v>
      </c>
      <c r="F590" s="90" t="s">
        <v>21</v>
      </c>
      <c r="G590" s="90" t="s">
        <v>798</v>
      </c>
      <c r="H590" s="304">
        <v>1</v>
      </c>
      <c r="I590" s="93">
        <v>-30</v>
      </c>
      <c r="J590" s="92"/>
      <c r="K590" s="93">
        <v>-35</v>
      </c>
      <c r="L590" s="92"/>
      <c r="M590" s="93">
        <v>-6.44</v>
      </c>
      <c r="N590" s="93">
        <v>0</v>
      </c>
      <c r="O590" s="92"/>
      <c r="P590" s="93">
        <v>-18.559999999999999</v>
      </c>
      <c r="Q590" s="92"/>
      <c r="R590" s="92"/>
      <c r="S590" s="92"/>
      <c r="T590" s="93">
        <v>-42.69</v>
      </c>
      <c r="U590" s="93">
        <v>0</v>
      </c>
      <c r="V590" s="92"/>
      <c r="W590" s="92"/>
      <c r="X590" s="93">
        <v>-102.69</v>
      </c>
      <c r="Y590" s="92"/>
      <c r="Z590" s="92"/>
      <c r="AA590" s="92"/>
      <c r="AB590" s="92"/>
      <c r="AC590" s="92"/>
      <c r="AD590" s="92"/>
      <c r="AE590" s="92"/>
      <c r="AF590" s="92"/>
      <c r="AG590" s="93">
        <v>-6.16</v>
      </c>
      <c r="AH590" s="92"/>
      <c r="AI590" s="93">
        <v>-108.85</v>
      </c>
      <c r="AJ590" s="93">
        <v>0</v>
      </c>
    </row>
    <row r="591" spans="1:36" customFormat="1" ht="15.75" thickBot="1" x14ac:dyDescent="0.3">
      <c r="A591" s="90" t="s">
        <v>1046</v>
      </c>
      <c r="B591" s="626" t="str">
        <f>VLOOKUP($D591,'Retail Rates'!$B$7:$D$38,2,FALSE)</f>
        <v>855</v>
      </c>
      <c r="C591" s="626" t="str">
        <f>VLOOKUP($D591,'Retail Rates'!$B$7:$D$38,3,FALSE)</f>
        <v>IGS Opt Out</v>
      </c>
      <c r="D591" s="90" t="s">
        <v>31</v>
      </c>
      <c r="E591" s="90" t="s">
        <v>880</v>
      </c>
      <c r="F591" s="90" t="s">
        <v>21</v>
      </c>
      <c r="G591" s="90" t="s">
        <v>897</v>
      </c>
      <c r="H591" s="305">
        <v>1</v>
      </c>
      <c r="I591" s="95">
        <v>-26</v>
      </c>
      <c r="J591" s="94"/>
      <c r="K591" s="95">
        <v>-35</v>
      </c>
      <c r="L591" s="94"/>
      <c r="M591" s="95">
        <v>-5.58</v>
      </c>
      <c r="N591" s="95">
        <v>0</v>
      </c>
      <c r="O591" s="94"/>
      <c r="P591" s="95">
        <v>-16.2</v>
      </c>
      <c r="Q591" s="94"/>
      <c r="R591" s="94"/>
      <c r="S591" s="94"/>
      <c r="T591" s="95">
        <v>-42.69</v>
      </c>
      <c r="U591" s="95">
        <v>0</v>
      </c>
      <c r="V591" s="94"/>
      <c r="W591" s="94"/>
      <c r="X591" s="95">
        <v>-99.47</v>
      </c>
      <c r="Y591" s="94"/>
      <c r="Z591" s="94"/>
      <c r="AA591" s="94"/>
      <c r="AB591" s="94"/>
      <c r="AC591" s="94"/>
      <c r="AD591" s="94"/>
      <c r="AE591" s="94"/>
      <c r="AF591" s="94"/>
      <c r="AG591" s="95">
        <v>-5.97</v>
      </c>
      <c r="AH591" s="94"/>
      <c r="AI591" s="95">
        <v>-105.44</v>
      </c>
      <c r="AJ591" s="95">
        <v>0</v>
      </c>
    </row>
    <row r="592" spans="1:36" customFormat="1" ht="15.75" thickBot="1" x14ac:dyDescent="0.3">
      <c r="A592" s="90" t="s">
        <v>1046</v>
      </c>
      <c r="B592" s="626" t="str">
        <f>VLOOKUP($D592,'Retail Rates'!$B$7:$D$38,2,FALSE)</f>
        <v>855</v>
      </c>
      <c r="C592" s="626" t="str">
        <f>VLOOKUP($D592,'Retail Rates'!$B$7:$D$38,3,FALSE)</f>
        <v>IGS Opt Out</v>
      </c>
      <c r="D592" s="90" t="s">
        <v>31</v>
      </c>
      <c r="E592" s="90" t="s">
        <v>880</v>
      </c>
      <c r="F592" s="90" t="s">
        <v>21</v>
      </c>
      <c r="G592" s="90" t="s">
        <v>898</v>
      </c>
      <c r="H592" s="304">
        <v>1</v>
      </c>
      <c r="I592" s="93">
        <v>-44</v>
      </c>
      <c r="J592" s="92"/>
      <c r="K592" s="93">
        <v>-35</v>
      </c>
      <c r="L592" s="92"/>
      <c r="M592" s="93">
        <v>-9.44</v>
      </c>
      <c r="N592" s="93">
        <v>0</v>
      </c>
      <c r="O592" s="92"/>
      <c r="P592" s="93">
        <v>-27.42</v>
      </c>
      <c r="Q592" s="92"/>
      <c r="R592" s="92"/>
      <c r="S592" s="92"/>
      <c r="T592" s="93">
        <v>-42.69</v>
      </c>
      <c r="U592" s="93">
        <v>0</v>
      </c>
      <c r="V592" s="92"/>
      <c r="W592" s="92"/>
      <c r="X592" s="93">
        <v>-114.55</v>
      </c>
      <c r="Y592" s="92"/>
      <c r="Z592" s="92"/>
      <c r="AA592" s="92"/>
      <c r="AB592" s="92"/>
      <c r="AC592" s="92"/>
      <c r="AD592" s="92"/>
      <c r="AE592" s="92"/>
      <c r="AF592" s="92"/>
      <c r="AG592" s="93">
        <v>-6.87</v>
      </c>
      <c r="AH592" s="92"/>
      <c r="AI592" s="93">
        <v>-121.42</v>
      </c>
      <c r="AJ592" s="93">
        <v>0</v>
      </c>
    </row>
    <row r="593" spans="1:36" customFormat="1" ht="15.75" thickBot="1" x14ac:dyDescent="0.3">
      <c r="A593" s="90" t="s">
        <v>1046</v>
      </c>
      <c r="B593" s="626" t="str">
        <f>VLOOKUP($D593,'Retail Rates'!$B$7:$D$38,2,FALSE)</f>
        <v>855</v>
      </c>
      <c r="C593" s="626" t="str">
        <f>VLOOKUP($D593,'Retail Rates'!$B$7:$D$38,3,FALSE)</f>
        <v>IGS Opt Out</v>
      </c>
      <c r="D593" s="90" t="s">
        <v>31</v>
      </c>
      <c r="E593" s="90" t="s">
        <v>880</v>
      </c>
      <c r="F593" s="90" t="s">
        <v>21</v>
      </c>
      <c r="G593" s="90" t="s">
        <v>899</v>
      </c>
      <c r="H593" s="305">
        <v>1</v>
      </c>
      <c r="I593" s="95">
        <v>-399</v>
      </c>
      <c r="J593" s="94"/>
      <c r="K593" s="95">
        <v>-35</v>
      </c>
      <c r="L593" s="94"/>
      <c r="M593" s="95">
        <v>-85.59</v>
      </c>
      <c r="N593" s="95">
        <v>0</v>
      </c>
      <c r="O593" s="95">
        <v>0</v>
      </c>
      <c r="P593" s="95">
        <v>-228.15</v>
      </c>
      <c r="Q593" s="94"/>
      <c r="R593" s="94"/>
      <c r="S593" s="94"/>
      <c r="T593" s="95">
        <v>-42.69</v>
      </c>
      <c r="U593" s="95">
        <v>0</v>
      </c>
      <c r="V593" s="94"/>
      <c r="W593" s="94"/>
      <c r="X593" s="95">
        <v>-391.43</v>
      </c>
      <c r="Y593" s="94"/>
      <c r="Z593" s="94"/>
      <c r="AA593" s="94"/>
      <c r="AB593" s="94"/>
      <c r="AC593" s="94"/>
      <c r="AD593" s="94"/>
      <c r="AE593" s="94"/>
      <c r="AF593" s="94"/>
      <c r="AG593" s="95">
        <v>-23.49</v>
      </c>
      <c r="AH593" s="94"/>
      <c r="AI593" s="95">
        <v>-414.92</v>
      </c>
      <c r="AJ593" s="95">
        <v>0</v>
      </c>
    </row>
    <row r="594" spans="1:36" customFormat="1" ht="15.75" thickBot="1" x14ac:dyDescent="0.3">
      <c r="A594" s="90" t="s">
        <v>1046</v>
      </c>
      <c r="B594" s="626" t="str">
        <f>VLOOKUP($D594,'Retail Rates'!$B$7:$D$38,2,FALSE)</f>
        <v>855</v>
      </c>
      <c r="C594" s="626" t="str">
        <f>VLOOKUP($D594,'Retail Rates'!$B$7:$D$38,3,FALSE)</f>
        <v>IGS Opt Out</v>
      </c>
      <c r="D594" s="90" t="s">
        <v>31</v>
      </c>
      <c r="E594" s="90" t="s">
        <v>880</v>
      </c>
      <c r="F594" s="90" t="s">
        <v>21</v>
      </c>
      <c r="G594" s="90" t="s">
        <v>900</v>
      </c>
      <c r="H594" s="304">
        <v>1</v>
      </c>
      <c r="I594" s="93">
        <v>-15</v>
      </c>
      <c r="J594" s="92"/>
      <c r="K594" s="93">
        <v>0</v>
      </c>
      <c r="L594" s="92"/>
      <c r="M594" s="93">
        <v>-3.22</v>
      </c>
      <c r="N594" s="93">
        <v>-0.23</v>
      </c>
      <c r="O594" s="93">
        <v>0</v>
      </c>
      <c r="P594" s="93">
        <v>-8.42</v>
      </c>
      <c r="Q594" s="92"/>
      <c r="R594" s="92"/>
      <c r="S594" s="92"/>
      <c r="T594" s="93">
        <v>0</v>
      </c>
      <c r="U594" s="93">
        <v>0</v>
      </c>
      <c r="V594" s="92"/>
      <c r="W594" s="92"/>
      <c r="X594" s="93">
        <v>-11.64</v>
      </c>
      <c r="Y594" s="92"/>
      <c r="Z594" s="92"/>
      <c r="AA594" s="92"/>
      <c r="AB594" s="92"/>
      <c r="AC594" s="92"/>
      <c r="AD594" s="92"/>
      <c r="AE594" s="92"/>
      <c r="AF594" s="92"/>
      <c r="AG594" s="93">
        <v>-0.72</v>
      </c>
      <c r="AH594" s="92"/>
      <c r="AI594" s="93">
        <v>-12.59</v>
      </c>
      <c r="AJ594" s="93">
        <v>0</v>
      </c>
    </row>
    <row r="595" spans="1:36" customFormat="1" ht="15.75" thickBot="1" x14ac:dyDescent="0.3">
      <c r="A595" s="90" t="s">
        <v>1046</v>
      </c>
      <c r="B595" s="626" t="str">
        <f>VLOOKUP($D595,'Retail Rates'!$B$7:$D$38,2,FALSE)</f>
        <v>855</v>
      </c>
      <c r="C595" s="626" t="str">
        <f>VLOOKUP($D595,'Retail Rates'!$B$7:$D$38,3,FALSE)</f>
        <v>IGS Opt Out</v>
      </c>
      <c r="D595" s="90" t="s">
        <v>31</v>
      </c>
      <c r="E595" s="90" t="s">
        <v>880</v>
      </c>
      <c r="F595" s="90" t="s">
        <v>21</v>
      </c>
      <c r="G595" s="90" t="s">
        <v>901</v>
      </c>
      <c r="H595" s="305">
        <v>1</v>
      </c>
      <c r="I595" s="95">
        <v>-21</v>
      </c>
      <c r="J595" s="94"/>
      <c r="K595" s="95">
        <v>0</v>
      </c>
      <c r="L595" s="94"/>
      <c r="M595" s="95">
        <v>-4.5</v>
      </c>
      <c r="N595" s="95">
        <v>-0.32</v>
      </c>
      <c r="O595" s="95">
        <v>0</v>
      </c>
      <c r="P595" s="95">
        <v>-11.78</v>
      </c>
      <c r="Q595" s="94"/>
      <c r="R595" s="94"/>
      <c r="S595" s="94"/>
      <c r="T595" s="95">
        <v>0</v>
      </c>
      <c r="U595" s="95">
        <v>0</v>
      </c>
      <c r="V595" s="94"/>
      <c r="W595" s="94"/>
      <c r="X595" s="95">
        <v>-16.28</v>
      </c>
      <c r="Y595" s="94"/>
      <c r="Z595" s="94"/>
      <c r="AA595" s="94"/>
      <c r="AB595" s="94"/>
      <c r="AC595" s="94"/>
      <c r="AD595" s="94"/>
      <c r="AE595" s="94"/>
      <c r="AF595" s="94"/>
      <c r="AG595" s="95">
        <v>-1.01</v>
      </c>
      <c r="AH595" s="94"/>
      <c r="AI595" s="95">
        <v>-17.61</v>
      </c>
      <c r="AJ595" s="95">
        <v>0</v>
      </c>
    </row>
    <row r="596" spans="1:36" customFormat="1" ht="15.75" thickBot="1" x14ac:dyDescent="0.3">
      <c r="A596" s="90" t="s">
        <v>1046</v>
      </c>
      <c r="B596" s="626" t="str">
        <f>VLOOKUP($D596,'Retail Rates'!$B$7:$D$38,2,FALSE)</f>
        <v>855</v>
      </c>
      <c r="C596" s="626" t="str">
        <f>VLOOKUP($D596,'Retail Rates'!$B$7:$D$38,3,FALSE)</f>
        <v>IGS Opt Out</v>
      </c>
      <c r="D596" s="90" t="s">
        <v>31</v>
      </c>
      <c r="E596" s="90" t="s">
        <v>880</v>
      </c>
      <c r="F596" s="90" t="s">
        <v>21</v>
      </c>
      <c r="G596" s="90" t="s">
        <v>902</v>
      </c>
      <c r="H596" s="304">
        <v>1</v>
      </c>
      <c r="I596" s="93">
        <v>-24</v>
      </c>
      <c r="J596" s="92"/>
      <c r="K596" s="93">
        <v>0</v>
      </c>
      <c r="L596" s="92"/>
      <c r="M596" s="93">
        <v>-5.15</v>
      </c>
      <c r="N596" s="93">
        <v>-0.35</v>
      </c>
      <c r="O596" s="93">
        <v>0</v>
      </c>
      <c r="P596" s="93">
        <v>-12.17</v>
      </c>
      <c r="Q596" s="92"/>
      <c r="R596" s="92"/>
      <c r="S596" s="92"/>
      <c r="T596" s="93">
        <v>0</v>
      </c>
      <c r="U596" s="93">
        <v>0</v>
      </c>
      <c r="V596" s="92"/>
      <c r="W596" s="92"/>
      <c r="X596" s="93">
        <v>-17.32</v>
      </c>
      <c r="Y596" s="92"/>
      <c r="Z596" s="92"/>
      <c r="AA596" s="92"/>
      <c r="AB596" s="92"/>
      <c r="AC596" s="92"/>
      <c r="AD596" s="92"/>
      <c r="AE596" s="92"/>
      <c r="AF596" s="92"/>
      <c r="AG596" s="93">
        <v>-1.04</v>
      </c>
      <c r="AH596" s="92"/>
      <c r="AI596" s="93">
        <v>-18.71</v>
      </c>
      <c r="AJ596" s="93">
        <v>0</v>
      </c>
    </row>
    <row r="597" spans="1:36" customFormat="1" ht="15.75" thickBot="1" x14ac:dyDescent="0.3">
      <c r="A597" s="90" t="s">
        <v>1046</v>
      </c>
      <c r="B597" s="626" t="str">
        <f>VLOOKUP($D597,'Retail Rates'!$B$7:$D$38,2,FALSE)</f>
        <v>855</v>
      </c>
      <c r="C597" s="626" t="str">
        <f>VLOOKUP($D597,'Retail Rates'!$B$7:$D$38,3,FALSE)</f>
        <v>IGS Opt Out</v>
      </c>
      <c r="D597" s="90" t="s">
        <v>31</v>
      </c>
      <c r="E597" s="90" t="s">
        <v>880</v>
      </c>
      <c r="F597" s="90" t="s">
        <v>21</v>
      </c>
      <c r="G597" s="90" t="s">
        <v>903</v>
      </c>
      <c r="H597" s="305">
        <v>1</v>
      </c>
      <c r="I597" s="95">
        <v>-13</v>
      </c>
      <c r="J597" s="94"/>
      <c r="K597" s="95">
        <v>0</v>
      </c>
      <c r="L597" s="94"/>
      <c r="M597" s="95">
        <v>-2.78</v>
      </c>
      <c r="N597" s="95">
        <v>-0.18</v>
      </c>
      <c r="O597" s="95">
        <v>0</v>
      </c>
      <c r="P597" s="95">
        <v>-6.49</v>
      </c>
      <c r="Q597" s="94"/>
      <c r="R597" s="94"/>
      <c r="S597" s="94"/>
      <c r="T597" s="95">
        <v>0</v>
      </c>
      <c r="U597" s="95">
        <v>0</v>
      </c>
      <c r="V597" s="94"/>
      <c r="W597" s="94"/>
      <c r="X597" s="95">
        <v>-9.27</v>
      </c>
      <c r="Y597" s="94"/>
      <c r="Z597" s="94"/>
      <c r="AA597" s="94"/>
      <c r="AB597" s="94"/>
      <c r="AC597" s="94"/>
      <c r="AD597" s="94"/>
      <c r="AE597" s="94"/>
      <c r="AF597" s="94"/>
      <c r="AG597" s="95">
        <v>-0.56999999999999995</v>
      </c>
      <c r="AH597" s="94"/>
      <c r="AI597" s="95">
        <v>-10.02</v>
      </c>
      <c r="AJ597" s="95">
        <v>0</v>
      </c>
    </row>
    <row r="598" spans="1:36" customFormat="1" ht="15.75" thickBot="1" x14ac:dyDescent="0.3">
      <c r="A598" s="90" t="s">
        <v>1046</v>
      </c>
      <c r="B598" s="626" t="str">
        <f>VLOOKUP($D598,'Retail Rates'!$B$7:$D$38,2,FALSE)</f>
        <v>855</v>
      </c>
      <c r="C598" s="626" t="str">
        <f>VLOOKUP($D598,'Retail Rates'!$B$7:$D$38,3,FALSE)</f>
        <v>IGS Opt Out</v>
      </c>
      <c r="D598" s="90" t="s">
        <v>31</v>
      </c>
      <c r="E598" s="90" t="s">
        <v>880</v>
      </c>
      <c r="F598" s="90" t="s">
        <v>21</v>
      </c>
      <c r="G598" s="90" t="s">
        <v>904</v>
      </c>
      <c r="H598" s="304">
        <v>1</v>
      </c>
      <c r="I598" s="93">
        <v>-3</v>
      </c>
      <c r="J598" s="92"/>
      <c r="K598" s="93">
        <v>0</v>
      </c>
      <c r="L598" s="92"/>
      <c r="M598" s="93">
        <v>-0.65</v>
      </c>
      <c r="N598" s="93">
        <v>-0.05</v>
      </c>
      <c r="O598" s="93">
        <v>0</v>
      </c>
      <c r="P598" s="93">
        <v>-1.5</v>
      </c>
      <c r="Q598" s="92"/>
      <c r="R598" s="92"/>
      <c r="S598" s="92"/>
      <c r="T598" s="93">
        <v>0</v>
      </c>
      <c r="U598" s="93">
        <v>0</v>
      </c>
      <c r="V598" s="92"/>
      <c r="W598" s="92"/>
      <c r="X598" s="93">
        <v>-2.15</v>
      </c>
      <c r="Y598" s="92"/>
      <c r="Z598" s="92"/>
      <c r="AA598" s="92"/>
      <c r="AB598" s="92"/>
      <c r="AC598" s="92"/>
      <c r="AD598" s="92"/>
      <c r="AE598" s="92"/>
      <c r="AF598" s="92"/>
      <c r="AG598" s="93">
        <v>-0.12</v>
      </c>
      <c r="AH598" s="92"/>
      <c r="AI598" s="93">
        <v>-2.3199999999999998</v>
      </c>
      <c r="AJ598" s="93">
        <v>0</v>
      </c>
    </row>
    <row r="599" spans="1:36" customFormat="1" ht="15.75" thickBot="1" x14ac:dyDescent="0.3">
      <c r="A599" s="90" t="s">
        <v>1046</v>
      </c>
      <c r="B599" s="626" t="str">
        <f>VLOOKUP($D599,'Retail Rates'!$B$7:$D$38,2,FALSE)</f>
        <v>855</v>
      </c>
      <c r="C599" s="626" t="str">
        <f>VLOOKUP($D599,'Retail Rates'!$B$7:$D$38,3,FALSE)</f>
        <v>IGS Opt Out</v>
      </c>
      <c r="D599" s="90" t="s">
        <v>31</v>
      </c>
      <c r="E599" s="90" t="s">
        <v>880</v>
      </c>
      <c r="F599" s="90" t="s">
        <v>21</v>
      </c>
      <c r="G599" s="90" t="s">
        <v>905</v>
      </c>
      <c r="H599" s="305">
        <v>1</v>
      </c>
      <c r="I599" s="95">
        <v>-61</v>
      </c>
      <c r="J599" s="94"/>
      <c r="K599" s="95">
        <v>-34.869999999999997</v>
      </c>
      <c r="L599" s="94"/>
      <c r="M599" s="95">
        <v>-13.09</v>
      </c>
      <c r="N599" s="95">
        <v>-4.33</v>
      </c>
      <c r="O599" s="95">
        <v>0.13</v>
      </c>
      <c r="P599" s="95">
        <v>-26.37</v>
      </c>
      <c r="Q599" s="94"/>
      <c r="R599" s="94"/>
      <c r="S599" s="94"/>
      <c r="T599" s="95">
        <v>-142.02000000000001</v>
      </c>
      <c r="U599" s="95">
        <v>0</v>
      </c>
      <c r="V599" s="94"/>
      <c r="W599" s="94"/>
      <c r="X599" s="95">
        <v>-216.35</v>
      </c>
      <c r="Y599" s="94"/>
      <c r="Z599" s="94"/>
      <c r="AA599" s="94"/>
      <c r="AB599" s="94"/>
      <c r="AC599" s="94"/>
      <c r="AD599" s="94"/>
      <c r="AE599" s="94"/>
      <c r="AF599" s="94"/>
      <c r="AG599" s="95">
        <v>-13.24</v>
      </c>
      <c r="AH599" s="94"/>
      <c r="AI599" s="95">
        <v>-233.92</v>
      </c>
      <c r="AJ599" s="306">
        <v>-0.13</v>
      </c>
    </row>
    <row r="600" spans="1:36" customFormat="1" ht="15.75" thickBot="1" x14ac:dyDescent="0.3">
      <c r="A600" s="90" t="s">
        <v>1046</v>
      </c>
      <c r="B600" s="626" t="str">
        <f>VLOOKUP($D600,'Retail Rates'!$B$7:$D$38,2,FALSE)</f>
        <v>855</v>
      </c>
      <c r="C600" s="626" t="str">
        <f>VLOOKUP($D600,'Retail Rates'!$B$7:$D$38,3,FALSE)</f>
        <v>IGS Opt Out</v>
      </c>
      <c r="D600" s="90" t="s">
        <v>31</v>
      </c>
      <c r="E600" s="90" t="s">
        <v>880</v>
      </c>
      <c r="F600" s="90" t="s">
        <v>21</v>
      </c>
      <c r="G600" s="90" t="s">
        <v>906</v>
      </c>
      <c r="H600" s="304">
        <v>1</v>
      </c>
      <c r="I600" s="93">
        <v>-56</v>
      </c>
      <c r="J600" s="92"/>
      <c r="K600" s="93">
        <v>-34.869999999999997</v>
      </c>
      <c r="L600" s="92"/>
      <c r="M600" s="93">
        <v>-12.01</v>
      </c>
      <c r="N600" s="93">
        <v>-4.4000000000000004</v>
      </c>
      <c r="O600" s="93">
        <v>0.13</v>
      </c>
      <c r="P600" s="93">
        <v>-23.29</v>
      </c>
      <c r="Q600" s="92"/>
      <c r="R600" s="92"/>
      <c r="S600" s="92"/>
      <c r="T600" s="93">
        <v>-149.69</v>
      </c>
      <c r="U600" s="93">
        <v>0</v>
      </c>
      <c r="V600" s="92"/>
      <c r="W600" s="92"/>
      <c r="X600" s="93">
        <v>-219.86</v>
      </c>
      <c r="Y600" s="92"/>
      <c r="Z600" s="92"/>
      <c r="AA600" s="92"/>
      <c r="AB600" s="92"/>
      <c r="AC600" s="92"/>
      <c r="AD600" s="92"/>
      <c r="AE600" s="92"/>
      <c r="AF600" s="92"/>
      <c r="AG600" s="93">
        <v>-13.46</v>
      </c>
      <c r="AH600" s="92"/>
      <c r="AI600" s="93">
        <v>-237.72</v>
      </c>
      <c r="AJ600" s="306">
        <v>-0.13</v>
      </c>
    </row>
    <row r="601" spans="1:36" customFormat="1" ht="15.75" thickBot="1" x14ac:dyDescent="0.3">
      <c r="A601" s="90" t="s">
        <v>1046</v>
      </c>
      <c r="B601" s="626" t="str">
        <f>VLOOKUP($D601,'Retail Rates'!$B$7:$D$38,2,FALSE)</f>
        <v>855</v>
      </c>
      <c r="C601" s="626" t="str">
        <f>VLOOKUP($D601,'Retail Rates'!$B$7:$D$38,3,FALSE)</f>
        <v>IGS Opt Out</v>
      </c>
      <c r="D601" s="90" t="s">
        <v>31</v>
      </c>
      <c r="E601" s="90" t="s">
        <v>880</v>
      </c>
      <c r="F601" s="90" t="s">
        <v>21</v>
      </c>
      <c r="G601" s="90" t="s">
        <v>907</v>
      </c>
      <c r="H601" s="305">
        <v>1</v>
      </c>
      <c r="I601" s="95">
        <v>-56</v>
      </c>
      <c r="J601" s="94"/>
      <c r="K601" s="95">
        <v>-39.130000000000003</v>
      </c>
      <c r="L601" s="94"/>
      <c r="M601" s="95">
        <v>-12.65</v>
      </c>
      <c r="N601" s="95">
        <v>-4.5</v>
      </c>
      <c r="O601" s="95">
        <v>0</v>
      </c>
      <c r="P601" s="95">
        <v>-23.29</v>
      </c>
      <c r="Q601" s="94"/>
      <c r="R601" s="94"/>
      <c r="S601" s="94"/>
      <c r="T601" s="95">
        <v>-149.69</v>
      </c>
      <c r="U601" s="94"/>
      <c r="V601" s="94"/>
      <c r="W601" s="94"/>
      <c r="X601" s="95">
        <v>-224.76</v>
      </c>
      <c r="Y601" s="94"/>
      <c r="Z601" s="94"/>
      <c r="AA601" s="94"/>
      <c r="AB601" s="94"/>
      <c r="AC601" s="94"/>
      <c r="AD601" s="94"/>
      <c r="AE601" s="94"/>
      <c r="AF601" s="94"/>
      <c r="AG601" s="95">
        <v>-13.76</v>
      </c>
      <c r="AH601" s="94"/>
      <c r="AI601" s="95">
        <v>-243.02</v>
      </c>
      <c r="AJ601" s="95">
        <v>0</v>
      </c>
    </row>
    <row r="602" spans="1:36" customFormat="1" ht="15.75" thickBot="1" x14ac:dyDescent="0.3">
      <c r="A602" s="90" t="s">
        <v>1046</v>
      </c>
      <c r="B602" s="626" t="str">
        <f>VLOOKUP($D602,'Retail Rates'!$B$7:$D$38,2,FALSE)</f>
        <v>855</v>
      </c>
      <c r="C602" s="626" t="str">
        <f>VLOOKUP($D602,'Retail Rates'!$B$7:$D$38,3,FALSE)</f>
        <v>IGS Opt Out</v>
      </c>
      <c r="D602" s="90" t="s">
        <v>31</v>
      </c>
      <c r="E602" s="90" t="s">
        <v>880</v>
      </c>
      <c r="F602" s="90" t="s">
        <v>21</v>
      </c>
      <c r="G602" s="90" t="s">
        <v>908</v>
      </c>
      <c r="H602" s="304">
        <v>1</v>
      </c>
      <c r="I602" s="93">
        <v>-14</v>
      </c>
      <c r="J602" s="92"/>
      <c r="K602" s="93">
        <v>-40</v>
      </c>
      <c r="L602" s="92"/>
      <c r="M602" s="93">
        <v>-3.19</v>
      </c>
      <c r="N602" s="93">
        <v>-3.95</v>
      </c>
      <c r="O602" s="93">
        <v>0</v>
      </c>
      <c r="P602" s="93">
        <v>-4.53</v>
      </c>
      <c r="Q602" s="92"/>
      <c r="R602" s="92"/>
      <c r="S602" s="92"/>
      <c r="T602" s="93">
        <v>-149.69</v>
      </c>
      <c r="U602" s="92"/>
      <c r="V602" s="92"/>
      <c r="W602" s="92"/>
      <c r="X602" s="93">
        <v>-197.41</v>
      </c>
      <c r="Y602" s="92"/>
      <c r="Z602" s="92"/>
      <c r="AA602" s="92"/>
      <c r="AB602" s="92"/>
      <c r="AC602" s="92"/>
      <c r="AD602" s="92"/>
      <c r="AE602" s="92"/>
      <c r="AF602" s="92"/>
      <c r="AG602" s="93">
        <v>-12.08</v>
      </c>
      <c r="AH602" s="92"/>
      <c r="AI602" s="93">
        <v>-213.44</v>
      </c>
      <c r="AJ602" s="93">
        <v>0</v>
      </c>
    </row>
    <row r="603" spans="1:36" customFormat="1" ht="15.75" thickBot="1" x14ac:dyDescent="0.3">
      <c r="A603" s="90" t="s">
        <v>1046</v>
      </c>
      <c r="B603" s="626" t="str">
        <f>VLOOKUP($D603,'Retail Rates'!$B$7:$D$38,2,FALSE)</f>
        <v>855</v>
      </c>
      <c r="C603" s="626" t="str">
        <f>VLOOKUP($D603,'Retail Rates'!$B$7:$D$38,3,FALSE)</f>
        <v>IGS Opt Out</v>
      </c>
      <c r="D603" s="90" t="s">
        <v>31</v>
      </c>
      <c r="E603" s="90" t="s">
        <v>880</v>
      </c>
      <c r="F603" s="90" t="s">
        <v>21</v>
      </c>
      <c r="G603" s="90" t="s">
        <v>909</v>
      </c>
      <c r="H603" s="305">
        <v>1</v>
      </c>
      <c r="I603" s="95">
        <v>0</v>
      </c>
      <c r="J603" s="94"/>
      <c r="K603" s="95">
        <v>-40</v>
      </c>
      <c r="L603" s="94"/>
      <c r="M603" s="95">
        <v>0</v>
      </c>
      <c r="N603" s="95">
        <v>-3.79</v>
      </c>
      <c r="O603" s="95">
        <v>0</v>
      </c>
      <c r="P603" s="95">
        <v>0</v>
      </c>
      <c r="Q603" s="94"/>
      <c r="R603" s="94"/>
      <c r="S603" s="94"/>
      <c r="T603" s="95">
        <v>-149.69</v>
      </c>
      <c r="U603" s="94"/>
      <c r="V603" s="94"/>
      <c r="W603" s="94"/>
      <c r="X603" s="95">
        <v>-189.69</v>
      </c>
      <c r="Y603" s="94"/>
      <c r="Z603" s="94"/>
      <c r="AA603" s="94"/>
      <c r="AB603" s="94"/>
      <c r="AC603" s="94"/>
      <c r="AD603" s="94"/>
      <c r="AE603" s="94"/>
      <c r="AF603" s="94"/>
      <c r="AG603" s="95">
        <v>-11.61</v>
      </c>
      <c r="AH603" s="94"/>
      <c r="AI603" s="95">
        <v>-205.09</v>
      </c>
      <c r="AJ603" s="95">
        <v>0</v>
      </c>
    </row>
    <row r="604" spans="1:36" customFormat="1" ht="15.75" thickBot="1" x14ac:dyDescent="0.3">
      <c r="A604" s="90" t="s">
        <v>1046</v>
      </c>
      <c r="B604" s="626" t="str">
        <f>VLOOKUP($D604,'Retail Rates'!$B$7:$D$38,2,FALSE)</f>
        <v>855</v>
      </c>
      <c r="C604" s="626" t="str">
        <f>VLOOKUP($D604,'Retail Rates'!$B$7:$D$38,3,FALSE)</f>
        <v>IGS Opt Out</v>
      </c>
      <c r="D604" s="90" t="s">
        <v>31</v>
      </c>
      <c r="E604" s="90" t="s">
        <v>880</v>
      </c>
      <c r="F604" s="90" t="s">
        <v>21</v>
      </c>
      <c r="G604" s="90" t="s">
        <v>910</v>
      </c>
      <c r="H604" s="304">
        <v>1</v>
      </c>
      <c r="I604" s="93">
        <v>0</v>
      </c>
      <c r="J604" s="92"/>
      <c r="K604" s="93">
        <v>-40</v>
      </c>
      <c r="L604" s="92"/>
      <c r="M604" s="93">
        <v>0</v>
      </c>
      <c r="N604" s="93">
        <v>-3.79</v>
      </c>
      <c r="O604" s="93">
        <v>0</v>
      </c>
      <c r="P604" s="93">
        <v>0</v>
      </c>
      <c r="Q604" s="92"/>
      <c r="R604" s="92"/>
      <c r="S604" s="92"/>
      <c r="T604" s="93">
        <v>-149.69</v>
      </c>
      <c r="U604" s="92"/>
      <c r="V604" s="92"/>
      <c r="W604" s="92"/>
      <c r="X604" s="93">
        <v>-189.69</v>
      </c>
      <c r="Y604" s="92"/>
      <c r="Z604" s="92"/>
      <c r="AA604" s="92"/>
      <c r="AB604" s="92"/>
      <c r="AC604" s="92"/>
      <c r="AD604" s="92"/>
      <c r="AE604" s="92"/>
      <c r="AF604" s="92"/>
      <c r="AG604" s="93">
        <v>-11.61</v>
      </c>
      <c r="AH604" s="92"/>
      <c r="AI604" s="93">
        <v>-205.09</v>
      </c>
      <c r="AJ604" s="93">
        <v>0</v>
      </c>
    </row>
    <row r="605" spans="1:36" customFormat="1" ht="15.75" thickBot="1" x14ac:dyDescent="0.3">
      <c r="A605" s="90" t="s">
        <v>1046</v>
      </c>
      <c r="B605" s="626" t="str">
        <f>VLOOKUP($D605,'Retail Rates'!$B$7:$D$38,2,FALSE)</f>
        <v>855</v>
      </c>
      <c r="C605" s="626" t="str">
        <f>VLOOKUP($D605,'Retail Rates'!$B$7:$D$38,3,FALSE)</f>
        <v>IGS Opt Out</v>
      </c>
      <c r="D605" s="90" t="s">
        <v>31</v>
      </c>
      <c r="E605" s="90" t="s">
        <v>880</v>
      </c>
      <c r="F605" s="90" t="s">
        <v>21</v>
      </c>
      <c r="G605" s="90" t="s">
        <v>911</v>
      </c>
      <c r="H605" s="305">
        <v>1</v>
      </c>
      <c r="I605" s="95">
        <v>-123</v>
      </c>
      <c r="J605" s="94"/>
      <c r="K605" s="95">
        <v>-40</v>
      </c>
      <c r="L605" s="94"/>
      <c r="M605" s="95">
        <v>-28.02</v>
      </c>
      <c r="N605" s="95">
        <v>-5.17</v>
      </c>
      <c r="O605" s="95">
        <v>0</v>
      </c>
      <c r="P605" s="95">
        <v>-40.76</v>
      </c>
      <c r="Q605" s="94"/>
      <c r="R605" s="94"/>
      <c r="S605" s="94"/>
      <c r="T605" s="95">
        <v>-149.69</v>
      </c>
      <c r="U605" s="94"/>
      <c r="V605" s="94"/>
      <c r="W605" s="94"/>
      <c r="X605" s="95">
        <v>-258.47000000000003</v>
      </c>
      <c r="Y605" s="94"/>
      <c r="Z605" s="94"/>
      <c r="AA605" s="94"/>
      <c r="AB605" s="94"/>
      <c r="AC605" s="94"/>
      <c r="AD605" s="94"/>
      <c r="AE605" s="94"/>
      <c r="AF605" s="94"/>
      <c r="AG605" s="95">
        <v>-15.82</v>
      </c>
      <c r="AH605" s="94"/>
      <c r="AI605" s="95">
        <v>-279.45999999999998</v>
      </c>
      <c r="AJ605" s="95">
        <v>0</v>
      </c>
    </row>
    <row r="606" spans="1:36" customFormat="1" ht="15.75" thickBot="1" x14ac:dyDescent="0.3">
      <c r="A606" s="90" t="s">
        <v>1046</v>
      </c>
      <c r="B606" s="626" t="str">
        <f>VLOOKUP($D606,'Retail Rates'!$B$7:$D$38,2,FALSE)</f>
        <v>855</v>
      </c>
      <c r="C606" s="626" t="str">
        <f>VLOOKUP($D606,'Retail Rates'!$B$7:$D$38,3,FALSE)</f>
        <v>IGS Opt Out</v>
      </c>
      <c r="D606" s="90" t="s">
        <v>31</v>
      </c>
      <c r="E606" s="90" t="s">
        <v>880</v>
      </c>
      <c r="F606" s="90" t="s">
        <v>21</v>
      </c>
      <c r="G606" s="90" t="s">
        <v>912</v>
      </c>
      <c r="H606" s="304">
        <v>1</v>
      </c>
      <c r="I606" s="93">
        <v>-239</v>
      </c>
      <c r="J606" s="92"/>
      <c r="K606" s="93">
        <v>-40</v>
      </c>
      <c r="L606" s="92"/>
      <c r="M606" s="93">
        <v>-54.44</v>
      </c>
      <c r="N606" s="93">
        <v>-6.51</v>
      </c>
      <c r="O606" s="93">
        <v>0</v>
      </c>
      <c r="P606" s="93">
        <v>-81.42</v>
      </c>
      <c r="Q606" s="92"/>
      <c r="R606" s="92"/>
      <c r="S606" s="92"/>
      <c r="T606" s="93">
        <v>-149.69</v>
      </c>
      <c r="U606" s="92"/>
      <c r="V606" s="92"/>
      <c r="W606" s="92"/>
      <c r="X606" s="93">
        <v>-325.55</v>
      </c>
      <c r="Y606" s="92"/>
      <c r="Z606" s="92"/>
      <c r="AA606" s="92"/>
      <c r="AB606" s="92"/>
      <c r="AC606" s="92"/>
      <c r="AD606" s="92"/>
      <c r="AE606" s="92"/>
      <c r="AF606" s="92"/>
      <c r="AG606" s="93">
        <v>-19.920000000000002</v>
      </c>
      <c r="AH606" s="92"/>
      <c r="AI606" s="93">
        <v>-351.98</v>
      </c>
      <c r="AJ606" s="93">
        <v>0</v>
      </c>
    </row>
    <row r="607" spans="1:36" customFormat="1" ht="15.75" thickBot="1" x14ac:dyDescent="0.3">
      <c r="A607" s="90" t="s">
        <v>1046</v>
      </c>
      <c r="B607" s="626" t="str">
        <f>VLOOKUP($D607,'Retail Rates'!$B$7:$D$38,2,FALSE)</f>
        <v>855</v>
      </c>
      <c r="C607" s="626" t="str">
        <f>VLOOKUP($D607,'Retail Rates'!$B$7:$D$38,3,FALSE)</f>
        <v>IGS Opt Out</v>
      </c>
      <c r="D607" s="90" t="s">
        <v>31</v>
      </c>
      <c r="E607" s="90" t="s">
        <v>880</v>
      </c>
      <c r="F607" s="90" t="s">
        <v>21</v>
      </c>
      <c r="G607" s="90" t="s">
        <v>913</v>
      </c>
      <c r="H607" s="305">
        <v>1</v>
      </c>
      <c r="I607" s="95">
        <v>-722</v>
      </c>
      <c r="J607" s="94"/>
      <c r="K607" s="95">
        <v>-40</v>
      </c>
      <c r="L607" s="94"/>
      <c r="M607" s="95">
        <v>-164.46</v>
      </c>
      <c r="N607" s="95">
        <v>-12.06</v>
      </c>
      <c r="O607" s="95">
        <v>0</v>
      </c>
      <c r="P607" s="95">
        <v>-245.97</v>
      </c>
      <c r="Q607" s="94"/>
      <c r="R607" s="94"/>
      <c r="S607" s="94"/>
      <c r="T607" s="95">
        <v>-152.77000000000001</v>
      </c>
      <c r="U607" s="94"/>
      <c r="V607" s="94"/>
      <c r="W607" s="94"/>
      <c r="X607" s="95">
        <v>-603.20000000000005</v>
      </c>
      <c r="Y607" s="94"/>
      <c r="Z607" s="94"/>
      <c r="AA607" s="94"/>
      <c r="AB607" s="94"/>
      <c r="AC607" s="94"/>
      <c r="AD607" s="94"/>
      <c r="AE607" s="94"/>
      <c r="AF607" s="94"/>
      <c r="AG607" s="95">
        <v>-36.92</v>
      </c>
      <c r="AH607" s="94"/>
      <c r="AI607" s="95">
        <v>-652.17999999999995</v>
      </c>
      <c r="AJ607" s="95">
        <v>0</v>
      </c>
    </row>
    <row r="608" spans="1:36" customFormat="1" ht="15.75" thickBot="1" x14ac:dyDescent="0.3">
      <c r="A608" s="90" t="s">
        <v>1046</v>
      </c>
      <c r="B608" s="626" t="str">
        <f>VLOOKUP($D608,'Retail Rates'!$B$7:$D$38,2,FALSE)</f>
        <v>855</v>
      </c>
      <c r="C608" s="626" t="str">
        <f>VLOOKUP($D608,'Retail Rates'!$B$7:$D$38,3,FALSE)</f>
        <v>IGS Opt Out</v>
      </c>
      <c r="D608" s="90" t="s">
        <v>31</v>
      </c>
      <c r="E608" s="90" t="s">
        <v>880</v>
      </c>
      <c r="F608" s="90" t="s">
        <v>21</v>
      </c>
      <c r="G608" s="90" t="s">
        <v>914</v>
      </c>
      <c r="H608" s="304">
        <v>1</v>
      </c>
      <c r="I608" s="93">
        <v>-472</v>
      </c>
      <c r="J608" s="92"/>
      <c r="K608" s="93">
        <v>-40</v>
      </c>
      <c r="L608" s="92"/>
      <c r="M608" s="93">
        <v>-107.52</v>
      </c>
      <c r="N608" s="93">
        <v>-10.92</v>
      </c>
      <c r="O608" s="93">
        <v>0</v>
      </c>
      <c r="P608" s="93">
        <v>-153.35</v>
      </c>
      <c r="Q608" s="92"/>
      <c r="R608" s="92"/>
      <c r="S608" s="92"/>
      <c r="T608" s="93">
        <v>-245.08</v>
      </c>
      <c r="U608" s="92"/>
      <c r="V608" s="92"/>
      <c r="W608" s="92"/>
      <c r="X608" s="93">
        <v>-545.95000000000005</v>
      </c>
      <c r="Y608" s="92"/>
      <c r="Z608" s="92"/>
      <c r="AA608" s="92"/>
      <c r="AB608" s="92"/>
      <c r="AC608" s="92"/>
      <c r="AD608" s="92"/>
      <c r="AE608" s="92"/>
      <c r="AF608" s="92"/>
      <c r="AG608" s="93">
        <v>-33.409999999999997</v>
      </c>
      <c r="AH608" s="92"/>
      <c r="AI608" s="93">
        <v>-590.28</v>
      </c>
      <c r="AJ608" s="93">
        <v>0</v>
      </c>
    </row>
    <row r="609" spans="1:36" customFormat="1" ht="15.75" thickBot="1" x14ac:dyDescent="0.3">
      <c r="A609" s="90" t="s">
        <v>1046</v>
      </c>
      <c r="B609" s="626" t="str">
        <f>VLOOKUP($D609,'Retail Rates'!$B$7:$D$38,2,FALSE)</f>
        <v>855</v>
      </c>
      <c r="C609" s="626" t="str">
        <f>VLOOKUP($D609,'Retail Rates'!$B$7:$D$38,3,FALSE)</f>
        <v>IGS Opt Out</v>
      </c>
      <c r="D609" s="90" t="s">
        <v>31</v>
      </c>
      <c r="E609" s="90" t="s">
        <v>880</v>
      </c>
      <c r="F609" s="90" t="s">
        <v>21</v>
      </c>
      <c r="G609" s="90" t="s">
        <v>915</v>
      </c>
      <c r="H609" s="305">
        <v>1</v>
      </c>
      <c r="I609" s="95">
        <v>-204</v>
      </c>
      <c r="J609" s="94"/>
      <c r="K609" s="95">
        <v>-40</v>
      </c>
      <c r="L609" s="94"/>
      <c r="M609" s="95">
        <v>-46.47</v>
      </c>
      <c r="N609" s="95">
        <v>-7.95</v>
      </c>
      <c r="O609" s="95">
        <v>0</v>
      </c>
      <c r="P609" s="95">
        <v>-65.98</v>
      </c>
      <c r="Q609" s="94"/>
      <c r="R609" s="94"/>
      <c r="S609" s="94"/>
      <c r="T609" s="95">
        <v>-245.08</v>
      </c>
      <c r="U609" s="94"/>
      <c r="V609" s="94"/>
      <c r="W609" s="94"/>
      <c r="X609" s="95">
        <v>-397.53</v>
      </c>
      <c r="Y609" s="94"/>
      <c r="Z609" s="94"/>
      <c r="AA609" s="94"/>
      <c r="AB609" s="94"/>
      <c r="AC609" s="94"/>
      <c r="AD609" s="94"/>
      <c r="AE609" s="94"/>
      <c r="AF609" s="94"/>
      <c r="AG609" s="95">
        <v>-24.33</v>
      </c>
      <c r="AH609" s="94"/>
      <c r="AI609" s="95">
        <v>-429.81</v>
      </c>
      <c r="AJ609" s="95">
        <v>0</v>
      </c>
    </row>
    <row r="610" spans="1:36" customFormat="1" ht="15.75" thickBot="1" x14ac:dyDescent="0.3">
      <c r="A610" s="90" t="s">
        <v>1046</v>
      </c>
      <c r="B610" s="626" t="str">
        <f>VLOOKUP($D610,'Retail Rates'!$B$7:$D$38,2,FALSE)</f>
        <v>855</v>
      </c>
      <c r="C610" s="626" t="str">
        <f>VLOOKUP($D610,'Retail Rates'!$B$7:$D$38,3,FALSE)</f>
        <v>IGS Opt Out</v>
      </c>
      <c r="D610" s="90" t="s">
        <v>31</v>
      </c>
      <c r="E610" s="90" t="s">
        <v>880</v>
      </c>
      <c r="F610" s="90" t="s">
        <v>21</v>
      </c>
      <c r="G610" s="90" t="s">
        <v>917</v>
      </c>
      <c r="H610" s="304">
        <v>1</v>
      </c>
      <c r="I610" s="93">
        <v>-120</v>
      </c>
      <c r="J610" s="92"/>
      <c r="K610" s="93">
        <v>-40</v>
      </c>
      <c r="L610" s="92"/>
      <c r="M610" s="93">
        <v>-27.33</v>
      </c>
      <c r="N610" s="93">
        <v>0</v>
      </c>
      <c r="O610" s="93">
        <v>0</v>
      </c>
      <c r="P610" s="93">
        <v>-38.81</v>
      </c>
      <c r="Q610" s="92"/>
      <c r="R610" s="92"/>
      <c r="S610" s="92"/>
      <c r="T610" s="93">
        <v>-245.08</v>
      </c>
      <c r="U610" s="92"/>
      <c r="V610" s="92"/>
      <c r="W610" s="92"/>
      <c r="X610" s="93">
        <v>-351.22</v>
      </c>
      <c r="Y610" s="92"/>
      <c r="Z610" s="92"/>
      <c r="AA610" s="92"/>
      <c r="AB610" s="92"/>
      <c r="AC610" s="92"/>
      <c r="AD610" s="92"/>
      <c r="AE610" s="92"/>
      <c r="AF610" s="92"/>
      <c r="AG610" s="93">
        <v>-21.07</v>
      </c>
      <c r="AH610" s="92"/>
      <c r="AI610" s="93">
        <v>-372.29</v>
      </c>
      <c r="AJ610" s="93">
        <v>0</v>
      </c>
    </row>
    <row r="611" spans="1:36" customFormat="1" ht="15.75" thickBot="1" x14ac:dyDescent="0.3">
      <c r="A611" s="90" t="s">
        <v>1046</v>
      </c>
      <c r="B611" s="626" t="str">
        <f>VLOOKUP($D611,'Retail Rates'!$B$7:$D$38,2,FALSE)</f>
        <v>855</v>
      </c>
      <c r="C611" s="626" t="str">
        <f>VLOOKUP($D611,'Retail Rates'!$B$7:$D$38,3,FALSE)</f>
        <v>IGS Opt Out</v>
      </c>
      <c r="D611" s="90" t="s">
        <v>31</v>
      </c>
      <c r="E611" s="90" t="s">
        <v>880</v>
      </c>
      <c r="F611" s="90" t="s">
        <v>21</v>
      </c>
      <c r="G611" s="90" t="s">
        <v>918</v>
      </c>
      <c r="H611" s="305">
        <v>1</v>
      </c>
      <c r="I611" s="95">
        <v>0</v>
      </c>
      <c r="J611" s="94"/>
      <c r="K611" s="95">
        <v>-40</v>
      </c>
      <c r="L611" s="94"/>
      <c r="M611" s="95">
        <v>0</v>
      </c>
      <c r="N611" s="95">
        <v>0</v>
      </c>
      <c r="O611" s="95">
        <v>0</v>
      </c>
      <c r="P611" s="95">
        <v>0</v>
      </c>
      <c r="Q611" s="94"/>
      <c r="R611" s="94"/>
      <c r="S611" s="94"/>
      <c r="T611" s="95">
        <v>-258.08999999999997</v>
      </c>
      <c r="U611" s="94"/>
      <c r="V611" s="94"/>
      <c r="W611" s="94"/>
      <c r="X611" s="95">
        <v>-298.08999999999997</v>
      </c>
      <c r="Y611" s="94"/>
      <c r="Z611" s="94"/>
      <c r="AA611" s="94"/>
      <c r="AB611" s="94"/>
      <c r="AC611" s="94"/>
      <c r="AD611" s="94"/>
      <c r="AE611" s="94"/>
      <c r="AF611" s="94"/>
      <c r="AG611" s="95">
        <v>-17.89</v>
      </c>
      <c r="AH611" s="94"/>
      <c r="AI611" s="95">
        <v>-315.98</v>
      </c>
      <c r="AJ611" s="95">
        <v>0</v>
      </c>
    </row>
    <row r="612" spans="1:36" customFormat="1" ht="15.75" thickBot="1" x14ac:dyDescent="0.3">
      <c r="A612" s="90" t="s">
        <v>1046</v>
      </c>
      <c r="B612" s="626" t="str">
        <f>VLOOKUP($D612,'Retail Rates'!$B$7:$D$38,2,FALSE)</f>
        <v>855</v>
      </c>
      <c r="C612" s="626" t="str">
        <f>VLOOKUP($D612,'Retail Rates'!$B$7:$D$38,3,FALSE)</f>
        <v>IGS Opt Out</v>
      </c>
      <c r="D612" s="90" t="s">
        <v>31</v>
      </c>
      <c r="E612" s="90" t="s">
        <v>880</v>
      </c>
      <c r="F612" s="90" t="s">
        <v>17</v>
      </c>
      <c r="G612" s="90" t="s">
        <v>900</v>
      </c>
      <c r="H612" s="305">
        <v>1</v>
      </c>
      <c r="I612" s="95">
        <v>-483</v>
      </c>
      <c r="J612" s="94"/>
      <c r="K612" s="95">
        <v>-34.869999999999997</v>
      </c>
      <c r="L612" s="94"/>
      <c r="M612" s="95">
        <v>-103.61</v>
      </c>
      <c r="N612" s="95">
        <v>-9.0500000000000007</v>
      </c>
      <c r="O612" s="95">
        <v>0.13</v>
      </c>
      <c r="P612" s="95">
        <v>-271.10000000000002</v>
      </c>
      <c r="Q612" s="94"/>
      <c r="R612" s="94"/>
      <c r="S612" s="94"/>
      <c r="T612" s="95">
        <v>-42.69</v>
      </c>
      <c r="U612" s="95">
        <v>0</v>
      </c>
      <c r="V612" s="94"/>
      <c r="W612" s="94"/>
      <c r="X612" s="95">
        <v>-452.27</v>
      </c>
      <c r="Y612" s="94"/>
      <c r="Z612" s="94"/>
      <c r="AA612" s="94"/>
      <c r="AB612" s="94"/>
      <c r="AC612" s="94"/>
      <c r="AD612" s="94"/>
      <c r="AE612" s="94"/>
      <c r="AF612" s="94"/>
      <c r="AG612" s="95">
        <v>-27.67</v>
      </c>
      <c r="AH612" s="94"/>
      <c r="AI612" s="95">
        <v>-488.99</v>
      </c>
      <c r="AJ612" s="306">
        <v>-0.13</v>
      </c>
    </row>
    <row r="613" spans="1:36" customFormat="1" ht="15.75" thickBot="1" x14ac:dyDescent="0.3">
      <c r="A613" s="90" t="s">
        <v>1046</v>
      </c>
      <c r="B613" s="626" t="str">
        <f>VLOOKUP($D613,'Retail Rates'!$B$7:$D$38,2,FALSE)</f>
        <v>855</v>
      </c>
      <c r="C613" s="626" t="str">
        <f>VLOOKUP($D613,'Retail Rates'!$B$7:$D$38,3,FALSE)</f>
        <v>IGS Opt Out</v>
      </c>
      <c r="D613" s="90" t="s">
        <v>31</v>
      </c>
      <c r="E613" s="90" t="s">
        <v>880</v>
      </c>
      <c r="F613" s="90" t="s">
        <v>17</v>
      </c>
      <c r="G613" s="90" t="s">
        <v>901</v>
      </c>
      <c r="H613" s="304">
        <v>1</v>
      </c>
      <c r="I613" s="93">
        <v>-670</v>
      </c>
      <c r="J613" s="92"/>
      <c r="K613" s="93">
        <v>-34.869999999999997</v>
      </c>
      <c r="L613" s="92"/>
      <c r="M613" s="93">
        <v>-143.72999999999999</v>
      </c>
      <c r="N613" s="93">
        <v>-12.88</v>
      </c>
      <c r="O613" s="93">
        <v>0.13</v>
      </c>
      <c r="P613" s="93">
        <v>-376.06</v>
      </c>
      <c r="Q613" s="92"/>
      <c r="R613" s="92"/>
      <c r="S613" s="92"/>
      <c r="T613" s="93">
        <v>-89.01</v>
      </c>
      <c r="U613" s="93">
        <v>0</v>
      </c>
      <c r="V613" s="92"/>
      <c r="W613" s="92"/>
      <c r="X613" s="93">
        <v>-643.66999999999996</v>
      </c>
      <c r="Y613" s="92"/>
      <c r="Z613" s="92"/>
      <c r="AA613" s="92"/>
      <c r="AB613" s="92"/>
      <c r="AC613" s="92"/>
      <c r="AD613" s="92"/>
      <c r="AE613" s="92"/>
      <c r="AF613" s="92"/>
      <c r="AG613" s="93">
        <v>-39.380000000000003</v>
      </c>
      <c r="AH613" s="92"/>
      <c r="AI613" s="93">
        <v>-695.93</v>
      </c>
      <c r="AJ613" s="306">
        <v>-0.13</v>
      </c>
    </row>
    <row r="614" spans="1:36" customFormat="1" ht="15.75" thickBot="1" x14ac:dyDescent="0.3">
      <c r="A614" s="90" t="s">
        <v>1046</v>
      </c>
      <c r="B614" s="626" t="str">
        <f>VLOOKUP($D614,'Retail Rates'!$B$7:$D$38,2,FALSE)</f>
        <v>855</v>
      </c>
      <c r="C614" s="626" t="str">
        <f>VLOOKUP($D614,'Retail Rates'!$B$7:$D$38,3,FALSE)</f>
        <v>IGS Opt Out</v>
      </c>
      <c r="D614" s="90" t="s">
        <v>31</v>
      </c>
      <c r="E614" s="90" t="s">
        <v>880</v>
      </c>
      <c r="F614" s="90" t="s">
        <v>17</v>
      </c>
      <c r="G614" s="90" t="s">
        <v>902</v>
      </c>
      <c r="H614" s="305">
        <v>1</v>
      </c>
      <c r="I614" s="95">
        <v>-777</v>
      </c>
      <c r="J614" s="94"/>
      <c r="K614" s="95">
        <v>-34.869999999999997</v>
      </c>
      <c r="L614" s="94"/>
      <c r="M614" s="95">
        <v>-166.68</v>
      </c>
      <c r="N614" s="95">
        <v>-13.92</v>
      </c>
      <c r="O614" s="95">
        <v>0.13</v>
      </c>
      <c r="P614" s="95">
        <v>-393.8</v>
      </c>
      <c r="Q614" s="94"/>
      <c r="R614" s="94"/>
      <c r="S614" s="94"/>
      <c r="T614" s="95">
        <v>-100.59</v>
      </c>
      <c r="U614" s="95">
        <v>0</v>
      </c>
      <c r="V614" s="94"/>
      <c r="W614" s="94"/>
      <c r="X614" s="95">
        <v>-695.94</v>
      </c>
      <c r="Y614" s="94"/>
      <c r="Z614" s="94"/>
      <c r="AA614" s="94"/>
      <c r="AB614" s="94"/>
      <c r="AC614" s="94"/>
      <c r="AD614" s="94"/>
      <c r="AE614" s="94"/>
      <c r="AF614" s="94"/>
      <c r="AG614" s="95">
        <v>-42.6</v>
      </c>
      <c r="AH614" s="94"/>
      <c r="AI614" s="95">
        <v>-752.46</v>
      </c>
      <c r="AJ614" s="306">
        <v>-0.13</v>
      </c>
    </row>
    <row r="615" spans="1:36" customFormat="1" ht="15.75" thickBot="1" x14ac:dyDescent="0.3">
      <c r="A615" s="90" t="s">
        <v>1046</v>
      </c>
      <c r="B615" s="626" t="str">
        <f>VLOOKUP($D615,'Retail Rates'!$B$7:$D$38,2,FALSE)</f>
        <v>855</v>
      </c>
      <c r="C615" s="626" t="str">
        <f>VLOOKUP($D615,'Retail Rates'!$B$7:$D$38,3,FALSE)</f>
        <v>IGS Opt Out</v>
      </c>
      <c r="D615" s="90" t="s">
        <v>31</v>
      </c>
      <c r="E615" s="90" t="s">
        <v>880</v>
      </c>
      <c r="F615" s="90" t="s">
        <v>17</v>
      </c>
      <c r="G615" s="90" t="s">
        <v>903</v>
      </c>
      <c r="H615" s="304">
        <v>1</v>
      </c>
      <c r="I615" s="93">
        <v>-426</v>
      </c>
      <c r="J615" s="92"/>
      <c r="K615" s="93">
        <v>-34.869999999999997</v>
      </c>
      <c r="L615" s="92"/>
      <c r="M615" s="93">
        <v>-91.39</v>
      </c>
      <c r="N615" s="93">
        <v>-8.8000000000000007</v>
      </c>
      <c r="O615" s="93">
        <v>0.13</v>
      </c>
      <c r="P615" s="93">
        <v>-212.79</v>
      </c>
      <c r="Q615" s="92"/>
      <c r="R615" s="92"/>
      <c r="S615" s="92"/>
      <c r="T615" s="93">
        <v>-100.59</v>
      </c>
      <c r="U615" s="93">
        <v>0</v>
      </c>
      <c r="V615" s="92"/>
      <c r="W615" s="92"/>
      <c r="X615" s="93">
        <v>-439.64</v>
      </c>
      <c r="Y615" s="92"/>
      <c r="Z615" s="92"/>
      <c r="AA615" s="92"/>
      <c r="AB615" s="92"/>
      <c r="AC615" s="92"/>
      <c r="AD615" s="92"/>
      <c r="AE615" s="92"/>
      <c r="AF615" s="92"/>
      <c r="AG615" s="93">
        <v>-26.9</v>
      </c>
      <c r="AH615" s="92"/>
      <c r="AI615" s="93">
        <v>-475.34</v>
      </c>
      <c r="AJ615" s="306">
        <v>-0.13</v>
      </c>
    </row>
    <row r="616" spans="1:36" customFormat="1" ht="15.75" thickBot="1" x14ac:dyDescent="0.3">
      <c r="A616" s="90" t="s">
        <v>1046</v>
      </c>
      <c r="B616" s="626" t="str">
        <f>VLOOKUP($D616,'Retail Rates'!$B$7:$D$38,2,FALSE)</f>
        <v>855</v>
      </c>
      <c r="C616" s="626" t="str">
        <f>VLOOKUP($D616,'Retail Rates'!$B$7:$D$38,3,FALSE)</f>
        <v>IGS Opt Out</v>
      </c>
      <c r="D616" s="90" t="s">
        <v>31</v>
      </c>
      <c r="E616" s="90" t="s">
        <v>880</v>
      </c>
      <c r="F616" s="90" t="s">
        <v>17</v>
      </c>
      <c r="G616" s="90" t="s">
        <v>904</v>
      </c>
      <c r="H616" s="305">
        <v>1</v>
      </c>
      <c r="I616" s="95">
        <v>-129</v>
      </c>
      <c r="J616" s="94"/>
      <c r="K616" s="95">
        <v>-34.869999999999997</v>
      </c>
      <c r="L616" s="94"/>
      <c r="M616" s="95">
        <v>-27.67</v>
      </c>
      <c r="N616" s="95">
        <v>-4.55</v>
      </c>
      <c r="O616" s="95">
        <v>0.13</v>
      </c>
      <c r="P616" s="95">
        <v>-64.44</v>
      </c>
      <c r="Q616" s="94"/>
      <c r="R616" s="94"/>
      <c r="S616" s="94"/>
      <c r="T616" s="95">
        <v>-100.59</v>
      </c>
      <c r="U616" s="95">
        <v>0</v>
      </c>
      <c r="V616" s="94"/>
      <c r="W616" s="94"/>
      <c r="X616" s="95">
        <v>-227.57</v>
      </c>
      <c r="Y616" s="94"/>
      <c r="Z616" s="94"/>
      <c r="AA616" s="94"/>
      <c r="AB616" s="94"/>
      <c r="AC616" s="94"/>
      <c r="AD616" s="94"/>
      <c r="AE616" s="94"/>
      <c r="AF616" s="94"/>
      <c r="AG616" s="95">
        <v>-13.93</v>
      </c>
      <c r="AH616" s="94"/>
      <c r="AI616" s="95">
        <v>-246.05</v>
      </c>
      <c r="AJ616" s="306">
        <v>-0.13</v>
      </c>
    </row>
    <row r="617" spans="1:36" customFormat="1" ht="15.75" thickBot="1" x14ac:dyDescent="0.3">
      <c r="A617" s="90" t="s">
        <v>1046</v>
      </c>
      <c r="B617" s="626" t="str">
        <f>VLOOKUP($D617,'Retail Rates'!$B$7:$D$38,2,FALSE)</f>
        <v>855</v>
      </c>
      <c r="C617" s="626" t="str">
        <f>VLOOKUP($D617,'Retail Rates'!$B$7:$D$38,3,FALSE)</f>
        <v>IGS</v>
      </c>
      <c r="D617" s="90" t="s">
        <v>878</v>
      </c>
      <c r="E617" s="90" t="s">
        <v>879</v>
      </c>
      <c r="F617" s="90" t="s">
        <v>21</v>
      </c>
      <c r="G617" s="90" t="s">
        <v>1000</v>
      </c>
      <c r="H617" s="304">
        <v>1</v>
      </c>
      <c r="I617" s="93">
        <v>0</v>
      </c>
      <c r="J617" s="92"/>
      <c r="K617" s="93">
        <v>-40</v>
      </c>
      <c r="L617" s="92"/>
      <c r="M617" s="93">
        <v>0</v>
      </c>
      <c r="N617" s="93">
        <v>0</v>
      </c>
      <c r="O617" s="93">
        <v>0</v>
      </c>
      <c r="P617" s="93">
        <v>0</v>
      </c>
      <c r="Q617" s="93">
        <v>0</v>
      </c>
      <c r="R617" s="92"/>
      <c r="S617" s="92"/>
      <c r="T617" s="93">
        <v>-259.54000000000002</v>
      </c>
      <c r="U617" s="92"/>
      <c r="V617" s="92"/>
      <c r="W617" s="92"/>
      <c r="X617" s="93">
        <v>-299.54000000000002</v>
      </c>
      <c r="Y617" s="92"/>
      <c r="Z617" s="92"/>
      <c r="AA617" s="92"/>
      <c r="AB617" s="92"/>
      <c r="AC617" s="92"/>
      <c r="AD617" s="92"/>
      <c r="AE617" s="92"/>
      <c r="AF617" s="92"/>
      <c r="AG617" s="93">
        <v>-17.97</v>
      </c>
      <c r="AH617" s="92"/>
      <c r="AI617" s="93">
        <v>-317.51</v>
      </c>
      <c r="AJ617" s="93">
        <v>0</v>
      </c>
    </row>
    <row r="618" spans="1:36" customFormat="1" ht="15.75" thickBot="1" x14ac:dyDescent="0.3">
      <c r="A618" s="90" t="s">
        <v>1046</v>
      </c>
      <c r="B618" s="626" t="str">
        <f>VLOOKUP($D618,'Retail Rates'!$B$7:$D$38,2,FALSE)</f>
        <v>855</v>
      </c>
      <c r="C618" s="626" t="str">
        <f>VLOOKUP($D618,'Retail Rates'!$B$7:$D$38,3,FALSE)</f>
        <v>IGS</v>
      </c>
      <c r="D618" s="90" t="s">
        <v>878</v>
      </c>
      <c r="E618" s="90" t="s">
        <v>879</v>
      </c>
      <c r="F618" s="90" t="s">
        <v>21</v>
      </c>
      <c r="G618" s="90" t="s">
        <v>1055</v>
      </c>
      <c r="H618" s="305">
        <v>213</v>
      </c>
      <c r="I618" s="95">
        <v>73233</v>
      </c>
      <c r="J618" s="95">
        <v>516133</v>
      </c>
      <c r="K618" s="95">
        <v>4160</v>
      </c>
      <c r="L618" s="95">
        <v>19620.04</v>
      </c>
      <c r="M618" s="95">
        <v>108445.06</v>
      </c>
      <c r="N618" s="95">
        <v>0</v>
      </c>
      <c r="O618" s="95">
        <v>0</v>
      </c>
      <c r="P618" s="95">
        <v>217792.37</v>
      </c>
      <c r="Q618" s="95">
        <v>0</v>
      </c>
      <c r="R618" s="94"/>
      <c r="S618" s="94"/>
      <c r="T618" s="95">
        <v>55282.02</v>
      </c>
      <c r="U618" s="94"/>
      <c r="V618" s="94"/>
      <c r="W618" s="94"/>
      <c r="X618" s="95">
        <v>405299.49</v>
      </c>
      <c r="Y618" s="94"/>
      <c r="Z618" s="94"/>
      <c r="AA618" s="94"/>
      <c r="AB618" s="94"/>
      <c r="AC618" s="94"/>
      <c r="AD618" s="94"/>
      <c r="AE618" s="94"/>
      <c r="AF618" s="94"/>
      <c r="AG618" s="95">
        <v>21316.54</v>
      </c>
      <c r="AH618" s="94"/>
      <c r="AI618" s="95">
        <v>426616.03</v>
      </c>
      <c r="AJ618" s="95">
        <v>0</v>
      </c>
    </row>
    <row r="619" spans="1:36" customFormat="1" ht="15.75" thickBot="1" x14ac:dyDescent="0.3">
      <c r="A619" s="90" t="s">
        <v>1046</v>
      </c>
      <c r="B619" s="626" t="str">
        <f>VLOOKUP($D619,'Retail Rates'!$B$7:$D$38,2,FALSE)</f>
        <v>855</v>
      </c>
      <c r="C619" s="626" t="str">
        <f>VLOOKUP($D619,'Retail Rates'!$B$7:$D$38,3,FALSE)</f>
        <v>IGS</v>
      </c>
      <c r="D619" s="90" t="s">
        <v>878</v>
      </c>
      <c r="E619" s="90" t="s">
        <v>879</v>
      </c>
      <c r="F619" s="90" t="s">
        <v>17</v>
      </c>
      <c r="G619" s="90" t="s">
        <v>1055</v>
      </c>
      <c r="H619" s="305">
        <v>21</v>
      </c>
      <c r="I619" s="95">
        <v>5663</v>
      </c>
      <c r="J619" s="95">
        <v>19032</v>
      </c>
      <c r="K619" s="95">
        <v>640</v>
      </c>
      <c r="L619" s="95">
        <v>900</v>
      </c>
      <c r="M619" s="95">
        <v>4673.67</v>
      </c>
      <c r="N619" s="95">
        <v>0</v>
      </c>
      <c r="O619" s="95">
        <v>0</v>
      </c>
      <c r="P619" s="95">
        <v>9261.94</v>
      </c>
      <c r="Q619" s="95">
        <v>0</v>
      </c>
      <c r="R619" s="94"/>
      <c r="S619" s="94"/>
      <c r="T619" s="95">
        <v>5450.34</v>
      </c>
      <c r="U619" s="94"/>
      <c r="V619" s="94"/>
      <c r="W619" s="94"/>
      <c r="X619" s="95">
        <v>20925.95</v>
      </c>
      <c r="Y619" s="94"/>
      <c r="Z619" s="94"/>
      <c r="AA619" s="94"/>
      <c r="AB619" s="94"/>
      <c r="AC619" s="94"/>
      <c r="AD619" s="94"/>
      <c r="AE619" s="94"/>
      <c r="AF619" s="94"/>
      <c r="AG619" s="95">
        <v>1083.55</v>
      </c>
      <c r="AH619" s="94"/>
      <c r="AI619" s="95">
        <v>22009.5</v>
      </c>
      <c r="AJ619" s="95">
        <v>0</v>
      </c>
    </row>
    <row r="620" spans="1:36" customFormat="1" ht="15.75" thickBot="1" x14ac:dyDescent="0.3">
      <c r="A620" s="90" t="s">
        <v>1046</v>
      </c>
      <c r="B620" s="626" t="str">
        <f>VLOOKUP($D620,'Retail Rates'!$B$7:$D$38,2,FALSE)</f>
        <v>866</v>
      </c>
      <c r="C620" s="626" t="str">
        <f>VLOOKUP($D620,'Retail Rates'!$B$7:$D$38,3,FALSE)</f>
        <v>AAGS-I</v>
      </c>
      <c r="D620" s="90" t="s">
        <v>872</v>
      </c>
      <c r="E620" s="90" t="s">
        <v>873</v>
      </c>
      <c r="F620" s="90" t="s">
        <v>21</v>
      </c>
      <c r="G620" s="90" t="s">
        <v>1055</v>
      </c>
      <c r="H620" s="305">
        <v>2</v>
      </c>
      <c r="I620" s="95">
        <v>79023</v>
      </c>
      <c r="J620" s="94"/>
      <c r="K620" s="95">
        <v>800</v>
      </c>
      <c r="L620" s="94"/>
      <c r="M620" s="95">
        <v>5538.72</v>
      </c>
      <c r="N620" s="95">
        <v>0</v>
      </c>
      <c r="O620" s="95">
        <v>0</v>
      </c>
      <c r="P620" s="95">
        <v>29972.14</v>
      </c>
      <c r="Q620" s="95">
        <v>0</v>
      </c>
      <c r="R620" s="94"/>
      <c r="S620" s="94"/>
      <c r="T620" s="95">
        <v>5677.74</v>
      </c>
      <c r="U620" s="94"/>
      <c r="V620" s="94"/>
      <c r="W620" s="94"/>
      <c r="X620" s="95">
        <v>41988.6</v>
      </c>
      <c r="Y620" s="94"/>
      <c r="Z620" s="94"/>
      <c r="AA620" s="94"/>
      <c r="AB620" s="94"/>
      <c r="AC620" s="94"/>
      <c r="AD620" s="94"/>
      <c r="AE620" s="94"/>
      <c r="AF620" s="94"/>
      <c r="AG620" s="95">
        <v>0</v>
      </c>
      <c r="AH620" s="94"/>
      <c r="AI620" s="95">
        <v>41988.6</v>
      </c>
      <c r="AJ620" s="95">
        <v>0</v>
      </c>
    </row>
    <row r="621" spans="1:36" customFormat="1" ht="15.75" thickBot="1" x14ac:dyDescent="0.3">
      <c r="A621" s="90" t="s">
        <v>1046</v>
      </c>
      <c r="B621" s="626" t="str">
        <f>VLOOKUP($D621,'Retail Rates'!$B$7:$D$38,2,FALSE)</f>
        <v>882</v>
      </c>
      <c r="C621" s="626" t="str">
        <f>VLOOKUP($D621,'Retail Rates'!$B$7:$D$38,3,FALSE)</f>
        <v>IGS-TS-2</v>
      </c>
      <c r="D621" s="90" t="s">
        <v>1001</v>
      </c>
      <c r="E621" s="90" t="s">
        <v>1002</v>
      </c>
      <c r="F621" s="90" t="s">
        <v>663</v>
      </c>
      <c r="G621" s="90" t="s">
        <v>1019</v>
      </c>
      <c r="H621" s="304">
        <v>4</v>
      </c>
      <c r="I621" s="93">
        <v>4000</v>
      </c>
      <c r="J621" s="93">
        <v>338815</v>
      </c>
      <c r="K621" s="92"/>
      <c r="L621" s="92"/>
      <c r="M621" s="92"/>
      <c r="N621" s="93">
        <v>0</v>
      </c>
      <c r="O621" s="93">
        <v>0</v>
      </c>
      <c r="P621" s="92"/>
      <c r="Q621" s="92"/>
      <c r="R621" s="92"/>
      <c r="S621" s="92"/>
      <c r="T621" s="93">
        <v>1038.1600000000001</v>
      </c>
      <c r="U621" s="92"/>
      <c r="V621" s="92"/>
      <c r="W621" s="92"/>
      <c r="X621" s="93">
        <v>1038.1600000000001</v>
      </c>
      <c r="Y621" s="92"/>
      <c r="Z621" s="93">
        <v>5454.62</v>
      </c>
      <c r="AA621" s="93">
        <v>90089.53</v>
      </c>
      <c r="AB621" s="93">
        <v>720</v>
      </c>
      <c r="AC621" s="92"/>
      <c r="AD621" s="93">
        <v>0</v>
      </c>
      <c r="AE621" s="93">
        <v>2200</v>
      </c>
      <c r="AF621" s="92"/>
      <c r="AG621" s="93">
        <v>1490.11</v>
      </c>
      <c r="AH621" s="92"/>
      <c r="AI621" s="93">
        <v>100992.42</v>
      </c>
      <c r="AJ621" s="93">
        <v>0</v>
      </c>
    </row>
    <row r="622" spans="1:36" customFormat="1" ht="15.75" thickBot="1" x14ac:dyDescent="0.3">
      <c r="A622" s="90" t="s">
        <v>1046</v>
      </c>
      <c r="B622" s="626" t="str">
        <f>VLOOKUP($D622,'Retail Rates'!$B$7:$D$38,2,FALSE)</f>
        <v>882</v>
      </c>
      <c r="C622" s="626" t="str">
        <f>VLOOKUP($D622,'Retail Rates'!$B$7:$D$38,3,FALSE)</f>
        <v>IGS-TS-2</v>
      </c>
      <c r="D622" s="90" t="s">
        <v>1001</v>
      </c>
      <c r="E622" s="90" t="s">
        <v>1002</v>
      </c>
      <c r="F622" s="90" t="s">
        <v>662</v>
      </c>
      <c r="G622" s="90" t="s">
        <v>1019</v>
      </c>
      <c r="H622" s="305">
        <v>1</v>
      </c>
      <c r="I622" s="95">
        <v>1000</v>
      </c>
      <c r="J622" s="95">
        <v>126507</v>
      </c>
      <c r="K622" s="94"/>
      <c r="L622" s="94"/>
      <c r="M622" s="94"/>
      <c r="N622" s="95">
        <v>0</v>
      </c>
      <c r="O622" s="95">
        <v>0</v>
      </c>
      <c r="P622" s="94"/>
      <c r="Q622" s="94"/>
      <c r="R622" s="94"/>
      <c r="S622" s="94"/>
      <c r="T622" s="95">
        <v>259.54000000000002</v>
      </c>
      <c r="U622" s="94"/>
      <c r="V622" s="94"/>
      <c r="W622" s="94"/>
      <c r="X622" s="95">
        <v>259.54000000000002</v>
      </c>
      <c r="Y622" s="94"/>
      <c r="Z622" s="95">
        <v>5932.9</v>
      </c>
      <c r="AA622" s="95">
        <v>33483.61</v>
      </c>
      <c r="AB622" s="95">
        <v>180</v>
      </c>
      <c r="AC622" s="94"/>
      <c r="AD622" s="95">
        <v>0</v>
      </c>
      <c r="AE622" s="95">
        <v>550</v>
      </c>
      <c r="AF622" s="94"/>
      <c r="AG622" s="95">
        <v>0</v>
      </c>
      <c r="AH622" s="94"/>
      <c r="AI622" s="95">
        <v>40406.050000000003</v>
      </c>
      <c r="AJ622" s="95">
        <v>0</v>
      </c>
    </row>
    <row r="623" spans="1:36" customFormat="1" ht="15.75" thickBot="1" x14ac:dyDescent="0.3">
      <c r="A623" s="90" t="s">
        <v>1046</v>
      </c>
      <c r="B623" s="626" t="str">
        <f>VLOOKUP($D623,'Retail Rates'!$B$7:$D$38,2,FALSE)</f>
        <v>882</v>
      </c>
      <c r="C623" s="626" t="str">
        <f>VLOOKUP($D623,'Retail Rates'!$B$7:$D$38,3,FALSE)</f>
        <v>IGS-TS-2-PM</v>
      </c>
      <c r="D623" s="90" t="s">
        <v>93</v>
      </c>
      <c r="E623" s="90" t="s">
        <v>719</v>
      </c>
      <c r="F623" s="90" t="s">
        <v>663</v>
      </c>
      <c r="G623" s="90" t="s">
        <v>1019</v>
      </c>
      <c r="H623" s="305">
        <v>2</v>
      </c>
      <c r="I623" s="94"/>
      <c r="J623" s="94"/>
      <c r="K623" s="94"/>
      <c r="L623" s="94"/>
      <c r="M623" s="94"/>
      <c r="N623" s="95">
        <v>0</v>
      </c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5">
        <v>0</v>
      </c>
      <c r="AB623" s="95">
        <v>236.79</v>
      </c>
      <c r="AC623" s="95">
        <v>2541.11</v>
      </c>
      <c r="AD623" s="94"/>
      <c r="AE623" s="95">
        <v>525</v>
      </c>
      <c r="AF623" s="95">
        <v>0</v>
      </c>
      <c r="AG623" s="95">
        <v>0</v>
      </c>
      <c r="AH623" s="94"/>
      <c r="AI623" s="95">
        <v>3302.9</v>
      </c>
      <c r="AJ623" s="95">
        <v>0</v>
      </c>
    </row>
    <row r="624" spans="1:36" customFormat="1" ht="15.75" thickBot="1" x14ac:dyDescent="0.3">
      <c r="A624" s="90" t="s">
        <v>1046</v>
      </c>
      <c r="B624" s="626" t="str">
        <f>VLOOKUP($D624,'Retail Rates'!$B$7:$D$38,2,FALSE)</f>
        <v>892</v>
      </c>
      <c r="C624" s="626" t="str">
        <f>VLOOKUP($D624,'Retail Rates'!$B$7:$D$38,3,FALSE)</f>
        <v>AAGS-I-TS-2</v>
      </c>
      <c r="D624" s="90" t="s">
        <v>1003</v>
      </c>
      <c r="E624" s="90" t="s">
        <v>1004</v>
      </c>
      <c r="F624" s="90" t="s">
        <v>663</v>
      </c>
      <c r="G624" s="90" t="s">
        <v>1019</v>
      </c>
      <c r="H624" s="304">
        <v>1</v>
      </c>
      <c r="I624" s="93">
        <v>59261</v>
      </c>
      <c r="J624" s="92"/>
      <c r="K624" s="92"/>
      <c r="L624" s="92"/>
      <c r="M624" s="92"/>
      <c r="N624" s="93">
        <v>0</v>
      </c>
      <c r="O624" s="92"/>
      <c r="P624" s="92"/>
      <c r="Q624" s="92"/>
      <c r="R624" s="92"/>
      <c r="S624" s="92"/>
      <c r="T624" s="93">
        <v>2838.87</v>
      </c>
      <c r="U624" s="92"/>
      <c r="V624" s="92"/>
      <c r="W624" s="92"/>
      <c r="X624" s="93">
        <v>2838.87</v>
      </c>
      <c r="Y624" s="92"/>
      <c r="Z624" s="93">
        <v>0</v>
      </c>
      <c r="AA624" s="93">
        <v>9156.41</v>
      </c>
      <c r="AB624" s="93">
        <v>400</v>
      </c>
      <c r="AC624" s="92"/>
      <c r="AD624" s="93">
        <v>0</v>
      </c>
      <c r="AE624" s="93">
        <v>550</v>
      </c>
      <c r="AF624" s="92"/>
      <c r="AG624" s="93">
        <v>0</v>
      </c>
      <c r="AH624" s="92"/>
      <c r="AI624" s="93">
        <v>12945.28</v>
      </c>
      <c r="AJ624" s="93">
        <v>0</v>
      </c>
    </row>
    <row r="625" spans="1:36" customFormat="1" ht="15.75" thickBot="1" x14ac:dyDescent="0.3">
      <c r="A625" s="90" t="s">
        <v>1046</v>
      </c>
      <c r="B625" s="626" t="str">
        <f>VLOOKUP($D625,'Retail Rates'!$B$7:$D$38,2,FALSE)</f>
        <v>892</v>
      </c>
      <c r="C625" s="626" t="str">
        <f>VLOOKUP($D625,'Retail Rates'!$B$7:$D$38,3,FALSE)</f>
        <v>AAGS-I-TS-2</v>
      </c>
      <c r="D625" s="90" t="s">
        <v>1003</v>
      </c>
      <c r="E625" s="90" t="s">
        <v>1004</v>
      </c>
      <c r="F625" s="90" t="s">
        <v>662</v>
      </c>
      <c r="G625" s="90" t="s">
        <v>1019</v>
      </c>
      <c r="H625" s="305">
        <v>1</v>
      </c>
      <c r="I625" s="95">
        <v>134286</v>
      </c>
      <c r="J625" s="94"/>
      <c r="K625" s="94"/>
      <c r="L625" s="94"/>
      <c r="M625" s="94"/>
      <c r="N625" s="95">
        <v>0</v>
      </c>
      <c r="O625" s="95">
        <v>0</v>
      </c>
      <c r="P625" s="94"/>
      <c r="Q625" s="94"/>
      <c r="R625" s="94"/>
      <c r="S625" s="94"/>
      <c r="T625" s="95">
        <v>2838.87</v>
      </c>
      <c r="U625" s="94"/>
      <c r="V625" s="94"/>
      <c r="W625" s="94"/>
      <c r="X625" s="95">
        <v>2838.87</v>
      </c>
      <c r="Y625" s="94"/>
      <c r="Z625" s="95">
        <v>6248.33</v>
      </c>
      <c r="AA625" s="95">
        <v>20748.53</v>
      </c>
      <c r="AB625" s="95">
        <v>400</v>
      </c>
      <c r="AC625" s="94"/>
      <c r="AD625" s="95">
        <v>0</v>
      </c>
      <c r="AE625" s="95">
        <v>550</v>
      </c>
      <c r="AF625" s="94"/>
      <c r="AG625" s="95">
        <v>0</v>
      </c>
      <c r="AH625" s="94"/>
      <c r="AI625" s="95">
        <v>30785.73</v>
      </c>
      <c r="AJ625" s="95">
        <v>0</v>
      </c>
    </row>
    <row r="626" spans="1:36" customFormat="1" ht="15.75" thickBot="1" x14ac:dyDescent="0.3">
      <c r="A626" s="90" t="s">
        <v>1046</v>
      </c>
      <c r="B626" s="626" t="str">
        <f>VLOOKUP($D626,'Retail Rates'!$B$7:$D$38,2,FALSE)</f>
        <v>896</v>
      </c>
      <c r="C626" s="626" t="str">
        <f>VLOOKUP($D626,'Retail Rates'!$B$7:$D$38,3,FALSE)</f>
        <v>FT-I</v>
      </c>
      <c r="D626" s="90" t="s">
        <v>933</v>
      </c>
      <c r="E626" s="90" t="s">
        <v>1005</v>
      </c>
      <c r="F626" s="90" t="s">
        <v>663</v>
      </c>
      <c r="G626" s="90" t="s">
        <v>1019</v>
      </c>
      <c r="H626" s="305">
        <v>63</v>
      </c>
      <c r="I626" s="95">
        <v>6250353</v>
      </c>
      <c r="J626" s="94"/>
      <c r="K626" s="94"/>
      <c r="L626" s="94"/>
      <c r="M626" s="94"/>
      <c r="N626" s="95">
        <v>0</v>
      </c>
      <c r="O626" s="95">
        <v>0</v>
      </c>
      <c r="P626" s="94"/>
      <c r="Q626" s="94"/>
      <c r="R626" s="94"/>
      <c r="S626" s="94"/>
      <c r="T626" s="94"/>
      <c r="U626" s="94"/>
      <c r="V626" s="94"/>
      <c r="W626" s="94"/>
      <c r="X626" s="94"/>
      <c r="Y626" s="95">
        <v>3709.53</v>
      </c>
      <c r="Z626" s="94"/>
      <c r="AA626" s="95">
        <v>270040.53000000003</v>
      </c>
      <c r="AB626" s="95">
        <v>-3250.98</v>
      </c>
      <c r="AC626" s="95">
        <v>218.26</v>
      </c>
      <c r="AD626" s="94"/>
      <c r="AE626" s="95">
        <v>34650</v>
      </c>
      <c r="AF626" s="95">
        <v>548.91</v>
      </c>
      <c r="AG626" s="95">
        <v>13906.9</v>
      </c>
      <c r="AH626" s="94"/>
      <c r="AI626" s="95">
        <v>319274.23999999999</v>
      </c>
      <c r="AJ626" s="306">
        <v>-548.91</v>
      </c>
    </row>
    <row r="627" spans="1:36" customFormat="1" ht="15.75" thickBot="1" x14ac:dyDescent="0.3">
      <c r="A627" s="90" t="s">
        <v>1046</v>
      </c>
      <c r="B627" s="626" t="str">
        <f>VLOOKUP($D627,'Retail Rates'!$B$7:$D$38,2,FALSE)</f>
        <v>896</v>
      </c>
      <c r="C627" s="626" t="str">
        <f>VLOOKUP($D627,'Retail Rates'!$B$7:$D$38,3,FALSE)</f>
        <v>FT-I</v>
      </c>
      <c r="D627" s="90" t="s">
        <v>933</v>
      </c>
      <c r="E627" s="90" t="s">
        <v>1005</v>
      </c>
      <c r="F627" s="90" t="s">
        <v>662</v>
      </c>
      <c r="G627" s="90" t="s">
        <v>1019</v>
      </c>
      <c r="H627" s="304">
        <v>1</v>
      </c>
      <c r="I627" s="93">
        <v>189149</v>
      </c>
      <c r="J627" s="92"/>
      <c r="K627" s="92"/>
      <c r="L627" s="92"/>
      <c r="M627" s="92"/>
      <c r="N627" s="93">
        <v>0</v>
      </c>
      <c r="O627" s="93">
        <v>0</v>
      </c>
      <c r="P627" s="92"/>
      <c r="Q627" s="92"/>
      <c r="R627" s="92"/>
      <c r="S627" s="92"/>
      <c r="T627" s="92"/>
      <c r="U627" s="92"/>
      <c r="V627" s="92"/>
      <c r="W627" s="92"/>
      <c r="X627" s="92"/>
      <c r="Y627" s="93">
        <v>0</v>
      </c>
      <c r="Z627" s="92"/>
      <c r="AA627" s="93">
        <v>8137.19</v>
      </c>
      <c r="AB627" s="93">
        <v>0</v>
      </c>
      <c r="AC627" s="92"/>
      <c r="AD627" s="92"/>
      <c r="AE627" s="93">
        <v>550</v>
      </c>
      <c r="AF627" s="93">
        <v>0</v>
      </c>
      <c r="AG627" s="93">
        <v>0</v>
      </c>
      <c r="AH627" s="92"/>
      <c r="AI627" s="93">
        <v>8687.19</v>
      </c>
      <c r="AJ627" s="93">
        <v>0</v>
      </c>
    </row>
    <row r="628" spans="1:36" customFormat="1" ht="15.75" thickBot="1" x14ac:dyDescent="0.3">
      <c r="A628" s="90" t="s">
        <v>1046</v>
      </c>
      <c r="B628" s="626" t="str">
        <f>VLOOKUP($D628,'Retail Rates'!$B$7:$D$38,2,FALSE)</f>
        <v>896</v>
      </c>
      <c r="C628" s="626" t="str">
        <f>VLOOKUP($D628,'Retail Rates'!$B$7:$D$38,3,FALSE)</f>
        <v>FT-I-PM</v>
      </c>
      <c r="D628" s="90" t="s">
        <v>54</v>
      </c>
      <c r="E628" s="90" t="s">
        <v>55</v>
      </c>
      <c r="F628" s="90" t="s">
        <v>663</v>
      </c>
      <c r="G628" s="90" t="s">
        <v>1019</v>
      </c>
      <c r="H628" s="304">
        <v>5</v>
      </c>
      <c r="I628" s="92"/>
      <c r="J628" s="92"/>
      <c r="K628" s="92"/>
      <c r="L628" s="92"/>
      <c r="M628" s="92"/>
      <c r="N628" s="93">
        <v>0</v>
      </c>
      <c r="O628" s="93">
        <v>0</v>
      </c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3">
        <v>21843.81</v>
      </c>
      <c r="AB628" s="93">
        <v>-43570.2</v>
      </c>
      <c r="AC628" s="93">
        <v>6573.89</v>
      </c>
      <c r="AD628" s="92"/>
      <c r="AE628" s="93">
        <v>5250</v>
      </c>
      <c r="AF628" s="93">
        <v>10423.48</v>
      </c>
      <c r="AG628" s="93">
        <v>531.14</v>
      </c>
      <c r="AH628" s="92"/>
      <c r="AI628" s="93">
        <v>-9371.36</v>
      </c>
      <c r="AJ628" s="306">
        <v>-10423.48</v>
      </c>
    </row>
    <row r="629" spans="1:36" customFormat="1" ht="15.75" thickBot="1" x14ac:dyDescent="0.3">
      <c r="A629" s="90" t="s">
        <v>1046</v>
      </c>
      <c r="B629" s="626" t="str">
        <f>VLOOKUP($D629,'Retail Rates'!$B$7:$D$38,2,FALSE)</f>
        <v>996</v>
      </c>
      <c r="C629" s="626" t="str">
        <f>VLOOKUP($D629,'Retail Rates'!$B$7:$D$38,3,FALSE)</f>
        <v>SPC-LGE</v>
      </c>
      <c r="D629" s="90" t="s">
        <v>45</v>
      </c>
      <c r="E629" s="90" t="s">
        <v>46</v>
      </c>
      <c r="F629" s="90" t="s">
        <v>165</v>
      </c>
      <c r="G629" s="90" t="s">
        <v>1055</v>
      </c>
      <c r="H629" s="305">
        <v>1</v>
      </c>
      <c r="I629" s="95">
        <v>238799</v>
      </c>
      <c r="J629" s="94"/>
      <c r="K629" s="95">
        <v>180</v>
      </c>
      <c r="L629" s="94"/>
      <c r="M629" s="95">
        <v>7949.62</v>
      </c>
      <c r="N629" s="95">
        <v>0</v>
      </c>
      <c r="O629" s="95">
        <v>0</v>
      </c>
      <c r="P629" s="95">
        <v>91259.43</v>
      </c>
      <c r="Q629" s="94"/>
      <c r="R629" s="94"/>
      <c r="S629" s="94"/>
      <c r="T629" s="95">
        <v>259.54000000000002</v>
      </c>
      <c r="U629" s="94"/>
      <c r="V629" s="94"/>
      <c r="W629" s="95">
        <v>186513.62</v>
      </c>
      <c r="X629" s="95">
        <v>286162.21000000002</v>
      </c>
      <c r="Y629" s="94"/>
      <c r="Z629" s="94"/>
      <c r="AA629" s="94"/>
      <c r="AB629" s="94"/>
      <c r="AC629" s="94"/>
      <c r="AD629" s="94"/>
      <c r="AE629" s="94"/>
      <c r="AF629" s="94"/>
      <c r="AG629" s="95">
        <v>0</v>
      </c>
      <c r="AH629" s="94"/>
      <c r="AI629" s="95">
        <v>286162.21000000002</v>
      </c>
      <c r="AJ629" s="95">
        <v>0</v>
      </c>
    </row>
    <row r="630" spans="1:36" customFormat="1" ht="15.75" thickBot="1" x14ac:dyDescent="0.3">
      <c r="A630" s="90" t="s">
        <v>1046</v>
      </c>
      <c r="B630" s="626" t="str">
        <f>VLOOKUP($D630,'Retail Rates'!$B$7:$D$38,2,FALSE)</f>
        <v>997</v>
      </c>
      <c r="C630" s="626" t="str">
        <f>VLOOKUP($D630,'Retail Rates'!$B$7:$D$38,3,FALSE)</f>
        <v>SPC-P</v>
      </c>
      <c r="D630" s="90" t="s">
        <v>57</v>
      </c>
      <c r="E630" s="90" t="s">
        <v>58</v>
      </c>
      <c r="F630" s="90" t="s">
        <v>664</v>
      </c>
      <c r="G630" s="90" t="s">
        <v>1019</v>
      </c>
      <c r="H630" s="304">
        <v>1</v>
      </c>
      <c r="I630" s="93">
        <v>2705296</v>
      </c>
      <c r="J630" s="92"/>
      <c r="K630" s="92"/>
      <c r="L630" s="92"/>
      <c r="M630" s="92"/>
      <c r="N630" s="93">
        <v>0</v>
      </c>
      <c r="O630" s="93">
        <v>0</v>
      </c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3">
        <v>120754.87</v>
      </c>
      <c r="AB630" s="93">
        <v>-11278.28</v>
      </c>
      <c r="AC630" s="93">
        <v>2581.4299999999998</v>
      </c>
      <c r="AD630" s="92"/>
      <c r="AE630" s="92"/>
      <c r="AF630" s="93">
        <v>80.760000000000005</v>
      </c>
      <c r="AG630" s="93">
        <v>0</v>
      </c>
      <c r="AH630" s="92"/>
      <c r="AI630" s="93">
        <v>112058.02</v>
      </c>
      <c r="AJ630" s="306">
        <v>-80.760000000000005</v>
      </c>
    </row>
    <row r="631" spans="1:36" customFormat="1" ht="15.75" thickBot="1" x14ac:dyDescent="0.3">
      <c r="A631" s="90" t="s">
        <v>1046</v>
      </c>
      <c r="B631" s="626" t="str">
        <f>VLOOKUP($D631,'Retail Rates'!$B$7:$D$38,2,FALSE)</f>
        <v>811</v>
      </c>
      <c r="C631" s="626" t="str">
        <f>VLOOKUP($D631,'Retail Rates'!$B$7:$D$38,3,FALSE)</f>
        <v>RGS</v>
      </c>
      <c r="D631" s="90" t="s">
        <v>35</v>
      </c>
      <c r="E631" s="90" t="s">
        <v>36</v>
      </c>
      <c r="F631" s="90" t="s">
        <v>17</v>
      </c>
      <c r="G631" s="90" t="s">
        <v>1000</v>
      </c>
      <c r="H631" s="305">
        <v>1</v>
      </c>
      <c r="I631" s="95">
        <v>0</v>
      </c>
      <c r="J631" s="94"/>
      <c r="K631" s="95">
        <v>8.1</v>
      </c>
      <c r="L631" s="94"/>
      <c r="M631" s="95">
        <v>0</v>
      </c>
      <c r="N631" s="94"/>
      <c r="O631" s="94"/>
      <c r="P631" s="95">
        <v>0</v>
      </c>
      <c r="Q631" s="95">
        <v>0</v>
      </c>
      <c r="R631" s="94"/>
      <c r="S631" s="95">
        <v>0.25</v>
      </c>
      <c r="T631" s="95">
        <v>3.08</v>
      </c>
      <c r="U631" s="94"/>
      <c r="V631" s="94"/>
      <c r="W631" s="94"/>
      <c r="X631" s="95">
        <v>11.18</v>
      </c>
      <c r="Y631" s="94"/>
      <c r="Z631" s="94"/>
      <c r="AA631" s="94"/>
      <c r="AB631" s="94"/>
      <c r="AC631" s="94"/>
      <c r="AD631" s="94"/>
      <c r="AE631" s="94"/>
      <c r="AF631" s="94"/>
      <c r="AG631" s="95">
        <v>0.67</v>
      </c>
      <c r="AH631" s="94"/>
      <c r="AI631" s="95">
        <v>12.1</v>
      </c>
      <c r="AJ631" s="95">
        <v>0</v>
      </c>
    </row>
    <row r="632" spans="1:36" customFormat="1" ht="15.75" thickBot="1" x14ac:dyDescent="0.3">
      <c r="A632" s="90" t="s">
        <v>1046</v>
      </c>
      <c r="B632" s="626" t="str">
        <f>VLOOKUP($D632,'Retail Rates'!$B$7:$D$38,2,FALSE)</f>
        <v>811</v>
      </c>
      <c r="C632" s="626" t="str">
        <f>VLOOKUP($D632,'Retail Rates'!$B$7:$D$38,3,FALSE)</f>
        <v>RGS</v>
      </c>
      <c r="D632" s="90" t="s">
        <v>35</v>
      </c>
      <c r="E632" s="90" t="s">
        <v>36</v>
      </c>
      <c r="F632" s="90" t="s">
        <v>17</v>
      </c>
      <c r="G632" s="90" t="s">
        <v>1055</v>
      </c>
      <c r="H632" s="304">
        <v>11</v>
      </c>
      <c r="I632" s="93">
        <v>64</v>
      </c>
      <c r="J632" s="92"/>
      <c r="K632" s="93">
        <v>148.5</v>
      </c>
      <c r="L632" s="92"/>
      <c r="M632" s="93">
        <v>18.37</v>
      </c>
      <c r="N632" s="93">
        <v>0</v>
      </c>
      <c r="O632" s="93">
        <v>0</v>
      </c>
      <c r="P632" s="93">
        <v>23.93</v>
      </c>
      <c r="Q632" s="93">
        <v>0.69</v>
      </c>
      <c r="R632" s="92"/>
      <c r="S632" s="93">
        <v>2.75</v>
      </c>
      <c r="T632" s="93">
        <v>56.54</v>
      </c>
      <c r="U632" s="93">
        <v>0</v>
      </c>
      <c r="V632" s="92"/>
      <c r="W632" s="92"/>
      <c r="X632" s="93">
        <v>248.03</v>
      </c>
      <c r="Y632" s="92"/>
      <c r="Z632" s="92"/>
      <c r="AA632" s="92"/>
      <c r="AB632" s="92"/>
      <c r="AC632" s="92"/>
      <c r="AD632" s="92"/>
      <c r="AE632" s="92"/>
      <c r="AF632" s="92"/>
      <c r="AG632" s="93">
        <v>13.19</v>
      </c>
      <c r="AH632" s="92"/>
      <c r="AI632" s="93">
        <v>263.97000000000003</v>
      </c>
      <c r="AJ632" s="93">
        <v>0</v>
      </c>
    </row>
    <row r="633" spans="1:36" customFormat="1" ht="15.75" thickBot="1" x14ac:dyDescent="0.3">
      <c r="A633" s="90" t="s">
        <v>1046</v>
      </c>
      <c r="B633" s="626" t="str">
        <f>VLOOKUP($D633,'Retail Rates'!$B$7:$D$38,2,FALSE)</f>
        <v>811</v>
      </c>
      <c r="C633" s="626" t="str">
        <f>VLOOKUP($D633,'Retail Rates'!$B$7:$D$38,3,FALSE)</f>
        <v>RGS</v>
      </c>
      <c r="D633" s="90" t="s">
        <v>35</v>
      </c>
      <c r="E633" s="90" t="s">
        <v>36</v>
      </c>
      <c r="F633" s="90" t="s">
        <v>20</v>
      </c>
      <c r="G633" s="90" t="s">
        <v>1019</v>
      </c>
      <c r="H633" s="304">
        <v>1</v>
      </c>
      <c r="I633" s="93">
        <v>13</v>
      </c>
      <c r="J633" s="92"/>
      <c r="K633" s="93">
        <v>13.5</v>
      </c>
      <c r="L633" s="92"/>
      <c r="M633" s="93">
        <v>3.73</v>
      </c>
      <c r="N633" s="93">
        <v>0</v>
      </c>
      <c r="O633" s="93">
        <v>0</v>
      </c>
      <c r="P633" s="93">
        <v>4.57</v>
      </c>
      <c r="Q633" s="93">
        <v>0.14000000000000001</v>
      </c>
      <c r="R633" s="92"/>
      <c r="S633" s="93">
        <v>0.25</v>
      </c>
      <c r="T633" s="93">
        <v>5.14</v>
      </c>
      <c r="U633" s="93">
        <v>0</v>
      </c>
      <c r="V633" s="92"/>
      <c r="W633" s="92"/>
      <c r="X633" s="93">
        <v>27.08</v>
      </c>
      <c r="Y633" s="92"/>
      <c r="Z633" s="92"/>
      <c r="AA633" s="92"/>
      <c r="AB633" s="92"/>
      <c r="AC633" s="92"/>
      <c r="AD633" s="92"/>
      <c r="AE633" s="92"/>
      <c r="AF633" s="92"/>
      <c r="AG633" s="93">
        <v>0</v>
      </c>
      <c r="AH633" s="92"/>
      <c r="AI633" s="93">
        <v>27.33</v>
      </c>
      <c r="AJ633" s="93">
        <v>0</v>
      </c>
    </row>
    <row r="634" spans="1:36" customFormat="1" ht="15.75" thickBot="1" x14ac:dyDescent="0.3">
      <c r="A634" s="90" t="s">
        <v>1046</v>
      </c>
      <c r="B634" s="626" t="str">
        <f>VLOOKUP($D634,'Retail Rates'!$B$7:$D$38,2,FALSE)</f>
        <v>811</v>
      </c>
      <c r="C634" s="626" t="str">
        <f>VLOOKUP($D634,'Retail Rates'!$B$7:$D$38,3,FALSE)</f>
        <v>RGS</v>
      </c>
      <c r="D634" s="90" t="s">
        <v>35</v>
      </c>
      <c r="E634" s="90" t="s">
        <v>36</v>
      </c>
      <c r="F634" s="90" t="s">
        <v>20</v>
      </c>
      <c r="G634" s="90" t="s">
        <v>1055</v>
      </c>
      <c r="H634" s="305">
        <v>63</v>
      </c>
      <c r="I634" s="95">
        <v>548</v>
      </c>
      <c r="J634" s="94"/>
      <c r="K634" s="95">
        <v>842.4</v>
      </c>
      <c r="L634" s="94"/>
      <c r="M634" s="95">
        <v>157.22</v>
      </c>
      <c r="N634" s="95">
        <v>0</v>
      </c>
      <c r="O634" s="95">
        <v>0</v>
      </c>
      <c r="P634" s="95">
        <v>202.08</v>
      </c>
      <c r="Q634" s="95">
        <v>5.96</v>
      </c>
      <c r="R634" s="94"/>
      <c r="S634" s="95">
        <v>15.75</v>
      </c>
      <c r="T634" s="95">
        <v>320.74</v>
      </c>
      <c r="U634" s="95">
        <v>0</v>
      </c>
      <c r="V634" s="94"/>
      <c r="W634" s="94"/>
      <c r="X634" s="95">
        <v>1528.4</v>
      </c>
      <c r="Y634" s="94"/>
      <c r="Z634" s="94"/>
      <c r="AA634" s="94"/>
      <c r="AB634" s="94"/>
      <c r="AC634" s="94"/>
      <c r="AD634" s="94"/>
      <c r="AE634" s="94"/>
      <c r="AF634" s="94"/>
      <c r="AG634" s="95">
        <v>1.57</v>
      </c>
      <c r="AH634" s="94"/>
      <c r="AI634" s="95">
        <v>1545.72</v>
      </c>
      <c r="AJ634" s="95">
        <v>0</v>
      </c>
    </row>
    <row r="635" spans="1:36" customFormat="1" ht="15.75" thickBot="1" x14ac:dyDescent="0.3">
      <c r="A635" s="90" t="s">
        <v>1046</v>
      </c>
      <c r="B635" s="626" t="str">
        <f>VLOOKUP($D635,'Retail Rates'!$B$7:$D$38,2,FALSE)</f>
        <v>811</v>
      </c>
      <c r="C635" s="626" t="str">
        <f>VLOOKUP($D635,'Retail Rates'!$B$7:$D$38,3,FALSE)</f>
        <v>RGS</v>
      </c>
      <c r="D635" s="90" t="s">
        <v>35</v>
      </c>
      <c r="E635" s="90" t="s">
        <v>36</v>
      </c>
      <c r="F635" s="90" t="s">
        <v>28</v>
      </c>
      <c r="G635" s="90" t="s">
        <v>899</v>
      </c>
      <c r="H635" s="305">
        <v>4</v>
      </c>
      <c r="I635" s="95">
        <v>-10</v>
      </c>
      <c r="J635" s="94"/>
      <c r="K635" s="95">
        <v>0</v>
      </c>
      <c r="L635" s="94"/>
      <c r="M635" s="95">
        <v>-2.63</v>
      </c>
      <c r="N635" s="95">
        <v>0</v>
      </c>
      <c r="O635" s="95">
        <v>0</v>
      </c>
      <c r="P635" s="95">
        <v>-5.68</v>
      </c>
      <c r="Q635" s="95">
        <v>-0.16</v>
      </c>
      <c r="R635" s="95">
        <v>-0.38</v>
      </c>
      <c r="S635" s="95">
        <v>0</v>
      </c>
      <c r="T635" s="95">
        <v>0</v>
      </c>
      <c r="U635" s="95">
        <v>0</v>
      </c>
      <c r="V635" s="94"/>
      <c r="W635" s="94"/>
      <c r="X635" s="95">
        <v>-8.85</v>
      </c>
      <c r="Y635" s="94"/>
      <c r="Z635" s="94"/>
      <c r="AA635" s="94"/>
      <c r="AB635" s="94"/>
      <c r="AC635" s="94"/>
      <c r="AD635" s="94"/>
      <c r="AE635" s="94"/>
      <c r="AF635" s="94"/>
      <c r="AG635" s="95">
        <v>0</v>
      </c>
      <c r="AH635" s="94"/>
      <c r="AI635" s="95">
        <v>-8.85</v>
      </c>
      <c r="AJ635" s="95">
        <v>0</v>
      </c>
    </row>
    <row r="636" spans="1:36" customFormat="1" ht="15.75" thickBot="1" x14ac:dyDescent="0.3">
      <c r="A636" s="90" t="s">
        <v>1046</v>
      </c>
      <c r="B636" s="626" t="str">
        <f>VLOOKUP($D636,'Retail Rates'!$B$7:$D$38,2,FALSE)</f>
        <v>811</v>
      </c>
      <c r="C636" s="626" t="str">
        <f>VLOOKUP($D636,'Retail Rates'!$B$7:$D$38,3,FALSE)</f>
        <v>RGS</v>
      </c>
      <c r="D636" s="90" t="s">
        <v>35</v>
      </c>
      <c r="E636" s="90" t="s">
        <v>36</v>
      </c>
      <c r="F636" s="90" t="s">
        <v>28</v>
      </c>
      <c r="G636" s="90" t="s">
        <v>900</v>
      </c>
      <c r="H636" s="304">
        <v>5</v>
      </c>
      <c r="I636" s="93">
        <v>-18</v>
      </c>
      <c r="J636" s="92"/>
      <c r="K636" s="93">
        <v>0</v>
      </c>
      <c r="L636" s="92"/>
      <c r="M636" s="93">
        <v>-4.75</v>
      </c>
      <c r="N636" s="93">
        <v>-0.22</v>
      </c>
      <c r="O636" s="93">
        <v>0</v>
      </c>
      <c r="P636" s="93">
        <v>-10.1</v>
      </c>
      <c r="Q636" s="93">
        <v>-0.3</v>
      </c>
      <c r="R636" s="93">
        <v>-0.98</v>
      </c>
      <c r="S636" s="93">
        <v>0</v>
      </c>
      <c r="T636" s="93">
        <v>0</v>
      </c>
      <c r="U636" s="93">
        <v>0</v>
      </c>
      <c r="V636" s="92"/>
      <c r="W636" s="92"/>
      <c r="X636" s="93">
        <v>-16.13</v>
      </c>
      <c r="Y636" s="92"/>
      <c r="Z636" s="92"/>
      <c r="AA636" s="92"/>
      <c r="AB636" s="92"/>
      <c r="AC636" s="92"/>
      <c r="AD636" s="92"/>
      <c r="AE636" s="92"/>
      <c r="AF636" s="92"/>
      <c r="AG636" s="93">
        <v>0</v>
      </c>
      <c r="AH636" s="92"/>
      <c r="AI636" s="93">
        <v>-16.350000000000001</v>
      </c>
      <c r="AJ636" s="93">
        <v>0</v>
      </c>
    </row>
    <row r="637" spans="1:36" customFormat="1" ht="15.75" thickBot="1" x14ac:dyDescent="0.3">
      <c r="A637" s="90" t="s">
        <v>1046</v>
      </c>
      <c r="B637" s="626" t="str">
        <f>VLOOKUP($D637,'Retail Rates'!$B$7:$D$38,2,FALSE)</f>
        <v>811</v>
      </c>
      <c r="C637" s="626" t="str">
        <f>VLOOKUP($D637,'Retail Rates'!$B$7:$D$38,3,FALSE)</f>
        <v>RGS</v>
      </c>
      <c r="D637" s="90" t="s">
        <v>35</v>
      </c>
      <c r="E637" s="90" t="s">
        <v>36</v>
      </c>
      <c r="F637" s="90" t="s">
        <v>28</v>
      </c>
      <c r="G637" s="90" t="s">
        <v>901</v>
      </c>
      <c r="H637" s="305">
        <v>5</v>
      </c>
      <c r="I637" s="95">
        <v>-23</v>
      </c>
      <c r="J637" s="94"/>
      <c r="K637" s="95">
        <v>0</v>
      </c>
      <c r="L637" s="94"/>
      <c r="M637" s="95">
        <v>-6.06</v>
      </c>
      <c r="N637" s="95">
        <v>-0.22</v>
      </c>
      <c r="O637" s="95">
        <v>0</v>
      </c>
      <c r="P637" s="95">
        <v>-12.92</v>
      </c>
      <c r="Q637" s="95">
        <v>-0.45</v>
      </c>
      <c r="R637" s="95">
        <v>0.59</v>
      </c>
      <c r="S637" s="95">
        <v>0</v>
      </c>
      <c r="T637" s="95">
        <v>0</v>
      </c>
      <c r="U637" s="95">
        <v>0</v>
      </c>
      <c r="V637" s="94"/>
      <c r="W637" s="94"/>
      <c r="X637" s="95">
        <v>-18.84</v>
      </c>
      <c r="Y637" s="94"/>
      <c r="Z637" s="94"/>
      <c r="AA637" s="94"/>
      <c r="AB637" s="94"/>
      <c r="AC637" s="94"/>
      <c r="AD637" s="94"/>
      <c r="AE637" s="94"/>
      <c r="AF637" s="94"/>
      <c r="AG637" s="95">
        <v>0</v>
      </c>
      <c r="AH637" s="94"/>
      <c r="AI637" s="95">
        <v>-19.059999999999999</v>
      </c>
      <c r="AJ637" s="95">
        <v>0</v>
      </c>
    </row>
    <row r="638" spans="1:36" customFormat="1" ht="15.75" thickBot="1" x14ac:dyDescent="0.3">
      <c r="A638" s="90" t="s">
        <v>1046</v>
      </c>
      <c r="B638" s="626" t="str">
        <f>VLOOKUP($D638,'Retail Rates'!$B$7:$D$38,2,FALSE)</f>
        <v>811</v>
      </c>
      <c r="C638" s="626" t="str">
        <f>VLOOKUP($D638,'Retail Rates'!$B$7:$D$38,3,FALSE)</f>
        <v>RGS</v>
      </c>
      <c r="D638" s="90" t="s">
        <v>35</v>
      </c>
      <c r="E638" s="90" t="s">
        <v>36</v>
      </c>
      <c r="F638" s="90" t="s">
        <v>28</v>
      </c>
      <c r="G638" s="90" t="s">
        <v>902</v>
      </c>
      <c r="H638" s="304">
        <v>5</v>
      </c>
      <c r="I638" s="93">
        <v>-24</v>
      </c>
      <c r="J638" s="92"/>
      <c r="K638" s="93">
        <v>0</v>
      </c>
      <c r="L638" s="92"/>
      <c r="M638" s="93">
        <v>-6.34</v>
      </c>
      <c r="N638" s="93">
        <v>-0.2</v>
      </c>
      <c r="O638" s="93">
        <v>0</v>
      </c>
      <c r="P638" s="93">
        <v>-12.43</v>
      </c>
      <c r="Q638" s="93">
        <v>-0.48</v>
      </c>
      <c r="R638" s="93">
        <v>-3.05</v>
      </c>
      <c r="S638" s="93">
        <v>0</v>
      </c>
      <c r="T638" s="93">
        <v>0</v>
      </c>
      <c r="U638" s="93">
        <v>0</v>
      </c>
      <c r="V638" s="92"/>
      <c r="W638" s="92"/>
      <c r="X638" s="93">
        <v>-22.3</v>
      </c>
      <c r="Y638" s="92"/>
      <c r="Z638" s="92"/>
      <c r="AA638" s="92"/>
      <c r="AB638" s="92"/>
      <c r="AC638" s="92"/>
      <c r="AD638" s="92"/>
      <c r="AE638" s="92"/>
      <c r="AF638" s="92"/>
      <c r="AG638" s="93">
        <v>0</v>
      </c>
      <c r="AH638" s="92"/>
      <c r="AI638" s="93">
        <v>-22.5</v>
      </c>
      <c r="AJ638" s="93">
        <v>0</v>
      </c>
    </row>
    <row r="639" spans="1:36" customFormat="1" ht="15.75" thickBot="1" x14ac:dyDescent="0.3">
      <c r="A639" s="90" t="s">
        <v>1046</v>
      </c>
      <c r="B639" s="626" t="str">
        <f>VLOOKUP($D639,'Retail Rates'!$B$7:$D$38,2,FALSE)</f>
        <v>811</v>
      </c>
      <c r="C639" s="626" t="str">
        <f>VLOOKUP($D639,'Retail Rates'!$B$7:$D$38,3,FALSE)</f>
        <v>RGS</v>
      </c>
      <c r="D639" s="90" t="s">
        <v>35</v>
      </c>
      <c r="E639" s="90" t="s">
        <v>36</v>
      </c>
      <c r="F639" s="90" t="s">
        <v>28</v>
      </c>
      <c r="G639" s="90" t="s">
        <v>903</v>
      </c>
      <c r="H639" s="305">
        <v>5</v>
      </c>
      <c r="I639" s="95">
        <v>-18</v>
      </c>
      <c r="J639" s="94"/>
      <c r="K639" s="95">
        <v>0</v>
      </c>
      <c r="L639" s="94"/>
      <c r="M639" s="95">
        <v>-4.74</v>
      </c>
      <c r="N639" s="95">
        <v>-0.13</v>
      </c>
      <c r="O639" s="95">
        <v>0</v>
      </c>
      <c r="P639" s="95">
        <v>-8.98</v>
      </c>
      <c r="Q639" s="95">
        <v>-0.33</v>
      </c>
      <c r="R639" s="95">
        <v>2.97</v>
      </c>
      <c r="S639" s="95">
        <v>0</v>
      </c>
      <c r="T639" s="95">
        <v>0</v>
      </c>
      <c r="U639" s="95">
        <v>0</v>
      </c>
      <c r="V639" s="94"/>
      <c r="W639" s="94"/>
      <c r="X639" s="95">
        <v>-11.08</v>
      </c>
      <c r="Y639" s="94"/>
      <c r="Z639" s="94"/>
      <c r="AA639" s="94"/>
      <c r="AB639" s="94"/>
      <c r="AC639" s="94"/>
      <c r="AD639" s="94"/>
      <c r="AE639" s="94"/>
      <c r="AF639" s="94"/>
      <c r="AG639" s="95">
        <v>0</v>
      </c>
      <c r="AH639" s="94"/>
      <c r="AI639" s="95">
        <v>-11.21</v>
      </c>
      <c r="AJ639" s="95">
        <v>0</v>
      </c>
    </row>
    <row r="640" spans="1:36" customFormat="1" ht="15.75" thickBot="1" x14ac:dyDescent="0.3">
      <c r="A640" s="90" t="s">
        <v>1046</v>
      </c>
      <c r="B640" s="626" t="str">
        <f>VLOOKUP($D640,'Retail Rates'!$B$7:$D$38,2,FALSE)</f>
        <v>811</v>
      </c>
      <c r="C640" s="626" t="str">
        <f>VLOOKUP($D640,'Retail Rates'!$B$7:$D$38,3,FALSE)</f>
        <v>RGS</v>
      </c>
      <c r="D640" s="90" t="s">
        <v>35</v>
      </c>
      <c r="E640" s="90" t="s">
        <v>36</v>
      </c>
      <c r="F640" s="90" t="s">
        <v>28</v>
      </c>
      <c r="G640" s="90" t="s">
        <v>904</v>
      </c>
      <c r="H640" s="304">
        <v>5</v>
      </c>
      <c r="I640" s="93">
        <v>-7</v>
      </c>
      <c r="J640" s="92"/>
      <c r="K640" s="93">
        <v>0</v>
      </c>
      <c r="L640" s="92"/>
      <c r="M640" s="93">
        <v>-1.84</v>
      </c>
      <c r="N640" s="93">
        <v>-0.1</v>
      </c>
      <c r="O640" s="93">
        <v>0</v>
      </c>
      <c r="P640" s="93">
        <v>-3.49</v>
      </c>
      <c r="Q640" s="93">
        <v>-0.1</v>
      </c>
      <c r="R640" s="93">
        <v>-0.37</v>
      </c>
      <c r="S640" s="93">
        <v>0</v>
      </c>
      <c r="T640" s="93">
        <v>0</v>
      </c>
      <c r="U640" s="93">
        <v>0</v>
      </c>
      <c r="V640" s="92"/>
      <c r="W640" s="92"/>
      <c r="X640" s="93">
        <v>-5.8</v>
      </c>
      <c r="Y640" s="92"/>
      <c r="Z640" s="92"/>
      <c r="AA640" s="92"/>
      <c r="AB640" s="92"/>
      <c r="AC640" s="92"/>
      <c r="AD640" s="92"/>
      <c r="AE640" s="92"/>
      <c r="AF640" s="92"/>
      <c r="AG640" s="93">
        <v>0</v>
      </c>
      <c r="AH640" s="92"/>
      <c r="AI640" s="93">
        <v>-5.9</v>
      </c>
      <c r="AJ640" s="93">
        <v>0</v>
      </c>
    </row>
    <row r="641" spans="1:36" customFormat="1" ht="15.75" thickBot="1" x14ac:dyDescent="0.3">
      <c r="A641" s="90" t="s">
        <v>1046</v>
      </c>
      <c r="B641" s="626" t="str">
        <f>VLOOKUP($D641,'Retail Rates'!$B$7:$D$38,2,FALSE)</f>
        <v>811</v>
      </c>
      <c r="C641" s="626" t="str">
        <f>VLOOKUP($D641,'Retail Rates'!$B$7:$D$38,3,FALSE)</f>
        <v>RGS</v>
      </c>
      <c r="D641" s="90" t="s">
        <v>35</v>
      </c>
      <c r="E641" s="90" t="s">
        <v>36</v>
      </c>
      <c r="F641" s="90" t="s">
        <v>28</v>
      </c>
      <c r="G641" s="90" t="s">
        <v>905</v>
      </c>
      <c r="H641" s="305">
        <v>4</v>
      </c>
      <c r="I641" s="95">
        <v>-6</v>
      </c>
      <c r="J641" s="94"/>
      <c r="K641" s="95">
        <v>0</v>
      </c>
      <c r="L641" s="94"/>
      <c r="M641" s="95">
        <v>-1.59</v>
      </c>
      <c r="N641" s="95">
        <v>-0.05</v>
      </c>
      <c r="O641" s="95">
        <v>0</v>
      </c>
      <c r="P641" s="95">
        <v>-2.58</v>
      </c>
      <c r="Q641" s="95">
        <v>-0.08</v>
      </c>
      <c r="R641" s="94"/>
      <c r="S641" s="95">
        <v>0</v>
      </c>
      <c r="T641" s="95">
        <v>0</v>
      </c>
      <c r="U641" s="95">
        <v>0</v>
      </c>
      <c r="V641" s="94"/>
      <c r="W641" s="94"/>
      <c r="X641" s="95">
        <v>-4.25</v>
      </c>
      <c r="Y641" s="94"/>
      <c r="Z641" s="94"/>
      <c r="AA641" s="94"/>
      <c r="AB641" s="94"/>
      <c r="AC641" s="94"/>
      <c r="AD641" s="94"/>
      <c r="AE641" s="94"/>
      <c r="AF641" s="94"/>
      <c r="AG641" s="95">
        <v>0</v>
      </c>
      <c r="AH641" s="94"/>
      <c r="AI641" s="95">
        <v>-4.3</v>
      </c>
      <c r="AJ641" s="95">
        <v>0</v>
      </c>
    </row>
    <row r="642" spans="1:36" customFormat="1" ht="15.75" thickBot="1" x14ac:dyDescent="0.3">
      <c r="A642" s="90" t="s">
        <v>1046</v>
      </c>
      <c r="B642" s="626" t="str">
        <f>VLOOKUP($D642,'Retail Rates'!$B$7:$D$38,2,FALSE)</f>
        <v>811</v>
      </c>
      <c r="C642" s="626" t="str">
        <f>VLOOKUP($D642,'Retail Rates'!$B$7:$D$38,3,FALSE)</f>
        <v>RGS</v>
      </c>
      <c r="D642" s="90" t="s">
        <v>35</v>
      </c>
      <c r="E642" s="90" t="s">
        <v>36</v>
      </c>
      <c r="F642" s="90" t="s">
        <v>28</v>
      </c>
      <c r="G642" s="90" t="s">
        <v>906</v>
      </c>
      <c r="H642" s="304">
        <v>2</v>
      </c>
      <c r="I642" s="93">
        <v>-5</v>
      </c>
      <c r="J642" s="92"/>
      <c r="K642" s="93">
        <v>0</v>
      </c>
      <c r="L642" s="92"/>
      <c r="M642" s="93">
        <v>-1.32</v>
      </c>
      <c r="N642" s="93">
        <v>-0.02</v>
      </c>
      <c r="O642" s="93">
        <v>0</v>
      </c>
      <c r="P642" s="93">
        <v>-2.08</v>
      </c>
      <c r="Q642" s="93">
        <v>-0.06</v>
      </c>
      <c r="R642" s="92"/>
      <c r="S642" s="93">
        <v>0</v>
      </c>
      <c r="T642" s="93">
        <v>0</v>
      </c>
      <c r="U642" s="93">
        <v>0</v>
      </c>
      <c r="V642" s="92"/>
      <c r="W642" s="92"/>
      <c r="X642" s="93">
        <v>-3.46</v>
      </c>
      <c r="Y642" s="92"/>
      <c r="Z642" s="92"/>
      <c r="AA642" s="92"/>
      <c r="AB642" s="92"/>
      <c r="AC642" s="92"/>
      <c r="AD642" s="92"/>
      <c r="AE642" s="92"/>
      <c r="AF642" s="92"/>
      <c r="AG642" s="93">
        <v>0</v>
      </c>
      <c r="AH642" s="92"/>
      <c r="AI642" s="93">
        <v>-3.48</v>
      </c>
      <c r="AJ642" s="93">
        <v>0</v>
      </c>
    </row>
    <row r="643" spans="1:36" customFormat="1" ht="15.75" thickBot="1" x14ac:dyDescent="0.3">
      <c r="A643" s="90" t="s">
        <v>1046</v>
      </c>
      <c r="B643" s="626" t="str">
        <f>VLOOKUP($D643,'Retail Rates'!$B$7:$D$38,2,FALSE)</f>
        <v>811</v>
      </c>
      <c r="C643" s="626" t="str">
        <f>VLOOKUP($D643,'Retail Rates'!$B$7:$D$38,3,FALSE)</f>
        <v>RGS</v>
      </c>
      <c r="D643" s="90" t="s">
        <v>35</v>
      </c>
      <c r="E643" s="90" t="s">
        <v>36</v>
      </c>
      <c r="F643" s="90" t="s">
        <v>28</v>
      </c>
      <c r="G643" s="90" t="s">
        <v>907</v>
      </c>
      <c r="H643" s="305">
        <v>3</v>
      </c>
      <c r="I643" s="95">
        <v>-3</v>
      </c>
      <c r="J643" s="94"/>
      <c r="K643" s="95">
        <v>0</v>
      </c>
      <c r="L643" s="94"/>
      <c r="M643" s="95">
        <v>-0.85</v>
      </c>
      <c r="N643" s="95">
        <v>-0.01</v>
      </c>
      <c r="O643" s="95">
        <v>0</v>
      </c>
      <c r="P643" s="95">
        <v>-1.25</v>
      </c>
      <c r="Q643" s="95">
        <v>-0.02</v>
      </c>
      <c r="R643" s="94"/>
      <c r="S643" s="95">
        <v>0</v>
      </c>
      <c r="T643" s="95">
        <v>0</v>
      </c>
      <c r="U643" s="95">
        <v>0</v>
      </c>
      <c r="V643" s="94"/>
      <c r="W643" s="94"/>
      <c r="X643" s="95">
        <v>-2.12</v>
      </c>
      <c r="Y643" s="94"/>
      <c r="Z643" s="94"/>
      <c r="AA643" s="94"/>
      <c r="AB643" s="94"/>
      <c r="AC643" s="94"/>
      <c r="AD643" s="94"/>
      <c r="AE643" s="94"/>
      <c r="AF643" s="94"/>
      <c r="AG643" s="95">
        <v>0</v>
      </c>
      <c r="AH643" s="94"/>
      <c r="AI643" s="95">
        <v>-2.13</v>
      </c>
      <c r="AJ643" s="95">
        <v>0</v>
      </c>
    </row>
    <row r="644" spans="1:36" customFormat="1" ht="15.75" thickBot="1" x14ac:dyDescent="0.3">
      <c r="A644" s="90" t="s">
        <v>1046</v>
      </c>
      <c r="B644" s="626" t="str">
        <f>VLOOKUP($D644,'Retail Rates'!$B$7:$D$38,2,FALSE)</f>
        <v>811</v>
      </c>
      <c r="C644" s="626" t="str">
        <f>VLOOKUP($D644,'Retail Rates'!$B$7:$D$38,3,FALSE)</f>
        <v>RGS</v>
      </c>
      <c r="D644" s="90" t="s">
        <v>35</v>
      </c>
      <c r="E644" s="90" t="s">
        <v>36</v>
      </c>
      <c r="F644" s="90" t="s">
        <v>28</v>
      </c>
      <c r="G644" s="90" t="s">
        <v>908</v>
      </c>
      <c r="H644" s="304">
        <v>1</v>
      </c>
      <c r="I644" s="93">
        <v>-2</v>
      </c>
      <c r="J644" s="92"/>
      <c r="K644" s="93">
        <v>0</v>
      </c>
      <c r="L644" s="92"/>
      <c r="M644" s="93">
        <v>-0.56999999999999995</v>
      </c>
      <c r="N644" s="93">
        <v>0</v>
      </c>
      <c r="O644" s="93">
        <v>0</v>
      </c>
      <c r="P644" s="93">
        <v>-0.6</v>
      </c>
      <c r="Q644" s="93">
        <v>-0.01</v>
      </c>
      <c r="R644" s="92"/>
      <c r="S644" s="93">
        <v>0</v>
      </c>
      <c r="T644" s="93">
        <v>0</v>
      </c>
      <c r="U644" s="93">
        <v>0</v>
      </c>
      <c r="V644" s="92"/>
      <c r="W644" s="92"/>
      <c r="X644" s="93">
        <v>-1.18</v>
      </c>
      <c r="Y644" s="92"/>
      <c r="Z644" s="92"/>
      <c r="AA644" s="92"/>
      <c r="AB644" s="92"/>
      <c r="AC644" s="92"/>
      <c r="AD644" s="92"/>
      <c r="AE644" s="92"/>
      <c r="AF644" s="92"/>
      <c r="AG644" s="93">
        <v>0</v>
      </c>
      <c r="AH644" s="92"/>
      <c r="AI644" s="93">
        <v>-1.18</v>
      </c>
      <c r="AJ644" s="93">
        <v>0</v>
      </c>
    </row>
    <row r="645" spans="1:36" customFormat="1" ht="15.75" thickBot="1" x14ac:dyDescent="0.3">
      <c r="A645" s="90" t="s">
        <v>1046</v>
      </c>
      <c r="B645" s="626" t="str">
        <f>VLOOKUP($D645,'Retail Rates'!$B$7:$D$38,2,FALSE)</f>
        <v>811</v>
      </c>
      <c r="C645" s="626" t="str">
        <f>VLOOKUP($D645,'Retail Rates'!$B$7:$D$38,3,FALSE)</f>
        <v>RGS</v>
      </c>
      <c r="D645" s="90" t="s">
        <v>35</v>
      </c>
      <c r="E645" s="90" t="s">
        <v>36</v>
      </c>
      <c r="F645" s="90" t="s">
        <v>28</v>
      </c>
      <c r="G645" s="90" t="s">
        <v>909</v>
      </c>
      <c r="H645" s="305">
        <v>5</v>
      </c>
      <c r="I645" s="95">
        <v>-3</v>
      </c>
      <c r="J645" s="94"/>
      <c r="K645" s="95">
        <v>13.5</v>
      </c>
      <c r="L645" s="94"/>
      <c r="M645" s="95">
        <v>-0.86</v>
      </c>
      <c r="N645" s="95">
        <v>0.34</v>
      </c>
      <c r="O645" s="95">
        <v>0</v>
      </c>
      <c r="P645" s="95">
        <v>-0.9</v>
      </c>
      <c r="Q645" s="95">
        <v>-0.03</v>
      </c>
      <c r="R645" s="94"/>
      <c r="S645" s="95">
        <v>0.25</v>
      </c>
      <c r="T645" s="95">
        <v>3.77</v>
      </c>
      <c r="U645" s="95">
        <v>0</v>
      </c>
      <c r="V645" s="94"/>
      <c r="W645" s="94"/>
      <c r="X645" s="95">
        <v>15.48</v>
      </c>
      <c r="Y645" s="94"/>
      <c r="Z645" s="94"/>
      <c r="AA645" s="94"/>
      <c r="AB645" s="94"/>
      <c r="AC645" s="94"/>
      <c r="AD645" s="94"/>
      <c r="AE645" s="94"/>
      <c r="AF645" s="94"/>
      <c r="AG645" s="95">
        <v>0</v>
      </c>
      <c r="AH645" s="94"/>
      <c r="AI645" s="95">
        <v>16.07</v>
      </c>
      <c r="AJ645" s="95">
        <v>0</v>
      </c>
    </row>
    <row r="646" spans="1:36" customFormat="1" ht="15.75" thickBot="1" x14ac:dyDescent="0.3">
      <c r="A646" s="90" t="s">
        <v>1046</v>
      </c>
      <c r="B646" s="626" t="str">
        <f>VLOOKUP($D646,'Retail Rates'!$B$7:$D$38,2,FALSE)</f>
        <v>811</v>
      </c>
      <c r="C646" s="626" t="str">
        <f>VLOOKUP($D646,'Retail Rates'!$B$7:$D$38,3,FALSE)</f>
        <v>RGS</v>
      </c>
      <c r="D646" s="90" t="s">
        <v>35</v>
      </c>
      <c r="E646" s="90" t="s">
        <v>36</v>
      </c>
      <c r="F646" s="90" t="s">
        <v>28</v>
      </c>
      <c r="G646" s="90" t="s">
        <v>910</v>
      </c>
      <c r="H646" s="304">
        <v>7</v>
      </c>
      <c r="I646" s="93">
        <v>2</v>
      </c>
      <c r="J646" s="92"/>
      <c r="K646" s="93">
        <v>13.95</v>
      </c>
      <c r="L646" s="92"/>
      <c r="M646" s="93">
        <v>0.59</v>
      </c>
      <c r="N646" s="93">
        <v>0.4</v>
      </c>
      <c r="O646" s="93">
        <v>0</v>
      </c>
      <c r="P646" s="93">
        <v>0.59</v>
      </c>
      <c r="Q646" s="93">
        <v>0.04</v>
      </c>
      <c r="R646" s="92"/>
      <c r="S646" s="93">
        <v>0.5</v>
      </c>
      <c r="T646" s="93">
        <v>3.9</v>
      </c>
      <c r="U646" s="93">
        <v>0</v>
      </c>
      <c r="V646" s="92"/>
      <c r="W646" s="92"/>
      <c r="X646" s="93">
        <v>19.07</v>
      </c>
      <c r="Y646" s="92"/>
      <c r="Z646" s="92"/>
      <c r="AA646" s="92"/>
      <c r="AB646" s="92"/>
      <c r="AC646" s="92"/>
      <c r="AD646" s="92"/>
      <c r="AE646" s="92"/>
      <c r="AF646" s="92"/>
      <c r="AG646" s="93">
        <v>0</v>
      </c>
      <c r="AH646" s="92"/>
      <c r="AI646" s="93">
        <v>19.97</v>
      </c>
      <c r="AJ646" s="93">
        <v>0</v>
      </c>
    </row>
    <row r="647" spans="1:36" customFormat="1" ht="15.75" thickBot="1" x14ac:dyDescent="0.3">
      <c r="A647" s="90" t="s">
        <v>1046</v>
      </c>
      <c r="B647" s="626" t="str">
        <f>VLOOKUP($D647,'Retail Rates'!$B$7:$D$38,2,FALSE)</f>
        <v>811</v>
      </c>
      <c r="C647" s="626" t="str">
        <f>VLOOKUP($D647,'Retail Rates'!$B$7:$D$38,3,FALSE)</f>
        <v>RGS</v>
      </c>
      <c r="D647" s="90" t="s">
        <v>35</v>
      </c>
      <c r="E647" s="90" t="s">
        <v>36</v>
      </c>
      <c r="F647" s="90" t="s">
        <v>28</v>
      </c>
      <c r="G647" s="90" t="s">
        <v>911</v>
      </c>
      <c r="H647" s="305">
        <v>18</v>
      </c>
      <c r="I647" s="95">
        <v>49</v>
      </c>
      <c r="J647" s="94"/>
      <c r="K647" s="95">
        <v>0</v>
      </c>
      <c r="L647" s="94"/>
      <c r="M647" s="95">
        <v>14.03</v>
      </c>
      <c r="N647" s="95">
        <v>0.96</v>
      </c>
      <c r="O647" s="95">
        <v>0</v>
      </c>
      <c r="P647" s="95">
        <v>15.32</v>
      </c>
      <c r="Q647" s="95">
        <v>0.43</v>
      </c>
      <c r="R647" s="95">
        <v>16</v>
      </c>
      <c r="S647" s="95">
        <v>0</v>
      </c>
      <c r="T647" s="95">
        <v>0</v>
      </c>
      <c r="U647" s="95">
        <v>0</v>
      </c>
      <c r="V647" s="94"/>
      <c r="W647" s="94"/>
      <c r="X647" s="95">
        <v>45.78</v>
      </c>
      <c r="Y647" s="94"/>
      <c r="Z647" s="94"/>
      <c r="AA647" s="94"/>
      <c r="AB647" s="94"/>
      <c r="AC647" s="94"/>
      <c r="AD647" s="94"/>
      <c r="AE647" s="94"/>
      <c r="AF647" s="94"/>
      <c r="AG647" s="95">
        <v>0</v>
      </c>
      <c r="AH647" s="94"/>
      <c r="AI647" s="95">
        <v>46.74</v>
      </c>
      <c r="AJ647" s="95">
        <v>0</v>
      </c>
    </row>
    <row r="648" spans="1:36" customFormat="1" ht="15.75" thickBot="1" x14ac:dyDescent="0.3">
      <c r="A648" s="90" t="s">
        <v>1046</v>
      </c>
      <c r="B648" s="626" t="str">
        <f>VLOOKUP($D648,'Retail Rates'!$B$7:$D$38,2,FALSE)</f>
        <v>811</v>
      </c>
      <c r="C648" s="626" t="str">
        <f>VLOOKUP($D648,'Retail Rates'!$B$7:$D$38,3,FALSE)</f>
        <v>RGS</v>
      </c>
      <c r="D648" s="90" t="s">
        <v>35</v>
      </c>
      <c r="E648" s="90" t="s">
        <v>36</v>
      </c>
      <c r="F648" s="90" t="s">
        <v>28</v>
      </c>
      <c r="G648" s="90" t="s">
        <v>912</v>
      </c>
      <c r="H648" s="304">
        <v>23</v>
      </c>
      <c r="I648" s="93">
        <v>168</v>
      </c>
      <c r="J648" s="92"/>
      <c r="K648" s="93">
        <v>-4.95</v>
      </c>
      <c r="L648" s="92"/>
      <c r="M648" s="93">
        <v>48.2</v>
      </c>
      <c r="N648" s="93">
        <v>2.96</v>
      </c>
      <c r="O648" s="93">
        <v>0</v>
      </c>
      <c r="P648" s="93">
        <v>57.24</v>
      </c>
      <c r="Q648" s="93">
        <v>1.4</v>
      </c>
      <c r="R648" s="93">
        <v>37.630000000000003</v>
      </c>
      <c r="S648" s="93">
        <v>-0.25</v>
      </c>
      <c r="T648" s="93">
        <v>-1.38</v>
      </c>
      <c r="U648" s="93">
        <v>0</v>
      </c>
      <c r="V648" s="92"/>
      <c r="W648" s="92"/>
      <c r="X648" s="93">
        <v>138.13999999999999</v>
      </c>
      <c r="Y648" s="92"/>
      <c r="Z648" s="92"/>
      <c r="AA648" s="92"/>
      <c r="AB648" s="92"/>
      <c r="AC648" s="92"/>
      <c r="AD648" s="92"/>
      <c r="AE648" s="92"/>
      <c r="AF648" s="92"/>
      <c r="AG648" s="93">
        <v>-0.19</v>
      </c>
      <c r="AH648" s="92"/>
      <c r="AI648" s="93">
        <v>140.66</v>
      </c>
      <c r="AJ648" s="93">
        <v>0</v>
      </c>
    </row>
    <row r="649" spans="1:36" customFormat="1" ht="15.75" thickBot="1" x14ac:dyDescent="0.3">
      <c r="A649" s="90" t="s">
        <v>1046</v>
      </c>
      <c r="B649" s="626" t="str">
        <f>VLOOKUP($D649,'Retail Rates'!$B$7:$D$38,2,FALSE)</f>
        <v>811</v>
      </c>
      <c r="C649" s="626" t="str">
        <f>VLOOKUP($D649,'Retail Rates'!$B$7:$D$38,3,FALSE)</f>
        <v>RGS</v>
      </c>
      <c r="D649" s="90" t="s">
        <v>35</v>
      </c>
      <c r="E649" s="90" t="s">
        <v>36</v>
      </c>
      <c r="F649" s="90" t="s">
        <v>28</v>
      </c>
      <c r="G649" s="90" t="s">
        <v>913</v>
      </c>
      <c r="H649" s="305">
        <v>25</v>
      </c>
      <c r="I649" s="95">
        <v>154</v>
      </c>
      <c r="J649" s="94"/>
      <c r="K649" s="95">
        <v>-13.5</v>
      </c>
      <c r="L649" s="94"/>
      <c r="M649" s="95">
        <v>44.18</v>
      </c>
      <c r="N649" s="95">
        <v>2.2400000000000002</v>
      </c>
      <c r="O649" s="95">
        <v>0</v>
      </c>
      <c r="P649" s="95">
        <v>52.72</v>
      </c>
      <c r="Q649" s="95">
        <v>1.4</v>
      </c>
      <c r="R649" s="95">
        <v>9.77</v>
      </c>
      <c r="S649" s="95">
        <v>-0.25</v>
      </c>
      <c r="T649" s="95">
        <v>-3.73</v>
      </c>
      <c r="U649" s="95">
        <v>0</v>
      </c>
      <c r="V649" s="94"/>
      <c r="W649" s="94"/>
      <c r="X649" s="95">
        <v>90.84</v>
      </c>
      <c r="Y649" s="94"/>
      <c r="Z649" s="94"/>
      <c r="AA649" s="94"/>
      <c r="AB649" s="94"/>
      <c r="AC649" s="94"/>
      <c r="AD649" s="94"/>
      <c r="AE649" s="94"/>
      <c r="AF649" s="94"/>
      <c r="AG649" s="95">
        <v>-0.64</v>
      </c>
      <c r="AH649" s="94"/>
      <c r="AI649" s="95">
        <v>92.19</v>
      </c>
      <c r="AJ649" s="95">
        <v>0</v>
      </c>
    </row>
    <row r="650" spans="1:36" customFormat="1" ht="15.75" thickBot="1" x14ac:dyDescent="0.3">
      <c r="A650" s="90" t="s">
        <v>1046</v>
      </c>
      <c r="B650" s="626" t="str">
        <f>VLOOKUP($D650,'Retail Rates'!$B$7:$D$38,2,FALSE)</f>
        <v>811</v>
      </c>
      <c r="C650" s="626" t="str">
        <f>VLOOKUP($D650,'Retail Rates'!$B$7:$D$38,3,FALSE)</f>
        <v>RGS</v>
      </c>
      <c r="D650" s="90" t="s">
        <v>35</v>
      </c>
      <c r="E650" s="90" t="s">
        <v>36</v>
      </c>
      <c r="F650" s="90" t="s">
        <v>28</v>
      </c>
      <c r="G650" s="90" t="s">
        <v>914</v>
      </c>
      <c r="H650" s="304">
        <v>27</v>
      </c>
      <c r="I650" s="93">
        <v>183</v>
      </c>
      <c r="J650" s="92"/>
      <c r="K650" s="93">
        <v>-13.95</v>
      </c>
      <c r="L650" s="92"/>
      <c r="M650" s="93">
        <v>52.51</v>
      </c>
      <c r="N650" s="93">
        <v>2.61</v>
      </c>
      <c r="O650" s="93">
        <v>0</v>
      </c>
      <c r="P650" s="93">
        <v>60.43</v>
      </c>
      <c r="Q650" s="93">
        <v>1.68</v>
      </c>
      <c r="R650" s="93">
        <v>1.46</v>
      </c>
      <c r="S650" s="93">
        <v>-0.25</v>
      </c>
      <c r="T650" s="93">
        <v>-4.32</v>
      </c>
      <c r="U650" s="93">
        <v>0</v>
      </c>
      <c r="V650" s="92"/>
      <c r="W650" s="92"/>
      <c r="X650" s="93">
        <v>97.81</v>
      </c>
      <c r="Y650" s="92"/>
      <c r="Z650" s="92"/>
      <c r="AA650" s="92"/>
      <c r="AB650" s="92"/>
      <c r="AC650" s="92"/>
      <c r="AD650" s="92"/>
      <c r="AE650" s="92"/>
      <c r="AF650" s="92"/>
      <c r="AG650" s="93">
        <v>-0.62</v>
      </c>
      <c r="AH650" s="92"/>
      <c r="AI650" s="93">
        <v>99.55</v>
      </c>
      <c r="AJ650" s="93">
        <v>0</v>
      </c>
    </row>
    <row r="651" spans="1:36" customFormat="1" ht="15.75" thickBot="1" x14ac:dyDescent="0.3">
      <c r="A651" s="90" t="s">
        <v>1046</v>
      </c>
      <c r="B651" s="626" t="str">
        <f>VLOOKUP($D651,'Retail Rates'!$B$7:$D$38,2,FALSE)</f>
        <v>811</v>
      </c>
      <c r="C651" s="626" t="str">
        <f>VLOOKUP($D651,'Retail Rates'!$B$7:$D$38,3,FALSE)</f>
        <v>RGS</v>
      </c>
      <c r="D651" s="90" t="s">
        <v>35</v>
      </c>
      <c r="E651" s="90" t="s">
        <v>36</v>
      </c>
      <c r="F651" s="90" t="s">
        <v>28</v>
      </c>
      <c r="G651" s="90" t="s">
        <v>915</v>
      </c>
      <c r="H651" s="305">
        <v>33</v>
      </c>
      <c r="I651" s="95">
        <v>-198</v>
      </c>
      <c r="J651" s="94"/>
      <c r="K651" s="95">
        <v>-13.5</v>
      </c>
      <c r="L651" s="94"/>
      <c r="M651" s="95">
        <v>-56.8</v>
      </c>
      <c r="N651" s="95">
        <v>-0.2</v>
      </c>
      <c r="O651" s="95">
        <v>0</v>
      </c>
      <c r="P651" s="95">
        <v>-64.069999999999993</v>
      </c>
      <c r="Q651" s="95">
        <v>-1.8</v>
      </c>
      <c r="R651" s="95">
        <v>-10.86</v>
      </c>
      <c r="S651" s="95">
        <v>-0.25</v>
      </c>
      <c r="T651" s="95">
        <v>-4.8499999999999996</v>
      </c>
      <c r="U651" s="95">
        <v>0</v>
      </c>
      <c r="V651" s="94"/>
      <c r="W651" s="94"/>
      <c r="X651" s="95">
        <v>-151.88</v>
      </c>
      <c r="Y651" s="94"/>
      <c r="Z651" s="94"/>
      <c r="AA651" s="94"/>
      <c r="AB651" s="94"/>
      <c r="AC651" s="94"/>
      <c r="AD651" s="94"/>
      <c r="AE651" s="94"/>
      <c r="AF651" s="94"/>
      <c r="AG651" s="95">
        <v>-4.18</v>
      </c>
      <c r="AH651" s="94"/>
      <c r="AI651" s="95">
        <v>-156.51</v>
      </c>
      <c r="AJ651" s="95">
        <v>0</v>
      </c>
    </row>
    <row r="652" spans="1:36" customFormat="1" ht="15.75" thickBot="1" x14ac:dyDescent="0.3">
      <c r="A652" s="90" t="s">
        <v>1046</v>
      </c>
      <c r="B652" s="626" t="str">
        <f>VLOOKUP($D652,'Retail Rates'!$B$7:$D$38,2,FALSE)</f>
        <v>811</v>
      </c>
      <c r="C652" s="626" t="str">
        <f>VLOOKUP($D652,'Retail Rates'!$B$7:$D$38,3,FALSE)</f>
        <v>RGS</v>
      </c>
      <c r="D652" s="90" t="s">
        <v>35</v>
      </c>
      <c r="E652" s="90" t="s">
        <v>36</v>
      </c>
      <c r="F652" s="90" t="s">
        <v>28</v>
      </c>
      <c r="G652" s="90" t="s">
        <v>917</v>
      </c>
      <c r="H652" s="304">
        <v>58</v>
      </c>
      <c r="I652" s="93">
        <v>-1346</v>
      </c>
      <c r="J652" s="92"/>
      <c r="K652" s="93">
        <v>-40.5</v>
      </c>
      <c r="L652" s="92"/>
      <c r="M652" s="93">
        <v>-386.24</v>
      </c>
      <c r="N652" s="93">
        <v>0</v>
      </c>
      <c r="O652" s="93">
        <v>0</v>
      </c>
      <c r="P652" s="93">
        <v>-435.32</v>
      </c>
      <c r="Q652" s="93">
        <v>-14.62</v>
      </c>
      <c r="R652" s="93">
        <v>-138.13</v>
      </c>
      <c r="S652" s="93">
        <v>-0.75</v>
      </c>
      <c r="T652" s="93">
        <v>-14.55</v>
      </c>
      <c r="U652" s="93">
        <v>0</v>
      </c>
      <c r="V652" s="92"/>
      <c r="W652" s="92"/>
      <c r="X652" s="93">
        <v>-1029.3599999999999</v>
      </c>
      <c r="Y652" s="92"/>
      <c r="Z652" s="92"/>
      <c r="AA652" s="92"/>
      <c r="AB652" s="92"/>
      <c r="AC652" s="92"/>
      <c r="AD652" s="92"/>
      <c r="AE652" s="92"/>
      <c r="AF652" s="92"/>
      <c r="AG652" s="93">
        <v>-6.29</v>
      </c>
      <c r="AH652" s="92"/>
      <c r="AI652" s="93">
        <v>-1036.4000000000001</v>
      </c>
      <c r="AJ652" s="93">
        <v>0</v>
      </c>
    </row>
    <row r="653" spans="1:36" customFormat="1" ht="15.75" thickBot="1" x14ac:dyDescent="0.3">
      <c r="A653" s="90" t="s">
        <v>1046</v>
      </c>
      <c r="B653" s="626" t="str">
        <f>VLOOKUP($D653,'Retail Rates'!$B$7:$D$38,2,FALSE)</f>
        <v>811</v>
      </c>
      <c r="C653" s="626" t="str">
        <f>VLOOKUP($D653,'Retail Rates'!$B$7:$D$38,3,FALSE)</f>
        <v>RGS</v>
      </c>
      <c r="D653" s="90" t="s">
        <v>35</v>
      </c>
      <c r="E653" s="90" t="s">
        <v>36</v>
      </c>
      <c r="F653" s="90" t="s">
        <v>28</v>
      </c>
      <c r="G653" s="90" t="s">
        <v>918</v>
      </c>
      <c r="H653" s="305">
        <v>77</v>
      </c>
      <c r="I653" s="95">
        <v>-928</v>
      </c>
      <c r="J653" s="94"/>
      <c r="K653" s="95">
        <v>-21.15</v>
      </c>
      <c r="L653" s="94"/>
      <c r="M653" s="95">
        <v>-266.27999999999997</v>
      </c>
      <c r="N653" s="95">
        <v>0.24</v>
      </c>
      <c r="O653" s="95">
        <v>0</v>
      </c>
      <c r="P653" s="95">
        <v>-313.52999999999997</v>
      </c>
      <c r="Q653" s="95">
        <v>-10.02</v>
      </c>
      <c r="R653" s="94"/>
      <c r="S653" s="95">
        <v>-0.25</v>
      </c>
      <c r="T653" s="95">
        <v>-7.33</v>
      </c>
      <c r="U653" s="95">
        <v>0</v>
      </c>
      <c r="V653" s="94"/>
      <c r="W653" s="94"/>
      <c r="X653" s="95">
        <v>-618.30999999999995</v>
      </c>
      <c r="Y653" s="94"/>
      <c r="Z653" s="94"/>
      <c r="AA653" s="94"/>
      <c r="AB653" s="94"/>
      <c r="AC653" s="94"/>
      <c r="AD653" s="94"/>
      <c r="AE653" s="94"/>
      <c r="AF653" s="94"/>
      <c r="AG653" s="95">
        <v>-1.0900000000000001</v>
      </c>
      <c r="AH653" s="94"/>
      <c r="AI653" s="95">
        <v>-619.41</v>
      </c>
      <c r="AJ653" s="95">
        <v>0</v>
      </c>
    </row>
    <row r="654" spans="1:36" customFormat="1" ht="15.75" thickBot="1" x14ac:dyDescent="0.3">
      <c r="A654" s="90" t="s">
        <v>1046</v>
      </c>
      <c r="B654" s="626" t="str">
        <f>VLOOKUP($D654,'Retail Rates'!$B$7:$D$38,2,FALSE)</f>
        <v>811</v>
      </c>
      <c r="C654" s="626" t="str">
        <f>VLOOKUP($D654,'Retail Rates'!$B$7:$D$38,3,FALSE)</f>
        <v>RGS</v>
      </c>
      <c r="D654" s="90" t="s">
        <v>35</v>
      </c>
      <c r="E654" s="90" t="s">
        <v>36</v>
      </c>
      <c r="F654" s="90" t="s">
        <v>28</v>
      </c>
      <c r="G654" s="90" t="s">
        <v>1000</v>
      </c>
      <c r="H654" s="304">
        <v>185</v>
      </c>
      <c r="I654" s="93">
        <v>-6645</v>
      </c>
      <c r="J654" s="92"/>
      <c r="K654" s="93">
        <v>-109.27</v>
      </c>
      <c r="L654" s="92"/>
      <c r="M654" s="93">
        <v>-1906.66</v>
      </c>
      <c r="N654" s="93">
        <v>-1.75</v>
      </c>
      <c r="O654" s="93">
        <v>0</v>
      </c>
      <c r="P654" s="93">
        <v>-2334.42</v>
      </c>
      <c r="Q654" s="93">
        <v>-71.989999999999995</v>
      </c>
      <c r="R654" s="92"/>
      <c r="S654" s="93">
        <v>-1.75</v>
      </c>
      <c r="T654" s="93">
        <v>-41.59</v>
      </c>
      <c r="U654" s="93">
        <v>0</v>
      </c>
      <c r="V654" s="92"/>
      <c r="W654" s="92"/>
      <c r="X654" s="93">
        <v>-4463.93</v>
      </c>
      <c r="Y654" s="92"/>
      <c r="Z654" s="92"/>
      <c r="AA654" s="92"/>
      <c r="AB654" s="92"/>
      <c r="AC654" s="92"/>
      <c r="AD654" s="92"/>
      <c r="AE654" s="92"/>
      <c r="AF654" s="92"/>
      <c r="AG654" s="93">
        <v>-16.37</v>
      </c>
      <c r="AH654" s="92"/>
      <c r="AI654" s="93">
        <v>-4483.8</v>
      </c>
      <c r="AJ654" s="93">
        <v>0</v>
      </c>
    </row>
    <row r="655" spans="1:36" customFormat="1" ht="15.75" thickBot="1" x14ac:dyDescent="0.3">
      <c r="A655" s="90" t="s">
        <v>1046</v>
      </c>
      <c r="B655" s="626" t="str">
        <f>VLOOKUP($D655,'Retail Rates'!$B$7:$D$38,2,FALSE)</f>
        <v>811</v>
      </c>
      <c r="C655" s="626" t="str">
        <f>VLOOKUP($D655,'Retail Rates'!$B$7:$D$38,3,FALSE)</f>
        <v>RGS</v>
      </c>
      <c r="D655" s="90" t="s">
        <v>35</v>
      </c>
      <c r="E655" s="90" t="s">
        <v>36</v>
      </c>
      <c r="F655" s="90" t="s">
        <v>28</v>
      </c>
      <c r="G655" s="90" t="s">
        <v>1019</v>
      </c>
      <c r="H655" s="305">
        <v>1716</v>
      </c>
      <c r="I655" s="95">
        <v>871</v>
      </c>
      <c r="J655" s="94"/>
      <c r="K655" s="95">
        <v>13655.77</v>
      </c>
      <c r="L655" s="94"/>
      <c r="M655" s="95">
        <v>250.12</v>
      </c>
      <c r="N655" s="95">
        <v>-1.33</v>
      </c>
      <c r="O655" s="95">
        <v>0</v>
      </c>
      <c r="P655" s="95">
        <v>317.62</v>
      </c>
      <c r="Q655" s="95">
        <v>9.4600000000000009</v>
      </c>
      <c r="R655" s="94"/>
      <c r="S655" s="95">
        <v>284.75</v>
      </c>
      <c r="T655" s="95">
        <v>5199.3100000000004</v>
      </c>
      <c r="U655" s="95">
        <v>0</v>
      </c>
      <c r="V655" s="94"/>
      <c r="W655" s="94"/>
      <c r="X655" s="95">
        <v>19432.28</v>
      </c>
      <c r="Y655" s="94"/>
      <c r="Z655" s="94"/>
      <c r="AA655" s="94"/>
      <c r="AB655" s="94"/>
      <c r="AC655" s="94"/>
      <c r="AD655" s="94"/>
      <c r="AE655" s="94"/>
      <c r="AF655" s="94"/>
      <c r="AG655" s="95">
        <v>-29.99</v>
      </c>
      <c r="AH655" s="94"/>
      <c r="AI655" s="95">
        <v>19685.71</v>
      </c>
      <c r="AJ655" s="95">
        <v>0</v>
      </c>
    </row>
    <row r="656" spans="1:36" customFormat="1" ht="15.75" thickBot="1" x14ac:dyDescent="0.3">
      <c r="A656" s="90" t="s">
        <v>1046</v>
      </c>
      <c r="B656" s="626" t="str">
        <f>VLOOKUP($D656,'Retail Rates'!$B$7:$D$38,2,FALSE)</f>
        <v>811</v>
      </c>
      <c r="C656" s="626" t="str">
        <f>VLOOKUP($D656,'Retail Rates'!$B$7:$D$38,3,FALSE)</f>
        <v>RGS</v>
      </c>
      <c r="D656" s="90" t="s">
        <v>35</v>
      </c>
      <c r="E656" s="90" t="s">
        <v>36</v>
      </c>
      <c r="F656" s="90" t="s">
        <v>28</v>
      </c>
      <c r="G656" s="90" t="s">
        <v>1055</v>
      </c>
      <c r="H656" s="304">
        <v>295184</v>
      </c>
      <c r="I656" s="93">
        <v>3319979</v>
      </c>
      <c r="J656" s="92"/>
      <c r="K656" s="93">
        <v>3971991.2</v>
      </c>
      <c r="L656" s="92"/>
      <c r="M656" s="93">
        <v>952612.33</v>
      </c>
      <c r="N656" s="93">
        <v>1765.97</v>
      </c>
      <c r="O656" s="93">
        <v>0</v>
      </c>
      <c r="P656" s="93">
        <v>1225143.3799999999</v>
      </c>
      <c r="Q656" s="93">
        <v>36128.089999999997</v>
      </c>
      <c r="R656" s="92"/>
      <c r="S656" s="93">
        <v>74326.75</v>
      </c>
      <c r="T656" s="93">
        <v>1512300.57</v>
      </c>
      <c r="U656" s="93">
        <v>0</v>
      </c>
      <c r="V656" s="92"/>
      <c r="W656" s="92"/>
      <c r="X656" s="93">
        <v>7698175.5700000003</v>
      </c>
      <c r="Y656" s="92"/>
      <c r="Z656" s="92"/>
      <c r="AA656" s="92"/>
      <c r="AB656" s="92"/>
      <c r="AC656" s="92"/>
      <c r="AD656" s="92"/>
      <c r="AE656" s="92"/>
      <c r="AF656" s="92"/>
      <c r="AG656" s="93">
        <v>31340.85</v>
      </c>
      <c r="AH656" s="92"/>
      <c r="AI656" s="93">
        <v>7805609.1399999997</v>
      </c>
      <c r="AJ656" s="93">
        <v>0</v>
      </c>
    </row>
    <row r="657" spans="1:36" customFormat="1" ht="15.75" thickBot="1" x14ac:dyDescent="0.3">
      <c r="A657" s="90" t="s">
        <v>1046</v>
      </c>
      <c r="B657" s="626" t="str">
        <f>VLOOKUP($D657,'Retail Rates'!$B$7:$D$38,2,FALSE)</f>
        <v>840</v>
      </c>
      <c r="C657" s="626" t="str">
        <f>VLOOKUP($D657,'Retail Rates'!$B$7:$D$38,3,FALSE)</f>
        <v>RGS</v>
      </c>
      <c r="D657" s="90" t="s">
        <v>37</v>
      </c>
      <c r="E657" s="90" t="s">
        <v>38</v>
      </c>
      <c r="F657" s="90" t="s">
        <v>20</v>
      </c>
      <c r="G657" s="90" t="s">
        <v>1055</v>
      </c>
      <c r="H657" s="305">
        <v>1</v>
      </c>
      <c r="I657" s="95">
        <v>104</v>
      </c>
      <c r="J657" s="94"/>
      <c r="K657" s="95">
        <v>13.5</v>
      </c>
      <c r="L657" s="94"/>
      <c r="M657" s="95">
        <v>29.84</v>
      </c>
      <c r="N657" s="95">
        <v>0</v>
      </c>
      <c r="O657" s="94"/>
      <c r="P657" s="95">
        <v>37.86</v>
      </c>
      <c r="Q657" s="95">
        <v>1.1299999999999999</v>
      </c>
      <c r="R657" s="94"/>
      <c r="S657" s="94"/>
      <c r="T657" s="95">
        <v>5.14</v>
      </c>
      <c r="U657" s="95">
        <v>0</v>
      </c>
      <c r="V657" s="94"/>
      <c r="W657" s="94"/>
      <c r="X657" s="95">
        <v>87.47</v>
      </c>
      <c r="Y657" s="94"/>
      <c r="Z657" s="94"/>
      <c r="AA657" s="94"/>
      <c r="AB657" s="94"/>
      <c r="AC657" s="94"/>
      <c r="AD657" s="94"/>
      <c r="AE657" s="94"/>
      <c r="AF657" s="94"/>
      <c r="AG657" s="95">
        <v>0</v>
      </c>
      <c r="AH657" s="94"/>
      <c r="AI657" s="95">
        <v>87.47</v>
      </c>
      <c r="AJ657" s="95">
        <v>0</v>
      </c>
    </row>
    <row r="658" spans="1:36" customFormat="1" ht="15.75" thickBot="1" x14ac:dyDescent="0.3">
      <c r="A658" s="90" t="s">
        <v>1046</v>
      </c>
      <c r="B658" s="626" t="str">
        <f>VLOOKUP($D658,'Retail Rates'!$B$7:$D$38,2,FALSE)</f>
        <v>840</v>
      </c>
      <c r="C658" s="626" t="str">
        <f>VLOOKUP($D658,'Retail Rates'!$B$7:$D$38,3,FALSE)</f>
        <v>RGS</v>
      </c>
      <c r="D658" s="90" t="s">
        <v>37</v>
      </c>
      <c r="E658" s="90" t="s">
        <v>38</v>
      </c>
      <c r="F658" s="90" t="s">
        <v>28</v>
      </c>
      <c r="G658" s="90" t="s">
        <v>1055</v>
      </c>
      <c r="H658" s="304">
        <v>2</v>
      </c>
      <c r="I658" s="93">
        <v>160</v>
      </c>
      <c r="J658" s="92"/>
      <c r="K658" s="93">
        <v>27</v>
      </c>
      <c r="L658" s="92"/>
      <c r="M658" s="93">
        <v>45.91</v>
      </c>
      <c r="N658" s="93">
        <v>0</v>
      </c>
      <c r="O658" s="93">
        <v>0</v>
      </c>
      <c r="P658" s="93">
        <v>59.76</v>
      </c>
      <c r="Q658" s="93">
        <v>1.73</v>
      </c>
      <c r="R658" s="92"/>
      <c r="S658" s="92"/>
      <c r="T658" s="93">
        <v>10.28</v>
      </c>
      <c r="U658" s="93">
        <v>0</v>
      </c>
      <c r="V658" s="92"/>
      <c r="W658" s="92"/>
      <c r="X658" s="93">
        <v>144.68</v>
      </c>
      <c r="Y658" s="92"/>
      <c r="Z658" s="92"/>
      <c r="AA658" s="92"/>
      <c r="AB658" s="92"/>
      <c r="AC658" s="92"/>
      <c r="AD658" s="92"/>
      <c r="AE658" s="92"/>
      <c r="AF658" s="92"/>
      <c r="AG658" s="93">
        <v>0</v>
      </c>
      <c r="AH658" s="92"/>
      <c r="AI658" s="93">
        <v>144.68</v>
      </c>
      <c r="AJ658" s="93">
        <v>0</v>
      </c>
    </row>
    <row r="659" spans="1:36" customFormat="1" ht="15.75" thickBot="1" x14ac:dyDescent="0.3">
      <c r="A659" s="90" t="s">
        <v>1046</v>
      </c>
      <c r="B659" s="626" t="str">
        <f>VLOOKUP($D659,'Retail Rates'!$B$7:$D$38,2,FALSE)</f>
        <v>861</v>
      </c>
      <c r="C659" s="626" t="str">
        <f>VLOOKUP($D659,'Retail Rates'!$B$7:$D$38,3,FALSE)</f>
        <v>CGS</v>
      </c>
      <c r="D659" s="90" t="s">
        <v>29</v>
      </c>
      <c r="E659" s="90" t="s">
        <v>30</v>
      </c>
      <c r="F659" s="90" t="s">
        <v>17</v>
      </c>
      <c r="G659" s="90" t="s">
        <v>1055</v>
      </c>
      <c r="H659" s="304">
        <v>610</v>
      </c>
      <c r="I659" s="93">
        <v>613</v>
      </c>
      <c r="J659" s="92"/>
      <c r="K659" s="93">
        <v>24800</v>
      </c>
      <c r="L659" s="92"/>
      <c r="M659" s="93">
        <v>134.77000000000001</v>
      </c>
      <c r="N659" s="93">
        <v>2.44</v>
      </c>
      <c r="O659" s="93">
        <v>0</v>
      </c>
      <c r="P659" s="93">
        <v>222.77</v>
      </c>
      <c r="Q659" s="93">
        <v>0</v>
      </c>
      <c r="R659" s="92"/>
      <c r="S659" s="92"/>
      <c r="T659" s="92"/>
      <c r="U659" s="93">
        <v>0</v>
      </c>
      <c r="V659" s="92"/>
      <c r="W659" s="92"/>
      <c r="X659" s="93">
        <v>25157.54</v>
      </c>
      <c r="Y659" s="92"/>
      <c r="Z659" s="92"/>
      <c r="AA659" s="92"/>
      <c r="AB659" s="92"/>
      <c r="AC659" s="92"/>
      <c r="AD659" s="92"/>
      <c r="AE659" s="92"/>
      <c r="AF659" s="92"/>
      <c r="AG659" s="93">
        <v>1593.49</v>
      </c>
      <c r="AH659" s="92"/>
      <c r="AI659" s="93">
        <v>26753.47</v>
      </c>
      <c r="AJ659" s="93">
        <v>0</v>
      </c>
    </row>
    <row r="660" spans="1:36" customFormat="1" ht="15" x14ac:dyDescent="0.25"/>
    <row r="661" spans="1:36" customFormat="1" ht="15" x14ac:dyDescent="0.25"/>
    <row r="662" spans="1:36" customFormat="1" ht="15" x14ac:dyDescent="0.25"/>
    <row r="663" spans="1:36" customFormat="1" ht="15" x14ac:dyDescent="0.25"/>
    <row r="664" spans="1:36" customFormat="1" ht="15" x14ac:dyDescent="0.25"/>
    <row r="665" spans="1:36" customFormat="1" ht="15" x14ac:dyDescent="0.25"/>
    <row r="666" spans="1:36" customFormat="1" ht="15" x14ac:dyDescent="0.25"/>
    <row r="667" spans="1:36" customFormat="1" ht="15" x14ac:dyDescent="0.25"/>
    <row r="668" spans="1:36" customFormat="1" ht="15" x14ac:dyDescent="0.25"/>
    <row r="669" spans="1:36" customFormat="1" ht="15" x14ac:dyDescent="0.25"/>
    <row r="670" spans="1:36" customFormat="1" ht="15" x14ac:dyDescent="0.25"/>
    <row r="671" spans="1:36" customFormat="1" ht="15" x14ac:dyDescent="0.25"/>
    <row r="672" spans="1:36" customFormat="1" ht="15" x14ac:dyDescent="0.25"/>
    <row r="673" customFormat="1" ht="15" x14ac:dyDescent="0.25"/>
    <row r="674" customFormat="1" ht="15" x14ac:dyDescent="0.25"/>
    <row r="675" customFormat="1" ht="15" x14ac:dyDescent="0.25"/>
    <row r="676" customFormat="1" ht="15" x14ac:dyDescent="0.25"/>
    <row r="677" customFormat="1" ht="15" x14ac:dyDescent="0.25"/>
    <row r="678" customFormat="1" ht="15" x14ac:dyDescent="0.25"/>
    <row r="679" customFormat="1" ht="15" x14ac:dyDescent="0.25"/>
    <row r="680" customFormat="1" ht="15" x14ac:dyDescent="0.25"/>
    <row r="681" customFormat="1" ht="15" x14ac:dyDescent="0.25"/>
    <row r="682" customFormat="1" ht="15" x14ac:dyDescent="0.25"/>
    <row r="683" customFormat="1" ht="15" x14ac:dyDescent="0.25"/>
    <row r="684" customFormat="1" ht="15" x14ac:dyDescent="0.25"/>
    <row r="685" customFormat="1" ht="15" x14ac:dyDescent="0.25"/>
    <row r="686" customFormat="1" ht="15" x14ac:dyDescent="0.25"/>
    <row r="687" customFormat="1" ht="15" x14ac:dyDescent="0.25"/>
    <row r="688" customFormat="1" ht="15" x14ac:dyDescent="0.25"/>
    <row r="689" customFormat="1" ht="15" x14ac:dyDescent="0.25"/>
    <row r="690" customFormat="1" ht="15" x14ac:dyDescent="0.25"/>
    <row r="691" customFormat="1" ht="15" x14ac:dyDescent="0.25"/>
    <row r="692" customFormat="1" ht="15" x14ac:dyDescent="0.25"/>
    <row r="693" customFormat="1" ht="15" x14ac:dyDescent="0.25"/>
    <row r="694" customFormat="1" ht="15" x14ac:dyDescent="0.25"/>
    <row r="695" customFormat="1" ht="15" x14ac:dyDescent="0.25"/>
    <row r="696" customFormat="1" ht="15" x14ac:dyDescent="0.25"/>
    <row r="697" customFormat="1" ht="15" x14ac:dyDescent="0.25"/>
    <row r="698" customFormat="1" ht="15" x14ac:dyDescent="0.25"/>
    <row r="699" customFormat="1" ht="15" x14ac:dyDescent="0.25"/>
    <row r="700" customFormat="1" ht="15" x14ac:dyDescent="0.25"/>
    <row r="701" customFormat="1" ht="15" x14ac:dyDescent="0.25"/>
    <row r="702" customFormat="1" ht="15" x14ac:dyDescent="0.25"/>
    <row r="703" customFormat="1" ht="15" x14ac:dyDescent="0.25"/>
    <row r="704" customFormat="1" ht="15" x14ac:dyDescent="0.25"/>
    <row r="705" customFormat="1" ht="15" x14ac:dyDescent="0.25"/>
    <row r="706" customFormat="1" ht="15" x14ac:dyDescent="0.25"/>
    <row r="707" customFormat="1" ht="15" x14ac:dyDescent="0.25"/>
    <row r="708" customFormat="1" ht="15" x14ac:dyDescent="0.25"/>
    <row r="709" customFormat="1" ht="15" x14ac:dyDescent="0.25"/>
    <row r="710" customFormat="1" ht="15" x14ac:dyDescent="0.25"/>
    <row r="711" customFormat="1" ht="15" x14ac:dyDescent="0.25"/>
    <row r="712" customFormat="1" ht="15" x14ac:dyDescent="0.25"/>
    <row r="713" customFormat="1" ht="15" x14ac:dyDescent="0.25"/>
    <row r="714" customFormat="1" ht="15" x14ac:dyDescent="0.25"/>
    <row r="715" customFormat="1" ht="15" x14ac:dyDescent="0.25"/>
    <row r="716" customFormat="1" ht="15" x14ac:dyDescent="0.25"/>
    <row r="717" customFormat="1" ht="15" x14ac:dyDescent="0.25"/>
    <row r="718" customFormat="1" ht="15" x14ac:dyDescent="0.25"/>
    <row r="719" customFormat="1" ht="15" x14ac:dyDescent="0.25"/>
    <row r="720" customFormat="1" ht="15" x14ac:dyDescent="0.25"/>
    <row r="721" customFormat="1" ht="15" x14ac:dyDescent="0.25"/>
    <row r="722" customFormat="1" ht="15" x14ac:dyDescent="0.25"/>
    <row r="723" customFormat="1" ht="15" x14ac:dyDescent="0.25"/>
    <row r="724" customFormat="1" ht="15" x14ac:dyDescent="0.25"/>
    <row r="725" customFormat="1" ht="15" x14ac:dyDescent="0.25"/>
    <row r="726" customFormat="1" ht="15" x14ac:dyDescent="0.25"/>
    <row r="727" customFormat="1" ht="15" x14ac:dyDescent="0.25"/>
    <row r="728" customFormat="1" ht="15" x14ac:dyDescent="0.25"/>
    <row r="729" customFormat="1" ht="15" x14ac:dyDescent="0.25"/>
    <row r="730" customFormat="1" ht="15" x14ac:dyDescent="0.25"/>
    <row r="731" customFormat="1" ht="15" x14ac:dyDescent="0.25"/>
    <row r="732" customFormat="1" ht="15" x14ac:dyDescent="0.25"/>
    <row r="733" customFormat="1" ht="15" x14ac:dyDescent="0.25"/>
    <row r="734" customFormat="1" ht="15" x14ac:dyDescent="0.25"/>
    <row r="735" customFormat="1" ht="15" x14ac:dyDescent="0.25"/>
    <row r="736" customFormat="1" ht="15" x14ac:dyDescent="0.25"/>
    <row r="737" customFormat="1" ht="15" x14ac:dyDescent="0.25"/>
    <row r="738" customFormat="1" ht="15" x14ac:dyDescent="0.25"/>
    <row r="739" customFormat="1" ht="15" x14ac:dyDescent="0.25"/>
    <row r="740" customFormat="1" ht="15" x14ac:dyDescent="0.25"/>
    <row r="741" customFormat="1" ht="15" x14ac:dyDescent="0.25"/>
    <row r="742" customFormat="1" ht="15" x14ac:dyDescent="0.25"/>
    <row r="743" customFormat="1" ht="15" x14ac:dyDescent="0.25"/>
    <row r="744" customFormat="1" ht="15" x14ac:dyDescent="0.25"/>
    <row r="745" customFormat="1" ht="15" x14ac:dyDescent="0.25"/>
    <row r="746" customFormat="1" ht="15" x14ac:dyDescent="0.25"/>
    <row r="747" customFormat="1" ht="15" x14ac:dyDescent="0.25"/>
    <row r="748" customFormat="1" ht="15" x14ac:dyDescent="0.25"/>
    <row r="749" customFormat="1" ht="15" x14ac:dyDescent="0.25"/>
    <row r="750" customFormat="1" ht="15" x14ac:dyDescent="0.25"/>
    <row r="751" customFormat="1" ht="15" x14ac:dyDescent="0.25"/>
    <row r="752" customFormat="1" ht="15" x14ac:dyDescent="0.25"/>
    <row r="753" customFormat="1" ht="15" x14ac:dyDescent="0.25"/>
    <row r="754" customFormat="1" ht="15" x14ac:dyDescent="0.25"/>
    <row r="755" customFormat="1" ht="15" x14ac:dyDescent="0.25"/>
    <row r="756" customFormat="1" ht="15" x14ac:dyDescent="0.25"/>
    <row r="757" customFormat="1" ht="15" x14ac:dyDescent="0.25"/>
    <row r="758" customFormat="1" ht="15" x14ac:dyDescent="0.25"/>
    <row r="759" customFormat="1" ht="15" x14ac:dyDescent="0.25"/>
    <row r="760" customFormat="1" ht="15" x14ac:dyDescent="0.25"/>
    <row r="761" customFormat="1" ht="15" x14ac:dyDescent="0.25"/>
    <row r="762" customFormat="1" ht="15" x14ac:dyDescent="0.25"/>
    <row r="763" customFormat="1" ht="15" x14ac:dyDescent="0.25"/>
    <row r="764" customFormat="1" ht="15" x14ac:dyDescent="0.25"/>
    <row r="765" customFormat="1" ht="15" x14ac:dyDescent="0.25"/>
    <row r="766" customFormat="1" ht="15" x14ac:dyDescent="0.25"/>
    <row r="767" customFormat="1" ht="15" x14ac:dyDescent="0.25"/>
    <row r="768" customFormat="1" ht="15" x14ac:dyDescent="0.25"/>
    <row r="769" customFormat="1" ht="15" x14ac:dyDescent="0.25"/>
    <row r="770" customFormat="1" ht="15" x14ac:dyDescent="0.25"/>
    <row r="771" customFormat="1" ht="15" x14ac:dyDescent="0.25"/>
    <row r="772" customFormat="1" ht="15" x14ac:dyDescent="0.25"/>
    <row r="773" customFormat="1" ht="15" x14ac:dyDescent="0.25"/>
    <row r="774" customFormat="1" ht="15" x14ac:dyDescent="0.25"/>
    <row r="775" customFormat="1" ht="15" x14ac:dyDescent="0.25"/>
    <row r="776" customFormat="1" ht="15" x14ac:dyDescent="0.25"/>
    <row r="777" customFormat="1" ht="15" x14ac:dyDescent="0.25"/>
    <row r="778" customFormat="1" ht="15" x14ac:dyDescent="0.25"/>
    <row r="779" customFormat="1" ht="15" x14ac:dyDescent="0.25"/>
    <row r="780" customFormat="1" ht="15" x14ac:dyDescent="0.25"/>
    <row r="781" customFormat="1" ht="15" x14ac:dyDescent="0.25"/>
    <row r="782" customFormat="1" ht="15" x14ac:dyDescent="0.25"/>
    <row r="783" customFormat="1" ht="15" x14ac:dyDescent="0.25"/>
    <row r="784" customFormat="1" ht="15" x14ac:dyDescent="0.25"/>
    <row r="785" customFormat="1" ht="15" x14ac:dyDescent="0.25"/>
    <row r="786" customFormat="1" ht="15" x14ac:dyDescent="0.25"/>
    <row r="787" customFormat="1" ht="15" x14ac:dyDescent="0.25"/>
    <row r="788" customFormat="1" ht="15" x14ac:dyDescent="0.25"/>
    <row r="789" customFormat="1" ht="15" x14ac:dyDescent="0.25"/>
    <row r="790" customFormat="1" ht="15" x14ac:dyDescent="0.25"/>
    <row r="791" customFormat="1" ht="15" x14ac:dyDescent="0.25"/>
    <row r="792" customFormat="1" ht="15" x14ac:dyDescent="0.25"/>
    <row r="793" customFormat="1" ht="15" x14ac:dyDescent="0.25"/>
    <row r="794" customFormat="1" ht="15" x14ac:dyDescent="0.25"/>
    <row r="795" customFormat="1" ht="15" x14ac:dyDescent="0.25"/>
    <row r="796" customFormat="1" ht="15" x14ac:dyDescent="0.25"/>
    <row r="797" customFormat="1" ht="15" x14ac:dyDescent="0.25"/>
    <row r="798" customFormat="1" ht="15" x14ac:dyDescent="0.25"/>
    <row r="799" customFormat="1" ht="15" x14ac:dyDescent="0.25"/>
    <row r="800" customFormat="1" ht="15" x14ac:dyDescent="0.25"/>
    <row r="801" customFormat="1" ht="15" x14ac:dyDescent="0.25"/>
    <row r="802" customFormat="1" ht="15" x14ac:dyDescent="0.25"/>
    <row r="803" customFormat="1" ht="15" x14ac:dyDescent="0.25"/>
    <row r="804" customFormat="1" ht="15" x14ac:dyDescent="0.25"/>
    <row r="805" customFormat="1" ht="15" x14ac:dyDescent="0.25"/>
    <row r="806" customFormat="1" ht="15" x14ac:dyDescent="0.25"/>
    <row r="807" customFormat="1" ht="15" x14ac:dyDescent="0.25"/>
    <row r="808" customFormat="1" ht="15" x14ac:dyDescent="0.25"/>
    <row r="809" customFormat="1" ht="15" x14ac:dyDescent="0.25"/>
    <row r="810" customFormat="1" ht="15" x14ac:dyDescent="0.25"/>
    <row r="811" customFormat="1" ht="15" x14ac:dyDescent="0.25"/>
    <row r="812" customFormat="1" ht="15" x14ac:dyDescent="0.25"/>
    <row r="813" customFormat="1" ht="15" x14ac:dyDescent="0.25"/>
    <row r="814" customFormat="1" ht="15" x14ac:dyDescent="0.25"/>
    <row r="815" customFormat="1" ht="15" x14ac:dyDescent="0.25"/>
    <row r="816" customFormat="1" ht="15" x14ac:dyDescent="0.25"/>
    <row r="817" customFormat="1" ht="15" x14ac:dyDescent="0.25"/>
    <row r="818" customFormat="1" ht="15" x14ac:dyDescent="0.25"/>
    <row r="819" customFormat="1" ht="15" x14ac:dyDescent="0.25"/>
    <row r="820" customFormat="1" ht="15" x14ac:dyDescent="0.25"/>
    <row r="821" customFormat="1" ht="15" x14ac:dyDescent="0.25"/>
    <row r="822" customFormat="1" ht="15" x14ac:dyDescent="0.25"/>
    <row r="823" customFormat="1" ht="15" x14ac:dyDescent="0.25"/>
    <row r="824" customFormat="1" ht="15" x14ac:dyDescent="0.25"/>
    <row r="825" customFormat="1" ht="15" x14ac:dyDescent="0.25"/>
  </sheetData>
  <pageMargins left="0.7" right="0.7" top="0.75" bottom="0.75" header="0.3" footer="0.3"/>
  <pageSetup scale="5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H18"/>
  <sheetViews>
    <sheetView workbookViewId="0">
      <selection sqref="A1:H1"/>
    </sheetView>
  </sheetViews>
  <sheetFormatPr defaultRowHeight="14.25" x14ac:dyDescent="0.2"/>
  <cols>
    <col min="1" max="1" width="11" style="992" customWidth="1"/>
    <col min="2" max="2" width="11.140625" style="992" customWidth="1"/>
    <col min="3" max="7" width="9.140625" style="992"/>
    <col min="8" max="8" width="15.140625" style="992" customWidth="1"/>
    <col min="9" max="16384" width="9.140625" style="992"/>
  </cols>
  <sheetData>
    <row r="1" spans="1:8" x14ac:dyDescent="0.2">
      <c r="A1" s="1145" t="s">
        <v>839</v>
      </c>
      <c r="B1" s="1145"/>
      <c r="C1" s="1145"/>
      <c r="D1" s="1145"/>
      <c r="E1" s="1145"/>
      <c r="F1" s="1145"/>
      <c r="G1" s="1145"/>
      <c r="H1" s="1145"/>
    </row>
    <row r="3" spans="1:8" x14ac:dyDescent="0.2">
      <c r="A3" s="1145" t="s">
        <v>1212</v>
      </c>
      <c r="B3" s="1145"/>
      <c r="C3" s="1145"/>
      <c r="D3" s="1145"/>
      <c r="E3" s="1145"/>
      <c r="F3" s="1145"/>
      <c r="G3" s="1145"/>
      <c r="H3" s="1145"/>
    </row>
    <row r="5" spans="1:8" x14ac:dyDescent="0.2">
      <c r="A5" s="1145" t="s">
        <v>266</v>
      </c>
      <c r="B5" s="1145"/>
      <c r="C5" s="1145"/>
      <c r="D5" s="1145"/>
      <c r="E5" s="1145"/>
      <c r="F5" s="1145"/>
      <c r="G5" s="1145"/>
      <c r="H5" s="1145"/>
    </row>
    <row r="7" spans="1:8" x14ac:dyDescent="0.2">
      <c r="A7" s="1145" t="s">
        <v>1167</v>
      </c>
      <c r="B7" s="1145"/>
      <c r="C7" s="1145"/>
      <c r="D7" s="1145"/>
      <c r="E7" s="1145"/>
      <c r="F7" s="1145"/>
      <c r="G7" s="1145"/>
      <c r="H7" s="1145"/>
    </row>
    <row r="8" spans="1:8" x14ac:dyDescent="0.2">
      <c r="A8" s="993"/>
      <c r="B8" s="993"/>
      <c r="C8" s="993"/>
      <c r="D8" s="993"/>
      <c r="E8" s="993"/>
      <c r="F8" s="993"/>
      <c r="G8" s="993"/>
      <c r="H8" s="993"/>
    </row>
    <row r="9" spans="1:8" x14ac:dyDescent="0.2">
      <c r="A9" s="993"/>
      <c r="B9" s="993"/>
      <c r="C9" s="993"/>
      <c r="D9" s="993"/>
      <c r="E9" s="993"/>
      <c r="F9" s="993"/>
      <c r="G9" s="993"/>
      <c r="H9" s="993"/>
    </row>
    <row r="10" spans="1:8" x14ac:dyDescent="0.2">
      <c r="A10" s="993"/>
      <c r="B10" s="993"/>
      <c r="C10" s="993"/>
      <c r="D10" s="993"/>
      <c r="E10" s="993"/>
      <c r="F10" s="993"/>
      <c r="G10" s="993"/>
      <c r="H10" s="993"/>
    </row>
    <row r="11" spans="1:8" x14ac:dyDescent="0.2">
      <c r="A11" s="994" t="s">
        <v>840</v>
      </c>
      <c r="B11" s="993"/>
      <c r="C11" s="993"/>
      <c r="D11" s="994" t="s">
        <v>896</v>
      </c>
      <c r="E11" s="993"/>
      <c r="F11" s="993"/>
      <c r="G11" s="993"/>
      <c r="H11" s="993"/>
    </row>
    <row r="13" spans="1:8" x14ac:dyDescent="0.2">
      <c r="A13" s="995" t="s">
        <v>841</v>
      </c>
      <c r="C13" s="1146" t="s">
        <v>842</v>
      </c>
      <c r="D13" s="1146"/>
      <c r="E13" s="1146"/>
      <c r="F13" s="1146"/>
      <c r="G13" s="1146"/>
      <c r="H13" s="1146"/>
    </row>
    <row r="14" spans="1:8" x14ac:dyDescent="0.2">
      <c r="C14" s="1145" t="s">
        <v>1213</v>
      </c>
      <c r="D14" s="1145"/>
      <c r="E14" s="1145"/>
      <c r="F14" s="1145"/>
      <c r="G14" s="1145"/>
      <c r="H14" s="1145"/>
    </row>
    <row r="15" spans="1:8" x14ac:dyDescent="0.2">
      <c r="A15" s="992" t="s">
        <v>843</v>
      </c>
      <c r="C15" s="992" t="s">
        <v>1183</v>
      </c>
    </row>
    <row r="16" spans="1:8" x14ac:dyDescent="0.2">
      <c r="A16" s="992" t="s">
        <v>844</v>
      </c>
      <c r="C16" s="992" t="s">
        <v>1184</v>
      </c>
    </row>
    <row r="17" spans="1:3" x14ac:dyDescent="0.2">
      <c r="A17" s="992" t="s">
        <v>845</v>
      </c>
      <c r="B17" s="992" t="s">
        <v>1214</v>
      </c>
      <c r="C17" s="992" t="s">
        <v>1185</v>
      </c>
    </row>
    <row r="18" spans="1:3" x14ac:dyDescent="0.2">
      <c r="A18" s="992" t="s">
        <v>845</v>
      </c>
      <c r="B18" s="992" t="s">
        <v>1215</v>
      </c>
      <c r="C18" s="992" t="s">
        <v>1186</v>
      </c>
    </row>
  </sheetData>
  <mergeCells count="6">
    <mergeCell ref="C14:H14"/>
    <mergeCell ref="A1:H1"/>
    <mergeCell ref="A3:H3"/>
    <mergeCell ref="A5:H5"/>
    <mergeCell ref="A7:H7"/>
    <mergeCell ref="C13:H13"/>
  </mergeCells>
  <pageMargins left="0.75" right="0.75" top="1" bottom="0.5" header="0.25" footer="0.25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9" tint="0.39997558519241921"/>
    <pageSetUpPr fitToPage="1"/>
  </sheetPr>
  <dimension ref="A1:U72"/>
  <sheetViews>
    <sheetView workbookViewId="0">
      <selection activeCell="I20" sqref="I20"/>
    </sheetView>
  </sheetViews>
  <sheetFormatPr defaultRowHeight="15" x14ac:dyDescent="0.25"/>
  <cols>
    <col min="1" max="2" width="9.140625" style="21"/>
    <col min="3" max="3" width="14" style="21" bestFit="1" customWidth="1"/>
    <col min="4" max="4" width="9.140625" style="21"/>
    <col min="5" max="5" width="17.28515625" style="21" customWidth="1"/>
    <col min="6" max="6" width="14.28515625" style="21" customWidth="1"/>
    <col min="7" max="7" width="14.7109375" style="21" customWidth="1"/>
    <col min="8" max="9" width="10.42578125" style="21" customWidth="1"/>
    <col min="10" max="10" width="14.42578125" style="21" bestFit="1" customWidth="1"/>
    <col min="11" max="11" width="11.140625" style="21" bestFit="1" customWidth="1"/>
    <col min="12" max="12" width="13.5703125" style="21" bestFit="1" customWidth="1"/>
    <col min="13" max="13" width="11.5703125" style="21" customWidth="1"/>
    <col min="14" max="14" width="13.28515625" style="21" customWidth="1"/>
    <col min="15" max="16" width="9.140625" style="21"/>
    <col min="17" max="17" width="10.28515625" customWidth="1"/>
    <col min="19" max="19" width="14.42578125" bestFit="1" customWidth="1"/>
    <col min="20" max="20" width="11.28515625" customWidth="1"/>
  </cols>
  <sheetData>
    <row r="1" spans="1:16" x14ac:dyDescent="0.25">
      <c r="A1" s="54" t="s">
        <v>228</v>
      </c>
      <c r="B1" s="54"/>
      <c r="C1" s="54"/>
      <c r="D1" s="55"/>
      <c r="E1" s="55"/>
      <c r="F1" s="56" t="s">
        <v>229</v>
      </c>
      <c r="G1" s="56" t="s">
        <v>230</v>
      </c>
      <c r="H1" s="53" t="s">
        <v>219</v>
      </c>
      <c r="I1" s="53" t="s">
        <v>220</v>
      </c>
      <c r="J1" s="53" t="s">
        <v>221</v>
      </c>
      <c r="K1" s="53" t="s">
        <v>222</v>
      </c>
      <c r="L1" s="53" t="s">
        <v>223</v>
      </c>
      <c r="M1" s="53" t="s">
        <v>224</v>
      </c>
      <c r="N1" s="53" t="s">
        <v>225</v>
      </c>
      <c r="O1" s="53" t="s">
        <v>226</v>
      </c>
      <c r="P1" s="53" t="s">
        <v>227</v>
      </c>
    </row>
    <row r="2" spans="1:16" x14ac:dyDescent="0.25">
      <c r="A2" s="13"/>
      <c r="B2" s="13"/>
      <c r="C2" s="13"/>
      <c r="D2" s="14"/>
      <c r="E2" s="14"/>
      <c r="F2" s="25"/>
      <c r="G2" s="25"/>
      <c r="H2" s="45"/>
      <c r="I2" s="45"/>
      <c r="J2" s="45"/>
      <c r="K2" s="45"/>
      <c r="L2" s="45"/>
      <c r="M2" s="45"/>
      <c r="N2" s="45"/>
      <c r="O2" s="45"/>
      <c r="P2" s="45"/>
    </row>
    <row r="3" spans="1:16" x14ac:dyDescent="0.25">
      <c r="A3" s="14">
        <v>1</v>
      </c>
      <c r="B3" s="14">
        <f>1+A3</f>
        <v>2</v>
      </c>
      <c r="C3" s="14">
        <f>1+B3</f>
        <v>3</v>
      </c>
      <c r="D3" s="14">
        <f>1+C3</f>
        <v>4</v>
      </c>
      <c r="E3" s="14">
        <f>1+D3</f>
        <v>5</v>
      </c>
      <c r="F3" s="56">
        <f>+E3+1</f>
        <v>6</v>
      </c>
      <c r="G3" s="56">
        <f>+F3+1</f>
        <v>7</v>
      </c>
      <c r="H3" s="53">
        <f>+G3+1</f>
        <v>8</v>
      </c>
      <c r="I3" s="53">
        <f>+H3+1</f>
        <v>9</v>
      </c>
      <c r="J3" s="53">
        <f t="shared" ref="J3:P3" si="0">+I3+1</f>
        <v>10</v>
      </c>
      <c r="K3" s="53">
        <f t="shared" si="0"/>
        <v>11</v>
      </c>
      <c r="L3" s="53">
        <f t="shared" si="0"/>
        <v>12</v>
      </c>
      <c r="M3" s="53">
        <f t="shared" si="0"/>
        <v>13</v>
      </c>
      <c r="N3" s="53">
        <f t="shared" si="0"/>
        <v>14</v>
      </c>
      <c r="O3" s="53">
        <f t="shared" si="0"/>
        <v>15</v>
      </c>
      <c r="P3" s="53">
        <f t="shared" si="0"/>
        <v>16</v>
      </c>
    </row>
    <row r="4" spans="1:16" x14ac:dyDescent="0.25">
      <c r="A4" s="15"/>
      <c r="B4" s="16"/>
      <c r="C4" s="16"/>
      <c r="D4" s="16"/>
      <c r="E4" s="16"/>
      <c r="F4" s="83" t="s">
        <v>504</v>
      </c>
      <c r="G4" s="26"/>
      <c r="H4" s="49" t="s">
        <v>191</v>
      </c>
      <c r="I4" s="49"/>
      <c r="J4" s="49"/>
      <c r="K4" s="46"/>
      <c r="L4" s="46"/>
      <c r="M4" s="46"/>
      <c r="N4" s="46"/>
      <c r="O4" s="46"/>
      <c r="P4" s="46"/>
    </row>
    <row r="5" spans="1:16" ht="26.25" x14ac:dyDescent="0.25">
      <c r="A5" s="17" t="s">
        <v>166</v>
      </c>
      <c r="B5" s="18" t="s">
        <v>164</v>
      </c>
      <c r="C5" s="18" t="s">
        <v>12</v>
      </c>
      <c r="D5" s="17" t="s">
        <v>167</v>
      </c>
      <c r="E5" s="17" t="s">
        <v>168</v>
      </c>
      <c r="F5" s="23" t="s">
        <v>215</v>
      </c>
      <c r="G5" s="23" t="s">
        <v>216</v>
      </c>
      <c r="H5" s="52" t="s">
        <v>217</v>
      </c>
      <c r="I5" s="52" t="s">
        <v>218</v>
      </c>
      <c r="J5" s="47" t="s">
        <v>192</v>
      </c>
      <c r="K5" s="47" t="s">
        <v>184</v>
      </c>
      <c r="L5" s="47" t="s">
        <v>182</v>
      </c>
      <c r="M5" s="47" t="s">
        <v>183</v>
      </c>
      <c r="N5" s="47" t="s">
        <v>196</v>
      </c>
      <c r="O5" s="47" t="s">
        <v>198</v>
      </c>
      <c r="P5" s="47" t="s">
        <v>172</v>
      </c>
    </row>
    <row r="6" spans="1:16" x14ac:dyDescent="0.25">
      <c r="A6" s="13">
        <v>1</v>
      </c>
      <c r="B6" s="22">
        <f>+'Mar16-Aug16 Billed-RETAIL'!D7</f>
        <v>42430</v>
      </c>
      <c r="C6" s="22" t="str">
        <f>+'Mar16-Aug16 Billed-RETAIL'!E7</f>
        <v>LGCMG865</v>
      </c>
      <c r="D6" s="14" t="str">
        <f>+'Mar16-Aug16 Billed-RETAIL'!F7</f>
        <v>865</v>
      </c>
      <c r="E6" s="14" t="str">
        <f>+'Mar16-Aug16 Billed-RETAIL'!G7</f>
        <v>AAGS-C</v>
      </c>
      <c r="F6" s="634">
        <v>2</v>
      </c>
      <c r="G6" s="33"/>
      <c r="H6" s="558"/>
      <c r="I6" s="48"/>
      <c r="J6" s="48"/>
      <c r="K6" s="48"/>
      <c r="L6" s="48"/>
      <c r="M6" s="48"/>
      <c r="N6" s="48"/>
      <c r="O6" s="48"/>
      <c r="P6" s="48"/>
    </row>
    <row r="7" spans="1:16" x14ac:dyDescent="0.25">
      <c r="A7" s="13">
        <f t="shared" ref="A7:A14" si="1">+A6+1</f>
        <v>2</v>
      </c>
      <c r="B7" s="22">
        <f>+'Mar16-Aug16 Billed-RETAIL'!D8</f>
        <v>42430</v>
      </c>
      <c r="C7" s="22" t="str">
        <f>+'Mar16-Aug16 Billed-RETAIL'!E8</f>
        <v>LGING866</v>
      </c>
      <c r="D7" s="14" t="str">
        <f>+'Mar16-Aug16 Billed-RETAIL'!F8</f>
        <v>866</v>
      </c>
      <c r="E7" s="14" t="str">
        <f>+'Mar16-Aug16 Billed-RETAIL'!G8</f>
        <v>AAGS-I</v>
      </c>
      <c r="F7" s="634">
        <v>3</v>
      </c>
      <c r="G7" s="33"/>
      <c r="H7" s="558"/>
      <c r="I7" s="48"/>
      <c r="J7" s="48"/>
      <c r="K7" s="48"/>
      <c r="L7" s="48"/>
      <c r="M7" s="48"/>
      <c r="N7" s="48"/>
      <c r="O7" s="48"/>
      <c r="P7" s="48"/>
    </row>
    <row r="8" spans="1:16" x14ac:dyDescent="0.25">
      <c r="A8" s="13">
        <f t="shared" si="1"/>
        <v>3</v>
      </c>
      <c r="B8" s="22">
        <f>+'Mar16-Aug16 Billed-RETAIL'!D9</f>
        <v>42430</v>
      </c>
      <c r="C8" s="22" t="str">
        <f>+'Mar16-Aug16 Billed-RETAIL'!E9</f>
        <v>LGCMG851</v>
      </c>
      <c r="D8" s="14" t="str">
        <f>+'Mar16-Aug16 Billed-RETAIL'!F9</f>
        <v>851</v>
      </c>
      <c r="E8" s="14" t="str">
        <f>+'Mar16-Aug16 Billed-RETAIL'!G9</f>
        <v>CGS</v>
      </c>
      <c r="F8" s="638">
        <v>24838</v>
      </c>
      <c r="G8" s="638">
        <v>1141</v>
      </c>
      <c r="H8" s="558"/>
      <c r="I8" s="48"/>
      <c r="J8" s="635">
        <v>33.1</v>
      </c>
      <c r="K8" s="639">
        <v>108</v>
      </c>
      <c r="L8" s="635">
        <v>8.56</v>
      </c>
      <c r="M8" s="48"/>
      <c r="N8" s="48"/>
      <c r="O8" s="48"/>
      <c r="P8" s="48"/>
    </row>
    <row r="9" spans="1:16" x14ac:dyDescent="0.25">
      <c r="A9" s="13">
        <f t="shared" si="1"/>
        <v>4</v>
      </c>
      <c r="B9" s="22">
        <f>+'Mar16-Aug16 Billed-RETAIL'!D10</f>
        <v>42430</v>
      </c>
      <c r="C9" s="22" t="str">
        <f>+'Mar16-Aug16 Billed-RETAIL'!E10</f>
        <v>LGUMG861</v>
      </c>
      <c r="D9" s="14" t="str">
        <f>+'Mar16-Aug16 Billed-RETAIL'!F10</f>
        <v>861</v>
      </c>
      <c r="E9" s="14" t="str">
        <f>+'Mar16-Aug16 Billed-RETAIL'!G10</f>
        <v>CGS</v>
      </c>
      <c r="F9" s="638">
        <v>630</v>
      </c>
      <c r="G9" s="74">
        <v>0</v>
      </c>
      <c r="H9" s="558"/>
      <c r="I9" s="48"/>
      <c r="J9" s="48"/>
      <c r="K9" s="48"/>
      <c r="L9" s="635">
        <v>2.99</v>
      </c>
      <c r="M9" s="48"/>
      <c r="N9" s="48"/>
      <c r="O9" s="48"/>
      <c r="P9" s="48"/>
    </row>
    <row r="10" spans="1:16" x14ac:dyDescent="0.25">
      <c r="A10" s="13">
        <f t="shared" si="1"/>
        <v>5</v>
      </c>
      <c r="B10" s="22">
        <f>+'Mar16-Aug16 Billed-RETAIL'!D11</f>
        <v>42430</v>
      </c>
      <c r="C10" s="22" t="str">
        <f>+'Mar16-Aug16 Billed-RETAIL'!E11</f>
        <v>LGCMG875</v>
      </c>
      <c r="D10" s="14" t="str">
        <f>+'Mar16-Aug16 Billed-RETAIL'!F11</f>
        <v>875</v>
      </c>
      <c r="E10" s="14" t="str">
        <f>+'Mar16-Aug16 Billed-RETAIL'!G11</f>
        <v>DGGS-C</v>
      </c>
      <c r="F10" s="33"/>
      <c r="G10" s="33"/>
      <c r="H10" s="558"/>
      <c r="I10" s="48"/>
      <c r="J10" s="48"/>
      <c r="K10" s="48"/>
      <c r="L10" s="48"/>
      <c r="M10" s="48"/>
      <c r="N10" s="48"/>
      <c r="O10" s="48"/>
      <c r="P10" s="48"/>
    </row>
    <row r="11" spans="1:16" x14ac:dyDescent="0.25">
      <c r="A11" s="13">
        <f t="shared" si="1"/>
        <v>6</v>
      </c>
      <c r="B11" s="22">
        <f>+'Mar16-Aug16 Billed-RETAIL'!D12</f>
        <v>42430</v>
      </c>
      <c r="C11" s="22" t="str">
        <f>+'Mar16-Aug16 Billed-RETAIL'!E12</f>
        <v>LGING855</v>
      </c>
      <c r="D11" s="14" t="str">
        <f>+'Mar16-Aug16 Billed-RETAIL'!F12</f>
        <v>855</v>
      </c>
      <c r="E11" s="14" t="str">
        <f>+'Mar16-Aug16 Billed-RETAIL'!G12</f>
        <v>IGS</v>
      </c>
      <c r="F11" s="634">
        <v>129</v>
      </c>
      <c r="G11" s="634">
        <v>118</v>
      </c>
      <c r="H11" s="558"/>
      <c r="I11" s="70"/>
      <c r="J11" s="635">
        <v>5.33</v>
      </c>
      <c r="K11" s="635">
        <v>0.01</v>
      </c>
      <c r="L11" s="635">
        <v>0.06</v>
      </c>
      <c r="M11" s="48"/>
      <c r="N11" s="48"/>
      <c r="O11" s="48"/>
      <c r="P11" s="48"/>
    </row>
    <row r="12" spans="1:16" x14ac:dyDescent="0.25">
      <c r="A12" s="13">
        <f t="shared" si="1"/>
        <v>7</v>
      </c>
      <c r="B12" s="22">
        <f>+'Mar16-Aug16 Billed-RETAIL'!D13</f>
        <v>42430</v>
      </c>
      <c r="C12" s="22" t="str">
        <f>+'Mar16-Aug16 Billed-RETAIL'!E13</f>
        <v>LGRSG811</v>
      </c>
      <c r="D12" s="14" t="str">
        <f>+'Mar16-Aug16 Billed-RETAIL'!F13</f>
        <v>811</v>
      </c>
      <c r="E12" s="14" t="str">
        <f>+'Mar16-Aug16 Billed-RETAIL'!G13</f>
        <v>RGS</v>
      </c>
      <c r="F12" s="634">
        <v>302894</v>
      </c>
      <c r="G12" s="33"/>
      <c r="H12" s="636">
        <v>-2216</v>
      </c>
      <c r="I12" s="48"/>
      <c r="J12" s="635">
        <v>20.420000000000002</v>
      </c>
      <c r="K12" s="48"/>
      <c r="L12" s="635">
        <v>5.22</v>
      </c>
      <c r="M12" s="48"/>
      <c r="N12" s="48"/>
      <c r="O12" s="48"/>
      <c r="P12" s="48"/>
    </row>
    <row r="13" spans="1:16" x14ac:dyDescent="0.25">
      <c r="A13" s="13">
        <f t="shared" si="1"/>
        <v>8</v>
      </c>
      <c r="B13" s="22">
        <f>+'Mar16-Aug16 Billed-RETAIL'!D14</f>
        <v>42430</v>
      </c>
      <c r="C13" s="22" t="str">
        <f>+'Mar16-Aug16 Billed-RETAIL'!E14</f>
        <v>LGCMG851LT</v>
      </c>
      <c r="D13" s="14" t="str">
        <f>+'Mar16-Aug16 Billed-RETAIL'!F14</f>
        <v>851</v>
      </c>
      <c r="E13" s="14" t="str">
        <f>+'Mar16-Aug16 Billed-RETAIL'!G14</f>
        <v>CGS</v>
      </c>
      <c r="F13" s="634">
        <v>1</v>
      </c>
      <c r="G13" s="33">
        <v>0</v>
      </c>
      <c r="H13" s="558"/>
      <c r="I13" s="48"/>
      <c r="J13" s="48"/>
      <c r="K13" s="48"/>
      <c r="L13" s="48"/>
      <c r="M13" s="48"/>
      <c r="N13" s="48"/>
      <c r="O13" s="48"/>
      <c r="P13" s="48"/>
    </row>
    <row r="14" spans="1:16" x14ac:dyDescent="0.25">
      <c r="A14" s="13">
        <f t="shared" si="1"/>
        <v>9</v>
      </c>
      <c r="B14" s="22">
        <f>+'Mar16-Aug16 Billed-RETAIL'!D15</f>
        <v>42430</v>
      </c>
      <c r="C14" s="22" t="str">
        <f>+'Mar16-Aug16 Billed-RETAIL'!E15</f>
        <v>LGRSG840</v>
      </c>
      <c r="D14" s="14" t="str">
        <f>+'Mar16-Aug16 Billed-RETAIL'!F15</f>
        <v>840</v>
      </c>
      <c r="E14" s="14" t="str">
        <f>+'Mar16-Aug16 Billed-RETAIL'!G15</f>
        <v>RGS</v>
      </c>
      <c r="F14" s="634">
        <v>3</v>
      </c>
      <c r="G14" s="33"/>
      <c r="H14" s="558"/>
      <c r="I14" s="48"/>
      <c r="J14" s="48"/>
      <c r="K14" s="48"/>
      <c r="L14" s="635">
        <v>0.01</v>
      </c>
      <c r="M14" s="48"/>
      <c r="N14" s="48"/>
      <c r="O14" s="48"/>
      <c r="P14" s="48"/>
    </row>
    <row r="15" spans="1:16" s="426" customFormat="1" x14ac:dyDescent="0.25">
      <c r="A15" s="421"/>
      <c r="B15" s="422"/>
      <c r="C15" s="422"/>
      <c r="D15" s="423"/>
      <c r="E15" s="423"/>
      <c r="F15" s="424"/>
      <c r="G15" s="424"/>
      <c r="H15" s="559"/>
      <c r="I15" s="425"/>
      <c r="J15" s="425"/>
      <c r="K15" s="425"/>
      <c r="L15" s="425"/>
      <c r="M15" s="425"/>
      <c r="N15" s="425"/>
      <c r="O15" s="425"/>
      <c r="P15" s="425"/>
    </row>
    <row r="16" spans="1:16" x14ac:dyDescent="0.25">
      <c r="A16" s="13">
        <f>A14+1</f>
        <v>10</v>
      </c>
      <c r="B16" s="22">
        <f>+'Mar16-Aug16 Billed-RETAIL'!D17</f>
        <v>42461</v>
      </c>
      <c r="C16" s="22" t="str">
        <f>+'Mar16-Aug16 Billed-RETAIL'!E17</f>
        <v>LGCMG865</v>
      </c>
      <c r="D16" s="14" t="str">
        <f>+'Mar16-Aug16 Billed-RETAIL'!F17</f>
        <v>865</v>
      </c>
      <c r="E16" s="14" t="str">
        <f>+'Mar16-Aug16 Billed-RETAIL'!G17</f>
        <v>AAGS-C</v>
      </c>
      <c r="F16" s="634">
        <v>2</v>
      </c>
      <c r="G16" s="33"/>
      <c r="H16" s="558"/>
      <c r="I16" s="48"/>
      <c r="J16" s="48"/>
      <c r="K16" s="48"/>
      <c r="L16" s="48"/>
      <c r="M16" s="48"/>
      <c r="N16" s="48"/>
      <c r="O16" s="48"/>
      <c r="P16" s="48"/>
    </row>
    <row r="17" spans="1:16" x14ac:dyDescent="0.25">
      <c r="A17" s="13">
        <f>A16+1</f>
        <v>11</v>
      </c>
      <c r="B17" s="22">
        <f>+'Mar16-Aug16 Billed-RETAIL'!D18</f>
        <v>42461</v>
      </c>
      <c r="C17" s="22" t="str">
        <f>+'Mar16-Aug16 Billed-RETAIL'!E18</f>
        <v>LGING866</v>
      </c>
      <c r="D17" s="14" t="str">
        <f>+'Mar16-Aug16 Billed-RETAIL'!F18</f>
        <v>866</v>
      </c>
      <c r="E17" s="14" t="str">
        <f>+'Mar16-Aug16 Billed-RETAIL'!G18</f>
        <v>AAGS-I</v>
      </c>
      <c r="F17" s="634">
        <v>2</v>
      </c>
      <c r="G17" s="33"/>
      <c r="H17" s="558"/>
      <c r="I17" s="48"/>
      <c r="J17" s="48"/>
      <c r="K17" s="48"/>
      <c r="L17" s="48"/>
      <c r="M17" s="48"/>
      <c r="N17" s="48"/>
      <c r="O17" s="48"/>
      <c r="P17" s="48"/>
    </row>
    <row r="18" spans="1:16" x14ac:dyDescent="0.25">
      <c r="A18" s="13">
        <f t="shared" ref="A18:A24" si="2">A17+1</f>
        <v>12</v>
      </c>
      <c r="B18" s="22">
        <f>+'Mar16-Aug16 Billed-RETAIL'!D19</f>
        <v>42461</v>
      </c>
      <c r="C18" s="22" t="str">
        <f>+'Mar16-Aug16 Billed-RETAIL'!E19</f>
        <v>LGCMG851</v>
      </c>
      <c r="D18" s="14" t="str">
        <f>+'Mar16-Aug16 Billed-RETAIL'!F19</f>
        <v>851</v>
      </c>
      <c r="E18" s="14" t="str">
        <f>+'Mar16-Aug16 Billed-RETAIL'!G19</f>
        <v>CGS</v>
      </c>
      <c r="F18" s="638">
        <v>24192</v>
      </c>
      <c r="G18" s="638">
        <v>1089</v>
      </c>
      <c r="H18" s="558"/>
      <c r="I18" s="48"/>
      <c r="J18" s="635">
        <v>255.93</v>
      </c>
      <c r="K18" s="639">
        <v>-12.51</v>
      </c>
      <c r="L18" s="635">
        <v>26</v>
      </c>
      <c r="M18" s="48"/>
      <c r="N18" s="48"/>
      <c r="O18" s="48"/>
      <c r="P18" s="48"/>
    </row>
    <row r="19" spans="1:16" x14ac:dyDescent="0.25">
      <c r="A19" s="13">
        <f t="shared" si="2"/>
        <v>13</v>
      </c>
      <c r="B19" s="22">
        <f>+'Mar16-Aug16 Billed-RETAIL'!D20</f>
        <v>42461</v>
      </c>
      <c r="C19" s="22" t="str">
        <f>+'Mar16-Aug16 Billed-RETAIL'!E20</f>
        <v>LGUMG861</v>
      </c>
      <c r="D19" s="14" t="str">
        <f>+'Mar16-Aug16 Billed-RETAIL'!F20</f>
        <v>861</v>
      </c>
      <c r="E19" s="14" t="str">
        <f>+'Mar16-Aug16 Billed-RETAIL'!G20</f>
        <v>CGS</v>
      </c>
      <c r="F19" s="638">
        <v>619</v>
      </c>
      <c r="G19" s="74"/>
      <c r="H19" s="558"/>
      <c r="I19" s="48"/>
      <c r="J19" s="48"/>
      <c r="K19" s="48"/>
      <c r="L19" s="635">
        <v>2.95</v>
      </c>
      <c r="M19" s="48"/>
      <c r="N19" s="48"/>
      <c r="O19" s="48"/>
      <c r="P19" s="48"/>
    </row>
    <row r="20" spans="1:16" x14ac:dyDescent="0.25">
      <c r="A20" s="13">
        <f t="shared" si="2"/>
        <v>14</v>
      </c>
      <c r="B20" s="22">
        <f>+'Mar16-Aug16 Billed-RETAIL'!D21</f>
        <v>42461</v>
      </c>
      <c r="C20" s="22" t="str">
        <f>+'Mar16-Aug16 Billed-RETAIL'!E21</f>
        <v>LGCMG875</v>
      </c>
      <c r="D20" s="14" t="str">
        <f>+'Mar16-Aug16 Billed-RETAIL'!F21</f>
        <v>875</v>
      </c>
      <c r="E20" s="14" t="str">
        <f>+'Mar16-Aug16 Billed-RETAIL'!G21</f>
        <v>DGGS-C</v>
      </c>
      <c r="F20" s="33"/>
      <c r="G20" s="33"/>
      <c r="H20" s="558"/>
      <c r="I20" s="48"/>
      <c r="J20" s="48"/>
      <c r="K20" s="48"/>
      <c r="L20" s="48"/>
      <c r="M20" s="48"/>
      <c r="N20" s="48"/>
      <c r="O20" s="48"/>
      <c r="P20" s="48"/>
    </row>
    <row r="21" spans="1:16" x14ac:dyDescent="0.25">
      <c r="A21" s="13">
        <f t="shared" si="2"/>
        <v>15</v>
      </c>
      <c r="B21" s="22">
        <f>+'Mar16-Aug16 Billed-RETAIL'!D22</f>
        <v>42461</v>
      </c>
      <c r="C21" s="22" t="str">
        <f>+'Mar16-Aug16 Billed-RETAIL'!E22</f>
        <v>LGING855</v>
      </c>
      <c r="D21" s="14" t="str">
        <f>+'Mar16-Aug16 Billed-RETAIL'!F22</f>
        <v>855</v>
      </c>
      <c r="E21" s="14" t="str">
        <f>+'Mar16-Aug16 Billed-RETAIL'!G22</f>
        <v>IGS</v>
      </c>
      <c r="F21" s="634">
        <v>129</v>
      </c>
      <c r="G21" s="634">
        <v>116</v>
      </c>
      <c r="H21" s="558"/>
      <c r="I21" s="70"/>
      <c r="J21" s="635">
        <v>10.64</v>
      </c>
      <c r="K21" s="635">
        <v>0.15</v>
      </c>
      <c r="L21" s="635">
        <v>0.02</v>
      </c>
      <c r="M21" s="48"/>
      <c r="N21" s="48"/>
      <c r="O21" s="48"/>
      <c r="P21" s="48"/>
    </row>
    <row r="22" spans="1:16" x14ac:dyDescent="0.25">
      <c r="A22" s="13">
        <f t="shared" si="2"/>
        <v>16</v>
      </c>
      <c r="B22" s="22">
        <f>+'Mar16-Aug16 Billed-RETAIL'!D23</f>
        <v>42461</v>
      </c>
      <c r="C22" s="22" t="str">
        <f>+'Mar16-Aug16 Billed-RETAIL'!E23</f>
        <v>LGRSG811</v>
      </c>
      <c r="D22" s="14" t="str">
        <f>+'Mar16-Aug16 Billed-RETAIL'!F23</f>
        <v>811</v>
      </c>
      <c r="E22" s="14" t="str">
        <f>+'Mar16-Aug16 Billed-RETAIL'!G23</f>
        <v>RGS</v>
      </c>
      <c r="F22" s="634">
        <v>295504</v>
      </c>
      <c r="G22" s="33"/>
      <c r="H22" s="636">
        <v>-2538</v>
      </c>
      <c r="I22" s="48"/>
      <c r="J22" s="635">
        <v>21.17</v>
      </c>
      <c r="K22" s="48"/>
      <c r="L22" s="635">
        <f>-13.63-5.66</f>
        <v>-19.29</v>
      </c>
      <c r="M22" s="48"/>
      <c r="N22" s="48"/>
      <c r="O22" s="48"/>
      <c r="P22" s="48"/>
    </row>
    <row r="23" spans="1:16" x14ac:dyDescent="0.25">
      <c r="A23" s="13">
        <f t="shared" si="2"/>
        <v>17</v>
      </c>
      <c r="B23" s="22">
        <f>+'Mar16-Aug16 Billed-RETAIL'!D24</f>
        <v>42461</v>
      </c>
      <c r="C23" s="22" t="str">
        <f>+'Mar16-Aug16 Billed-RETAIL'!E24</f>
        <v>LGCMG851LT</v>
      </c>
      <c r="D23" s="14" t="str">
        <f>+'Mar16-Aug16 Billed-RETAIL'!F24</f>
        <v>851</v>
      </c>
      <c r="E23" s="14" t="str">
        <f>+'Mar16-Aug16 Billed-RETAIL'!G24</f>
        <v>CGS</v>
      </c>
      <c r="F23" s="634">
        <v>1</v>
      </c>
      <c r="G23" s="33"/>
      <c r="H23" s="558"/>
      <c r="I23" s="48"/>
      <c r="J23" s="48"/>
      <c r="K23" s="48"/>
      <c r="L23" s="48"/>
      <c r="M23" s="48"/>
      <c r="N23" s="48"/>
      <c r="O23" s="48"/>
      <c r="P23" s="48"/>
    </row>
    <row r="24" spans="1:16" x14ac:dyDescent="0.25">
      <c r="A24" s="13">
        <f t="shared" si="2"/>
        <v>18</v>
      </c>
      <c r="B24" s="22">
        <f>+'Mar16-Aug16 Billed-RETAIL'!D25</f>
        <v>42461</v>
      </c>
      <c r="C24" s="22" t="str">
        <f>+'Mar16-Aug16 Billed-RETAIL'!E25</f>
        <v>LGRSG840</v>
      </c>
      <c r="D24" s="14" t="str">
        <f>+'Mar16-Aug16 Billed-RETAIL'!F25</f>
        <v>840</v>
      </c>
      <c r="E24" s="14" t="str">
        <f>+'Mar16-Aug16 Billed-RETAIL'!G25</f>
        <v>RGS</v>
      </c>
      <c r="F24" s="634">
        <v>3</v>
      </c>
      <c r="G24" s="33"/>
      <c r="H24" s="558"/>
      <c r="I24" s="48"/>
      <c r="J24" s="635">
        <v>0</v>
      </c>
      <c r="K24" s="48"/>
      <c r="L24" s="635">
        <v>-0.01</v>
      </c>
      <c r="M24" s="48"/>
      <c r="N24" s="48"/>
      <c r="O24" s="48"/>
      <c r="P24" s="48"/>
    </row>
    <row r="25" spans="1:16" s="426" customFormat="1" x14ac:dyDescent="0.25">
      <c r="A25" s="421"/>
      <c r="B25" s="422"/>
      <c r="C25" s="422"/>
      <c r="D25" s="423"/>
      <c r="E25" s="423"/>
      <c r="F25" s="424"/>
      <c r="G25" s="424"/>
      <c r="H25" s="427"/>
      <c r="I25" s="425"/>
      <c r="J25" s="425"/>
      <c r="K25" s="425"/>
      <c r="L25" s="425"/>
      <c r="M25" s="425"/>
      <c r="N25" s="425"/>
      <c r="O25" s="425"/>
      <c r="P25" s="425"/>
    </row>
    <row r="26" spans="1:16" x14ac:dyDescent="0.25">
      <c r="A26" s="13">
        <f>A24+1</f>
        <v>19</v>
      </c>
      <c r="B26" s="22">
        <f>+'Mar16-Aug16 Billed-RETAIL'!D27</f>
        <v>42491</v>
      </c>
      <c r="C26" s="22" t="str">
        <f>+'Mar16-Aug16 Billed-RETAIL'!E27</f>
        <v>LGCMG865</v>
      </c>
      <c r="D26" s="14" t="str">
        <f>+'Mar16-Aug16 Billed-RETAIL'!F27</f>
        <v>865</v>
      </c>
      <c r="E26" s="14" t="str">
        <f>+'Mar16-Aug16 Billed-RETAIL'!G27</f>
        <v>AAGS-C</v>
      </c>
      <c r="F26" s="634">
        <v>2</v>
      </c>
      <c r="G26" s="33"/>
      <c r="H26" s="70"/>
      <c r="I26" s="48"/>
      <c r="J26" s="48"/>
      <c r="K26" s="48"/>
      <c r="L26" s="48"/>
      <c r="M26" s="48"/>
      <c r="N26" s="48"/>
      <c r="O26" s="48"/>
      <c r="P26" s="48"/>
    </row>
    <row r="27" spans="1:16" x14ac:dyDescent="0.25">
      <c r="A27" s="13">
        <f>A26+1</f>
        <v>20</v>
      </c>
      <c r="B27" s="22">
        <f>+'Mar16-Aug16 Billed-RETAIL'!D28</f>
        <v>42491</v>
      </c>
      <c r="C27" s="22" t="str">
        <f>+'Mar16-Aug16 Billed-RETAIL'!E28</f>
        <v>LGING866</v>
      </c>
      <c r="D27" s="14" t="str">
        <f>+'Mar16-Aug16 Billed-RETAIL'!F28</f>
        <v>866</v>
      </c>
      <c r="E27" s="14" t="str">
        <f>+'Mar16-Aug16 Billed-RETAIL'!G28</f>
        <v>AAGS-I</v>
      </c>
      <c r="F27" s="634">
        <v>1</v>
      </c>
      <c r="G27" s="33"/>
      <c r="H27" s="70"/>
      <c r="I27" s="48"/>
      <c r="J27" s="48"/>
      <c r="K27" s="48"/>
      <c r="L27" s="48"/>
      <c r="M27" s="48"/>
      <c r="N27" s="48"/>
      <c r="O27" s="48"/>
      <c r="P27" s="48"/>
    </row>
    <row r="28" spans="1:16" x14ac:dyDescent="0.25">
      <c r="A28" s="13">
        <f t="shared" ref="A28:A36" si="3">A27+1</f>
        <v>21</v>
      </c>
      <c r="B28" s="22">
        <f>+'Mar16-Aug16 Billed-RETAIL'!D29</f>
        <v>42491</v>
      </c>
      <c r="C28" s="22" t="str">
        <f>+'Mar16-Aug16 Billed-RETAIL'!E29</f>
        <v>LGING866DS</v>
      </c>
      <c r="D28" s="14"/>
      <c r="E28" s="14"/>
      <c r="F28" s="634"/>
      <c r="G28" s="33"/>
      <c r="H28" s="70"/>
      <c r="I28" s="48"/>
      <c r="J28" s="48"/>
      <c r="K28" s="48"/>
      <c r="L28" s="48"/>
      <c r="M28" s="48"/>
      <c r="N28" s="48"/>
      <c r="O28" s="48"/>
      <c r="P28" s="48"/>
    </row>
    <row r="29" spans="1:16" x14ac:dyDescent="0.25">
      <c r="A29" s="13">
        <f t="shared" si="3"/>
        <v>22</v>
      </c>
      <c r="B29" s="22">
        <f>+'Mar16-Aug16 Billed-RETAIL'!D30</f>
        <v>42491</v>
      </c>
      <c r="C29" s="22" t="str">
        <f>+'Mar16-Aug16 Billed-RETAIL'!E30</f>
        <v>LGCMG851</v>
      </c>
      <c r="D29" s="14" t="str">
        <f>+'Mar16-Aug16 Billed-RETAIL'!F30</f>
        <v>851</v>
      </c>
      <c r="E29" s="14" t="str">
        <f>+'Mar16-Aug16 Billed-RETAIL'!G30</f>
        <v>CGS</v>
      </c>
      <c r="F29" s="638">
        <v>24048</v>
      </c>
      <c r="G29" s="638">
        <v>1121</v>
      </c>
      <c r="H29" s="70"/>
      <c r="I29" s="48"/>
      <c r="J29" s="635">
        <v>-91.69</v>
      </c>
      <c r="K29" s="639">
        <v>133.13999999999999</v>
      </c>
      <c r="L29" s="635">
        <v>13.62</v>
      </c>
      <c r="M29" s="48"/>
      <c r="N29" s="48"/>
      <c r="O29" s="48"/>
      <c r="P29" s="48"/>
    </row>
    <row r="30" spans="1:16" x14ac:dyDescent="0.25">
      <c r="A30" s="13">
        <f t="shared" si="3"/>
        <v>23</v>
      </c>
      <c r="B30" s="22">
        <f>+'Mar16-Aug16 Billed-RETAIL'!D31</f>
        <v>42491</v>
      </c>
      <c r="C30" s="22" t="str">
        <f>+'Mar16-Aug16 Billed-RETAIL'!E31</f>
        <v>LGUMG861</v>
      </c>
      <c r="D30" s="14" t="str">
        <f>+'Mar16-Aug16 Billed-RETAIL'!F31</f>
        <v>861</v>
      </c>
      <c r="E30" s="14" t="str">
        <f>+'Mar16-Aug16 Billed-RETAIL'!G31</f>
        <v>CGS</v>
      </c>
      <c r="F30" s="638">
        <v>619</v>
      </c>
      <c r="G30" s="74">
        <v>0</v>
      </c>
      <c r="H30" s="70"/>
      <c r="I30" s="48"/>
      <c r="J30" s="48"/>
      <c r="K30" s="48"/>
      <c r="L30" s="635">
        <v>2.95</v>
      </c>
      <c r="M30" s="48"/>
      <c r="N30" s="48"/>
      <c r="O30" s="48"/>
      <c r="P30" s="48"/>
    </row>
    <row r="31" spans="1:16" x14ac:dyDescent="0.25">
      <c r="A31" s="13">
        <f t="shared" si="3"/>
        <v>24</v>
      </c>
      <c r="B31" s="22">
        <f>+'Mar16-Aug16 Billed-RETAIL'!D32</f>
        <v>42491</v>
      </c>
      <c r="C31" s="22" t="str">
        <f>+'Mar16-Aug16 Billed-RETAIL'!E32</f>
        <v>LGCMG875</v>
      </c>
      <c r="D31" s="14" t="str">
        <f>+'Mar16-Aug16 Billed-RETAIL'!F32</f>
        <v>875</v>
      </c>
      <c r="E31" s="14" t="str">
        <f>+'Mar16-Aug16 Billed-RETAIL'!G32</f>
        <v>DGGS-C</v>
      </c>
      <c r="F31" s="33"/>
      <c r="G31" s="33"/>
      <c r="H31" s="70"/>
      <c r="I31" s="48"/>
      <c r="J31" s="48"/>
      <c r="K31" s="48"/>
      <c r="L31" s="48"/>
      <c r="M31" s="48"/>
      <c r="N31" s="48"/>
      <c r="O31" s="48"/>
      <c r="P31" s="48"/>
    </row>
    <row r="32" spans="1:16" x14ac:dyDescent="0.25">
      <c r="A32" s="13">
        <f t="shared" si="3"/>
        <v>25</v>
      </c>
      <c r="B32" s="22">
        <f>+'Mar16-Aug16 Billed-RETAIL'!D33</f>
        <v>42491</v>
      </c>
      <c r="C32" s="22" t="str">
        <f>+'Mar16-Aug16 Billed-RETAIL'!E33</f>
        <v>LGING855</v>
      </c>
      <c r="D32" s="14" t="str">
        <f>+'Mar16-Aug16 Billed-RETAIL'!F33</f>
        <v>855</v>
      </c>
      <c r="E32" s="14" t="str">
        <f>+'Mar16-Aug16 Billed-RETAIL'!G33</f>
        <v>IGS</v>
      </c>
      <c r="F32" s="634">
        <v>115</v>
      </c>
      <c r="G32" s="634">
        <v>107</v>
      </c>
      <c r="H32" s="70"/>
      <c r="I32" s="70"/>
      <c r="J32" s="635">
        <v>0.19</v>
      </c>
      <c r="K32" s="635">
        <v>-0.44</v>
      </c>
      <c r="L32" s="635">
        <v>0.03</v>
      </c>
      <c r="M32" s="48"/>
      <c r="N32" s="48"/>
      <c r="O32" s="48"/>
      <c r="P32" s="48"/>
    </row>
    <row r="33" spans="1:21" x14ac:dyDescent="0.25">
      <c r="A33" s="13">
        <f t="shared" si="3"/>
        <v>26</v>
      </c>
      <c r="B33" s="22">
        <f>+'Mar16-Aug16 Billed-RETAIL'!D34</f>
        <v>42491</v>
      </c>
      <c r="C33" s="22" t="str">
        <f>+'Mar16-Aug16 Billed-RETAIL'!E34</f>
        <v>LGING855DS</v>
      </c>
      <c r="D33" s="14" t="str">
        <f>+'Mar16-Aug16 Billed-RETAIL'!F34</f>
        <v>855</v>
      </c>
      <c r="E33" s="14" t="str">
        <f>+'Mar16-Aug16 Billed-RETAIL'!G34</f>
        <v>IGS</v>
      </c>
      <c r="F33" s="634">
        <v>11</v>
      </c>
      <c r="G33" s="634">
        <v>5</v>
      </c>
      <c r="H33" s="70"/>
      <c r="I33" s="70"/>
      <c r="J33" s="635">
        <v>0.02</v>
      </c>
      <c r="K33" s="635"/>
      <c r="L33" s="635"/>
      <c r="M33" s="48"/>
      <c r="N33" s="48"/>
      <c r="O33" s="48"/>
      <c r="P33" s="48"/>
    </row>
    <row r="34" spans="1:21" x14ac:dyDescent="0.25">
      <c r="A34" s="13">
        <f t="shared" si="3"/>
        <v>27</v>
      </c>
      <c r="B34" s="22">
        <f>+'Mar16-Aug16 Billed-RETAIL'!D35</f>
        <v>42491</v>
      </c>
      <c r="C34" s="22" t="str">
        <f>+'Mar16-Aug16 Billed-RETAIL'!E35</f>
        <v>LGRSG811</v>
      </c>
      <c r="D34" s="14" t="str">
        <f>+'Mar16-Aug16 Billed-RETAIL'!F35</f>
        <v>811</v>
      </c>
      <c r="E34" s="14" t="str">
        <f>+'Mar16-Aug16 Billed-RETAIL'!G35</f>
        <v>RGS</v>
      </c>
      <c r="F34" s="634">
        <v>295348</v>
      </c>
      <c r="G34" s="33"/>
      <c r="H34" s="637">
        <v>-2302</v>
      </c>
      <c r="I34" s="48"/>
      <c r="J34" s="635">
        <v>-11.89</v>
      </c>
      <c r="K34" s="48"/>
      <c r="L34" s="635">
        <v>-36.5</v>
      </c>
      <c r="M34" s="48"/>
      <c r="N34" s="48"/>
      <c r="O34" s="48"/>
      <c r="P34" s="48"/>
      <c r="Q34" s="71"/>
      <c r="R34" s="71"/>
      <c r="S34" s="71"/>
      <c r="T34" s="71"/>
      <c r="U34" s="71"/>
    </row>
    <row r="35" spans="1:21" x14ac:dyDescent="0.25">
      <c r="A35" s="13">
        <f t="shared" si="3"/>
        <v>28</v>
      </c>
      <c r="B35" s="22">
        <f>+'Mar16-Aug16 Billed-RETAIL'!D36</f>
        <v>42491</v>
      </c>
      <c r="C35" s="22" t="str">
        <f>+'Mar16-Aug16 Billed-RETAIL'!E36</f>
        <v>LGCMG851LT</v>
      </c>
      <c r="D35" s="14" t="str">
        <f>+'Mar16-Aug16 Billed-RETAIL'!F36</f>
        <v>851</v>
      </c>
      <c r="E35" s="14" t="str">
        <f>+'Mar16-Aug16 Billed-RETAIL'!G36</f>
        <v>CGS</v>
      </c>
      <c r="F35" s="634">
        <v>1</v>
      </c>
      <c r="G35" s="33"/>
      <c r="H35" s="70"/>
      <c r="I35" s="48">
        <v>0</v>
      </c>
      <c r="J35" s="48">
        <v>0</v>
      </c>
      <c r="K35" s="48">
        <v>0</v>
      </c>
      <c r="L35" s="48">
        <v>0</v>
      </c>
      <c r="M35" s="48"/>
      <c r="N35" s="48"/>
      <c r="O35" s="48"/>
      <c r="P35" s="48"/>
      <c r="Q35" s="71"/>
      <c r="R35" s="71"/>
      <c r="S35" s="71"/>
      <c r="T35" s="71"/>
      <c r="U35" s="71"/>
    </row>
    <row r="36" spans="1:21" x14ac:dyDescent="0.25">
      <c r="A36" s="13">
        <f t="shared" si="3"/>
        <v>29</v>
      </c>
      <c r="B36" s="22">
        <f>+'Mar16-Aug16 Billed-RETAIL'!D37</f>
        <v>42491</v>
      </c>
      <c r="C36" s="22" t="str">
        <f>+'Mar16-Aug16 Billed-RETAIL'!E37</f>
        <v>LGRSG840</v>
      </c>
      <c r="D36" s="14" t="str">
        <f>+'Mar16-Aug16 Billed-RETAIL'!F37</f>
        <v>840</v>
      </c>
      <c r="E36" s="14" t="str">
        <f>+'Mar16-Aug16 Billed-RETAIL'!G37</f>
        <v>RGS</v>
      </c>
      <c r="F36" s="634">
        <v>3</v>
      </c>
      <c r="G36" s="33"/>
      <c r="H36" s="70"/>
      <c r="I36" s="48"/>
      <c r="J36" s="635">
        <v>0</v>
      </c>
      <c r="K36" s="48"/>
      <c r="L36" s="635"/>
      <c r="M36" s="48"/>
      <c r="N36" s="48"/>
      <c r="O36" s="48"/>
      <c r="P36" s="48"/>
    </row>
    <row r="37" spans="1:21" s="426" customFormat="1" x14ac:dyDescent="0.25">
      <c r="A37" s="421"/>
      <c r="B37" s="422"/>
      <c r="C37" s="422"/>
      <c r="D37" s="423"/>
      <c r="E37" s="423"/>
      <c r="F37" s="424"/>
      <c r="G37" s="424"/>
      <c r="H37" s="427"/>
      <c r="I37" s="425"/>
      <c r="J37" s="425"/>
      <c r="K37" s="425"/>
      <c r="L37" s="425"/>
      <c r="M37" s="425"/>
      <c r="N37" s="425"/>
      <c r="O37" s="425"/>
      <c r="P37" s="425"/>
    </row>
    <row r="38" spans="1:21" x14ac:dyDescent="0.25">
      <c r="A38" s="13">
        <f>A36+1</f>
        <v>30</v>
      </c>
      <c r="B38" s="22">
        <f>+'Mar16-Aug16 Billed-RETAIL'!D39</f>
        <v>42522</v>
      </c>
      <c r="C38" s="22" t="str">
        <f>+'Mar16-Aug16 Billed-RETAIL'!E39</f>
        <v>LGCMG865</v>
      </c>
      <c r="D38" s="14" t="str">
        <f>+'Mar16-Aug16 Billed-RETAIL'!F39</f>
        <v>865</v>
      </c>
      <c r="E38" s="14" t="str">
        <f>+'Mar16-Aug16 Billed-RETAIL'!G39</f>
        <v>AAGS-C</v>
      </c>
      <c r="F38" s="704">
        <v>2</v>
      </c>
      <c r="G38" s="33"/>
      <c r="H38" s="70"/>
      <c r="I38" s="48"/>
      <c r="J38" s="48"/>
      <c r="K38" s="48"/>
      <c r="L38" s="48"/>
      <c r="M38" s="48"/>
      <c r="N38" s="48"/>
      <c r="O38" s="48"/>
      <c r="P38" s="48"/>
    </row>
    <row r="39" spans="1:21" x14ac:dyDescent="0.25">
      <c r="A39" s="13">
        <f>A38+1</f>
        <v>31</v>
      </c>
      <c r="B39" s="22">
        <f>+'Mar16-Aug16 Billed-RETAIL'!D40</f>
        <v>42522</v>
      </c>
      <c r="C39" s="22" t="str">
        <f>+'Mar16-Aug16 Billed-RETAIL'!E40</f>
        <v>LGING866</v>
      </c>
      <c r="D39" s="14" t="str">
        <f>+'Mar16-Aug16 Billed-RETAIL'!F40</f>
        <v>866</v>
      </c>
      <c r="E39" s="14" t="str">
        <f>+'Mar16-Aug16 Billed-RETAIL'!G40</f>
        <v>AAGS-I</v>
      </c>
      <c r="F39" s="704"/>
      <c r="G39" s="33"/>
      <c r="H39" s="70"/>
      <c r="I39" s="48"/>
      <c r="J39" s="48"/>
      <c r="K39" s="48"/>
      <c r="L39" s="48"/>
      <c r="M39" s="48"/>
      <c r="N39" s="48"/>
      <c r="O39" s="48"/>
      <c r="P39" s="48"/>
    </row>
    <row r="40" spans="1:21" x14ac:dyDescent="0.25">
      <c r="A40" s="13">
        <f t="shared" ref="A40:A48" si="4">+A39+1</f>
        <v>32</v>
      </c>
      <c r="B40" s="22">
        <f>+'Mar16-Aug16 Billed-RETAIL'!D41</f>
        <v>42522</v>
      </c>
      <c r="C40" s="22" t="str">
        <f>+'Mar16-Aug16 Billed-RETAIL'!E41</f>
        <v>LGING866DS</v>
      </c>
      <c r="D40" s="14" t="str">
        <f>+'Mar16-Aug16 Billed-RETAIL'!F41</f>
        <v>866</v>
      </c>
      <c r="E40" s="14" t="str">
        <f>+'Mar16-Aug16 Billed-RETAIL'!G41</f>
        <v>AAGS-I</v>
      </c>
      <c r="F40" s="704">
        <v>2</v>
      </c>
      <c r="G40" s="33"/>
      <c r="H40" s="70"/>
      <c r="I40" s="48"/>
      <c r="J40" s="48"/>
      <c r="K40" s="48"/>
      <c r="L40" s="48"/>
      <c r="M40" s="48"/>
      <c r="N40" s="48"/>
      <c r="O40" s="48"/>
      <c r="P40" s="48"/>
    </row>
    <row r="41" spans="1:21" x14ac:dyDescent="0.25">
      <c r="A41" s="13">
        <f t="shared" si="4"/>
        <v>33</v>
      </c>
      <c r="B41" s="22">
        <f>+'Mar16-Aug16 Billed-RETAIL'!D42</f>
        <v>42522</v>
      </c>
      <c r="C41" s="22" t="str">
        <f>+'Mar16-Aug16 Billed-RETAIL'!E42</f>
        <v>LGCMG851</v>
      </c>
      <c r="D41" s="14" t="str">
        <f>+'Mar16-Aug16 Billed-RETAIL'!F42</f>
        <v>851</v>
      </c>
      <c r="E41" s="14" t="str">
        <f>+'Mar16-Aug16 Billed-RETAIL'!G42</f>
        <v>CGS</v>
      </c>
      <c r="F41" s="704">
        <v>23728</v>
      </c>
      <c r="G41" s="704">
        <v>1100</v>
      </c>
      <c r="H41" s="70"/>
      <c r="I41" s="70"/>
      <c r="J41" s="703">
        <v>306.37</v>
      </c>
      <c r="K41" s="703">
        <v>36</v>
      </c>
      <c r="L41" s="703">
        <v>119.98</v>
      </c>
      <c r="M41" s="70"/>
      <c r="N41" s="48"/>
      <c r="O41" s="48"/>
      <c r="P41" s="48"/>
    </row>
    <row r="42" spans="1:21" x14ac:dyDescent="0.25">
      <c r="A42" s="13">
        <f t="shared" si="4"/>
        <v>34</v>
      </c>
      <c r="B42" s="22">
        <f>+'Mar16-Aug16 Billed-RETAIL'!D43</f>
        <v>42522</v>
      </c>
      <c r="C42" s="22" t="str">
        <f>+'Mar16-Aug16 Billed-RETAIL'!E43</f>
        <v>LGUMG861</v>
      </c>
      <c r="D42" s="14" t="str">
        <f>+'Mar16-Aug16 Billed-RETAIL'!F43</f>
        <v>861</v>
      </c>
      <c r="E42" s="14" t="str">
        <f>+'Mar16-Aug16 Billed-RETAIL'!G43</f>
        <v>CGS</v>
      </c>
      <c r="F42" s="704">
        <v>620</v>
      </c>
      <c r="G42" s="33"/>
      <c r="H42" s="70"/>
      <c r="I42" s="70"/>
      <c r="J42" s="70"/>
      <c r="K42" s="70"/>
      <c r="L42" s="703">
        <v>2.95</v>
      </c>
      <c r="M42" s="70"/>
      <c r="N42" s="48"/>
      <c r="O42" s="48"/>
      <c r="P42" s="48"/>
    </row>
    <row r="43" spans="1:21" x14ac:dyDescent="0.25">
      <c r="A43" s="13">
        <f t="shared" si="4"/>
        <v>35</v>
      </c>
      <c r="B43" s="22">
        <f>+'Mar16-Aug16 Billed-RETAIL'!D44</f>
        <v>42522</v>
      </c>
      <c r="C43" s="22" t="str">
        <f>+'Mar16-Aug16 Billed-RETAIL'!E44</f>
        <v>LGCMG875</v>
      </c>
      <c r="D43" s="14" t="str">
        <f>+'Mar16-Aug16 Billed-RETAIL'!F44</f>
        <v>875</v>
      </c>
      <c r="E43" s="14" t="str">
        <f>+'Mar16-Aug16 Billed-RETAIL'!G44</f>
        <v>DGGS-C</v>
      </c>
      <c r="F43" s="33"/>
      <c r="G43" s="33"/>
      <c r="H43" s="70"/>
      <c r="I43" s="70"/>
      <c r="J43" s="70"/>
      <c r="K43" s="70"/>
      <c r="L43" s="703">
        <v>-0.01</v>
      </c>
      <c r="M43" s="70"/>
      <c r="N43" s="48"/>
      <c r="O43" s="48"/>
      <c r="P43" s="48"/>
    </row>
    <row r="44" spans="1:21" x14ac:dyDescent="0.25">
      <c r="A44" s="13">
        <f t="shared" si="4"/>
        <v>36</v>
      </c>
      <c r="B44" s="22">
        <f>+'Mar16-Aug16 Billed-RETAIL'!D45</f>
        <v>42522</v>
      </c>
      <c r="C44" s="22" t="str">
        <f>+'Mar16-Aug16 Billed-RETAIL'!E45</f>
        <v>LGING855</v>
      </c>
      <c r="D44" s="14" t="str">
        <f>+'Mar16-Aug16 Billed-RETAIL'!F45</f>
        <v>855</v>
      </c>
      <c r="E44" s="14" t="str">
        <f>+'Mar16-Aug16 Billed-RETAIL'!G45</f>
        <v>IGS</v>
      </c>
      <c r="F44" s="704">
        <v>-2</v>
      </c>
      <c r="G44" s="704">
        <v>0</v>
      </c>
      <c r="H44" s="70"/>
      <c r="I44" s="70"/>
      <c r="J44" s="70"/>
      <c r="K44" s="703">
        <v>-0.01</v>
      </c>
      <c r="L44" s="703"/>
      <c r="M44" s="70"/>
      <c r="N44" s="48"/>
      <c r="O44" s="48"/>
      <c r="P44" s="48"/>
    </row>
    <row r="45" spans="1:21" x14ac:dyDescent="0.25">
      <c r="A45" s="13">
        <f t="shared" si="4"/>
        <v>37</v>
      </c>
      <c r="B45" s="22">
        <f>+'Mar16-Aug16 Billed-RETAIL'!D46</f>
        <v>42522</v>
      </c>
      <c r="C45" s="22" t="str">
        <f>+'Mar16-Aug16 Billed-RETAIL'!E46</f>
        <v>LGING855DS</v>
      </c>
      <c r="D45" s="14" t="str">
        <f>+'Mar16-Aug16 Billed-RETAIL'!F46</f>
        <v>855</v>
      </c>
      <c r="E45" s="14" t="str">
        <f>+'Mar16-Aug16 Billed-RETAIL'!G46</f>
        <v>IGS</v>
      </c>
      <c r="F45" s="704">
        <v>124</v>
      </c>
      <c r="G45" s="704">
        <v>115</v>
      </c>
      <c r="H45" s="70"/>
      <c r="I45" s="70"/>
      <c r="J45" s="703">
        <v>12</v>
      </c>
      <c r="K45" s="703">
        <v>72.010000000000005</v>
      </c>
      <c r="L45" s="703">
        <v>0.02</v>
      </c>
      <c r="M45" s="70"/>
      <c r="N45" s="48"/>
      <c r="O45" s="48"/>
      <c r="P45" s="48"/>
    </row>
    <row r="46" spans="1:21" x14ac:dyDescent="0.25">
      <c r="A46" s="13">
        <f t="shared" si="4"/>
        <v>38</v>
      </c>
      <c r="B46" s="22">
        <f>+'Mar16-Aug16 Billed-RETAIL'!D47</f>
        <v>42522</v>
      </c>
      <c r="C46" s="22" t="str">
        <f>+'Mar16-Aug16 Billed-RETAIL'!E47</f>
        <v>LGRSG811</v>
      </c>
      <c r="D46" s="14" t="str">
        <f>+'Mar16-Aug16 Billed-RETAIL'!F47</f>
        <v>811</v>
      </c>
      <c r="E46" s="14" t="str">
        <f>+'Mar16-Aug16 Billed-RETAIL'!G47</f>
        <v>RGS</v>
      </c>
      <c r="F46" s="704">
        <v>295207</v>
      </c>
      <c r="G46" s="33"/>
      <c r="H46" s="703">
        <v>-1951</v>
      </c>
      <c r="I46" s="70"/>
      <c r="J46" s="703">
        <v>-2.1800000000000002</v>
      </c>
      <c r="K46" s="70"/>
      <c r="L46" s="703">
        <v>-15.62</v>
      </c>
      <c r="M46" s="48"/>
      <c r="N46" s="48"/>
      <c r="O46" s="48"/>
      <c r="P46" s="48"/>
    </row>
    <row r="47" spans="1:21" x14ac:dyDescent="0.25">
      <c r="A47" s="13">
        <f t="shared" si="4"/>
        <v>39</v>
      </c>
      <c r="B47" s="22">
        <f>+'Mar16-Aug16 Billed-RETAIL'!D48</f>
        <v>42522</v>
      </c>
      <c r="C47" s="22" t="str">
        <f>+'Mar16-Aug16 Billed-RETAIL'!E48</f>
        <v>LGCMG851LT</v>
      </c>
      <c r="D47" s="14" t="str">
        <f>+'Mar16-Aug16 Billed-RETAIL'!F48</f>
        <v>851</v>
      </c>
      <c r="E47" s="14" t="str">
        <f>+'Mar16-Aug16 Billed-RETAIL'!G48</f>
        <v>CGS</v>
      </c>
      <c r="F47" s="704">
        <v>1</v>
      </c>
      <c r="G47" s="33"/>
      <c r="H47" s="70"/>
      <c r="I47" s="70"/>
      <c r="J47" s="70"/>
      <c r="K47" s="70"/>
      <c r="L47" s="70"/>
      <c r="M47" s="48"/>
      <c r="N47" s="48"/>
      <c r="O47" s="48"/>
      <c r="P47" s="48"/>
    </row>
    <row r="48" spans="1:21" x14ac:dyDescent="0.25">
      <c r="A48" s="13">
        <f t="shared" si="4"/>
        <v>40</v>
      </c>
      <c r="B48" s="22">
        <f>+'Mar16-Aug16 Billed-RETAIL'!D49</f>
        <v>42522</v>
      </c>
      <c r="C48" s="22" t="str">
        <f>+'Mar16-Aug16 Billed-RETAIL'!E49</f>
        <v>LGRSG840</v>
      </c>
      <c r="D48" s="14" t="str">
        <f>+'Mar16-Aug16 Billed-RETAIL'!F49</f>
        <v>840</v>
      </c>
      <c r="E48" s="14" t="str">
        <f>+'Mar16-Aug16 Billed-RETAIL'!G49</f>
        <v>RGS</v>
      </c>
      <c r="F48" s="704">
        <v>3</v>
      </c>
      <c r="G48" s="33"/>
      <c r="H48" s="70"/>
      <c r="I48" s="70"/>
      <c r="J48" s="70"/>
      <c r="K48" s="70"/>
      <c r="L48" s="703">
        <v>-0.01</v>
      </c>
      <c r="M48" s="48"/>
      <c r="N48" s="48"/>
      <c r="O48" s="48"/>
      <c r="P48" s="48"/>
    </row>
    <row r="49" spans="1:16" s="426" customFormat="1" x14ac:dyDescent="0.25">
      <c r="A49" s="421"/>
      <c r="B49" s="421"/>
      <c r="C49" s="421"/>
      <c r="D49" s="421"/>
      <c r="E49" s="421"/>
      <c r="F49" s="421"/>
      <c r="G49" s="421"/>
      <c r="H49" s="529"/>
      <c r="I49" s="529"/>
      <c r="J49" s="421"/>
      <c r="K49" s="422"/>
      <c r="L49" s="425"/>
      <c r="M49" s="421"/>
      <c r="N49" s="421"/>
      <c r="O49" s="421"/>
      <c r="P49" s="421"/>
    </row>
    <row r="50" spans="1:16" x14ac:dyDescent="0.25">
      <c r="A50" s="13">
        <f>A48+1</f>
        <v>41</v>
      </c>
      <c r="B50" s="22">
        <f>+'Mar16-Aug16 Billed-RETAIL'!D51</f>
        <v>42552</v>
      </c>
      <c r="C50" s="22" t="str">
        <f>+'Mar16-Aug16 Billed-RETAIL'!E51</f>
        <v>LGCMG865</v>
      </c>
      <c r="D50" s="14" t="str">
        <f>+'Mar16-Aug16 Billed-RETAIL'!F51</f>
        <v>865</v>
      </c>
      <c r="E50" s="14" t="str">
        <f>+'Mar16-Aug16 Billed-RETAIL'!G51</f>
        <v>AAGS-C</v>
      </c>
      <c r="F50" s="723">
        <v>2</v>
      </c>
      <c r="G50" s="33"/>
      <c r="H50" s="70"/>
      <c r="I50" s="48"/>
      <c r="J50" s="48"/>
      <c r="K50" s="48"/>
      <c r="L50" s="48"/>
      <c r="M50" s="48"/>
      <c r="N50" s="48"/>
      <c r="O50" s="48"/>
      <c r="P50" s="48"/>
    </row>
    <row r="51" spans="1:16" x14ac:dyDescent="0.25">
      <c r="A51" s="13">
        <f>A50+1</f>
        <v>42</v>
      </c>
      <c r="B51" s="22">
        <f>+'Mar16-Aug16 Billed-RETAIL'!D52</f>
        <v>42552</v>
      </c>
      <c r="C51" s="22" t="str">
        <f>+'Mar16-Aug16 Billed-RETAIL'!E52</f>
        <v>LGING866</v>
      </c>
      <c r="D51" s="14" t="str">
        <f>+'Mar16-Aug16 Billed-RETAIL'!F52</f>
        <v>866</v>
      </c>
      <c r="E51" s="14" t="str">
        <f>+'Mar16-Aug16 Billed-RETAIL'!G52</f>
        <v>AAGS-I</v>
      </c>
      <c r="F51" s="704"/>
      <c r="G51" s="33"/>
      <c r="H51" s="70"/>
      <c r="I51" s="48"/>
      <c r="J51" s="48"/>
      <c r="K51" s="48"/>
      <c r="L51" s="48"/>
      <c r="M51" s="48"/>
      <c r="N51" s="48"/>
      <c r="O51" s="48"/>
      <c r="P51" s="48"/>
    </row>
    <row r="52" spans="1:16" x14ac:dyDescent="0.25">
      <c r="A52" s="13">
        <f t="shared" ref="A52:A60" si="5">A51+1</f>
        <v>43</v>
      </c>
      <c r="B52" s="22">
        <f>+'Mar16-Aug16 Billed-RETAIL'!D53</f>
        <v>42552</v>
      </c>
      <c r="C52" s="22" t="str">
        <f>+'Mar16-Aug16 Billed-RETAIL'!E53</f>
        <v>LGING866DS</v>
      </c>
      <c r="D52" s="14" t="str">
        <f>+'Mar16-Aug16 Billed-RETAIL'!F53</f>
        <v>866</v>
      </c>
      <c r="E52" s="14" t="str">
        <f>+'Mar16-Aug16 Billed-RETAIL'!G53</f>
        <v>AAGS-I</v>
      </c>
      <c r="F52" s="723">
        <v>2</v>
      </c>
      <c r="G52" s="74"/>
      <c r="H52" s="70"/>
      <c r="I52" s="48"/>
      <c r="J52" s="48"/>
      <c r="K52" s="45"/>
      <c r="L52" s="48"/>
      <c r="M52" s="48"/>
      <c r="N52" s="48"/>
      <c r="O52" s="48"/>
      <c r="P52" s="48"/>
    </row>
    <row r="53" spans="1:16" x14ac:dyDescent="0.25">
      <c r="A53" s="13">
        <f t="shared" si="5"/>
        <v>44</v>
      </c>
      <c r="B53" s="22">
        <f>+'Mar16-Aug16 Billed-RETAIL'!D54</f>
        <v>42552</v>
      </c>
      <c r="C53" s="22" t="str">
        <f>+'Mar16-Aug16 Billed-RETAIL'!E54</f>
        <v>LGCMG851</v>
      </c>
      <c r="D53" s="14" t="str">
        <f>+'Mar16-Aug16 Billed-RETAIL'!F54</f>
        <v>851</v>
      </c>
      <c r="E53" s="14" t="str">
        <f>+'Mar16-Aug16 Billed-RETAIL'!G54</f>
        <v>CGS</v>
      </c>
      <c r="F53" s="723">
        <v>23387</v>
      </c>
      <c r="G53" s="723">
        <v>1088</v>
      </c>
      <c r="H53" s="70"/>
      <c r="I53" s="48"/>
      <c r="J53" s="724">
        <v>-34.049999999999997</v>
      </c>
      <c r="K53" s="724">
        <v>-96</v>
      </c>
      <c r="L53" s="724">
        <v>21.17</v>
      </c>
      <c r="M53" s="48"/>
      <c r="N53" s="48"/>
      <c r="O53" s="48"/>
      <c r="P53" s="48"/>
    </row>
    <row r="54" spans="1:16" x14ac:dyDescent="0.25">
      <c r="A54" s="13">
        <f t="shared" si="5"/>
        <v>45</v>
      </c>
      <c r="B54" s="22">
        <f>+'Mar16-Aug16 Billed-RETAIL'!D55</f>
        <v>42552</v>
      </c>
      <c r="C54" s="22" t="str">
        <f>+'Mar16-Aug16 Billed-RETAIL'!E55</f>
        <v>LGUMG861</v>
      </c>
      <c r="D54" s="14" t="str">
        <f>+'Mar16-Aug16 Billed-RETAIL'!F55</f>
        <v>861</v>
      </c>
      <c r="E54" s="14" t="str">
        <f>+'Mar16-Aug16 Billed-RETAIL'!G55</f>
        <v>CGS</v>
      </c>
      <c r="F54" s="704">
        <v>620</v>
      </c>
      <c r="G54" s="33"/>
      <c r="H54" s="70"/>
      <c r="I54" s="48"/>
      <c r="J54" s="48"/>
      <c r="K54" s="48"/>
      <c r="L54" s="724">
        <v>2.95</v>
      </c>
      <c r="M54" s="48"/>
      <c r="N54" s="48"/>
      <c r="O54" s="48"/>
      <c r="P54" s="48"/>
    </row>
    <row r="55" spans="1:16" x14ac:dyDescent="0.25">
      <c r="A55" s="13">
        <f t="shared" si="5"/>
        <v>46</v>
      </c>
      <c r="B55" s="22">
        <f>+'Mar16-Aug16 Billed-RETAIL'!D56</f>
        <v>42552</v>
      </c>
      <c r="C55" s="22" t="str">
        <f>+'Mar16-Aug16 Billed-RETAIL'!E56</f>
        <v>LGCMG875</v>
      </c>
      <c r="D55" s="14" t="str">
        <f>+'Mar16-Aug16 Billed-RETAIL'!F56</f>
        <v>875</v>
      </c>
      <c r="E55" s="14" t="str">
        <f>+'Mar16-Aug16 Billed-RETAIL'!G56</f>
        <v>DGGS-C</v>
      </c>
      <c r="F55" s="33"/>
      <c r="G55" s="33"/>
      <c r="H55" s="70"/>
      <c r="I55" s="70"/>
      <c r="J55" s="48"/>
      <c r="K55" s="48"/>
      <c r="L55" s="48">
        <v>-0.01</v>
      </c>
      <c r="M55" s="48"/>
      <c r="N55" s="48"/>
      <c r="O55" s="48"/>
      <c r="P55" s="48"/>
    </row>
    <row r="56" spans="1:16" x14ac:dyDescent="0.25">
      <c r="A56" s="13">
        <f t="shared" si="5"/>
        <v>47</v>
      </c>
      <c r="B56" s="22">
        <f>+'Mar16-Aug16 Billed-RETAIL'!D57</f>
        <v>42552</v>
      </c>
      <c r="C56" s="22" t="str">
        <f>+'Mar16-Aug16 Billed-RETAIL'!E57</f>
        <v>LGING855</v>
      </c>
      <c r="D56" s="14" t="str">
        <f>+'Mar16-Aug16 Billed-RETAIL'!F57</f>
        <v>855</v>
      </c>
      <c r="E56" s="14" t="str">
        <f>+'Mar16-Aug16 Billed-RETAIL'!G57</f>
        <v>IGS</v>
      </c>
      <c r="F56" s="33"/>
      <c r="G56" s="33"/>
      <c r="H56" s="70"/>
      <c r="I56" s="48"/>
      <c r="J56" s="48"/>
      <c r="K56" s="48"/>
      <c r="L56" s="48"/>
      <c r="M56" s="48"/>
      <c r="N56" s="48"/>
      <c r="O56" s="48"/>
      <c r="P56" s="48"/>
    </row>
    <row r="57" spans="1:16" x14ac:dyDescent="0.25">
      <c r="A57" s="13">
        <f t="shared" si="5"/>
        <v>48</v>
      </c>
      <c r="B57" s="22">
        <f>+'Mar16-Aug16 Billed-RETAIL'!D58</f>
        <v>42552</v>
      </c>
      <c r="C57" s="22" t="str">
        <f>+'Mar16-Aug16 Billed-RETAIL'!E58</f>
        <v>LGING855DS</v>
      </c>
      <c r="D57" s="14" t="str">
        <f>+'Mar16-Aug16 Billed-RETAIL'!F58</f>
        <v>855</v>
      </c>
      <c r="E57" s="14" t="str">
        <f>+'Mar16-Aug16 Billed-RETAIL'!G58</f>
        <v>IGS</v>
      </c>
      <c r="F57" s="704">
        <v>123</v>
      </c>
      <c r="G57" s="704">
        <v>116</v>
      </c>
      <c r="H57" s="70"/>
      <c r="I57" s="48"/>
      <c r="J57" s="48"/>
      <c r="K57" s="48"/>
      <c r="L57" s="724">
        <v>-0.01</v>
      </c>
      <c r="M57" s="48"/>
      <c r="N57" s="48"/>
      <c r="O57" s="48"/>
      <c r="P57" s="48"/>
    </row>
    <row r="58" spans="1:16" x14ac:dyDescent="0.25">
      <c r="A58" s="13">
        <f t="shared" si="5"/>
        <v>49</v>
      </c>
      <c r="B58" s="22">
        <f>+'Mar16-Aug16 Billed-RETAIL'!D59</f>
        <v>42552</v>
      </c>
      <c r="C58" s="22" t="str">
        <f>+'Mar16-Aug16 Billed-RETAIL'!E59</f>
        <v>LGRSG811</v>
      </c>
      <c r="D58" s="14" t="str">
        <f>+'Mar16-Aug16 Billed-RETAIL'!F59</f>
        <v>811</v>
      </c>
      <c r="E58" s="14" t="str">
        <f>+'Mar16-Aug16 Billed-RETAIL'!G59</f>
        <v>RGS</v>
      </c>
      <c r="F58" s="704">
        <v>293842</v>
      </c>
      <c r="G58" s="33"/>
      <c r="H58" s="703">
        <v>-1830</v>
      </c>
      <c r="I58" s="48"/>
      <c r="J58" s="724">
        <v>17.14</v>
      </c>
      <c r="K58" s="48"/>
      <c r="L58" s="724">
        <v>5</v>
      </c>
      <c r="M58" s="48"/>
      <c r="N58" s="48"/>
      <c r="O58" s="48"/>
      <c r="P58" s="48"/>
    </row>
    <row r="59" spans="1:16" x14ac:dyDescent="0.25">
      <c r="A59" s="13">
        <f t="shared" si="5"/>
        <v>50</v>
      </c>
      <c r="B59" s="22">
        <f>+'Mar16-Aug16 Billed-RETAIL'!D60</f>
        <v>42552</v>
      </c>
      <c r="C59" s="22" t="str">
        <f>+'Mar16-Aug16 Billed-RETAIL'!E60</f>
        <v>LGCMG851LT</v>
      </c>
      <c r="D59" s="14" t="str">
        <f>+'Mar16-Aug16 Billed-RETAIL'!F60</f>
        <v>851</v>
      </c>
      <c r="E59" s="14" t="str">
        <f>+'Mar16-Aug16 Billed-RETAIL'!G60</f>
        <v>CGS</v>
      </c>
      <c r="F59" s="704">
        <v>1</v>
      </c>
      <c r="G59" s="33"/>
      <c r="H59" s="70"/>
      <c r="I59" s="48"/>
      <c r="J59" s="48"/>
      <c r="K59" s="48"/>
      <c r="L59" s="48"/>
      <c r="M59" s="48"/>
      <c r="N59" s="48"/>
      <c r="O59" s="48"/>
      <c r="P59" s="48"/>
    </row>
    <row r="60" spans="1:16" x14ac:dyDescent="0.25">
      <c r="A60" s="13">
        <f t="shared" si="5"/>
        <v>51</v>
      </c>
      <c r="B60" s="22">
        <f>+'Mar16-Aug16 Billed-RETAIL'!D61</f>
        <v>42552</v>
      </c>
      <c r="C60" s="22" t="str">
        <f>+'Mar16-Aug16 Billed-RETAIL'!E61</f>
        <v>LGRSG840</v>
      </c>
      <c r="D60" s="14" t="str">
        <f>+'Mar16-Aug16 Billed-RETAIL'!F61</f>
        <v>840</v>
      </c>
      <c r="E60" s="14" t="str">
        <f>+'Mar16-Aug16 Billed-RETAIL'!G61</f>
        <v>RGS</v>
      </c>
      <c r="F60" s="704">
        <v>3</v>
      </c>
      <c r="G60" s="33"/>
      <c r="H60" s="70"/>
      <c r="I60" s="48"/>
      <c r="J60" s="48"/>
      <c r="K60" s="48"/>
      <c r="L60" s="48"/>
      <c r="M60" s="48"/>
      <c r="N60" s="48"/>
      <c r="O60" s="48"/>
      <c r="P60" s="48"/>
    </row>
    <row r="61" spans="1:16" s="426" customFormat="1" x14ac:dyDescent="0.25">
      <c r="A61" s="421"/>
      <c r="B61" s="421"/>
      <c r="C61" s="421"/>
      <c r="D61" s="421"/>
      <c r="E61" s="421"/>
      <c r="F61" s="421"/>
      <c r="G61" s="421"/>
      <c r="H61" s="529"/>
      <c r="I61" s="529"/>
      <c r="J61" s="421"/>
      <c r="K61" s="422"/>
      <c r="L61" s="425"/>
      <c r="M61" s="421"/>
      <c r="N61" s="421"/>
      <c r="O61" s="421"/>
      <c r="P61" s="421"/>
    </row>
    <row r="62" spans="1:16" x14ac:dyDescent="0.25">
      <c r="A62" s="13">
        <f>A58+1</f>
        <v>50</v>
      </c>
      <c r="B62" s="22">
        <f>+'Mar16-Aug16 Billed-RETAIL'!D63</f>
        <v>42583</v>
      </c>
      <c r="C62" s="22" t="str">
        <f>+'Mar16-Aug16 Billed-RETAIL'!E63</f>
        <v>LGCMG865</v>
      </c>
      <c r="D62" s="14" t="str">
        <f>+'Mar16-Aug16 Billed-RETAIL'!F63</f>
        <v>865</v>
      </c>
      <c r="E62" s="14" t="str">
        <f>+'Mar16-Aug16 Billed-RETAIL'!G63</f>
        <v>AAGS-C</v>
      </c>
      <c r="F62" s="723">
        <v>2</v>
      </c>
      <c r="G62" s="33"/>
      <c r="H62" s="70"/>
      <c r="I62" s="48"/>
      <c r="J62" s="48"/>
      <c r="K62" s="48"/>
      <c r="L62" s="48"/>
      <c r="M62" s="48"/>
      <c r="N62" s="48"/>
      <c r="O62" s="48"/>
      <c r="P62" s="48"/>
    </row>
    <row r="63" spans="1:16" x14ac:dyDescent="0.25">
      <c r="A63" s="13">
        <f>A62+1</f>
        <v>51</v>
      </c>
      <c r="B63" s="22">
        <f>+'Mar16-Aug16 Billed-RETAIL'!D64</f>
        <v>42583</v>
      </c>
      <c r="C63" s="22" t="str">
        <f>+'Mar16-Aug16 Billed-RETAIL'!E64</f>
        <v>LGING866</v>
      </c>
      <c r="D63" s="14" t="str">
        <f>+'Mar16-Aug16 Billed-RETAIL'!F64</f>
        <v>866</v>
      </c>
      <c r="E63" s="14" t="str">
        <f>+'Mar16-Aug16 Billed-RETAIL'!G64</f>
        <v>AAGS-I</v>
      </c>
      <c r="F63" s="704"/>
      <c r="G63" s="33"/>
      <c r="H63" s="70"/>
      <c r="I63" s="48"/>
      <c r="J63" s="48"/>
      <c r="K63" s="48"/>
      <c r="L63" s="48"/>
      <c r="M63" s="48"/>
      <c r="N63" s="48"/>
      <c r="O63" s="48"/>
      <c r="P63" s="48"/>
    </row>
    <row r="64" spans="1:16" x14ac:dyDescent="0.25">
      <c r="A64" s="13">
        <f t="shared" ref="A64:A72" si="6">A63+1</f>
        <v>52</v>
      </c>
      <c r="B64" s="22">
        <f>+'Mar16-Aug16 Billed-RETAIL'!D65</f>
        <v>42583</v>
      </c>
      <c r="C64" s="22" t="str">
        <f>+'Mar16-Aug16 Billed-RETAIL'!E65</f>
        <v>LGING866DS</v>
      </c>
      <c r="D64" s="14" t="str">
        <f>+'Mar16-Aug16 Billed-RETAIL'!F65</f>
        <v>866</v>
      </c>
      <c r="E64" s="14" t="str">
        <f>+'Mar16-Aug16 Billed-RETAIL'!G65</f>
        <v>AAGS-I</v>
      </c>
      <c r="F64" s="723">
        <v>2</v>
      </c>
      <c r="G64" s="74"/>
      <c r="H64" s="70"/>
      <c r="I64" s="48"/>
      <c r="J64" s="48"/>
      <c r="K64" s="45"/>
      <c r="L64" s="48"/>
      <c r="M64" s="48"/>
      <c r="N64" s="48"/>
      <c r="O64" s="48"/>
      <c r="P64" s="48"/>
    </row>
    <row r="65" spans="1:16" x14ac:dyDescent="0.25">
      <c r="A65" s="13">
        <f t="shared" si="6"/>
        <v>53</v>
      </c>
      <c r="B65" s="22">
        <f>+'Mar16-Aug16 Billed-RETAIL'!D66</f>
        <v>42583</v>
      </c>
      <c r="C65" s="22" t="str">
        <f>+'Mar16-Aug16 Billed-RETAIL'!E66</f>
        <v>LGCMG851</v>
      </c>
      <c r="D65" s="14" t="str">
        <f>+'Mar16-Aug16 Billed-RETAIL'!F66</f>
        <v>851</v>
      </c>
      <c r="E65" s="14" t="str">
        <f>+'Mar16-Aug16 Billed-RETAIL'!G66</f>
        <v>CGS</v>
      </c>
      <c r="F65" s="723">
        <v>23735</v>
      </c>
      <c r="G65" s="723">
        <v>1138</v>
      </c>
      <c r="H65" s="70"/>
      <c r="I65" s="48"/>
      <c r="J65" s="724">
        <v>-316.52</v>
      </c>
      <c r="K65" s="724">
        <v>-78</v>
      </c>
      <c r="L65" s="724">
        <v>-90.66</v>
      </c>
      <c r="M65" s="48"/>
      <c r="N65" s="48"/>
      <c r="O65" s="48"/>
      <c r="P65" s="48"/>
    </row>
    <row r="66" spans="1:16" x14ac:dyDescent="0.25">
      <c r="A66" s="13">
        <f t="shared" si="6"/>
        <v>54</v>
      </c>
      <c r="B66" s="22">
        <f>+'Mar16-Aug16 Billed-RETAIL'!D67</f>
        <v>42583</v>
      </c>
      <c r="C66" s="22" t="str">
        <f>+'Mar16-Aug16 Billed-RETAIL'!E67</f>
        <v>LGUMG861</v>
      </c>
      <c r="D66" s="14" t="str">
        <f>+'Mar16-Aug16 Billed-RETAIL'!F67</f>
        <v>861</v>
      </c>
      <c r="E66" s="14" t="str">
        <f>+'Mar16-Aug16 Billed-RETAIL'!G67</f>
        <v>CGS</v>
      </c>
      <c r="F66" s="704">
        <v>620</v>
      </c>
      <c r="G66" s="33"/>
      <c r="H66" s="70"/>
      <c r="I66" s="48"/>
      <c r="J66" s="48"/>
      <c r="K66" s="48"/>
      <c r="L66" s="724">
        <v>2.95</v>
      </c>
      <c r="M66" s="48"/>
      <c r="N66" s="48"/>
      <c r="O66" s="48"/>
      <c r="P66" s="48"/>
    </row>
    <row r="67" spans="1:16" x14ac:dyDescent="0.25">
      <c r="A67" s="13">
        <f t="shared" si="6"/>
        <v>55</v>
      </c>
      <c r="B67" s="22">
        <f>+'Mar16-Aug16 Billed-RETAIL'!D68</f>
        <v>42583</v>
      </c>
      <c r="C67" s="22" t="str">
        <f>+'Mar16-Aug16 Billed-RETAIL'!E68</f>
        <v>LGCMG875</v>
      </c>
      <c r="D67" s="14" t="str">
        <f>+'Mar16-Aug16 Billed-RETAIL'!F68</f>
        <v>875</v>
      </c>
      <c r="E67" s="14" t="str">
        <f>+'Mar16-Aug16 Billed-RETAIL'!G68</f>
        <v>DGGS-C</v>
      </c>
      <c r="F67" s="33"/>
      <c r="G67" s="33"/>
      <c r="H67" s="70"/>
      <c r="I67" s="70"/>
      <c r="J67" s="48"/>
      <c r="K67" s="48"/>
      <c r="L67" s="724">
        <v>-0.01</v>
      </c>
      <c r="M67" s="48"/>
      <c r="N67" s="48"/>
      <c r="O67" s="48"/>
      <c r="P67" s="48"/>
    </row>
    <row r="68" spans="1:16" x14ac:dyDescent="0.25">
      <c r="A68" s="13">
        <f t="shared" si="6"/>
        <v>56</v>
      </c>
      <c r="B68" s="22">
        <f>+'Mar16-Aug16 Billed-RETAIL'!D69</f>
        <v>42583</v>
      </c>
      <c r="C68" s="22" t="str">
        <f>+'Mar16-Aug16 Billed-RETAIL'!E69</f>
        <v>LGING855</v>
      </c>
      <c r="D68" s="14" t="str">
        <f>+'Mar16-Aug16 Billed-RETAIL'!F69</f>
        <v>855</v>
      </c>
      <c r="E68" s="14" t="str">
        <f>+'Mar16-Aug16 Billed-RETAIL'!G69</f>
        <v>IGS</v>
      </c>
      <c r="F68" s="704">
        <v>-57</v>
      </c>
      <c r="G68" s="33"/>
      <c r="H68" s="70"/>
      <c r="I68" s="48"/>
      <c r="J68" s="724">
        <v>313.25</v>
      </c>
      <c r="K68" s="724"/>
      <c r="L68" s="724">
        <v>207.25</v>
      </c>
      <c r="M68" s="48"/>
      <c r="N68" s="48"/>
      <c r="O68" s="48"/>
      <c r="P68" s="48"/>
    </row>
    <row r="69" spans="1:16" x14ac:dyDescent="0.25">
      <c r="A69" s="13">
        <f t="shared" si="6"/>
        <v>57</v>
      </c>
      <c r="B69" s="22">
        <f>+'Mar16-Aug16 Billed-RETAIL'!D70</f>
        <v>42583</v>
      </c>
      <c r="C69" s="22" t="str">
        <f>+'Mar16-Aug16 Billed-RETAIL'!E70</f>
        <v>LGING855DS</v>
      </c>
      <c r="D69" s="14" t="str">
        <f>+'Mar16-Aug16 Billed-RETAIL'!F70</f>
        <v>855</v>
      </c>
      <c r="E69" s="14" t="str">
        <f>+'Mar16-Aug16 Billed-RETAIL'!G70</f>
        <v>IGS</v>
      </c>
      <c r="F69" s="704">
        <v>119</v>
      </c>
      <c r="G69" s="704">
        <v>114</v>
      </c>
      <c r="H69" s="70"/>
      <c r="I69" s="48"/>
      <c r="J69" s="48"/>
      <c r="K69" s="724">
        <v>0.04</v>
      </c>
      <c r="L69" s="724">
        <v>0.02</v>
      </c>
      <c r="M69" s="48"/>
      <c r="N69" s="48"/>
      <c r="O69" s="48"/>
      <c r="P69" s="48"/>
    </row>
    <row r="70" spans="1:16" x14ac:dyDescent="0.25">
      <c r="A70" s="13">
        <f t="shared" si="6"/>
        <v>58</v>
      </c>
      <c r="B70" s="22">
        <f>+'Mar16-Aug16 Billed-RETAIL'!D71</f>
        <v>42583</v>
      </c>
      <c r="C70" s="22" t="str">
        <f>+'Mar16-Aug16 Billed-RETAIL'!E71</f>
        <v>LGRSG811</v>
      </c>
      <c r="D70" s="14" t="str">
        <f>+'Mar16-Aug16 Billed-RETAIL'!F71</f>
        <v>811</v>
      </c>
      <c r="E70" s="14" t="str">
        <f>+'Mar16-Aug16 Billed-RETAIL'!G71</f>
        <v>RGS</v>
      </c>
      <c r="F70" s="704">
        <v>295295</v>
      </c>
      <c r="G70" s="33"/>
      <c r="H70" s="703">
        <v>-2181</v>
      </c>
      <c r="I70" s="48"/>
      <c r="J70" s="724">
        <v>28.1</v>
      </c>
      <c r="K70" s="48"/>
      <c r="L70" s="724">
        <v>13.47</v>
      </c>
      <c r="M70" s="48"/>
      <c r="N70" s="48"/>
      <c r="O70" s="48"/>
      <c r="P70" s="48"/>
    </row>
    <row r="71" spans="1:16" x14ac:dyDescent="0.25">
      <c r="A71" s="13">
        <f t="shared" si="6"/>
        <v>59</v>
      </c>
      <c r="B71" s="22">
        <f>+'Mar16-Aug16 Billed-RETAIL'!D72</f>
        <v>42583</v>
      </c>
      <c r="C71" s="22" t="str">
        <f>+'Mar16-Aug16 Billed-RETAIL'!E72</f>
        <v>LGCMG851LT</v>
      </c>
      <c r="D71" s="14" t="str">
        <f>+'Mar16-Aug16 Billed-RETAIL'!F72</f>
        <v>851</v>
      </c>
      <c r="E71" s="14" t="str">
        <f>+'Mar16-Aug16 Billed-RETAIL'!G72</f>
        <v>CGS</v>
      </c>
      <c r="F71" s="704">
        <v>1</v>
      </c>
      <c r="G71" s="33"/>
      <c r="H71" s="70"/>
      <c r="I71" s="48"/>
      <c r="J71" s="48"/>
      <c r="K71" s="48"/>
      <c r="L71" s="48"/>
      <c r="M71" s="48"/>
      <c r="N71" s="48"/>
      <c r="O71" s="48"/>
      <c r="P71" s="48"/>
    </row>
    <row r="72" spans="1:16" x14ac:dyDescent="0.25">
      <c r="A72" s="13">
        <f t="shared" si="6"/>
        <v>60</v>
      </c>
      <c r="B72" s="22">
        <f>+'Mar16-Aug16 Billed-RETAIL'!D73</f>
        <v>42583</v>
      </c>
      <c r="C72" s="22" t="str">
        <f>+'Mar16-Aug16 Billed-RETAIL'!E73</f>
        <v>LGRSG840</v>
      </c>
      <c r="D72" s="14" t="str">
        <f>+'Mar16-Aug16 Billed-RETAIL'!F73</f>
        <v>840</v>
      </c>
      <c r="E72" s="14" t="str">
        <f>+'Mar16-Aug16 Billed-RETAIL'!G73</f>
        <v>RGS</v>
      </c>
      <c r="F72" s="704">
        <v>3</v>
      </c>
      <c r="G72" s="33"/>
      <c r="H72" s="70"/>
      <c r="I72" s="48"/>
      <c r="J72" s="48"/>
      <c r="K72" s="48"/>
      <c r="L72" s="48"/>
      <c r="M72" s="48"/>
      <c r="N72" s="48"/>
      <c r="O72" s="48"/>
      <c r="P72" s="48"/>
    </row>
  </sheetData>
  <pageMargins left="0.7" right="0.7" top="0.75" bottom="0.75" header="0.3" footer="0.3"/>
  <pageSetup scale="4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 tint="0.39997558519241921"/>
    <pageSetUpPr fitToPage="1"/>
  </sheetPr>
  <dimension ref="A1:AH4655"/>
  <sheetViews>
    <sheetView topLeftCell="A261" workbookViewId="0">
      <selection activeCell="C278" sqref="C278"/>
    </sheetView>
  </sheetViews>
  <sheetFormatPr defaultRowHeight="21.75" customHeight="1" x14ac:dyDescent="0.25"/>
  <cols>
    <col min="1" max="1" width="15.140625" customWidth="1"/>
    <col min="2" max="2" width="13" customWidth="1"/>
    <col min="3" max="3" width="31.7109375" bestFit="1" customWidth="1"/>
    <col min="4" max="4" width="34.140625" customWidth="1"/>
    <col min="5" max="5" width="14.85546875" bestFit="1" customWidth="1"/>
    <col min="6" max="6" width="26.7109375" bestFit="1" customWidth="1"/>
    <col min="7" max="7" width="12.85546875" bestFit="1" customWidth="1"/>
    <col min="8" max="8" width="10.85546875" bestFit="1" customWidth="1"/>
    <col min="9" max="9" width="14.140625" customWidth="1"/>
    <col min="10" max="10" width="13.5703125" customWidth="1"/>
    <col min="11" max="12" width="15.28515625" customWidth="1"/>
    <col min="13" max="13" width="17.85546875" customWidth="1"/>
    <col min="14" max="14" width="14.7109375" bestFit="1" customWidth="1"/>
    <col min="15" max="15" width="8.7109375" customWidth="1"/>
    <col min="16" max="16" width="10.85546875" bestFit="1" customWidth="1"/>
    <col min="17" max="17" width="9.7109375" bestFit="1" customWidth="1"/>
    <col min="18" max="19" width="8.42578125" customWidth="1"/>
    <col min="20" max="22" width="7.85546875" customWidth="1"/>
    <col min="23" max="23" width="13.140625" customWidth="1"/>
    <col min="24" max="24" width="12.85546875" bestFit="1" customWidth="1"/>
    <col min="25" max="25" width="10" bestFit="1" customWidth="1"/>
    <col min="26" max="26" width="4" customWidth="1"/>
    <col min="27" max="27" width="8" bestFit="1" customWidth="1"/>
    <col min="28" max="28" width="7.85546875" customWidth="1"/>
    <col min="29" max="29" width="14" customWidth="1"/>
    <col min="30" max="30" width="8.7109375" customWidth="1"/>
    <col min="31" max="31" width="9.140625" customWidth="1"/>
    <col min="32" max="32" width="10.42578125" customWidth="1"/>
    <col min="33" max="33" width="14.42578125" bestFit="1" customWidth="1"/>
    <col min="34" max="34" width="4.85546875" customWidth="1"/>
  </cols>
  <sheetData>
    <row r="1" spans="1:34" ht="15" x14ac:dyDescent="0.25"/>
    <row r="2" spans="1:34" ht="15" x14ac:dyDescent="0.25"/>
    <row r="3" spans="1:34" ht="15" x14ac:dyDescent="0.25"/>
    <row r="4" spans="1:34" ht="15" x14ac:dyDescent="0.25"/>
    <row r="5" spans="1:34" ht="15" x14ac:dyDescent="0.25"/>
    <row r="6" spans="1:34" ht="15" x14ac:dyDescent="0.25"/>
    <row r="7" spans="1:34" ht="15" x14ac:dyDescent="0.25"/>
    <row r="8" spans="1:34" ht="15" x14ac:dyDescent="0.25"/>
    <row r="9" spans="1:34" ht="15.75" customHeight="1" x14ac:dyDescent="0.25">
      <c r="A9" s="640"/>
    </row>
    <row r="10" spans="1:34" ht="15" x14ac:dyDescent="0.25">
      <c r="A10" s="311"/>
    </row>
    <row r="11" spans="1:34" ht="15.75" thickBot="1" x14ac:dyDescent="0.3"/>
    <row r="12" spans="1:34" ht="15.75" thickBot="1" x14ac:dyDescent="0.3">
      <c r="A12" s="1157"/>
      <c r="B12" s="1157"/>
      <c r="C12" s="1157"/>
      <c r="D12" s="1157"/>
      <c r="E12" s="1158"/>
      <c r="F12" s="91"/>
      <c r="G12" s="90" t="s">
        <v>1</v>
      </c>
      <c r="H12" s="90" t="s">
        <v>14</v>
      </c>
      <c r="I12" s="90" t="s">
        <v>678</v>
      </c>
      <c r="J12" s="90" t="s">
        <v>286</v>
      </c>
      <c r="K12" s="90" t="s">
        <v>2</v>
      </c>
      <c r="L12" s="90" t="s">
        <v>679</v>
      </c>
      <c r="M12" s="90" t="s">
        <v>693</v>
      </c>
      <c r="N12" s="90" t="s">
        <v>694</v>
      </c>
      <c r="O12" s="90" t="s">
        <v>198</v>
      </c>
      <c r="P12" s="90" t="s">
        <v>196</v>
      </c>
      <c r="Q12" s="90" t="s">
        <v>695</v>
      </c>
      <c r="R12" s="90" t="s">
        <v>589</v>
      </c>
      <c r="S12" s="90" t="s">
        <v>681</v>
      </c>
      <c r="T12" s="90" t="s">
        <v>682</v>
      </c>
      <c r="U12" s="90" t="s">
        <v>683</v>
      </c>
      <c r="V12" s="90" t="s">
        <v>677</v>
      </c>
      <c r="W12" s="90" t="s">
        <v>684</v>
      </c>
      <c r="X12" s="90" t="s">
        <v>643</v>
      </c>
      <c r="Y12" s="90" t="s">
        <v>294</v>
      </c>
      <c r="Z12" s="90" t="s">
        <v>6</v>
      </c>
      <c r="AA12" s="90" t="s">
        <v>647</v>
      </c>
      <c r="AB12" s="90" t="s">
        <v>7</v>
      </c>
      <c r="AC12" s="90" t="s">
        <v>685</v>
      </c>
      <c r="AD12" s="90" t="s">
        <v>157</v>
      </c>
      <c r="AE12" s="90" t="s">
        <v>696</v>
      </c>
      <c r="AF12" s="90" t="s">
        <v>158</v>
      </c>
      <c r="AG12" s="90" t="s">
        <v>159</v>
      </c>
      <c r="AH12" s="90" t="s">
        <v>160</v>
      </c>
    </row>
    <row r="13" spans="1:34" ht="15.75" thickBot="1" x14ac:dyDescent="0.3">
      <c r="A13" s="90" t="s">
        <v>161</v>
      </c>
      <c r="B13" s="1159" t="s">
        <v>12</v>
      </c>
      <c r="C13" s="1160"/>
      <c r="D13" s="90" t="s">
        <v>11</v>
      </c>
      <c r="E13" s="90" t="s">
        <v>523</v>
      </c>
      <c r="F13" s="90"/>
      <c r="G13" s="91" t="s">
        <v>15</v>
      </c>
      <c r="H13" s="91" t="s">
        <v>14</v>
      </c>
      <c r="I13" s="91" t="s">
        <v>15</v>
      </c>
      <c r="J13" s="91" t="s">
        <v>15</v>
      </c>
      <c r="K13" s="91" t="s">
        <v>15</v>
      </c>
      <c r="L13" s="91" t="s">
        <v>15</v>
      </c>
      <c r="M13" s="312"/>
      <c r="N13" s="91" t="s">
        <v>15</v>
      </c>
      <c r="O13" s="91" t="s">
        <v>15</v>
      </c>
      <c r="P13" s="91" t="s">
        <v>15</v>
      </c>
      <c r="Q13" s="91" t="s">
        <v>15</v>
      </c>
      <c r="R13" s="91" t="s">
        <v>15</v>
      </c>
      <c r="S13" s="91" t="s">
        <v>15</v>
      </c>
      <c r="T13" s="91" t="s">
        <v>15</v>
      </c>
      <c r="U13" s="91" t="s">
        <v>15</v>
      </c>
      <c r="V13" s="91" t="s">
        <v>15</v>
      </c>
      <c r="W13" s="91" t="s">
        <v>15</v>
      </c>
      <c r="X13" s="91" t="s">
        <v>15</v>
      </c>
      <c r="Y13" s="91" t="s">
        <v>15</v>
      </c>
      <c r="Z13" s="91" t="s">
        <v>15</v>
      </c>
      <c r="AA13" s="91" t="s">
        <v>15</v>
      </c>
      <c r="AB13" s="91" t="s">
        <v>15</v>
      </c>
      <c r="AC13" s="91" t="s">
        <v>15</v>
      </c>
      <c r="AD13" s="91" t="s">
        <v>15</v>
      </c>
      <c r="AE13" s="312"/>
      <c r="AF13" s="91" t="s">
        <v>15</v>
      </c>
      <c r="AG13" s="91" t="s">
        <v>15</v>
      </c>
      <c r="AH13" s="91" t="s">
        <v>15</v>
      </c>
    </row>
    <row r="14" spans="1:34" ht="15.75" thickBot="1" x14ac:dyDescent="0.3">
      <c r="A14" s="90" t="s">
        <v>869</v>
      </c>
      <c r="B14" s="90" t="s">
        <v>26</v>
      </c>
      <c r="C14" s="90" t="s">
        <v>875</v>
      </c>
      <c r="D14" s="90" t="s">
        <v>17</v>
      </c>
      <c r="E14" s="90" t="s">
        <v>919</v>
      </c>
      <c r="F14" s="90" t="s">
        <v>686</v>
      </c>
      <c r="G14" s="93">
        <v>0.65</v>
      </c>
      <c r="H14" s="92"/>
      <c r="I14" s="93">
        <v>0.65</v>
      </c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3">
        <v>0.04</v>
      </c>
      <c r="AE14" s="92"/>
      <c r="AF14" s="92"/>
      <c r="AG14" s="93">
        <v>0.69</v>
      </c>
      <c r="AH14" s="93">
        <v>0</v>
      </c>
    </row>
    <row r="15" spans="1:34" ht="15.75" thickBot="1" x14ac:dyDescent="0.3">
      <c r="A15" s="90" t="s">
        <v>869</v>
      </c>
      <c r="B15" s="90" t="s">
        <v>26</v>
      </c>
      <c r="C15" s="90" t="s">
        <v>875</v>
      </c>
      <c r="D15" s="90" t="s">
        <v>17</v>
      </c>
      <c r="E15" s="90" t="s">
        <v>919</v>
      </c>
      <c r="F15" s="90" t="s">
        <v>697</v>
      </c>
      <c r="G15" s="95">
        <v>0.65</v>
      </c>
      <c r="H15" s="94"/>
      <c r="I15" s="95">
        <v>0.65</v>
      </c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5">
        <v>0.04</v>
      </c>
      <c r="AE15" s="94"/>
      <c r="AF15" s="94"/>
      <c r="AG15" s="95">
        <v>0.69</v>
      </c>
      <c r="AH15" s="95">
        <v>0</v>
      </c>
    </row>
    <row r="16" spans="1:34" ht="15.75" thickBot="1" x14ac:dyDescent="0.3">
      <c r="A16" s="90" t="s">
        <v>869</v>
      </c>
      <c r="B16" s="90" t="s">
        <v>26</v>
      </c>
      <c r="C16" s="90" t="s">
        <v>875</v>
      </c>
      <c r="D16" s="90" t="s">
        <v>17</v>
      </c>
      <c r="E16" s="90" t="s">
        <v>726</v>
      </c>
      <c r="F16" s="90" t="s">
        <v>686</v>
      </c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3">
        <v>110852.84</v>
      </c>
      <c r="AD16" s="93">
        <v>5433.33</v>
      </c>
      <c r="AE16" s="92"/>
      <c r="AF16" s="92"/>
      <c r="AG16" s="93">
        <v>116286.17</v>
      </c>
      <c r="AH16" s="93">
        <v>0</v>
      </c>
    </row>
    <row r="17" spans="1:34" ht="15.75" thickBot="1" x14ac:dyDescent="0.3">
      <c r="A17" s="90" t="s">
        <v>869</v>
      </c>
      <c r="B17" s="90" t="s">
        <v>26</v>
      </c>
      <c r="C17" s="90" t="s">
        <v>875</v>
      </c>
      <c r="D17" s="90" t="s">
        <v>17</v>
      </c>
      <c r="E17" s="90" t="s">
        <v>726</v>
      </c>
      <c r="F17" s="90" t="s">
        <v>697</v>
      </c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5">
        <v>110852.84</v>
      </c>
      <c r="AD17" s="95">
        <v>5433.33</v>
      </c>
      <c r="AE17" s="94"/>
      <c r="AF17" s="94"/>
      <c r="AG17" s="95">
        <v>116286.17</v>
      </c>
      <c r="AH17" s="95">
        <v>0</v>
      </c>
    </row>
    <row r="18" spans="1:34" ht="15.75" thickBot="1" x14ac:dyDescent="0.3">
      <c r="A18" s="90" t="s">
        <v>869</v>
      </c>
      <c r="B18" s="90" t="s">
        <v>26</v>
      </c>
      <c r="C18" s="90" t="s">
        <v>875</v>
      </c>
      <c r="D18" s="90" t="s">
        <v>17</v>
      </c>
      <c r="E18" s="90" t="s">
        <v>528</v>
      </c>
      <c r="F18" s="90" t="s">
        <v>686</v>
      </c>
      <c r="G18" s="93">
        <v>1113525.78</v>
      </c>
      <c r="H18" s="92"/>
      <c r="I18" s="93">
        <v>1113525.78</v>
      </c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3">
        <v>65559.3</v>
      </c>
      <c r="AE18" s="92"/>
      <c r="AF18" s="92"/>
      <c r="AG18" s="93">
        <v>1179085.08</v>
      </c>
      <c r="AH18" s="93">
        <v>0</v>
      </c>
    </row>
    <row r="19" spans="1:34" ht="15.75" thickBot="1" x14ac:dyDescent="0.3">
      <c r="A19" s="90" t="s">
        <v>869</v>
      </c>
      <c r="B19" s="90" t="s">
        <v>26</v>
      </c>
      <c r="C19" s="90" t="s">
        <v>875</v>
      </c>
      <c r="D19" s="90" t="s">
        <v>17</v>
      </c>
      <c r="E19" s="90" t="s">
        <v>528</v>
      </c>
      <c r="F19" s="90" t="s">
        <v>697</v>
      </c>
      <c r="G19" s="95">
        <v>1113525.78</v>
      </c>
      <c r="H19" s="94"/>
      <c r="I19" s="95">
        <v>1113525.78</v>
      </c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5">
        <v>65559.3</v>
      </c>
      <c r="AE19" s="94"/>
      <c r="AF19" s="94"/>
      <c r="AG19" s="95">
        <v>1179085.08</v>
      </c>
      <c r="AH19" s="95">
        <v>0</v>
      </c>
    </row>
    <row r="20" spans="1:34" ht="15.75" thickBot="1" x14ac:dyDescent="0.3">
      <c r="A20" s="90" t="s">
        <v>869</v>
      </c>
      <c r="B20" s="90" t="s">
        <v>26</v>
      </c>
      <c r="C20" s="90" t="s">
        <v>875</v>
      </c>
      <c r="D20" s="90" t="s">
        <v>17</v>
      </c>
      <c r="E20" s="90" t="s">
        <v>518</v>
      </c>
      <c r="F20" s="90" t="s">
        <v>686</v>
      </c>
      <c r="G20" s="93">
        <v>2395995.36</v>
      </c>
      <c r="H20" s="93">
        <v>11142053</v>
      </c>
      <c r="I20" s="92"/>
      <c r="J20" s="92"/>
      <c r="K20" s="93">
        <v>2395995.36</v>
      </c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3">
        <v>127733.35</v>
      </c>
      <c r="AE20" s="92"/>
      <c r="AF20" s="92"/>
      <c r="AG20" s="93">
        <v>2523728.71</v>
      </c>
      <c r="AH20" s="93">
        <v>0</v>
      </c>
    </row>
    <row r="21" spans="1:34" ht="15.75" thickBot="1" x14ac:dyDescent="0.3">
      <c r="A21" s="90" t="s">
        <v>869</v>
      </c>
      <c r="B21" s="90" t="s">
        <v>26</v>
      </c>
      <c r="C21" s="90" t="s">
        <v>875</v>
      </c>
      <c r="D21" s="90" t="s">
        <v>17</v>
      </c>
      <c r="E21" s="90" t="s">
        <v>518</v>
      </c>
      <c r="F21" s="90" t="s">
        <v>697</v>
      </c>
      <c r="G21" s="95">
        <v>2395995.36</v>
      </c>
      <c r="H21" s="305">
        <v>11142053</v>
      </c>
      <c r="I21" s="94"/>
      <c r="J21" s="94"/>
      <c r="K21" s="95">
        <v>2395995.36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5">
        <v>127733.35</v>
      </c>
      <c r="AE21" s="94"/>
      <c r="AF21" s="94"/>
      <c r="AG21" s="95">
        <v>2523728.71</v>
      </c>
      <c r="AH21" s="95">
        <v>0</v>
      </c>
    </row>
    <row r="22" spans="1:34" ht="15.75" thickBot="1" x14ac:dyDescent="0.3">
      <c r="A22" s="90" t="s">
        <v>869</v>
      </c>
      <c r="B22" s="90" t="s">
        <v>26</v>
      </c>
      <c r="C22" s="90" t="s">
        <v>875</v>
      </c>
      <c r="D22" s="90" t="s">
        <v>17</v>
      </c>
      <c r="E22" s="90" t="s">
        <v>727</v>
      </c>
      <c r="F22" s="90" t="s">
        <v>686</v>
      </c>
      <c r="G22" s="93">
        <v>6015.8</v>
      </c>
      <c r="H22" s="92"/>
      <c r="I22" s="92"/>
      <c r="J22" s="92"/>
      <c r="K22" s="92"/>
      <c r="L22" s="92"/>
      <c r="M22" s="92"/>
      <c r="N22" s="92"/>
      <c r="O22" s="93">
        <v>6015.8</v>
      </c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3">
        <v>304.8</v>
      </c>
      <c r="AE22" s="92"/>
      <c r="AF22" s="92"/>
      <c r="AG22" s="93">
        <v>6320.6</v>
      </c>
      <c r="AH22" s="93">
        <v>0</v>
      </c>
    </row>
    <row r="23" spans="1:34" ht="15.75" thickBot="1" x14ac:dyDescent="0.3">
      <c r="A23" s="90" t="s">
        <v>869</v>
      </c>
      <c r="B23" s="90" t="s">
        <v>26</v>
      </c>
      <c r="C23" s="90" t="s">
        <v>875</v>
      </c>
      <c r="D23" s="90" t="s">
        <v>17</v>
      </c>
      <c r="E23" s="90" t="s">
        <v>727</v>
      </c>
      <c r="F23" s="90" t="s">
        <v>697</v>
      </c>
      <c r="G23" s="95">
        <v>6015.8</v>
      </c>
      <c r="H23" s="94"/>
      <c r="I23" s="94"/>
      <c r="J23" s="94"/>
      <c r="K23" s="94"/>
      <c r="L23" s="94"/>
      <c r="M23" s="94"/>
      <c r="N23" s="94"/>
      <c r="O23" s="95">
        <v>6015.8</v>
      </c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5">
        <v>304.8</v>
      </c>
      <c r="AE23" s="94"/>
      <c r="AF23" s="94"/>
      <c r="AG23" s="95">
        <v>6320.6</v>
      </c>
      <c r="AH23" s="95">
        <v>0</v>
      </c>
    </row>
    <row r="24" spans="1:34" ht="15.75" thickBot="1" x14ac:dyDescent="0.3">
      <c r="A24" s="90" t="s">
        <v>869</v>
      </c>
      <c r="B24" s="90" t="s">
        <v>26</v>
      </c>
      <c r="C24" s="90" t="s">
        <v>875</v>
      </c>
      <c r="D24" s="90" t="s">
        <v>17</v>
      </c>
      <c r="E24" s="90" t="s">
        <v>673</v>
      </c>
      <c r="F24" s="90" t="s">
        <v>686</v>
      </c>
      <c r="G24" s="93">
        <v>641551.18999999994</v>
      </c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3">
        <v>641551.18999999994</v>
      </c>
      <c r="Y24" s="92"/>
      <c r="Z24" s="92"/>
      <c r="AA24" s="92"/>
      <c r="AB24" s="92"/>
      <c r="AC24" s="92"/>
      <c r="AD24" s="93">
        <v>38486.269999999997</v>
      </c>
      <c r="AE24" s="92"/>
      <c r="AF24" s="92"/>
      <c r="AG24" s="93">
        <v>680037.46</v>
      </c>
      <c r="AH24" s="93">
        <v>0</v>
      </c>
    </row>
    <row r="25" spans="1:34" ht="15.75" thickBot="1" x14ac:dyDescent="0.3">
      <c r="A25" s="90" t="s">
        <v>869</v>
      </c>
      <c r="B25" s="90" t="s">
        <v>26</v>
      </c>
      <c r="C25" s="90" t="s">
        <v>875</v>
      </c>
      <c r="D25" s="90" t="s">
        <v>17</v>
      </c>
      <c r="E25" s="90" t="s">
        <v>673</v>
      </c>
      <c r="F25" s="90" t="s">
        <v>697</v>
      </c>
      <c r="G25" s="95">
        <v>641551.18999999994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5">
        <v>641551.18999999994</v>
      </c>
      <c r="Y25" s="94"/>
      <c r="Z25" s="94"/>
      <c r="AA25" s="94"/>
      <c r="AB25" s="94"/>
      <c r="AC25" s="94"/>
      <c r="AD25" s="95">
        <v>38486.269999999997</v>
      </c>
      <c r="AE25" s="94"/>
      <c r="AF25" s="94"/>
      <c r="AG25" s="95">
        <v>680037.46</v>
      </c>
      <c r="AH25" s="95">
        <v>0</v>
      </c>
    </row>
    <row r="26" spans="1:34" ht="15.75" thickBot="1" x14ac:dyDescent="0.3">
      <c r="A26" s="90" t="s">
        <v>869</v>
      </c>
      <c r="B26" s="90" t="s">
        <v>26</v>
      </c>
      <c r="C26" s="90" t="s">
        <v>875</v>
      </c>
      <c r="D26" s="90" t="s">
        <v>17</v>
      </c>
      <c r="E26" s="90" t="s">
        <v>196</v>
      </c>
      <c r="F26" s="90" t="s">
        <v>686</v>
      </c>
      <c r="G26" s="93">
        <v>3604027.25</v>
      </c>
      <c r="H26" s="92"/>
      <c r="I26" s="92"/>
      <c r="J26" s="92"/>
      <c r="K26" s="92"/>
      <c r="L26" s="92"/>
      <c r="M26" s="92"/>
      <c r="N26" s="92"/>
      <c r="O26" s="92"/>
      <c r="P26" s="93">
        <v>3604027.25</v>
      </c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3">
        <v>192131.88</v>
      </c>
      <c r="AE26" s="92"/>
      <c r="AF26" s="92"/>
      <c r="AG26" s="93">
        <v>3796159.13</v>
      </c>
      <c r="AH26" s="93">
        <v>0</v>
      </c>
    </row>
    <row r="27" spans="1:34" ht="15.75" thickBot="1" x14ac:dyDescent="0.3">
      <c r="A27" s="90" t="s">
        <v>869</v>
      </c>
      <c r="B27" s="90" t="s">
        <v>26</v>
      </c>
      <c r="C27" s="90" t="s">
        <v>875</v>
      </c>
      <c r="D27" s="90" t="s">
        <v>17</v>
      </c>
      <c r="E27" s="90" t="s">
        <v>196</v>
      </c>
      <c r="F27" s="90" t="s">
        <v>697</v>
      </c>
      <c r="G27" s="95">
        <v>3604027.25</v>
      </c>
      <c r="H27" s="94"/>
      <c r="I27" s="94"/>
      <c r="J27" s="94"/>
      <c r="K27" s="94"/>
      <c r="L27" s="94"/>
      <c r="M27" s="94"/>
      <c r="N27" s="94"/>
      <c r="O27" s="94"/>
      <c r="P27" s="95">
        <v>3604027.25</v>
      </c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5">
        <v>192131.88</v>
      </c>
      <c r="AE27" s="94"/>
      <c r="AF27" s="94"/>
      <c r="AG27" s="95">
        <v>3796159.13</v>
      </c>
      <c r="AH27" s="95">
        <v>0</v>
      </c>
    </row>
    <row r="28" spans="1:34" ht="15.75" thickBot="1" x14ac:dyDescent="0.3">
      <c r="A28" s="90" t="s">
        <v>869</v>
      </c>
      <c r="B28" s="90" t="s">
        <v>26</v>
      </c>
      <c r="C28" s="90" t="s">
        <v>875</v>
      </c>
      <c r="D28" s="90" t="s">
        <v>17</v>
      </c>
      <c r="E28" s="90" t="s">
        <v>674</v>
      </c>
      <c r="F28" s="90" t="s">
        <v>686</v>
      </c>
      <c r="G28" s="93">
        <v>390850.66</v>
      </c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3">
        <v>390850.66</v>
      </c>
      <c r="Z28" s="92"/>
      <c r="AA28" s="92"/>
      <c r="AB28" s="92"/>
      <c r="AC28" s="92"/>
      <c r="AD28" s="93">
        <v>19925.72</v>
      </c>
      <c r="AE28" s="92"/>
      <c r="AF28" s="92"/>
      <c r="AG28" s="93">
        <v>410776.38</v>
      </c>
      <c r="AH28" s="93">
        <v>0</v>
      </c>
    </row>
    <row r="29" spans="1:34" ht="15.75" thickBot="1" x14ac:dyDescent="0.3">
      <c r="A29" s="90" t="s">
        <v>869</v>
      </c>
      <c r="B29" s="90" t="s">
        <v>26</v>
      </c>
      <c r="C29" s="90" t="s">
        <v>875</v>
      </c>
      <c r="D29" s="90" t="s">
        <v>17</v>
      </c>
      <c r="E29" s="90" t="s">
        <v>674</v>
      </c>
      <c r="F29" s="90" t="s">
        <v>697</v>
      </c>
      <c r="G29" s="95">
        <v>390850.66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5">
        <v>390850.66</v>
      </c>
      <c r="Z29" s="94"/>
      <c r="AA29" s="94"/>
      <c r="AB29" s="94"/>
      <c r="AC29" s="94"/>
      <c r="AD29" s="95">
        <v>19925.72</v>
      </c>
      <c r="AE29" s="94"/>
      <c r="AF29" s="94"/>
      <c r="AG29" s="95">
        <v>410776.38</v>
      </c>
      <c r="AH29" s="95">
        <v>0</v>
      </c>
    </row>
    <row r="30" spans="1:34" ht="15.75" thickBot="1" x14ac:dyDescent="0.3">
      <c r="A30" s="90" t="s">
        <v>869</v>
      </c>
      <c r="B30" s="90" t="s">
        <v>26</v>
      </c>
      <c r="C30" s="90" t="s">
        <v>875</v>
      </c>
      <c r="D30" s="90" t="s">
        <v>20</v>
      </c>
      <c r="E30" s="90" t="s">
        <v>726</v>
      </c>
      <c r="F30" s="90" t="s">
        <v>686</v>
      </c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3">
        <v>16104.59</v>
      </c>
      <c r="AD30" s="93">
        <v>0.53</v>
      </c>
      <c r="AE30" s="92"/>
      <c r="AF30" s="92"/>
      <c r="AG30" s="93">
        <v>16105.12</v>
      </c>
      <c r="AH30" s="93">
        <v>0</v>
      </c>
    </row>
    <row r="31" spans="1:34" ht="15.75" thickBot="1" x14ac:dyDescent="0.3">
      <c r="A31" s="90" t="s">
        <v>869</v>
      </c>
      <c r="B31" s="90" t="s">
        <v>26</v>
      </c>
      <c r="C31" s="90" t="s">
        <v>875</v>
      </c>
      <c r="D31" s="90" t="s">
        <v>20</v>
      </c>
      <c r="E31" s="90" t="s">
        <v>726</v>
      </c>
      <c r="F31" s="90" t="s">
        <v>697</v>
      </c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5">
        <v>16104.59</v>
      </c>
      <c r="AD31" s="95">
        <v>0.53</v>
      </c>
      <c r="AE31" s="94"/>
      <c r="AF31" s="94"/>
      <c r="AG31" s="95">
        <v>16105.12</v>
      </c>
      <c r="AH31" s="95">
        <v>0</v>
      </c>
    </row>
    <row r="32" spans="1:34" ht="15.75" thickBot="1" x14ac:dyDescent="0.3">
      <c r="A32" s="90" t="s">
        <v>869</v>
      </c>
      <c r="B32" s="90" t="s">
        <v>26</v>
      </c>
      <c r="C32" s="90" t="s">
        <v>875</v>
      </c>
      <c r="D32" s="90" t="s">
        <v>20</v>
      </c>
      <c r="E32" s="90" t="s">
        <v>528</v>
      </c>
      <c r="F32" s="90" t="s">
        <v>686</v>
      </c>
      <c r="G32" s="93">
        <v>85074.67</v>
      </c>
      <c r="H32" s="92"/>
      <c r="I32" s="93">
        <v>85074.67</v>
      </c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3">
        <v>607.19000000000005</v>
      </c>
      <c r="AE32" s="92"/>
      <c r="AF32" s="92"/>
      <c r="AG32" s="93">
        <v>85681.86</v>
      </c>
      <c r="AH32" s="93">
        <v>0</v>
      </c>
    </row>
    <row r="33" spans="1:34" ht="15.75" thickBot="1" x14ac:dyDescent="0.3">
      <c r="A33" s="90" t="s">
        <v>869</v>
      </c>
      <c r="B33" s="90" t="s">
        <v>26</v>
      </c>
      <c r="C33" s="90" t="s">
        <v>875</v>
      </c>
      <c r="D33" s="90" t="s">
        <v>20</v>
      </c>
      <c r="E33" s="90" t="s">
        <v>528</v>
      </c>
      <c r="F33" s="90" t="s">
        <v>697</v>
      </c>
      <c r="G33" s="95">
        <v>85074.67</v>
      </c>
      <c r="H33" s="94"/>
      <c r="I33" s="95">
        <v>85074.67</v>
      </c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5">
        <v>607.19000000000005</v>
      </c>
      <c r="AE33" s="94"/>
      <c r="AF33" s="94"/>
      <c r="AG33" s="95">
        <v>85681.86</v>
      </c>
      <c r="AH33" s="95">
        <v>0</v>
      </c>
    </row>
    <row r="34" spans="1:34" ht="15.75" thickBot="1" x14ac:dyDescent="0.3">
      <c r="A34" s="90" t="s">
        <v>869</v>
      </c>
      <c r="B34" s="90" t="s">
        <v>26</v>
      </c>
      <c r="C34" s="90" t="s">
        <v>875</v>
      </c>
      <c r="D34" s="90" t="s">
        <v>20</v>
      </c>
      <c r="E34" s="90" t="s">
        <v>518</v>
      </c>
      <c r="F34" s="90" t="s">
        <v>686</v>
      </c>
      <c r="G34" s="93">
        <v>360220.43</v>
      </c>
      <c r="H34" s="93">
        <v>1675131</v>
      </c>
      <c r="I34" s="92"/>
      <c r="J34" s="92"/>
      <c r="K34" s="93">
        <v>360220.43</v>
      </c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3">
        <v>1670.42</v>
      </c>
      <c r="AE34" s="92"/>
      <c r="AF34" s="92"/>
      <c r="AG34" s="93">
        <v>361890.85</v>
      </c>
      <c r="AH34" s="93">
        <v>0</v>
      </c>
    </row>
    <row r="35" spans="1:34" ht="15.75" thickBot="1" x14ac:dyDescent="0.3">
      <c r="A35" s="90" t="s">
        <v>869</v>
      </c>
      <c r="B35" s="90" t="s">
        <v>26</v>
      </c>
      <c r="C35" s="90" t="s">
        <v>875</v>
      </c>
      <c r="D35" s="90" t="s">
        <v>20</v>
      </c>
      <c r="E35" s="90" t="s">
        <v>518</v>
      </c>
      <c r="F35" s="90" t="s">
        <v>697</v>
      </c>
      <c r="G35" s="95">
        <v>360220.43</v>
      </c>
      <c r="H35" s="305">
        <v>1675131</v>
      </c>
      <c r="I35" s="94"/>
      <c r="J35" s="94"/>
      <c r="K35" s="95">
        <v>360220.43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5">
        <v>1670.42</v>
      </c>
      <c r="AE35" s="94"/>
      <c r="AF35" s="94"/>
      <c r="AG35" s="95">
        <v>361890.85</v>
      </c>
      <c r="AH35" s="95">
        <v>0</v>
      </c>
    </row>
    <row r="36" spans="1:34" ht="15.75" thickBot="1" x14ac:dyDescent="0.3">
      <c r="A36" s="90" t="s">
        <v>869</v>
      </c>
      <c r="B36" s="90" t="s">
        <v>26</v>
      </c>
      <c r="C36" s="90" t="s">
        <v>875</v>
      </c>
      <c r="D36" s="90" t="s">
        <v>20</v>
      </c>
      <c r="E36" s="90" t="s">
        <v>727</v>
      </c>
      <c r="F36" s="90" t="s">
        <v>686</v>
      </c>
      <c r="G36" s="93">
        <v>904.47</v>
      </c>
      <c r="H36" s="92"/>
      <c r="I36" s="92"/>
      <c r="J36" s="92"/>
      <c r="K36" s="92"/>
      <c r="L36" s="92"/>
      <c r="M36" s="92"/>
      <c r="N36" s="92"/>
      <c r="O36" s="93">
        <v>904.47</v>
      </c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3">
        <v>4</v>
      </c>
      <c r="AE36" s="92"/>
      <c r="AF36" s="92"/>
      <c r="AG36" s="93">
        <v>908.47</v>
      </c>
      <c r="AH36" s="93">
        <v>0</v>
      </c>
    </row>
    <row r="37" spans="1:34" ht="15.75" thickBot="1" x14ac:dyDescent="0.3">
      <c r="A37" s="90" t="s">
        <v>869</v>
      </c>
      <c r="B37" s="90" t="s">
        <v>26</v>
      </c>
      <c r="C37" s="90" t="s">
        <v>875</v>
      </c>
      <c r="D37" s="90" t="s">
        <v>20</v>
      </c>
      <c r="E37" s="90" t="s">
        <v>727</v>
      </c>
      <c r="F37" s="90" t="s">
        <v>697</v>
      </c>
      <c r="G37" s="95">
        <v>904.47</v>
      </c>
      <c r="H37" s="94"/>
      <c r="I37" s="94"/>
      <c r="J37" s="94"/>
      <c r="K37" s="94"/>
      <c r="L37" s="94"/>
      <c r="M37" s="94"/>
      <c r="N37" s="94"/>
      <c r="O37" s="95">
        <v>904.47</v>
      </c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5">
        <v>4</v>
      </c>
      <c r="AE37" s="94"/>
      <c r="AF37" s="94"/>
      <c r="AG37" s="95">
        <v>908.47</v>
      </c>
      <c r="AH37" s="95">
        <v>0</v>
      </c>
    </row>
    <row r="38" spans="1:34" ht="15.75" thickBot="1" x14ac:dyDescent="0.3">
      <c r="A38" s="90" t="s">
        <v>869</v>
      </c>
      <c r="B38" s="90" t="s">
        <v>26</v>
      </c>
      <c r="C38" s="90" t="s">
        <v>875</v>
      </c>
      <c r="D38" s="90" t="s">
        <v>20</v>
      </c>
      <c r="E38" s="90" t="s">
        <v>673</v>
      </c>
      <c r="F38" s="90" t="s">
        <v>686</v>
      </c>
      <c r="G38" s="93">
        <v>30013.25</v>
      </c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3">
        <v>30013.25</v>
      </c>
      <c r="Y38" s="92"/>
      <c r="Z38" s="92"/>
      <c r="AA38" s="92"/>
      <c r="AB38" s="92"/>
      <c r="AC38" s="92"/>
      <c r="AD38" s="93">
        <v>250.03</v>
      </c>
      <c r="AE38" s="92"/>
      <c r="AF38" s="92"/>
      <c r="AG38" s="93">
        <v>30263.279999999999</v>
      </c>
      <c r="AH38" s="93">
        <v>0</v>
      </c>
    </row>
    <row r="39" spans="1:34" ht="15.75" thickBot="1" x14ac:dyDescent="0.3">
      <c r="A39" s="90" t="s">
        <v>869</v>
      </c>
      <c r="B39" s="90" t="s">
        <v>26</v>
      </c>
      <c r="C39" s="90" t="s">
        <v>875</v>
      </c>
      <c r="D39" s="90" t="s">
        <v>20</v>
      </c>
      <c r="E39" s="90" t="s">
        <v>673</v>
      </c>
      <c r="F39" s="90" t="s">
        <v>697</v>
      </c>
      <c r="G39" s="95">
        <v>30013.25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5">
        <v>30013.25</v>
      </c>
      <c r="Y39" s="94"/>
      <c r="Z39" s="94"/>
      <c r="AA39" s="94"/>
      <c r="AB39" s="94"/>
      <c r="AC39" s="94"/>
      <c r="AD39" s="95">
        <v>250.03</v>
      </c>
      <c r="AE39" s="94"/>
      <c r="AF39" s="94"/>
      <c r="AG39" s="95">
        <v>30263.279999999999</v>
      </c>
      <c r="AH39" s="95">
        <v>0</v>
      </c>
    </row>
    <row r="40" spans="1:34" ht="15.75" thickBot="1" x14ac:dyDescent="0.3">
      <c r="A40" s="90" t="s">
        <v>869</v>
      </c>
      <c r="B40" s="90" t="s">
        <v>26</v>
      </c>
      <c r="C40" s="90" t="s">
        <v>875</v>
      </c>
      <c r="D40" s="90" t="s">
        <v>20</v>
      </c>
      <c r="E40" s="90" t="s">
        <v>196</v>
      </c>
      <c r="F40" s="90" t="s">
        <v>686</v>
      </c>
      <c r="G40" s="93">
        <v>542230.55000000005</v>
      </c>
      <c r="H40" s="92"/>
      <c r="I40" s="92"/>
      <c r="J40" s="92"/>
      <c r="K40" s="92"/>
      <c r="L40" s="92"/>
      <c r="M40" s="92"/>
      <c r="N40" s="92"/>
      <c r="O40" s="92"/>
      <c r="P40" s="93">
        <v>542230.55000000005</v>
      </c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3">
        <v>2513.4899999999998</v>
      </c>
      <c r="AE40" s="92"/>
      <c r="AF40" s="92"/>
      <c r="AG40" s="93">
        <v>544744.04</v>
      </c>
      <c r="AH40" s="93">
        <v>0</v>
      </c>
    </row>
    <row r="41" spans="1:34" ht="15.75" thickBot="1" x14ac:dyDescent="0.3">
      <c r="A41" s="90" t="s">
        <v>869</v>
      </c>
      <c r="B41" s="90" t="s">
        <v>26</v>
      </c>
      <c r="C41" s="90" t="s">
        <v>875</v>
      </c>
      <c r="D41" s="90" t="s">
        <v>20</v>
      </c>
      <c r="E41" s="90" t="s">
        <v>196</v>
      </c>
      <c r="F41" s="90" t="s">
        <v>697</v>
      </c>
      <c r="G41" s="95">
        <v>542230.55000000005</v>
      </c>
      <c r="H41" s="94"/>
      <c r="I41" s="94"/>
      <c r="J41" s="94"/>
      <c r="K41" s="94"/>
      <c r="L41" s="94"/>
      <c r="M41" s="94"/>
      <c r="N41" s="94"/>
      <c r="O41" s="94"/>
      <c r="P41" s="95">
        <v>542230.55000000005</v>
      </c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5">
        <v>2513.4899999999998</v>
      </c>
      <c r="AE41" s="94"/>
      <c r="AF41" s="94"/>
      <c r="AG41" s="95">
        <v>544744.04</v>
      </c>
      <c r="AH41" s="95">
        <v>0</v>
      </c>
    </row>
    <row r="42" spans="1:34" ht="15.75" thickBot="1" x14ac:dyDescent="0.3">
      <c r="A42" s="90" t="s">
        <v>869</v>
      </c>
      <c r="B42" s="90" t="s">
        <v>26</v>
      </c>
      <c r="C42" s="90" t="s">
        <v>875</v>
      </c>
      <c r="D42" s="90" t="s">
        <v>20</v>
      </c>
      <c r="E42" s="90" t="s">
        <v>674</v>
      </c>
      <c r="F42" s="90" t="s">
        <v>686</v>
      </c>
      <c r="G42" s="93">
        <v>49129.24</v>
      </c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>
        <v>49129.24</v>
      </c>
      <c r="Z42" s="92"/>
      <c r="AA42" s="92"/>
      <c r="AB42" s="92"/>
      <c r="AC42" s="92"/>
      <c r="AD42" s="93">
        <v>255.75</v>
      </c>
      <c r="AE42" s="92"/>
      <c r="AF42" s="92"/>
      <c r="AG42" s="93">
        <v>49384.99</v>
      </c>
      <c r="AH42" s="93">
        <v>0</v>
      </c>
    </row>
    <row r="43" spans="1:34" ht="15.75" thickBot="1" x14ac:dyDescent="0.3">
      <c r="A43" s="90" t="s">
        <v>869</v>
      </c>
      <c r="B43" s="90" t="s">
        <v>26</v>
      </c>
      <c r="C43" s="90" t="s">
        <v>875</v>
      </c>
      <c r="D43" s="90" t="s">
        <v>20</v>
      </c>
      <c r="E43" s="90" t="s">
        <v>674</v>
      </c>
      <c r="F43" s="90" t="s">
        <v>697</v>
      </c>
      <c r="G43" s="95">
        <v>49129.24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5">
        <v>49129.24</v>
      </c>
      <c r="Z43" s="94"/>
      <c r="AA43" s="94"/>
      <c r="AB43" s="94"/>
      <c r="AC43" s="94"/>
      <c r="AD43" s="95">
        <v>255.75</v>
      </c>
      <c r="AE43" s="94"/>
      <c r="AF43" s="94"/>
      <c r="AG43" s="95">
        <v>49384.99</v>
      </c>
      <c r="AH43" s="95">
        <v>0</v>
      </c>
    </row>
    <row r="44" spans="1:34" ht="15.75" thickBot="1" x14ac:dyDescent="0.3">
      <c r="A44" s="90" t="s">
        <v>869</v>
      </c>
      <c r="B44" s="90" t="s">
        <v>26</v>
      </c>
      <c r="C44" s="90" t="s">
        <v>875</v>
      </c>
      <c r="D44" s="90" t="s">
        <v>28</v>
      </c>
      <c r="E44" s="90" t="s">
        <v>726</v>
      </c>
      <c r="F44" s="90" t="s">
        <v>686</v>
      </c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3">
        <v>19.02</v>
      </c>
      <c r="AD44" s="93">
        <v>0</v>
      </c>
      <c r="AE44" s="92"/>
      <c r="AF44" s="92"/>
      <c r="AG44" s="93">
        <v>19.02</v>
      </c>
      <c r="AH44" s="93">
        <v>0</v>
      </c>
    </row>
    <row r="45" spans="1:34" ht="15.75" thickBot="1" x14ac:dyDescent="0.3">
      <c r="A45" s="90" t="s">
        <v>869</v>
      </c>
      <c r="B45" s="90" t="s">
        <v>26</v>
      </c>
      <c r="C45" s="90" t="s">
        <v>875</v>
      </c>
      <c r="D45" s="90" t="s">
        <v>28</v>
      </c>
      <c r="E45" s="90" t="s">
        <v>726</v>
      </c>
      <c r="F45" s="90" t="s">
        <v>697</v>
      </c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5">
        <v>19.02</v>
      </c>
      <c r="AD45" s="95">
        <v>0</v>
      </c>
      <c r="AE45" s="94"/>
      <c r="AF45" s="94"/>
      <c r="AG45" s="95">
        <v>19.02</v>
      </c>
      <c r="AH45" s="95">
        <v>0</v>
      </c>
    </row>
    <row r="46" spans="1:34" ht="15.75" thickBot="1" x14ac:dyDescent="0.3">
      <c r="A46" s="90" t="s">
        <v>869</v>
      </c>
      <c r="B46" s="90" t="s">
        <v>26</v>
      </c>
      <c r="C46" s="90" t="s">
        <v>875</v>
      </c>
      <c r="D46" s="90" t="s">
        <v>28</v>
      </c>
      <c r="E46" s="90" t="s">
        <v>528</v>
      </c>
      <c r="F46" s="90" t="s">
        <v>686</v>
      </c>
      <c r="G46" s="93">
        <v>440</v>
      </c>
      <c r="H46" s="92"/>
      <c r="I46" s="93">
        <v>440</v>
      </c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3">
        <v>3.6</v>
      </c>
      <c r="AE46" s="92"/>
      <c r="AF46" s="92"/>
      <c r="AG46" s="93">
        <v>443.6</v>
      </c>
      <c r="AH46" s="93">
        <v>0</v>
      </c>
    </row>
    <row r="47" spans="1:34" ht="15.75" thickBot="1" x14ac:dyDescent="0.3">
      <c r="A47" s="90" t="s">
        <v>869</v>
      </c>
      <c r="B47" s="90" t="s">
        <v>26</v>
      </c>
      <c r="C47" s="90" t="s">
        <v>875</v>
      </c>
      <c r="D47" s="90" t="s">
        <v>28</v>
      </c>
      <c r="E47" s="90" t="s">
        <v>528</v>
      </c>
      <c r="F47" s="90" t="s">
        <v>697</v>
      </c>
      <c r="G47" s="95">
        <v>440</v>
      </c>
      <c r="H47" s="94"/>
      <c r="I47" s="95">
        <v>440</v>
      </c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5">
        <v>3.6</v>
      </c>
      <c r="AE47" s="94"/>
      <c r="AF47" s="94"/>
      <c r="AG47" s="95">
        <v>443.6</v>
      </c>
      <c r="AH47" s="95">
        <v>0</v>
      </c>
    </row>
    <row r="48" spans="1:34" ht="15.75" thickBot="1" x14ac:dyDescent="0.3">
      <c r="A48" s="90" t="s">
        <v>869</v>
      </c>
      <c r="B48" s="90" t="s">
        <v>26</v>
      </c>
      <c r="C48" s="90" t="s">
        <v>875</v>
      </c>
      <c r="D48" s="90" t="s">
        <v>28</v>
      </c>
      <c r="E48" s="90" t="s">
        <v>518</v>
      </c>
      <c r="F48" s="90" t="s">
        <v>686</v>
      </c>
      <c r="G48" s="93">
        <v>664.92</v>
      </c>
      <c r="H48" s="93">
        <v>3092</v>
      </c>
      <c r="I48" s="92"/>
      <c r="J48" s="92"/>
      <c r="K48" s="93">
        <v>664.92</v>
      </c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3">
        <v>2.73</v>
      </c>
      <c r="AE48" s="92"/>
      <c r="AF48" s="92"/>
      <c r="AG48" s="93">
        <v>667.65</v>
      </c>
      <c r="AH48" s="93">
        <v>0</v>
      </c>
    </row>
    <row r="49" spans="1:34" ht="15.75" thickBot="1" x14ac:dyDescent="0.3">
      <c r="A49" s="90" t="s">
        <v>869</v>
      </c>
      <c r="B49" s="90" t="s">
        <v>26</v>
      </c>
      <c r="C49" s="90" t="s">
        <v>875</v>
      </c>
      <c r="D49" s="90" t="s">
        <v>28</v>
      </c>
      <c r="E49" s="90" t="s">
        <v>518</v>
      </c>
      <c r="F49" s="90" t="s">
        <v>697</v>
      </c>
      <c r="G49" s="95">
        <v>664.92</v>
      </c>
      <c r="H49" s="305">
        <v>3092</v>
      </c>
      <c r="I49" s="94"/>
      <c r="J49" s="94"/>
      <c r="K49" s="95">
        <v>664.92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5">
        <v>2.73</v>
      </c>
      <c r="AE49" s="94"/>
      <c r="AF49" s="94"/>
      <c r="AG49" s="95">
        <v>667.65</v>
      </c>
      <c r="AH49" s="95">
        <v>0</v>
      </c>
    </row>
    <row r="50" spans="1:34" ht="15.75" thickBot="1" x14ac:dyDescent="0.3">
      <c r="A50" s="90" t="s">
        <v>869</v>
      </c>
      <c r="B50" s="90" t="s">
        <v>26</v>
      </c>
      <c r="C50" s="90" t="s">
        <v>875</v>
      </c>
      <c r="D50" s="90" t="s">
        <v>28</v>
      </c>
      <c r="E50" s="90" t="s">
        <v>727</v>
      </c>
      <c r="F50" s="90" t="s">
        <v>686</v>
      </c>
      <c r="G50" s="93">
        <v>1.68</v>
      </c>
      <c r="H50" s="92"/>
      <c r="I50" s="92"/>
      <c r="J50" s="92"/>
      <c r="K50" s="92"/>
      <c r="L50" s="92"/>
      <c r="M50" s="92"/>
      <c r="N50" s="92"/>
      <c r="O50" s="93">
        <v>1.68</v>
      </c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3">
        <v>0</v>
      </c>
      <c r="AE50" s="92"/>
      <c r="AF50" s="92"/>
      <c r="AG50" s="93">
        <v>1.68</v>
      </c>
      <c r="AH50" s="93">
        <v>0</v>
      </c>
    </row>
    <row r="51" spans="1:34" ht="15.75" thickBot="1" x14ac:dyDescent="0.3">
      <c r="A51" s="90" t="s">
        <v>869</v>
      </c>
      <c r="B51" s="90" t="s">
        <v>26</v>
      </c>
      <c r="C51" s="90" t="s">
        <v>875</v>
      </c>
      <c r="D51" s="90" t="s">
        <v>28</v>
      </c>
      <c r="E51" s="90" t="s">
        <v>727</v>
      </c>
      <c r="F51" s="90" t="s">
        <v>697</v>
      </c>
      <c r="G51" s="95">
        <v>1.68</v>
      </c>
      <c r="H51" s="94"/>
      <c r="I51" s="94"/>
      <c r="J51" s="94"/>
      <c r="K51" s="94"/>
      <c r="L51" s="94"/>
      <c r="M51" s="94"/>
      <c r="N51" s="94"/>
      <c r="O51" s="95">
        <v>1.68</v>
      </c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5">
        <v>0</v>
      </c>
      <c r="AE51" s="94"/>
      <c r="AF51" s="94"/>
      <c r="AG51" s="95">
        <v>1.68</v>
      </c>
      <c r="AH51" s="95">
        <v>0</v>
      </c>
    </row>
    <row r="52" spans="1:34" ht="15.75" thickBot="1" x14ac:dyDescent="0.3">
      <c r="A52" s="90" t="s">
        <v>869</v>
      </c>
      <c r="B52" s="90" t="s">
        <v>26</v>
      </c>
      <c r="C52" s="90" t="s">
        <v>875</v>
      </c>
      <c r="D52" s="90" t="s">
        <v>28</v>
      </c>
      <c r="E52" s="90" t="s">
        <v>673</v>
      </c>
      <c r="F52" s="90" t="s">
        <v>686</v>
      </c>
      <c r="G52" s="93">
        <v>284.57</v>
      </c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3">
        <v>284.57</v>
      </c>
      <c r="Y52" s="92"/>
      <c r="Z52" s="92"/>
      <c r="AA52" s="92"/>
      <c r="AB52" s="92"/>
      <c r="AC52" s="92"/>
      <c r="AD52" s="93">
        <v>2.33</v>
      </c>
      <c r="AE52" s="92"/>
      <c r="AF52" s="92"/>
      <c r="AG52" s="93">
        <v>286.89999999999998</v>
      </c>
      <c r="AH52" s="93">
        <v>0</v>
      </c>
    </row>
    <row r="53" spans="1:34" ht="15.75" thickBot="1" x14ac:dyDescent="0.3">
      <c r="A53" s="90" t="s">
        <v>869</v>
      </c>
      <c r="B53" s="90" t="s">
        <v>26</v>
      </c>
      <c r="C53" s="90" t="s">
        <v>875</v>
      </c>
      <c r="D53" s="90" t="s">
        <v>28</v>
      </c>
      <c r="E53" s="90" t="s">
        <v>673</v>
      </c>
      <c r="F53" s="90" t="s">
        <v>697</v>
      </c>
      <c r="G53" s="95">
        <v>284.57</v>
      </c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5">
        <v>284.57</v>
      </c>
      <c r="Y53" s="94"/>
      <c r="Z53" s="94"/>
      <c r="AA53" s="94"/>
      <c r="AB53" s="94"/>
      <c r="AC53" s="94"/>
      <c r="AD53" s="95">
        <v>2.33</v>
      </c>
      <c r="AE53" s="94"/>
      <c r="AF53" s="94"/>
      <c r="AG53" s="95">
        <v>286.89999999999998</v>
      </c>
      <c r="AH53" s="95">
        <v>0</v>
      </c>
    </row>
    <row r="54" spans="1:34" ht="15.75" thickBot="1" x14ac:dyDescent="0.3">
      <c r="A54" s="90" t="s">
        <v>869</v>
      </c>
      <c r="B54" s="90" t="s">
        <v>26</v>
      </c>
      <c r="C54" s="90" t="s">
        <v>875</v>
      </c>
      <c r="D54" s="90" t="s">
        <v>28</v>
      </c>
      <c r="E54" s="90" t="s">
        <v>196</v>
      </c>
      <c r="F54" s="90" t="s">
        <v>686</v>
      </c>
      <c r="G54" s="93">
        <v>1000.06</v>
      </c>
      <c r="H54" s="92"/>
      <c r="I54" s="92"/>
      <c r="J54" s="92"/>
      <c r="K54" s="92"/>
      <c r="L54" s="92"/>
      <c r="M54" s="92"/>
      <c r="N54" s="92"/>
      <c r="O54" s="92"/>
      <c r="P54" s="93">
        <v>1000.06</v>
      </c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3">
        <v>4.0999999999999996</v>
      </c>
      <c r="AE54" s="92"/>
      <c r="AF54" s="92"/>
      <c r="AG54" s="93">
        <v>1004.16</v>
      </c>
      <c r="AH54" s="93">
        <v>0</v>
      </c>
    </row>
    <row r="55" spans="1:34" ht="15.75" thickBot="1" x14ac:dyDescent="0.3">
      <c r="A55" s="90" t="s">
        <v>869</v>
      </c>
      <c r="B55" s="90" t="s">
        <v>26</v>
      </c>
      <c r="C55" s="90" t="s">
        <v>875</v>
      </c>
      <c r="D55" s="90" t="s">
        <v>28</v>
      </c>
      <c r="E55" s="90" t="s">
        <v>196</v>
      </c>
      <c r="F55" s="90" t="s">
        <v>697</v>
      </c>
      <c r="G55" s="95">
        <v>1000.06</v>
      </c>
      <c r="H55" s="94"/>
      <c r="I55" s="94"/>
      <c r="J55" s="94"/>
      <c r="K55" s="94"/>
      <c r="L55" s="94"/>
      <c r="M55" s="94"/>
      <c r="N55" s="94"/>
      <c r="O55" s="94"/>
      <c r="P55" s="95">
        <v>1000.06</v>
      </c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5">
        <v>4.0999999999999996</v>
      </c>
      <c r="AE55" s="94"/>
      <c r="AF55" s="94"/>
      <c r="AG55" s="95">
        <v>1004.16</v>
      </c>
      <c r="AH55" s="95">
        <v>0</v>
      </c>
    </row>
    <row r="56" spans="1:34" ht="15.75" thickBot="1" x14ac:dyDescent="0.3">
      <c r="A56" s="90" t="s">
        <v>869</v>
      </c>
      <c r="B56" s="90" t="s">
        <v>26</v>
      </c>
      <c r="C56" s="90" t="s">
        <v>875</v>
      </c>
      <c r="D56" s="90" t="s">
        <v>28</v>
      </c>
      <c r="E56" s="90" t="s">
        <v>674</v>
      </c>
      <c r="F56" s="90" t="s">
        <v>686</v>
      </c>
      <c r="G56" s="93">
        <v>76.38</v>
      </c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>
        <v>76.38</v>
      </c>
      <c r="Z56" s="92"/>
      <c r="AA56" s="92"/>
      <c r="AB56" s="92"/>
      <c r="AC56" s="92"/>
      <c r="AD56" s="93">
        <v>0.99</v>
      </c>
      <c r="AE56" s="92"/>
      <c r="AF56" s="92"/>
      <c r="AG56" s="93">
        <v>77.37</v>
      </c>
      <c r="AH56" s="93">
        <v>0</v>
      </c>
    </row>
    <row r="57" spans="1:34" ht="15.75" thickBot="1" x14ac:dyDescent="0.3">
      <c r="A57" s="90" t="s">
        <v>869</v>
      </c>
      <c r="B57" s="90" t="s">
        <v>26</v>
      </c>
      <c r="C57" s="90" t="s">
        <v>875</v>
      </c>
      <c r="D57" s="90" t="s">
        <v>28</v>
      </c>
      <c r="E57" s="90" t="s">
        <v>674</v>
      </c>
      <c r="F57" s="90" t="s">
        <v>697</v>
      </c>
      <c r="G57" s="95">
        <v>76.38</v>
      </c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5">
        <v>76.38</v>
      </c>
      <c r="Z57" s="94"/>
      <c r="AA57" s="94"/>
      <c r="AB57" s="94"/>
      <c r="AC57" s="94"/>
      <c r="AD57" s="95">
        <v>0.99</v>
      </c>
      <c r="AE57" s="94"/>
      <c r="AF57" s="94"/>
      <c r="AG57" s="95">
        <v>77.37</v>
      </c>
      <c r="AH57" s="95">
        <v>0</v>
      </c>
    </row>
    <row r="58" spans="1:34" ht="15.75" thickBot="1" x14ac:dyDescent="0.3">
      <c r="A58" s="90" t="s">
        <v>869</v>
      </c>
      <c r="B58" s="90" t="s">
        <v>707</v>
      </c>
      <c r="C58" s="90" t="s">
        <v>876</v>
      </c>
      <c r="D58" s="90" t="s">
        <v>17</v>
      </c>
      <c r="E58" s="90" t="s">
        <v>726</v>
      </c>
      <c r="F58" s="90" t="s">
        <v>686</v>
      </c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3">
        <v>4.13</v>
      </c>
      <c r="AD58" s="93">
        <v>0.25</v>
      </c>
      <c r="AE58" s="92"/>
      <c r="AF58" s="92"/>
      <c r="AG58" s="93">
        <v>4.38</v>
      </c>
      <c r="AH58" s="93">
        <v>0</v>
      </c>
    </row>
    <row r="59" spans="1:34" ht="15.75" thickBot="1" x14ac:dyDescent="0.3">
      <c r="A59" s="90" t="s">
        <v>869</v>
      </c>
      <c r="B59" s="90" t="s">
        <v>707</v>
      </c>
      <c r="C59" s="90" t="s">
        <v>876</v>
      </c>
      <c r="D59" s="90" t="s">
        <v>17</v>
      </c>
      <c r="E59" s="90" t="s">
        <v>726</v>
      </c>
      <c r="F59" s="90" t="s">
        <v>697</v>
      </c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5">
        <v>4.13</v>
      </c>
      <c r="AD59" s="95">
        <v>0.25</v>
      </c>
      <c r="AE59" s="94"/>
      <c r="AF59" s="94"/>
      <c r="AG59" s="95">
        <v>4.38</v>
      </c>
      <c r="AH59" s="95">
        <v>0</v>
      </c>
    </row>
    <row r="60" spans="1:34" ht="15.75" thickBot="1" x14ac:dyDescent="0.3">
      <c r="A60" s="90" t="s">
        <v>869</v>
      </c>
      <c r="B60" s="90" t="s">
        <v>707</v>
      </c>
      <c r="C60" s="90" t="s">
        <v>876</v>
      </c>
      <c r="D60" s="90" t="s">
        <v>17</v>
      </c>
      <c r="E60" s="90" t="s">
        <v>528</v>
      </c>
      <c r="F60" s="90" t="s">
        <v>686</v>
      </c>
      <c r="G60" s="93">
        <v>40</v>
      </c>
      <c r="H60" s="92"/>
      <c r="I60" s="93">
        <v>40</v>
      </c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3">
        <v>2.39</v>
      </c>
      <c r="AE60" s="92"/>
      <c r="AF60" s="92"/>
      <c r="AG60" s="93">
        <v>42.39</v>
      </c>
      <c r="AH60" s="93">
        <v>0</v>
      </c>
    </row>
    <row r="61" spans="1:34" ht="15.75" thickBot="1" x14ac:dyDescent="0.3">
      <c r="A61" s="90" t="s">
        <v>869</v>
      </c>
      <c r="B61" s="90" t="s">
        <v>707</v>
      </c>
      <c r="C61" s="90" t="s">
        <v>876</v>
      </c>
      <c r="D61" s="90" t="s">
        <v>17</v>
      </c>
      <c r="E61" s="90" t="s">
        <v>528</v>
      </c>
      <c r="F61" s="90" t="s">
        <v>697</v>
      </c>
      <c r="G61" s="95">
        <v>40</v>
      </c>
      <c r="H61" s="94"/>
      <c r="I61" s="95">
        <v>40</v>
      </c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5">
        <v>2.39</v>
      </c>
      <c r="AE61" s="94"/>
      <c r="AF61" s="94"/>
      <c r="AG61" s="95">
        <v>42.39</v>
      </c>
      <c r="AH61" s="95">
        <v>0</v>
      </c>
    </row>
    <row r="62" spans="1:34" ht="15.75" thickBot="1" x14ac:dyDescent="0.3">
      <c r="A62" s="90" t="s">
        <v>869</v>
      </c>
      <c r="B62" s="90" t="s">
        <v>707</v>
      </c>
      <c r="C62" s="90" t="s">
        <v>876</v>
      </c>
      <c r="D62" s="90" t="s">
        <v>17</v>
      </c>
      <c r="E62" s="90" t="s">
        <v>518</v>
      </c>
      <c r="F62" s="90" t="s">
        <v>686</v>
      </c>
      <c r="G62" s="93">
        <v>55.91</v>
      </c>
      <c r="H62" s="93">
        <v>260</v>
      </c>
      <c r="I62" s="92"/>
      <c r="J62" s="92"/>
      <c r="K62" s="93">
        <v>55.91</v>
      </c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3">
        <v>3.36</v>
      </c>
      <c r="AE62" s="92"/>
      <c r="AF62" s="92"/>
      <c r="AG62" s="93">
        <v>59.27</v>
      </c>
      <c r="AH62" s="93">
        <v>0</v>
      </c>
    </row>
    <row r="63" spans="1:34" ht="15.75" thickBot="1" x14ac:dyDescent="0.3">
      <c r="A63" s="90" t="s">
        <v>869</v>
      </c>
      <c r="B63" s="90" t="s">
        <v>707</v>
      </c>
      <c r="C63" s="90" t="s">
        <v>876</v>
      </c>
      <c r="D63" s="90" t="s">
        <v>17</v>
      </c>
      <c r="E63" s="90" t="s">
        <v>518</v>
      </c>
      <c r="F63" s="90" t="s">
        <v>697</v>
      </c>
      <c r="G63" s="95">
        <v>55.91</v>
      </c>
      <c r="H63" s="305">
        <v>260</v>
      </c>
      <c r="I63" s="94"/>
      <c r="J63" s="94"/>
      <c r="K63" s="95">
        <v>55.91</v>
      </c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5">
        <v>3.36</v>
      </c>
      <c r="AE63" s="94"/>
      <c r="AF63" s="94"/>
      <c r="AG63" s="95">
        <v>59.27</v>
      </c>
      <c r="AH63" s="95">
        <v>0</v>
      </c>
    </row>
    <row r="64" spans="1:34" ht="15.75" thickBot="1" x14ac:dyDescent="0.3">
      <c r="A64" s="90" t="s">
        <v>869</v>
      </c>
      <c r="B64" s="90" t="s">
        <v>707</v>
      </c>
      <c r="C64" s="90" t="s">
        <v>876</v>
      </c>
      <c r="D64" s="90" t="s">
        <v>17</v>
      </c>
      <c r="E64" s="90" t="s">
        <v>727</v>
      </c>
      <c r="F64" s="90" t="s">
        <v>686</v>
      </c>
      <c r="G64" s="93">
        <v>0.14000000000000001</v>
      </c>
      <c r="H64" s="92"/>
      <c r="I64" s="92"/>
      <c r="J64" s="92"/>
      <c r="K64" s="92"/>
      <c r="L64" s="92"/>
      <c r="M64" s="92"/>
      <c r="N64" s="92"/>
      <c r="O64" s="93">
        <v>0.14000000000000001</v>
      </c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3">
        <v>0.01</v>
      </c>
      <c r="AE64" s="92"/>
      <c r="AF64" s="92"/>
      <c r="AG64" s="93">
        <v>0.15</v>
      </c>
      <c r="AH64" s="93">
        <v>0</v>
      </c>
    </row>
    <row r="65" spans="1:34" ht="15.75" thickBot="1" x14ac:dyDescent="0.3">
      <c r="A65" s="90" t="s">
        <v>869</v>
      </c>
      <c r="B65" s="90" t="s">
        <v>707</v>
      </c>
      <c r="C65" s="90" t="s">
        <v>876</v>
      </c>
      <c r="D65" s="90" t="s">
        <v>17</v>
      </c>
      <c r="E65" s="90" t="s">
        <v>727</v>
      </c>
      <c r="F65" s="90" t="s">
        <v>697</v>
      </c>
      <c r="G65" s="95">
        <v>0.14000000000000001</v>
      </c>
      <c r="H65" s="94"/>
      <c r="I65" s="94"/>
      <c r="J65" s="94"/>
      <c r="K65" s="94"/>
      <c r="L65" s="94"/>
      <c r="M65" s="94"/>
      <c r="N65" s="94"/>
      <c r="O65" s="95">
        <v>0.14000000000000001</v>
      </c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5">
        <v>0.01</v>
      </c>
      <c r="AE65" s="94"/>
      <c r="AF65" s="94"/>
      <c r="AG65" s="95">
        <v>0.15</v>
      </c>
      <c r="AH65" s="95">
        <v>0</v>
      </c>
    </row>
    <row r="66" spans="1:34" ht="15.75" thickBot="1" x14ac:dyDescent="0.3">
      <c r="A66" s="90" t="s">
        <v>869</v>
      </c>
      <c r="B66" s="90" t="s">
        <v>707</v>
      </c>
      <c r="C66" s="90" t="s">
        <v>876</v>
      </c>
      <c r="D66" s="90" t="s">
        <v>17</v>
      </c>
      <c r="E66" s="90" t="s">
        <v>673</v>
      </c>
      <c r="F66" s="90" t="s">
        <v>686</v>
      </c>
      <c r="G66" s="93">
        <v>25.87</v>
      </c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3">
        <v>25.87</v>
      </c>
      <c r="Y66" s="92"/>
      <c r="Z66" s="92"/>
      <c r="AA66" s="92"/>
      <c r="AB66" s="92"/>
      <c r="AC66" s="92"/>
      <c r="AD66" s="93">
        <v>1.55</v>
      </c>
      <c r="AE66" s="92"/>
      <c r="AF66" s="92"/>
      <c r="AG66" s="93">
        <v>27.42</v>
      </c>
      <c r="AH66" s="93">
        <v>0</v>
      </c>
    </row>
    <row r="67" spans="1:34" ht="15.75" thickBot="1" x14ac:dyDescent="0.3">
      <c r="A67" s="90" t="s">
        <v>869</v>
      </c>
      <c r="B67" s="90" t="s">
        <v>707</v>
      </c>
      <c r="C67" s="90" t="s">
        <v>876</v>
      </c>
      <c r="D67" s="90" t="s">
        <v>17</v>
      </c>
      <c r="E67" s="90" t="s">
        <v>673</v>
      </c>
      <c r="F67" s="90" t="s">
        <v>697</v>
      </c>
      <c r="G67" s="95">
        <v>25.87</v>
      </c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5">
        <v>25.87</v>
      </c>
      <c r="Y67" s="94"/>
      <c r="Z67" s="94"/>
      <c r="AA67" s="94"/>
      <c r="AB67" s="94"/>
      <c r="AC67" s="94"/>
      <c r="AD67" s="95">
        <v>1.55</v>
      </c>
      <c r="AE67" s="94"/>
      <c r="AF67" s="94"/>
      <c r="AG67" s="95">
        <v>27.42</v>
      </c>
      <c r="AH67" s="95">
        <v>0</v>
      </c>
    </row>
    <row r="68" spans="1:34" ht="15.75" thickBot="1" x14ac:dyDescent="0.3">
      <c r="A68" s="90" t="s">
        <v>869</v>
      </c>
      <c r="B68" s="90" t="s">
        <v>707</v>
      </c>
      <c r="C68" s="90" t="s">
        <v>876</v>
      </c>
      <c r="D68" s="90" t="s">
        <v>17</v>
      </c>
      <c r="E68" s="90" t="s">
        <v>196</v>
      </c>
      <c r="F68" s="90" t="s">
        <v>686</v>
      </c>
      <c r="G68" s="93">
        <v>84.09</v>
      </c>
      <c r="H68" s="92"/>
      <c r="I68" s="92"/>
      <c r="J68" s="92"/>
      <c r="K68" s="92"/>
      <c r="L68" s="92"/>
      <c r="M68" s="92"/>
      <c r="N68" s="92"/>
      <c r="O68" s="92"/>
      <c r="P68" s="93">
        <v>84.09</v>
      </c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3">
        <v>5.05</v>
      </c>
      <c r="AE68" s="92"/>
      <c r="AF68" s="92"/>
      <c r="AG68" s="93">
        <v>89.14</v>
      </c>
      <c r="AH68" s="93">
        <v>0</v>
      </c>
    </row>
    <row r="69" spans="1:34" ht="15.75" thickBot="1" x14ac:dyDescent="0.3">
      <c r="A69" s="90" t="s">
        <v>869</v>
      </c>
      <c r="B69" s="90" t="s">
        <v>707</v>
      </c>
      <c r="C69" s="90" t="s">
        <v>876</v>
      </c>
      <c r="D69" s="90" t="s">
        <v>17</v>
      </c>
      <c r="E69" s="90" t="s">
        <v>196</v>
      </c>
      <c r="F69" s="90" t="s">
        <v>697</v>
      </c>
      <c r="G69" s="95">
        <v>84.09</v>
      </c>
      <c r="H69" s="94"/>
      <c r="I69" s="94"/>
      <c r="J69" s="94"/>
      <c r="K69" s="94"/>
      <c r="L69" s="94"/>
      <c r="M69" s="94"/>
      <c r="N69" s="94"/>
      <c r="O69" s="94"/>
      <c r="P69" s="95">
        <v>84.09</v>
      </c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5">
        <v>5.05</v>
      </c>
      <c r="AE69" s="94"/>
      <c r="AF69" s="94"/>
      <c r="AG69" s="95">
        <v>89.14</v>
      </c>
      <c r="AH69" s="95">
        <v>0</v>
      </c>
    </row>
    <row r="70" spans="1:34" ht="15.75" thickBot="1" x14ac:dyDescent="0.3">
      <c r="A70" s="90" t="s">
        <v>869</v>
      </c>
      <c r="B70" s="90" t="s">
        <v>707</v>
      </c>
      <c r="C70" s="90" t="s">
        <v>876</v>
      </c>
      <c r="D70" s="90" t="s">
        <v>17</v>
      </c>
      <c r="E70" s="90" t="s">
        <v>674</v>
      </c>
      <c r="F70" s="90" t="s">
        <v>686</v>
      </c>
      <c r="G70" s="93">
        <v>0.48</v>
      </c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3">
        <v>0.48</v>
      </c>
      <c r="Z70" s="92"/>
      <c r="AA70" s="92"/>
      <c r="AB70" s="92"/>
      <c r="AC70" s="92"/>
      <c r="AD70" s="93">
        <v>0.03</v>
      </c>
      <c r="AE70" s="92"/>
      <c r="AF70" s="92"/>
      <c r="AG70" s="93">
        <v>0.51</v>
      </c>
      <c r="AH70" s="93">
        <v>0</v>
      </c>
    </row>
    <row r="71" spans="1:34" ht="15.75" thickBot="1" x14ac:dyDescent="0.3">
      <c r="A71" s="90" t="s">
        <v>869</v>
      </c>
      <c r="B71" s="90" t="s">
        <v>707</v>
      </c>
      <c r="C71" s="90" t="s">
        <v>876</v>
      </c>
      <c r="D71" s="90" t="s">
        <v>17</v>
      </c>
      <c r="E71" s="90" t="s">
        <v>674</v>
      </c>
      <c r="F71" s="90" t="s">
        <v>697</v>
      </c>
      <c r="G71" s="95">
        <v>0.48</v>
      </c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5">
        <v>0.48</v>
      </c>
      <c r="Z71" s="94"/>
      <c r="AA71" s="94"/>
      <c r="AB71" s="94"/>
      <c r="AC71" s="94"/>
      <c r="AD71" s="95">
        <v>0.03</v>
      </c>
      <c r="AE71" s="94"/>
      <c r="AF71" s="94"/>
      <c r="AG71" s="95">
        <v>0.51</v>
      </c>
      <c r="AH71" s="95">
        <v>0</v>
      </c>
    </row>
    <row r="72" spans="1:34" ht="15.75" thickBot="1" x14ac:dyDescent="0.3">
      <c r="A72" s="90" t="s">
        <v>869</v>
      </c>
      <c r="B72" s="90" t="s">
        <v>18</v>
      </c>
      <c r="C72" s="90" t="s">
        <v>453</v>
      </c>
      <c r="D72" s="90" t="s">
        <v>17</v>
      </c>
      <c r="E72" s="90" t="s">
        <v>726</v>
      </c>
      <c r="F72" s="90" t="s">
        <v>686</v>
      </c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3">
        <v>313.22000000000003</v>
      </c>
      <c r="AD72" s="93">
        <v>18.79</v>
      </c>
      <c r="AE72" s="92"/>
      <c r="AF72" s="92"/>
      <c r="AG72" s="93">
        <v>332.01</v>
      </c>
      <c r="AH72" s="93">
        <v>0</v>
      </c>
    </row>
    <row r="73" spans="1:34" ht="15.75" thickBot="1" x14ac:dyDescent="0.3">
      <c r="A73" s="90" t="s">
        <v>869</v>
      </c>
      <c r="B73" s="90" t="s">
        <v>18</v>
      </c>
      <c r="C73" s="90" t="s">
        <v>453</v>
      </c>
      <c r="D73" s="90" t="s">
        <v>17</v>
      </c>
      <c r="E73" s="90" t="s">
        <v>726</v>
      </c>
      <c r="F73" s="90" t="s">
        <v>697</v>
      </c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5">
        <v>313.22000000000003</v>
      </c>
      <c r="AD73" s="95">
        <v>18.79</v>
      </c>
      <c r="AE73" s="94"/>
      <c r="AF73" s="94"/>
      <c r="AG73" s="95">
        <v>332.01</v>
      </c>
      <c r="AH73" s="95">
        <v>0</v>
      </c>
    </row>
    <row r="74" spans="1:34" ht="15.75" thickBot="1" x14ac:dyDescent="0.3">
      <c r="A74" s="90" t="s">
        <v>869</v>
      </c>
      <c r="B74" s="90" t="s">
        <v>18</v>
      </c>
      <c r="C74" s="90" t="s">
        <v>453</v>
      </c>
      <c r="D74" s="90" t="s">
        <v>17</v>
      </c>
      <c r="E74" s="90" t="s">
        <v>528</v>
      </c>
      <c r="F74" s="90" t="s">
        <v>686</v>
      </c>
      <c r="G74" s="93">
        <v>400</v>
      </c>
      <c r="H74" s="92"/>
      <c r="I74" s="93">
        <v>400</v>
      </c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3">
        <v>24.01</v>
      </c>
      <c r="AE74" s="92"/>
      <c r="AF74" s="92"/>
      <c r="AG74" s="93">
        <v>424.01</v>
      </c>
      <c r="AH74" s="93">
        <v>0</v>
      </c>
    </row>
    <row r="75" spans="1:34" ht="15.75" thickBot="1" x14ac:dyDescent="0.3">
      <c r="A75" s="90" t="s">
        <v>869</v>
      </c>
      <c r="B75" s="90" t="s">
        <v>18</v>
      </c>
      <c r="C75" s="90" t="s">
        <v>453</v>
      </c>
      <c r="D75" s="90" t="s">
        <v>17</v>
      </c>
      <c r="E75" s="90" t="s">
        <v>528</v>
      </c>
      <c r="F75" s="90" t="s">
        <v>697</v>
      </c>
      <c r="G75" s="95">
        <v>400</v>
      </c>
      <c r="H75" s="94"/>
      <c r="I75" s="95">
        <v>400</v>
      </c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5">
        <v>24.01</v>
      </c>
      <c r="AE75" s="94"/>
      <c r="AF75" s="94"/>
      <c r="AG75" s="95">
        <v>424.01</v>
      </c>
      <c r="AH75" s="95">
        <v>0</v>
      </c>
    </row>
    <row r="76" spans="1:34" ht="15.75" thickBot="1" x14ac:dyDescent="0.3">
      <c r="A76" s="90" t="s">
        <v>869</v>
      </c>
      <c r="B76" s="90" t="s">
        <v>18</v>
      </c>
      <c r="C76" s="90" t="s">
        <v>453</v>
      </c>
      <c r="D76" s="90" t="s">
        <v>17</v>
      </c>
      <c r="E76" s="90" t="s">
        <v>518</v>
      </c>
      <c r="F76" s="90" t="s">
        <v>686</v>
      </c>
      <c r="G76" s="93">
        <v>2236.2199999999998</v>
      </c>
      <c r="H76" s="93">
        <v>31905</v>
      </c>
      <c r="I76" s="92"/>
      <c r="J76" s="92"/>
      <c r="K76" s="93">
        <v>2236.2199999999998</v>
      </c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3">
        <v>134.16999999999999</v>
      </c>
      <c r="AE76" s="92"/>
      <c r="AF76" s="92"/>
      <c r="AG76" s="93">
        <v>2370.39</v>
      </c>
      <c r="AH76" s="93">
        <v>0</v>
      </c>
    </row>
    <row r="77" spans="1:34" ht="15.75" thickBot="1" x14ac:dyDescent="0.3">
      <c r="A77" s="90" t="s">
        <v>869</v>
      </c>
      <c r="B77" s="90" t="s">
        <v>18</v>
      </c>
      <c r="C77" s="90" t="s">
        <v>453</v>
      </c>
      <c r="D77" s="90" t="s">
        <v>17</v>
      </c>
      <c r="E77" s="90" t="s">
        <v>518</v>
      </c>
      <c r="F77" s="90" t="s">
        <v>697</v>
      </c>
      <c r="G77" s="95">
        <v>2236.2199999999998</v>
      </c>
      <c r="H77" s="305">
        <v>31905</v>
      </c>
      <c r="I77" s="94"/>
      <c r="J77" s="94"/>
      <c r="K77" s="95">
        <v>2236.2199999999998</v>
      </c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5">
        <v>134.16999999999999</v>
      </c>
      <c r="AE77" s="94"/>
      <c r="AF77" s="94"/>
      <c r="AG77" s="95">
        <v>2370.39</v>
      </c>
      <c r="AH77" s="95">
        <v>0</v>
      </c>
    </row>
    <row r="78" spans="1:34" ht="15.75" thickBot="1" x14ac:dyDescent="0.3">
      <c r="A78" s="90" t="s">
        <v>869</v>
      </c>
      <c r="B78" s="90" t="s">
        <v>18</v>
      </c>
      <c r="C78" s="90" t="s">
        <v>453</v>
      </c>
      <c r="D78" s="90" t="s">
        <v>17</v>
      </c>
      <c r="E78" s="90" t="s">
        <v>727</v>
      </c>
      <c r="F78" s="90" t="s">
        <v>686</v>
      </c>
      <c r="G78" s="93">
        <v>17.23</v>
      </c>
      <c r="H78" s="92"/>
      <c r="I78" s="92"/>
      <c r="J78" s="92"/>
      <c r="K78" s="92"/>
      <c r="L78" s="92"/>
      <c r="M78" s="92"/>
      <c r="N78" s="92"/>
      <c r="O78" s="93">
        <v>17.23</v>
      </c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3">
        <v>1.03</v>
      </c>
      <c r="AE78" s="92"/>
      <c r="AF78" s="92"/>
      <c r="AG78" s="93">
        <v>18.260000000000002</v>
      </c>
      <c r="AH78" s="93">
        <v>0</v>
      </c>
    </row>
    <row r="79" spans="1:34" ht="15.75" thickBot="1" x14ac:dyDescent="0.3">
      <c r="A79" s="90" t="s">
        <v>869</v>
      </c>
      <c r="B79" s="90" t="s">
        <v>18</v>
      </c>
      <c r="C79" s="90" t="s">
        <v>453</v>
      </c>
      <c r="D79" s="90" t="s">
        <v>17</v>
      </c>
      <c r="E79" s="90" t="s">
        <v>727</v>
      </c>
      <c r="F79" s="90" t="s">
        <v>697</v>
      </c>
      <c r="G79" s="95">
        <v>17.23</v>
      </c>
      <c r="H79" s="94"/>
      <c r="I79" s="94"/>
      <c r="J79" s="94"/>
      <c r="K79" s="94"/>
      <c r="L79" s="94"/>
      <c r="M79" s="94"/>
      <c r="N79" s="94"/>
      <c r="O79" s="95">
        <v>17.23</v>
      </c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5">
        <v>1.03</v>
      </c>
      <c r="AE79" s="94"/>
      <c r="AF79" s="94"/>
      <c r="AG79" s="95">
        <v>18.260000000000002</v>
      </c>
      <c r="AH79" s="95">
        <v>0</v>
      </c>
    </row>
    <row r="80" spans="1:34" ht="15.75" thickBot="1" x14ac:dyDescent="0.3">
      <c r="A80" s="90" t="s">
        <v>869</v>
      </c>
      <c r="B80" s="90" t="s">
        <v>18</v>
      </c>
      <c r="C80" s="90" t="s">
        <v>453</v>
      </c>
      <c r="D80" s="90" t="s">
        <v>17</v>
      </c>
      <c r="E80" s="90" t="s">
        <v>673</v>
      </c>
      <c r="F80" s="90" t="s">
        <v>686</v>
      </c>
      <c r="G80" s="93">
        <v>2688.31</v>
      </c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3">
        <v>2688.31</v>
      </c>
      <c r="Y80" s="92"/>
      <c r="Z80" s="92"/>
      <c r="AA80" s="92"/>
      <c r="AB80" s="92"/>
      <c r="AC80" s="92"/>
      <c r="AD80" s="93">
        <v>161.30000000000001</v>
      </c>
      <c r="AE80" s="92"/>
      <c r="AF80" s="92"/>
      <c r="AG80" s="93">
        <v>2849.61</v>
      </c>
      <c r="AH80" s="93">
        <v>0</v>
      </c>
    </row>
    <row r="81" spans="1:34" ht="15.75" thickBot="1" x14ac:dyDescent="0.3">
      <c r="A81" s="90" t="s">
        <v>869</v>
      </c>
      <c r="B81" s="90" t="s">
        <v>18</v>
      </c>
      <c r="C81" s="90" t="s">
        <v>453</v>
      </c>
      <c r="D81" s="90" t="s">
        <v>17</v>
      </c>
      <c r="E81" s="90" t="s">
        <v>673</v>
      </c>
      <c r="F81" s="90" t="s">
        <v>697</v>
      </c>
      <c r="G81" s="95">
        <v>2688.31</v>
      </c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5">
        <v>2688.31</v>
      </c>
      <c r="Y81" s="94"/>
      <c r="Z81" s="94"/>
      <c r="AA81" s="94"/>
      <c r="AB81" s="94"/>
      <c r="AC81" s="94"/>
      <c r="AD81" s="95">
        <v>161.30000000000001</v>
      </c>
      <c r="AE81" s="94"/>
      <c r="AF81" s="94"/>
      <c r="AG81" s="95">
        <v>2849.61</v>
      </c>
      <c r="AH81" s="95">
        <v>0</v>
      </c>
    </row>
    <row r="82" spans="1:34" ht="15.75" thickBot="1" x14ac:dyDescent="0.3">
      <c r="A82" s="90" t="s">
        <v>869</v>
      </c>
      <c r="B82" s="90" t="s">
        <v>18</v>
      </c>
      <c r="C82" s="90" t="s">
        <v>453</v>
      </c>
      <c r="D82" s="90" t="s">
        <v>17</v>
      </c>
      <c r="E82" s="90" t="s">
        <v>196</v>
      </c>
      <c r="F82" s="90" t="s">
        <v>686</v>
      </c>
      <c r="G82" s="93">
        <v>10319.030000000001</v>
      </c>
      <c r="H82" s="92"/>
      <c r="I82" s="92"/>
      <c r="J82" s="92"/>
      <c r="K82" s="92"/>
      <c r="L82" s="92"/>
      <c r="M82" s="92"/>
      <c r="N82" s="92"/>
      <c r="O82" s="92"/>
      <c r="P82" s="93">
        <v>10319.030000000001</v>
      </c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3">
        <v>619.14</v>
      </c>
      <c r="AE82" s="92"/>
      <c r="AF82" s="92"/>
      <c r="AG82" s="93">
        <v>10938.17</v>
      </c>
      <c r="AH82" s="93">
        <v>0</v>
      </c>
    </row>
    <row r="83" spans="1:34" ht="15.75" thickBot="1" x14ac:dyDescent="0.3">
      <c r="A83" s="90" t="s">
        <v>869</v>
      </c>
      <c r="B83" s="90" t="s">
        <v>18</v>
      </c>
      <c r="C83" s="90" t="s">
        <v>453</v>
      </c>
      <c r="D83" s="90" t="s">
        <v>17</v>
      </c>
      <c r="E83" s="90" t="s">
        <v>196</v>
      </c>
      <c r="F83" s="90" t="s">
        <v>697</v>
      </c>
      <c r="G83" s="95">
        <v>10319.030000000001</v>
      </c>
      <c r="H83" s="94"/>
      <c r="I83" s="94"/>
      <c r="J83" s="94"/>
      <c r="K83" s="94"/>
      <c r="L83" s="94"/>
      <c r="M83" s="94"/>
      <c r="N83" s="94"/>
      <c r="O83" s="94"/>
      <c r="P83" s="95">
        <v>10319.030000000001</v>
      </c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5">
        <v>619.14</v>
      </c>
      <c r="AE83" s="94"/>
      <c r="AF83" s="94"/>
      <c r="AG83" s="95">
        <v>10938.17</v>
      </c>
      <c r="AH83" s="95">
        <v>0</v>
      </c>
    </row>
    <row r="84" spans="1:34" ht="15.75" thickBot="1" x14ac:dyDescent="0.3">
      <c r="A84" s="90" t="s">
        <v>869</v>
      </c>
      <c r="B84" s="90" t="s">
        <v>18</v>
      </c>
      <c r="C84" s="90" t="s">
        <v>453</v>
      </c>
      <c r="D84" s="90" t="s">
        <v>20</v>
      </c>
      <c r="E84" s="90" t="s">
        <v>726</v>
      </c>
      <c r="F84" s="90" t="s">
        <v>686</v>
      </c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3">
        <v>276.93</v>
      </c>
      <c r="AD84" s="93">
        <v>0</v>
      </c>
      <c r="AE84" s="92"/>
      <c r="AF84" s="92"/>
      <c r="AG84" s="93">
        <v>276.93</v>
      </c>
      <c r="AH84" s="93">
        <v>0</v>
      </c>
    </row>
    <row r="85" spans="1:34" ht="15.75" thickBot="1" x14ac:dyDescent="0.3">
      <c r="A85" s="90" t="s">
        <v>869</v>
      </c>
      <c r="B85" s="90" t="s">
        <v>18</v>
      </c>
      <c r="C85" s="90" t="s">
        <v>453</v>
      </c>
      <c r="D85" s="90" t="s">
        <v>20</v>
      </c>
      <c r="E85" s="90" t="s">
        <v>726</v>
      </c>
      <c r="F85" s="90" t="s">
        <v>697</v>
      </c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5">
        <v>276.93</v>
      </c>
      <c r="AD85" s="95">
        <v>0</v>
      </c>
      <c r="AE85" s="94"/>
      <c r="AF85" s="94"/>
      <c r="AG85" s="95">
        <v>276.93</v>
      </c>
      <c r="AH85" s="95">
        <v>0</v>
      </c>
    </row>
    <row r="86" spans="1:34" ht="15.75" thickBot="1" x14ac:dyDescent="0.3">
      <c r="A86" s="90" t="s">
        <v>869</v>
      </c>
      <c r="B86" s="90" t="s">
        <v>18</v>
      </c>
      <c r="C86" s="90" t="s">
        <v>453</v>
      </c>
      <c r="D86" s="90" t="s">
        <v>20</v>
      </c>
      <c r="E86" s="90" t="s">
        <v>528</v>
      </c>
      <c r="F86" s="90" t="s">
        <v>686</v>
      </c>
      <c r="G86" s="93">
        <v>400</v>
      </c>
      <c r="H86" s="92"/>
      <c r="I86" s="93">
        <v>400</v>
      </c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3">
        <v>0</v>
      </c>
      <c r="AE86" s="92"/>
      <c r="AF86" s="92"/>
      <c r="AG86" s="93">
        <v>400</v>
      </c>
      <c r="AH86" s="93">
        <v>0</v>
      </c>
    </row>
    <row r="87" spans="1:34" ht="15.75" thickBot="1" x14ac:dyDescent="0.3">
      <c r="A87" s="90" t="s">
        <v>869</v>
      </c>
      <c r="B87" s="90" t="s">
        <v>18</v>
      </c>
      <c r="C87" s="90" t="s">
        <v>453</v>
      </c>
      <c r="D87" s="90" t="s">
        <v>20</v>
      </c>
      <c r="E87" s="90" t="s">
        <v>528</v>
      </c>
      <c r="F87" s="90" t="s">
        <v>697</v>
      </c>
      <c r="G87" s="95">
        <v>400</v>
      </c>
      <c r="H87" s="94"/>
      <c r="I87" s="95">
        <v>400</v>
      </c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5">
        <v>0</v>
      </c>
      <c r="AE87" s="94"/>
      <c r="AF87" s="94"/>
      <c r="AG87" s="95">
        <v>400</v>
      </c>
      <c r="AH87" s="95">
        <v>0</v>
      </c>
    </row>
    <row r="88" spans="1:34" ht="15.75" thickBot="1" x14ac:dyDescent="0.3">
      <c r="A88" s="90" t="s">
        <v>869</v>
      </c>
      <c r="B88" s="90" t="s">
        <v>18</v>
      </c>
      <c r="C88" s="90" t="s">
        <v>453</v>
      </c>
      <c r="D88" s="90" t="s">
        <v>20</v>
      </c>
      <c r="E88" s="90" t="s">
        <v>518</v>
      </c>
      <c r="F88" s="90" t="s">
        <v>686</v>
      </c>
      <c r="G88" s="93">
        <v>1913.53</v>
      </c>
      <c r="H88" s="93">
        <v>27301</v>
      </c>
      <c r="I88" s="92"/>
      <c r="J88" s="92"/>
      <c r="K88" s="93">
        <v>1913.53</v>
      </c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3">
        <v>0</v>
      </c>
      <c r="AE88" s="92"/>
      <c r="AF88" s="92"/>
      <c r="AG88" s="93">
        <v>1913.53</v>
      </c>
      <c r="AH88" s="93">
        <v>0</v>
      </c>
    </row>
    <row r="89" spans="1:34" ht="15.75" thickBot="1" x14ac:dyDescent="0.3">
      <c r="A89" s="90" t="s">
        <v>869</v>
      </c>
      <c r="B89" s="90" t="s">
        <v>18</v>
      </c>
      <c r="C89" s="90" t="s">
        <v>453</v>
      </c>
      <c r="D89" s="90" t="s">
        <v>20</v>
      </c>
      <c r="E89" s="90" t="s">
        <v>518</v>
      </c>
      <c r="F89" s="90" t="s">
        <v>697</v>
      </c>
      <c r="G89" s="95">
        <v>1913.53</v>
      </c>
      <c r="H89" s="305">
        <v>27301</v>
      </c>
      <c r="I89" s="94"/>
      <c r="J89" s="94"/>
      <c r="K89" s="95">
        <v>1913.53</v>
      </c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5">
        <v>0</v>
      </c>
      <c r="AE89" s="94"/>
      <c r="AF89" s="94"/>
      <c r="AG89" s="95">
        <v>1913.53</v>
      </c>
      <c r="AH89" s="95">
        <v>0</v>
      </c>
    </row>
    <row r="90" spans="1:34" ht="15.75" thickBot="1" x14ac:dyDescent="0.3">
      <c r="A90" s="90" t="s">
        <v>869</v>
      </c>
      <c r="B90" s="90" t="s">
        <v>18</v>
      </c>
      <c r="C90" s="90" t="s">
        <v>453</v>
      </c>
      <c r="D90" s="90" t="s">
        <v>20</v>
      </c>
      <c r="E90" s="90" t="s">
        <v>727</v>
      </c>
      <c r="F90" s="90" t="s">
        <v>686</v>
      </c>
      <c r="G90" s="93">
        <v>14.74</v>
      </c>
      <c r="H90" s="92"/>
      <c r="I90" s="92"/>
      <c r="J90" s="92"/>
      <c r="K90" s="92"/>
      <c r="L90" s="92"/>
      <c r="M90" s="92"/>
      <c r="N90" s="92"/>
      <c r="O90" s="93">
        <v>14.74</v>
      </c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3">
        <v>0</v>
      </c>
      <c r="AE90" s="92"/>
      <c r="AF90" s="92"/>
      <c r="AG90" s="93">
        <v>14.74</v>
      </c>
      <c r="AH90" s="93">
        <v>0</v>
      </c>
    </row>
    <row r="91" spans="1:34" ht="15.75" thickBot="1" x14ac:dyDescent="0.3">
      <c r="A91" s="90" t="s">
        <v>869</v>
      </c>
      <c r="B91" s="90" t="s">
        <v>18</v>
      </c>
      <c r="C91" s="90" t="s">
        <v>453</v>
      </c>
      <c r="D91" s="90" t="s">
        <v>20</v>
      </c>
      <c r="E91" s="90" t="s">
        <v>727</v>
      </c>
      <c r="F91" s="90" t="s">
        <v>697</v>
      </c>
      <c r="G91" s="95">
        <v>14.74</v>
      </c>
      <c r="H91" s="94"/>
      <c r="I91" s="94"/>
      <c r="J91" s="94"/>
      <c r="K91" s="94"/>
      <c r="L91" s="94"/>
      <c r="M91" s="94"/>
      <c r="N91" s="94"/>
      <c r="O91" s="95">
        <v>14.74</v>
      </c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5">
        <v>0</v>
      </c>
      <c r="AE91" s="94"/>
      <c r="AF91" s="94"/>
      <c r="AG91" s="95">
        <v>14.74</v>
      </c>
      <c r="AH91" s="95">
        <v>0</v>
      </c>
    </row>
    <row r="92" spans="1:34" ht="15.75" thickBot="1" x14ac:dyDescent="0.3">
      <c r="A92" s="90" t="s">
        <v>869</v>
      </c>
      <c r="B92" s="90" t="s">
        <v>18</v>
      </c>
      <c r="C92" s="90" t="s">
        <v>453</v>
      </c>
      <c r="D92" s="90" t="s">
        <v>20</v>
      </c>
      <c r="E92" s="90" t="s">
        <v>673</v>
      </c>
      <c r="F92" s="90" t="s">
        <v>686</v>
      </c>
      <c r="G92" s="93">
        <v>2688.31</v>
      </c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3">
        <v>2688.31</v>
      </c>
      <c r="Y92" s="92"/>
      <c r="Z92" s="92"/>
      <c r="AA92" s="92"/>
      <c r="AB92" s="92"/>
      <c r="AC92" s="92"/>
      <c r="AD92" s="93">
        <v>0</v>
      </c>
      <c r="AE92" s="92"/>
      <c r="AF92" s="92"/>
      <c r="AG92" s="93">
        <v>2688.31</v>
      </c>
      <c r="AH92" s="93">
        <v>0</v>
      </c>
    </row>
    <row r="93" spans="1:34" ht="15.75" thickBot="1" x14ac:dyDescent="0.3">
      <c r="A93" s="90" t="s">
        <v>869</v>
      </c>
      <c r="B93" s="90" t="s">
        <v>18</v>
      </c>
      <c r="C93" s="90" t="s">
        <v>453</v>
      </c>
      <c r="D93" s="90" t="s">
        <v>20</v>
      </c>
      <c r="E93" s="90" t="s">
        <v>673</v>
      </c>
      <c r="F93" s="90" t="s">
        <v>697</v>
      </c>
      <c r="G93" s="95">
        <v>2688.31</v>
      </c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5">
        <v>2688.31</v>
      </c>
      <c r="Y93" s="94"/>
      <c r="Z93" s="94"/>
      <c r="AA93" s="94"/>
      <c r="AB93" s="94"/>
      <c r="AC93" s="94"/>
      <c r="AD93" s="95">
        <v>0</v>
      </c>
      <c r="AE93" s="94"/>
      <c r="AF93" s="94"/>
      <c r="AG93" s="95">
        <v>2688.31</v>
      </c>
      <c r="AH93" s="95">
        <v>0</v>
      </c>
    </row>
    <row r="94" spans="1:34" ht="15.75" thickBot="1" x14ac:dyDescent="0.3">
      <c r="A94" s="90" t="s">
        <v>869</v>
      </c>
      <c r="B94" s="90" t="s">
        <v>18</v>
      </c>
      <c r="C94" s="90" t="s">
        <v>453</v>
      </c>
      <c r="D94" s="90" t="s">
        <v>20</v>
      </c>
      <c r="E94" s="90" t="s">
        <v>196</v>
      </c>
      <c r="F94" s="90" t="s">
        <v>686</v>
      </c>
      <c r="G94" s="93">
        <v>8829.9599999999991</v>
      </c>
      <c r="H94" s="92"/>
      <c r="I94" s="92"/>
      <c r="J94" s="92"/>
      <c r="K94" s="92"/>
      <c r="L94" s="92"/>
      <c r="M94" s="92"/>
      <c r="N94" s="92"/>
      <c r="O94" s="92"/>
      <c r="P94" s="93">
        <v>8829.9599999999991</v>
      </c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3">
        <v>0</v>
      </c>
      <c r="AE94" s="92"/>
      <c r="AF94" s="92"/>
      <c r="AG94" s="93">
        <v>8829.9599999999991</v>
      </c>
      <c r="AH94" s="93">
        <v>0</v>
      </c>
    </row>
    <row r="95" spans="1:34" ht="15.75" thickBot="1" x14ac:dyDescent="0.3">
      <c r="A95" s="90" t="s">
        <v>869</v>
      </c>
      <c r="B95" s="90" t="s">
        <v>18</v>
      </c>
      <c r="C95" s="90" t="s">
        <v>453</v>
      </c>
      <c r="D95" s="90" t="s">
        <v>20</v>
      </c>
      <c r="E95" s="90" t="s">
        <v>196</v>
      </c>
      <c r="F95" s="90" t="s">
        <v>697</v>
      </c>
      <c r="G95" s="95">
        <v>8829.9599999999991</v>
      </c>
      <c r="H95" s="94"/>
      <c r="I95" s="94"/>
      <c r="J95" s="94"/>
      <c r="K95" s="94"/>
      <c r="L95" s="94"/>
      <c r="M95" s="94"/>
      <c r="N95" s="94"/>
      <c r="O95" s="94"/>
      <c r="P95" s="95">
        <v>8829.9599999999991</v>
      </c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5">
        <v>0</v>
      </c>
      <c r="AE95" s="94"/>
      <c r="AF95" s="94"/>
      <c r="AG95" s="95">
        <v>8829.9599999999991</v>
      </c>
      <c r="AH95" s="95">
        <v>0</v>
      </c>
    </row>
    <row r="96" spans="1:34" ht="15.75" thickBot="1" x14ac:dyDescent="0.3">
      <c r="A96" s="90" t="s">
        <v>869</v>
      </c>
      <c r="B96" s="90" t="s">
        <v>68</v>
      </c>
      <c r="C96" s="90" t="s">
        <v>877</v>
      </c>
      <c r="D96" s="90" t="s">
        <v>17</v>
      </c>
      <c r="E96" s="90" t="s">
        <v>726</v>
      </c>
      <c r="F96" s="90" t="s">
        <v>686</v>
      </c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3">
        <v>11.72</v>
      </c>
      <c r="AD96" s="93">
        <v>0.7</v>
      </c>
      <c r="AE96" s="92"/>
      <c r="AF96" s="92"/>
      <c r="AG96" s="93">
        <v>12.42</v>
      </c>
      <c r="AH96" s="93">
        <v>0</v>
      </c>
    </row>
    <row r="97" spans="1:34" ht="15.75" thickBot="1" x14ac:dyDescent="0.3">
      <c r="A97" s="90" t="s">
        <v>869</v>
      </c>
      <c r="B97" s="90" t="s">
        <v>68</v>
      </c>
      <c r="C97" s="90" t="s">
        <v>877</v>
      </c>
      <c r="D97" s="90" t="s">
        <v>17</v>
      </c>
      <c r="E97" s="90" t="s">
        <v>726</v>
      </c>
      <c r="F97" s="90" t="s">
        <v>697</v>
      </c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5">
        <v>11.72</v>
      </c>
      <c r="AD97" s="95">
        <v>0.7</v>
      </c>
      <c r="AE97" s="94"/>
      <c r="AF97" s="94"/>
      <c r="AG97" s="95">
        <v>12.42</v>
      </c>
      <c r="AH97" s="95">
        <v>0</v>
      </c>
    </row>
    <row r="98" spans="1:34" ht="15.75" thickBot="1" x14ac:dyDescent="0.3">
      <c r="A98" s="90" t="s">
        <v>869</v>
      </c>
      <c r="B98" s="90" t="s">
        <v>68</v>
      </c>
      <c r="C98" s="90" t="s">
        <v>877</v>
      </c>
      <c r="D98" s="90" t="s">
        <v>17</v>
      </c>
      <c r="E98" s="90" t="s">
        <v>528</v>
      </c>
      <c r="F98" s="90" t="s">
        <v>686</v>
      </c>
      <c r="G98" s="93">
        <v>40</v>
      </c>
      <c r="H98" s="92"/>
      <c r="I98" s="93">
        <v>40</v>
      </c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3">
        <v>2.4</v>
      </c>
      <c r="AE98" s="92"/>
      <c r="AF98" s="92"/>
      <c r="AG98" s="93">
        <v>42.4</v>
      </c>
      <c r="AH98" s="93">
        <v>0</v>
      </c>
    </row>
    <row r="99" spans="1:34" ht="15.75" thickBot="1" x14ac:dyDescent="0.3">
      <c r="A99" s="90" t="s">
        <v>869</v>
      </c>
      <c r="B99" s="90" t="s">
        <v>68</v>
      </c>
      <c r="C99" s="90" t="s">
        <v>877</v>
      </c>
      <c r="D99" s="90" t="s">
        <v>17</v>
      </c>
      <c r="E99" s="90" t="s">
        <v>528</v>
      </c>
      <c r="F99" s="90" t="s">
        <v>697</v>
      </c>
      <c r="G99" s="95">
        <v>40</v>
      </c>
      <c r="H99" s="94"/>
      <c r="I99" s="95">
        <v>40</v>
      </c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5">
        <v>2.4</v>
      </c>
      <c r="AE99" s="94"/>
      <c r="AF99" s="94"/>
      <c r="AG99" s="95">
        <v>42.4</v>
      </c>
      <c r="AH99" s="95">
        <v>0</v>
      </c>
    </row>
    <row r="100" spans="1:34" ht="15.75" thickBot="1" x14ac:dyDescent="0.3">
      <c r="A100" s="90" t="s">
        <v>869</v>
      </c>
      <c r="B100" s="90" t="s">
        <v>68</v>
      </c>
      <c r="C100" s="90" t="s">
        <v>877</v>
      </c>
      <c r="D100" s="90" t="s">
        <v>17</v>
      </c>
      <c r="E100" s="90" t="s">
        <v>547</v>
      </c>
      <c r="F100" s="90" t="s">
        <v>686</v>
      </c>
      <c r="G100" s="93">
        <v>544</v>
      </c>
      <c r="H100" s="92"/>
      <c r="I100" s="92"/>
      <c r="J100" s="93">
        <v>544</v>
      </c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3">
        <v>32.64</v>
      </c>
      <c r="AE100" s="92"/>
      <c r="AF100" s="92"/>
      <c r="AG100" s="93">
        <v>576.64</v>
      </c>
      <c r="AH100" s="93">
        <v>0</v>
      </c>
    </row>
    <row r="101" spans="1:34" ht="15.75" thickBot="1" x14ac:dyDescent="0.3">
      <c r="A101" s="90" t="s">
        <v>869</v>
      </c>
      <c r="B101" s="90" t="s">
        <v>68</v>
      </c>
      <c r="C101" s="90" t="s">
        <v>877</v>
      </c>
      <c r="D101" s="90" t="s">
        <v>17</v>
      </c>
      <c r="E101" s="90" t="s">
        <v>547</v>
      </c>
      <c r="F101" s="90" t="s">
        <v>697</v>
      </c>
      <c r="G101" s="95">
        <v>544</v>
      </c>
      <c r="H101" s="94"/>
      <c r="I101" s="94"/>
      <c r="J101" s="95">
        <v>544</v>
      </c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5">
        <v>32.64</v>
      </c>
      <c r="AE101" s="94"/>
      <c r="AF101" s="94"/>
      <c r="AG101" s="95">
        <v>576.64</v>
      </c>
      <c r="AH101" s="95">
        <v>0</v>
      </c>
    </row>
    <row r="102" spans="1:34" ht="15.75" thickBot="1" x14ac:dyDescent="0.3">
      <c r="A102" s="90" t="s">
        <v>869</v>
      </c>
      <c r="B102" s="90" t="s">
        <v>68</v>
      </c>
      <c r="C102" s="90" t="s">
        <v>877</v>
      </c>
      <c r="D102" s="90" t="s">
        <v>17</v>
      </c>
      <c r="E102" s="90" t="s">
        <v>518</v>
      </c>
      <c r="F102" s="90" t="s">
        <v>686</v>
      </c>
      <c r="G102" s="93">
        <v>0.2</v>
      </c>
      <c r="H102" s="93">
        <v>6</v>
      </c>
      <c r="I102" s="92"/>
      <c r="J102" s="92"/>
      <c r="K102" s="93">
        <v>0.2</v>
      </c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3">
        <v>0.01</v>
      </c>
      <c r="AE102" s="92"/>
      <c r="AF102" s="92"/>
      <c r="AG102" s="93">
        <v>0.21</v>
      </c>
      <c r="AH102" s="93">
        <v>0</v>
      </c>
    </row>
    <row r="103" spans="1:34" ht="15.75" thickBot="1" x14ac:dyDescent="0.3">
      <c r="A103" s="90" t="s">
        <v>869</v>
      </c>
      <c r="B103" s="90" t="s">
        <v>68</v>
      </c>
      <c r="C103" s="90" t="s">
        <v>877</v>
      </c>
      <c r="D103" s="90" t="s">
        <v>17</v>
      </c>
      <c r="E103" s="90" t="s">
        <v>518</v>
      </c>
      <c r="F103" s="90" t="s">
        <v>697</v>
      </c>
      <c r="G103" s="95">
        <v>0.2</v>
      </c>
      <c r="H103" s="305">
        <v>6</v>
      </c>
      <c r="I103" s="94"/>
      <c r="J103" s="94"/>
      <c r="K103" s="95">
        <v>0.2</v>
      </c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5">
        <v>0.01</v>
      </c>
      <c r="AE103" s="94"/>
      <c r="AF103" s="94"/>
      <c r="AG103" s="95">
        <v>0.21</v>
      </c>
      <c r="AH103" s="95">
        <v>0</v>
      </c>
    </row>
    <row r="104" spans="1:34" ht="15.75" thickBot="1" x14ac:dyDescent="0.3">
      <c r="A104" s="90" t="s">
        <v>869</v>
      </c>
      <c r="B104" s="90" t="s">
        <v>68</v>
      </c>
      <c r="C104" s="90" t="s">
        <v>877</v>
      </c>
      <c r="D104" s="90" t="s">
        <v>17</v>
      </c>
      <c r="E104" s="90" t="s">
        <v>196</v>
      </c>
      <c r="F104" s="90" t="s">
        <v>686</v>
      </c>
      <c r="G104" s="93">
        <v>1.94</v>
      </c>
      <c r="H104" s="92"/>
      <c r="I104" s="92"/>
      <c r="J104" s="92"/>
      <c r="K104" s="92"/>
      <c r="L104" s="92"/>
      <c r="M104" s="92"/>
      <c r="N104" s="92"/>
      <c r="O104" s="92"/>
      <c r="P104" s="93">
        <v>1.94</v>
      </c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3">
        <v>0.12</v>
      </c>
      <c r="AE104" s="92"/>
      <c r="AF104" s="92"/>
      <c r="AG104" s="93">
        <v>2.06</v>
      </c>
      <c r="AH104" s="93">
        <v>0</v>
      </c>
    </row>
    <row r="105" spans="1:34" ht="15.75" thickBot="1" x14ac:dyDescent="0.3">
      <c r="A105" s="90" t="s">
        <v>869</v>
      </c>
      <c r="B105" s="90" t="s">
        <v>68</v>
      </c>
      <c r="C105" s="90" t="s">
        <v>877</v>
      </c>
      <c r="D105" s="90" t="s">
        <v>17</v>
      </c>
      <c r="E105" s="90" t="s">
        <v>196</v>
      </c>
      <c r="F105" s="90" t="s">
        <v>697</v>
      </c>
      <c r="G105" s="95">
        <v>1.94</v>
      </c>
      <c r="H105" s="94"/>
      <c r="I105" s="94"/>
      <c r="J105" s="94"/>
      <c r="K105" s="94"/>
      <c r="L105" s="94"/>
      <c r="M105" s="94"/>
      <c r="N105" s="94"/>
      <c r="O105" s="94"/>
      <c r="P105" s="95">
        <v>1.94</v>
      </c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5">
        <v>0.12</v>
      </c>
      <c r="AE105" s="94"/>
      <c r="AF105" s="94"/>
      <c r="AG105" s="95">
        <v>2.06</v>
      </c>
      <c r="AH105" s="95">
        <v>0</v>
      </c>
    </row>
    <row r="106" spans="1:34" ht="15.75" thickBot="1" x14ac:dyDescent="0.3">
      <c r="A106" s="90" t="s">
        <v>869</v>
      </c>
      <c r="B106" s="90" t="s">
        <v>50</v>
      </c>
      <c r="C106" s="90" t="s">
        <v>881</v>
      </c>
      <c r="D106" s="90" t="s">
        <v>661</v>
      </c>
      <c r="E106" s="90" t="s">
        <v>198</v>
      </c>
      <c r="F106" s="90" t="s">
        <v>522</v>
      </c>
      <c r="G106" s="93">
        <v>287</v>
      </c>
      <c r="H106" s="92"/>
      <c r="I106" s="92"/>
      <c r="J106" s="92"/>
      <c r="K106" s="92"/>
      <c r="L106" s="92"/>
      <c r="M106" s="92"/>
      <c r="N106" s="92"/>
      <c r="O106" s="93">
        <v>287</v>
      </c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3">
        <v>4.72</v>
      </c>
      <c r="AE106" s="92"/>
      <c r="AF106" s="92"/>
      <c r="AG106" s="93">
        <v>291.72000000000003</v>
      </c>
      <c r="AH106" s="93">
        <v>0</v>
      </c>
    </row>
    <row r="107" spans="1:34" ht="15.75" thickBot="1" x14ac:dyDescent="0.3">
      <c r="A107" s="90" t="s">
        <v>869</v>
      </c>
      <c r="B107" s="90" t="s">
        <v>50</v>
      </c>
      <c r="C107" s="90" t="s">
        <v>881</v>
      </c>
      <c r="D107" s="90" t="s">
        <v>661</v>
      </c>
      <c r="E107" s="90" t="s">
        <v>198</v>
      </c>
      <c r="F107" s="90" t="s">
        <v>697</v>
      </c>
      <c r="G107" s="95">
        <v>287</v>
      </c>
      <c r="H107" s="94"/>
      <c r="I107" s="94"/>
      <c r="J107" s="94"/>
      <c r="K107" s="94"/>
      <c r="L107" s="94"/>
      <c r="M107" s="94"/>
      <c r="N107" s="94"/>
      <c r="O107" s="95">
        <v>287</v>
      </c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5">
        <v>4.72</v>
      </c>
      <c r="AE107" s="94"/>
      <c r="AF107" s="94"/>
      <c r="AG107" s="95">
        <v>291.72000000000003</v>
      </c>
      <c r="AH107" s="95">
        <v>0</v>
      </c>
    </row>
    <row r="108" spans="1:34" ht="15.75" thickBot="1" x14ac:dyDescent="0.3">
      <c r="A108" s="90" t="s">
        <v>869</v>
      </c>
      <c r="B108" s="90" t="s">
        <v>50</v>
      </c>
      <c r="C108" s="90" t="s">
        <v>881</v>
      </c>
      <c r="D108" s="90" t="s">
        <v>661</v>
      </c>
      <c r="E108" s="90" t="s">
        <v>726</v>
      </c>
      <c r="F108" s="90" t="s">
        <v>522</v>
      </c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3">
        <v>311.18</v>
      </c>
      <c r="AD108" s="93">
        <v>8.94</v>
      </c>
      <c r="AE108" s="92"/>
      <c r="AF108" s="92"/>
      <c r="AG108" s="93">
        <v>320.12</v>
      </c>
      <c r="AH108" s="93">
        <v>0</v>
      </c>
    </row>
    <row r="109" spans="1:34" ht="15.75" thickBot="1" x14ac:dyDescent="0.3">
      <c r="A109" s="90" t="s">
        <v>869</v>
      </c>
      <c r="B109" s="90" t="s">
        <v>50</v>
      </c>
      <c r="C109" s="90" t="s">
        <v>881</v>
      </c>
      <c r="D109" s="90" t="s">
        <v>661</v>
      </c>
      <c r="E109" s="90" t="s">
        <v>726</v>
      </c>
      <c r="F109" s="90" t="s">
        <v>697</v>
      </c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5">
        <v>311.18</v>
      </c>
      <c r="AD109" s="95">
        <v>8.94</v>
      </c>
      <c r="AE109" s="94"/>
      <c r="AF109" s="94"/>
      <c r="AG109" s="95">
        <v>320.12</v>
      </c>
      <c r="AH109" s="95">
        <v>0</v>
      </c>
    </row>
    <row r="110" spans="1:34" ht="15.75" thickBot="1" x14ac:dyDescent="0.3">
      <c r="A110" s="90" t="s">
        <v>869</v>
      </c>
      <c r="B110" s="90" t="s">
        <v>50</v>
      </c>
      <c r="C110" s="90" t="s">
        <v>881</v>
      </c>
      <c r="D110" s="90" t="s">
        <v>661</v>
      </c>
      <c r="E110" s="90" t="s">
        <v>518</v>
      </c>
      <c r="F110" s="90" t="s">
        <v>522</v>
      </c>
      <c r="G110" s="93">
        <v>22865.59</v>
      </c>
      <c r="H110" s="93">
        <v>531511</v>
      </c>
      <c r="I110" s="92"/>
      <c r="J110" s="92"/>
      <c r="K110" s="93">
        <v>22865.59</v>
      </c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3">
        <v>375.82</v>
      </c>
      <c r="AE110" s="92"/>
      <c r="AF110" s="92"/>
      <c r="AG110" s="93">
        <v>23241.41</v>
      </c>
      <c r="AH110" s="93">
        <v>0</v>
      </c>
    </row>
    <row r="111" spans="1:34" ht="15.75" thickBot="1" x14ac:dyDescent="0.3">
      <c r="A111" s="90" t="s">
        <v>869</v>
      </c>
      <c r="B111" s="90" t="s">
        <v>50</v>
      </c>
      <c r="C111" s="90" t="s">
        <v>881</v>
      </c>
      <c r="D111" s="90" t="s">
        <v>661</v>
      </c>
      <c r="E111" s="90" t="s">
        <v>518</v>
      </c>
      <c r="F111" s="90" t="s">
        <v>697</v>
      </c>
      <c r="G111" s="95">
        <v>22865.59</v>
      </c>
      <c r="H111" s="305">
        <v>531511</v>
      </c>
      <c r="I111" s="94"/>
      <c r="J111" s="94"/>
      <c r="K111" s="95">
        <v>22865.59</v>
      </c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5">
        <v>375.82</v>
      </c>
      <c r="AE111" s="94"/>
      <c r="AF111" s="94"/>
      <c r="AG111" s="95">
        <v>23241.41</v>
      </c>
      <c r="AH111" s="95">
        <v>0</v>
      </c>
    </row>
    <row r="112" spans="1:34" ht="15.75" thickBot="1" x14ac:dyDescent="0.3">
      <c r="A112" s="90" t="s">
        <v>869</v>
      </c>
      <c r="B112" s="90" t="s">
        <v>50</v>
      </c>
      <c r="C112" s="90" t="s">
        <v>881</v>
      </c>
      <c r="D112" s="90" t="s">
        <v>661</v>
      </c>
      <c r="E112" s="90" t="s">
        <v>524</v>
      </c>
      <c r="F112" s="90" t="s">
        <v>522</v>
      </c>
      <c r="G112" s="93">
        <v>4400</v>
      </c>
      <c r="H112" s="92"/>
      <c r="I112" s="93">
        <v>4400</v>
      </c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3">
        <v>65.98</v>
      </c>
      <c r="AE112" s="92"/>
      <c r="AF112" s="92"/>
      <c r="AG112" s="93">
        <v>4465.9799999999996</v>
      </c>
      <c r="AH112" s="93">
        <v>0</v>
      </c>
    </row>
    <row r="113" spans="1:34" ht="15.75" thickBot="1" x14ac:dyDescent="0.3">
      <c r="A113" s="90" t="s">
        <v>869</v>
      </c>
      <c r="B113" s="90" t="s">
        <v>50</v>
      </c>
      <c r="C113" s="90" t="s">
        <v>881</v>
      </c>
      <c r="D113" s="90" t="s">
        <v>661</v>
      </c>
      <c r="E113" s="90" t="s">
        <v>524</v>
      </c>
      <c r="F113" s="90" t="s">
        <v>697</v>
      </c>
      <c r="G113" s="95">
        <v>4400</v>
      </c>
      <c r="H113" s="94"/>
      <c r="I113" s="95">
        <v>4400</v>
      </c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5">
        <v>65.98</v>
      </c>
      <c r="AE113" s="94"/>
      <c r="AF113" s="94"/>
      <c r="AG113" s="95">
        <v>4465.9799999999996</v>
      </c>
      <c r="AH113" s="95">
        <v>0</v>
      </c>
    </row>
    <row r="114" spans="1:34" ht="15.75" thickBot="1" x14ac:dyDescent="0.3">
      <c r="A114" s="90" t="s">
        <v>869</v>
      </c>
      <c r="B114" s="90" t="s">
        <v>50</v>
      </c>
      <c r="C114" s="90" t="s">
        <v>881</v>
      </c>
      <c r="D114" s="90" t="s">
        <v>662</v>
      </c>
      <c r="E114" s="90" t="s">
        <v>198</v>
      </c>
      <c r="F114" s="90" t="s">
        <v>522</v>
      </c>
      <c r="G114" s="93">
        <v>103.9</v>
      </c>
      <c r="H114" s="92"/>
      <c r="I114" s="92"/>
      <c r="J114" s="92"/>
      <c r="K114" s="92"/>
      <c r="L114" s="92"/>
      <c r="M114" s="92"/>
      <c r="N114" s="92"/>
      <c r="O114" s="93">
        <v>103.9</v>
      </c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3">
        <v>2.4700000000000002</v>
      </c>
      <c r="AE114" s="92"/>
      <c r="AF114" s="92"/>
      <c r="AG114" s="93">
        <v>106.37</v>
      </c>
      <c r="AH114" s="93">
        <v>0</v>
      </c>
    </row>
    <row r="115" spans="1:34" ht="15.75" thickBot="1" x14ac:dyDescent="0.3">
      <c r="A115" s="90" t="s">
        <v>869</v>
      </c>
      <c r="B115" s="90" t="s">
        <v>50</v>
      </c>
      <c r="C115" s="90" t="s">
        <v>881</v>
      </c>
      <c r="D115" s="90" t="s">
        <v>662</v>
      </c>
      <c r="E115" s="90" t="s">
        <v>198</v>
      </c>
      <c r="F115" s="90" t="s">
        <v>697</v>
      </c>
      <c r="G115" s="95">
        <v>103.9</v>
      </c>
      <c r="H115" s="94"/>
      <c r="I115" s="94"/>
      <c r="J115" s="94"/>
      <c r="K115" s="94"/>
      <c r="L115" s="94"/>
      <c r="M115" s="94"/>
      <c r="N115" s="94"/>
      <c r="O115" s="95">
        <v>103.9</v>
      </c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5">
        <v>2.4700000000000002</v>
      </c>
      <c r="AE115" s="94"/>
      <c r="AF115" s="94"/>
      <c r="AG115" s="95">
        <v>106.37</v>
      </c>
      <c r="AH115" s="95">
        <v>0</v>
      </c>
    </row>
    <row r="116" spans="1:34" ht="15.75" thickBot="1" x14ac:dyDescent="0.3">
      <c r="A116" s="90" t="s">
        <v>869</v>
      </c>
      <c r="B116" s="90" t="s">
        <v>50</v>
      </c>
      <c r="C116" s="90" t="s">
        <v>881</v>
      </c>
      <c r="D116" s="90" t="s">
        <v>662</v>
      </c>
      <c r="E116" s="90" t="s">
        <v>726</v>
      </c>
      <c r="F116" s="90" t="s">
        <v>522</v>
      </c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3">
        <v>46.2</v>
      </c>
      <c r="AD116" s="93">
        <v>0</v>
      </c>
      <c r="AE116" s="92"/>
      <c r="AF116" s="92"/>
      <c r="AG116" s="93">
        <v>46.2</v>
      </c>
      <c r="AH116" s="93">
        <v>0</v>
      </c>
    </row>
    <row r="117" spans="1:34" ht="15.75" thickBot="1" x14ac:dyDescent="0.3">
      <c r="A117" s="90" t="s">
        <v>869</v>
      </c>
      <c r="B117" s="90" t="s">
        <v>50</v>
      </c>
      <c r="C117" s="90" t="s">
        <v>881</v>
      </c>
      <c r="D117" s="90" t="s">
        <v>662</v>
      </c>
      <c r="E117" s="90" t="s">
        <v>726</v>
      </c>
      <c r="F117" s="90" t="s">
        <v>697</v>
      </c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5">
        <v>46.2</v>
      </c>
      <c r="AD117" s="95">
        <v>0</v>
      </c>
      <c r="AE117" s="94"/>
      <c r="AF117" s="94"/>
      <c r="AG117" s="95">
        <v>46.2</v>
      </c>
      <c r="AH117" s="95">
        <v>0</v>
      </c>
    </row>
    <row r="118" spans="1:34" ht="15.75" thickBot="1" x14ac:dyDescent="0.3">
      <c r="A118" s="90" t="s">
        <v>869</v>
      </c>
      <c r="B118" s="90" t="s">
        <v>50</v>
      </c>
      <c r="C118" s="90" t="s">
        <v>881</v>
      </c>
      <c r="D118" s="90" t="s">
        <v>662</v>
      </c>
      <c r="E118" s="90" t="s">
        <v>525</v>
      </c>
      <c r="F118" s="90" t="s">
        <v>690</v>
      </c>
      <c r="G118" s="93">
        <v>10.18</v>
      </c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3">
        <v>10.18</v>
      </c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3">
        <v>0.31</v>
      </c>
      <c r="AE118" s="92"/>
      <c r="AF118" s="92"/>
      <c r="AG118" s="93">
        <v>10.49</v>
      </c>
      <c r="AH118" s="93">
        <v>0</v>
      </c>
    </row>
    <row r="119" spans="1:34" ht="15.75" thickBot="1" x14ac:dyDescent="0.3">
      <c r="A119" s="90" t="s">
        <v>869</v>
      </c>
      <c r="B119" s="90" t="s">
        <v>50</v>
      </c>
      <c r="C119" s="90" t="s">
        <v>881</v>
      </c>
      <c r="D119" s="90" t="s">
        <v>662</v>
      </c>
      <c r="E119" s="90" t="s">
        <v>525</v>
      </c>
      <c r="F119" s="90" t="s">
        <v>697</v>
      </c>
      <c r="G119" s="95">
        <v>10.18</v>
      </c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5">
        <v>10.18</v>
      </c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5">
        <v>0.31</v>
      </c>
      <c r="AE119" s="94"/>
      <c r="AF119" s="94"/>
      <c r="AG119" s="95">
        <v>10.49</v>
      </c>
      <c r="AH119" s="95">
        <v>0</v>
      </c>
    </row>
    <row r="120" spans="1:34" ht="15.75" thickBot="1" x14ac:dyDescent="0.3">
      <c r="A120" s="90" t="s">
        <v>869</v>
      </c>
      <c r="B120" s="90" t="s">
        <v>50</v>
      </c>
      <c r="C120" s="90" t="s">
        <v>881</v>
      </c>
      <c r="D120" s="90" t="s">
        <v>662</v>
      </c>
      <c r="E120" s="90" t="s">
        <v>518</v>
      </c>
      <c r="F120" s="90" t="s">
        <v>522</v>
      </c>
      <c r="G120" s="93">
        <v>8275.93</v>
      </c>
      <c r="H120" s="93">
        <v>192374</v>
      </c>
      <c r="I120" s="92"/>
      <c r="J120" s="92"/>
      <c r="K120" s="93">
        <v>8275.93</v>
      </c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3">
        <v>196.84</v>
      </c>
      <c r="AE120" s="92"/>
      <c r="AF120" s="92"/>
      <c r="AG120" s="93">
        <v>8472.77</v>
      </c>
      <c r="AH120" s="93">
        <v>0</v>
      </c>
    </row>
    <row r="121" spans="1:34" ht="15.75" thickBot="1" x14ac:dyDescent="0.3">
      <c r="A121" s="90" t="s">
        <v>869</v>
      </c>
      <c r="B121" s="90" t="s">
        <v>50</v>
      </c>
      <c r="C121" s="90" t="s">
        <v>881</v>
      </c>
      <c r="D121" s="90" t="s">
        <v>662</v>
      </c>
      <c r="E121" s="90" t="s">
        <v>518</v>
      </c>
      <c r="F121" s="90" t="s">
        <v>690</v>
      </c>
      <c r="G121" s="95">
        <v>1.85</v>
      </c>
      <c r="H121" s="95">
        <v>43</v>
      </c>
      <c r="I121" s="94"/>
      <c r="J121" s="94"/>
      <c r="K121" s="95">
        <v>1.85</v>
      </c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5">
        <v>0.06</v>
      </c>
      <c r="AE121" s="94"/>
      <c r="AF121" s="94"/>
      <c r="AG121" s="95">
        <v>1.91</v>
      </c>
      <c r="AH121" s="95">
        <v>0</v>
      </c>
    </row>
    <row r="122" spans="1:34" ht="15.75" thickBot="1" x14ac:dyDescent="0.3">
      <c r="A122" s="90" t="s">
        <v>869</v>
      </c>
      <c r="B122" s="90" t="s">
        <v>50</v>
      </c>
      <c r="C122" s="90" t="s">
        <v>881</v>
      </c>
      <c r="D122" s="90" t="s">
        <v>662</v>
      </c>
      <c r="E122" s="90" t="s">
        <v>518</v>
      </c>
      <c r="F122" s="90" t="s">
        <v>697</v>
      </c>
      <c r="G122" s="93">
        <v>8277.7800000000007</v>
      </c>
      <c r="H122" s="304">
        <v>192417</v>
      </c>
      <c r="I122" s="92"/>
      <c r="J122" s="92"/>
      <c r="K122" s="93">
        <v>8277.7800000000007</v>
      </c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3">
        <v>196.9</v>
      </c>
      <c r="AE122" s="92"/>
      <c r="AF122" s="92"/>
      <c r="AG122" s="93">
        <v>8474.68</v>
      </c>
      <c r="AH122" s="93">
        <v>0</v>
      </c>
    </row>
    <row r="123" spans="1:34" ht="15.75" thickBot="1" x14ac:dyDescent="0.3">
      <c r="A123" s="90" t="s">
        <v>869</v>
      </c>
      <c r="B123" s="90" t="s">
        <v>50</v>
      </c>
      <c r="C123" s="90" t="s">
        <v>881</v>
      </c>
      <c r="D123" s="90" t="s">
        <v>662</v>
      </c>
      <c r="E123" s="90" t="s">
        <v>527</v>
      </c>
      <c r="F123" s="90" t="s">
        <v>690</v>
      </c>
      <c r="G123" s="95">
        <v>-163.27000000000001</v>
      </c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5">
        <v>-163.27000000000001</v>
      </c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5">
        <v>-4.9000000000000004</v>
      </c>
      <c r="AE123" s="94"/>
      <c r="AF123" s="94"/>
      <c r="AG123" s="95">
        <v>-168.17</v>
      </c>
      <c r="AH123" s="95">
        <v>0</v>
      </c>
    </row>
    <row r="124" spans="1:34" ht="15.75" thickBot="1" x14ac:dyDescent="0.3">
      <c r="A124" s="90" t="s">
        <v>869</v>
      </c>
      <c r="B124" s="90" t="s">
        <v>50</v>
      </c>
      <c r="C124" s="90" t="s">
        <v>881</v>
      </c>
      <c r="D124" s="90" t="s">
        <v>662</v>
      </c>
      <c r="E124" s="90" t="s">
        <v>527</v>
      </c>
      <c r="F124" s="90" t="s">
        <v>697</v>
      </c>
      <c r="G124" s="93">
        <v>-163.27000000000001</v>
      </c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3">
        <v>-163.27000000000001</v>
      </c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3">
        <v>-4.9000000000000004</v>
      </c>
      <c r="AE124" s="92"/>
      <c r="AF124" s="92"/>
      <c r="AG124" s="93">
        <v>-168.17</v>
      </c>
      <c r="AH124" s="93">
        <v>0</v>
      </c>
    </row>
    <row r="125" spans="1:34" ht="15.75" thickBot="1" x14ac:dyDescent="0.3">
      <c r="A125" s="90" t="s">
        <v>869</v>
      </c>
      <c r="B125" s="90" t="s">
        <v>50</v>
      </c>
      <c r="C125" s="90" t="s">
        <v>881</v>
      </c>
      <c r="D125" s="90" t="s">
        <v>662</v>
      </c>
      <c r="E125" s="90" t="s">
        <v>671</v>
      </c>
      <c r="F125" s="90" t="s">
        <v>522</v>
      </c>
      <c r="G125" s="95">
        <v>23.88</v>
      </c>
      <c r="H125" s="94"/>
      <c r="I125" s="94"/>
      <c r="J125" s="94"/>
      <c r="K125" s="94"/>
      <c r="L125" s="95">
        <v>23.88</v>
      </c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5">
        <v>0</v>
      </c>
      <c r="AE125" s="94"/>
      <c r="AF125" s="94"/>
      <c r="AG125" s="95">
        <v>23.88</v>
      </c>
      <c r="AH125" s="95">
        <v>0</v>
      </c>
    </row>
    <row r="126" spans="1:34" ht="15.75" thickBot="1" x14ac:dyDescent="0.3">
      <c r="A126" s="90" t="s">
        <v>869</v>
      </c>
      <c r="B126" s="90" t="s">
        <v>50</v>
      </c>
      <c r="C126" s="90" t="s">
        <v>881</v>
      </c>
      <c r="D126" s="90" t="s">
        <v>662</v>
      </c>
      <c r="E126" s="90" t="s">
        <v>671</v>
      </c>
      <c r="F126" s="90" t="s">
        <v>697</v>
      </c>
      <c r="G126" s="93">
        <v>23.88</v>
      </c>
      <c r="H126" s="92"/>
      <c r="I126" s="92"/>
      <c r="J126" s="92"/>
      <c r="K126" s="92"/>
      <c r="L126" s="93">
        <v>23.88</v>
      </c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3">
        <v>0</v>
      </c>
      <c r="AE126" s="92"/>
      <c r="AF126" s="92"/>
      <c r="AG126" s="93">
        <v>23.88</v>
      </c>
      <c r="AH126" s="93">
        <v>0</v>
      </c>
    </row>
    <row r="127" spans="1:34" ht="15.75" thickBot="1" x14ac:dyDescent="0.3">
      <c r="A127" s="90" t="s">
        <v>869</v>
      </c>
      <c r="B127" s="90" t="s">
        <v>50</v>
      </c>
      <c r="C127" s="90" t="s">
        <v>881</v>
      </c>
      <c r="D127" s="90" t="s">
        <v>662</v>
      </c>
      <c r="E127" s="90" t="s">
        <v>524</v>
      </c>
      <c r="F127" s="90" t="s">
        <v>522</v>
      </c>
      <c r="G127" s="95">
        <v>1100</v>
      </c>
      <c r="H127" s="94"/>
      <c r="I127" s="95">
        <v>1100</v>
      </c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5">
        <v>16.489999999999998</v>
      </c>
      <c r="AE127" s="94"/>
      <c r="AF127" s="94"/>
      <c r="AG127" s="95">
        <v>1116.49</v>
      </c>
      <c r="AH127" s="95">
        <v>0</v>
      </c>
    </row>
    <row r="128" spans="1:34" ht="15.75" thickBot="1" x14ac:dyDescent="0.3">
      <c r="A128" s="90" t="s">
        <v>869</v>
      </c>
      <c r="B128" s="90" t="s">
        <v>50</v>
      </c>
      <c r="C128" s="90" t="s">
        <v>881</v>
      </c>
      <c r="D128" s="90" t="s">
        <v>662</v>
      </c>
      <c r="E128" s="90" t="s">
        <v>524</v>
      </c>
      <c r="F128" s="90" t="s">
        <v>697</v>
      </c>
      <c r="G128" s="93">
        <v>1100</v>
      </c>
      <c r="H128" s="92"/>
      <c r="I128" s="93">
        <v>1100</v>
      </c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3">
        <v>16.489999999999998</v>
      </c>
      <c r="AE128" s="92"/>
      <c r="AF128" s="92"/>
      <c r="AG128" s="93">
        <v>1116.49</v>
      </c>
      <c r="AH128" s="93">
        <v>0</v>
      </c>
    </row>
    <row r="129" spans="1:34" ht="15.75" thickBot="1" x14ac:dyDescent="0.3">
      <c r="A129" s="90" t="s">
        <v>869</v>
      </c>
      <c r="B129" s="90" t="s">
        <v>50</v>
      </c>
      <c r="C129" s="90" t="s">
        <v>881</v>
      </c>
      <c r="D129" s="90" t="s">
        <v>662</v>
      </c>
      <c r="E129" s="90" t="s">
        <v>676</v>
      </c>
      <c r="F129" s="90" t="s">
        <v>522</v>
      </c>
      <c r="G129" s="95">
        <v>58.59</v>
      </c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5">
        <v>58.59</v>
      </c>
      <c r="V129" s="94"/>
      <c r="W129" s="94"/>
      <c r="X129" s="94"/>
      <c r="Y129" s="94"/>
      <c r="Z129" s="94"/>
      <c r="AA129" s="94"/>
      <c r="AB129" s="94"/>
      <c r="AC129" s="94"/>
      <c r="AD129" s="95">
        <v>1.76</v>
      </c>
      <c r="AE129" s="94"/>
      <c r="AF129" s="94"/>
      <c r="AG129" s="95">
        <v>60.35</v>
      </c>
      <c r="AH129" s="95">
        <v>0</v>
      </c>
    </row>
    <row r="130" spans="1:34" ht="15.75" thickBot="1" x14ac:dyDescent="0.3">
      <c r="A130" s="90" t="s">
        <v>869</v>
      </c>
      <c r="B130" s="90" t="s">
        <v>50</v>
      </c>
      <c r="C130" s="90" t="s">
        <v>881</v>
      </c>
      <c r="D130" s="90" t="s">
        <v>662</v>
      </c>
      <c r="E130" s="90" t="s">
        <v>676</v>
      </c>
      <c r="F130" s="90" t="s">
        <v>697</v>
      </c>
      <c r="G130" s="93">
        <v>58.59</v>
      </c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3">
        <v>58.59</v>
      </c>
      <c r="V130" s="92"/>
      <c r="W130" s="92"/>
      <c r="X130" s="92"/>
      <c r="Y130" s="92"/>
      <c r="Z130" s="92"/>
      <c r="AA130" s="92"/>
      <c r="AB130" s="92"/>
      <c r="AC130" s="92"/>
      <c r="AD130" s="93">
        <v>1.76</v>
      </c>
      <c r="AE130" s="92"/>
      <c r="AF130" s="92"/>
      <c r="AG130" s="93">
        <v>60.35</v>
      </c>
      <c r="AH130" s="93">
        <v>0</v>
      </c>
    </row>
    <row r="131" spans="1:34" ht="15.75" thickBot="1" x14ac:dyDescent="0.3">
      <c r="A131" s="90" t="s">
        <v>869</v>
      </c>
      <c r="B131" s="90" t="s">
        <v>50</v>
      </c>
      <c r="C131" s="90" t="s">
        <v>881</v>
      </c>
      <c r="D131" s="90" t="s">
        <v>662</v>
      </c>
      <c r="E131" s="90" t="s">
        <v>677</v>
      </c>
      <c r="F131" s="90" t="s">
        <v>522</v>
      </c>
      <c r="G131" s="95">
        <v>64.61</v>
      </c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5">
        <v>64.61</v>
      </c>
      <c r="W131" s="94"/>
      <c r="X131" s="94"/>
      <c r="Y131" s="94"/>
      <c r="Z131" s="94"/>
      <c r="AA131" s="94"/>
      <c r="AB131" s="94"/>
      <c r="AC131" s="94"/>
      <c r="AD131" s="95">
        <v>1.94</v>
      </c>
      <c r="AE131" s="94"/>
      <c r="AF131" s="94"/>
      <c r="AG131" s="95">
        <v>66.55</v>
      </c>
      <c r="AH131" s="95">
        <v>0</v>
      </c>
    </row>
    <row r="132" spans="1:34" ht="15.75" thickBot="1" x14ac:dyDescent="0.3">
      <c r="A132" s="90" t="s">
        <v>869</v>
      </c>
      <c r="B132" s="90" t="s">
        <v>50</v>
      </c>
      <c r="C132" s="90" t="s">
        <v>881</v>
      </c>
      <c r="D132" s="90" t="s">
        <v>662</v>
      </c>
      <c r="E132" s="90" t="s">
        <v>677</v>
      </c>
      <c r="F132" s="90" t="s">
        <v>697</v>
      </c>
      <c r="G132" s="93">
        <v>64.61</v>
      </c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3">
        <v>64.61</v>
      </c>
      <c r="W132" s="92"/>
      <c r="X132" s="92"/>
      <c r="Y132" s="92"/>
      <c r="Z132" s="92"/>
      <c r="AA132" s="92"/>
      <c r="AB132" s="92"/>
      <c r="AC132" s="92"/>
      <c r="AD132" s="93">
        <v>1.94</v>
      </c>
      <c r="AE132" s="92"/>
      <c r="AF132" s="92"/>
      <c r="AG132" s="93">
        <v>66.55</v>
      </c>
      <c r="AH132" s="93">
        <v>0</v>
      </c>
    </row>
    <row r="133" spans="1:34" ht="15.75" thickBot="1" x14ac:dyDescent="0.3">
      <c r="A133" s="90" t="s">
        <v>869</v>
      </c>
      <c r="B133" s="90" t="s">
        <v>31</v>
      </c>
      <c r="C133" s="90" t="s">
        <v>880</v>
      </c>
      <c r="D133" s="90" t="s">
        <v>21</v>
      </c>
      <c r="E133" s="90" t="s">
        <v>919</v>
      </c>
      <c r="F133" s="90" t="s">
        <v>686</v>
      </c>
      <c r="G133" s="95">
        <v>0.13</v>
      </c>
      <c r="H133" s="94"/>
      <c r="I133" s="95">
        <v>0.13</v>
      </c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5">
        <v>0.01</v>
      </c>
      <c r="AE133" s="94"/>
      <c r="AF133" s="94"/>
      <c r="AG133" s="95">
        <v>0.14000000000000001</v>
      </c>
      <c r="AH133" s="95">
        <v>0</v>
      </c>
    </row>
    <row r="134" spans="1:34" ht="15.75" thickBot="1" x14ac:dyDescent="0.3">
      <c r="A134" s="90" t="s">
        <v>869</v>
      </c>
      <c r="B134" s="90" t="s">
        <v>31</v>
      </c>
      <c r="C134" s="90" t="s">
        <v>880</v>
      </c>
      <c r="D134" s="90" t="s">
        <v>21</v>
      </c>
      <c r="E134" s="90" t="s">
        <v>919</v>
      </c>
      <c r="F134" s="90" t="s">
        <v>697</v>
      </c>
      <c r="G134" s="93">
        <v>0.13</v>
      </c>
      <c r="H134" s="92"/>
      <c r="I134" s="93">
        <v>0.13</v>
      </c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3">
        <v>0.01</v>
      </c>
      <c r="AE134" s="92"/>
      <c r="AF134" s="92"/>
      <c r="AG134" s="93">
        <v>0.14000000000000001</v>
      </c>
      <c r="AH134" s="93">
        <v>0</v>
      </c>
    </row>
    <row r="135" spans="1:34" ht="15.75" thickBot="1" x14ac:dyDescent="0.3">
      <c r="A135" s="90" t="s">
        <v>869</v>
      </c>
      <c r="B135" s="90" t="s">
        <v>31</v>
      </c>
      <c r="C135" s="90" t="s">
        <v>880</v>
      </c>
      <c r="D135" s="90" t="s">
        <v>21</v>
      </c>
      <c r="E135" s="90" t="s">
        <v>726</v>
      </c>
      <c r="F135" s="90" t="s">
        <v>686</v>
      </c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5">
        <v>10182.66</v>
      </c>
      <c r="AD135" s="95">
        <v>540.73</v>
      </c>
      <c r="AE135" s="94"/>
      <c r="AF135" s="94"/>
      <c r="AG135" s="95">
        <v>10723.39</v>
      </c>
      <c r="AH135" s="95">
        <v>0</v>
      </c>
    </row>
    <row r="136" spans="1:34" ht="15.75" thickBot="1" x14ac:dyDescent="0.3">
      <c r="A136" s="90" t="s">
        <v>869</v>
      </c>
      <c r="B136" s="90" t="s">
        <v>31</v>
      </c>
      <c r="C136" s="90" t="s">
        <v>880</v>
      </c>
      <c r="D136" s="90" t="s">
        <v>21</v>
      </c>
      <c r="E136" s="90" t="s">
        <v>726</v>
      </c>
      <c r="F136" s="90" t="s">
        <v>697</v>
      </c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3">
        <v>10182.66</v>
      </c>
      <c r="AD136" s="93">
        <v>540.73</v>
      </c>
      <c r="AE136" s="92"/>
      <c r="AF136" s="92"/>
      <c r="AG136" s="93">
        <v>10723.39</v>
      </c>
      <c r="AH136" s="93">
        <v>0</v>
      </c>
    </row>
    <row r="137" spans="1:34" ht="15.75" thickBot="1" x14ac:dyDescent="0.3">
      <c r="A137" s="90" t="s">
        <v>869</v>
      </c>
      <c r="B137" s="90" t="s">
        <v>31</v>
      </c>
      <c r="C137" s="90" t="s">
        <v>880</v>
      </c>
      <c r="D137" s="90" t="s">
        <v>21</v>
      </c>
      <c r="E137" s="90" t="s">
        <v>528</v>
      </c>
      <c r="F137" s="90" t="s">
        <v>686</v>
      </c>
      <c r="G137" s="95">
        <v>24830.34</v>
      </c>
      <c r="H137" s="94"/>
      <c r="I137" s="95">
        <v>24830.34</v>
      </c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5">
        <v>1418.24</v>
      </c>
      <c r="AE137" s="94"/>
      <c r="AF137" s="94"/>
      <c r="AG137" s="95">
        <v>26248.58</v>
      </c>
      <c r="AH137" s="95">
        <v>0</v>
      </c>
    </row>
    <row r="138" spans="1:34" ht="15.75" thickBot="1" x14ac:dyDescent="0.3">
      <c r="A138" s="90" t="s">
        <v>869</v>
      </c>
      <c r="B138" s="90" t="s">
        <v>31</v>
      </c>
      <c r="C138" s="90" t="s">
        <v>880</v>
      </c>
      <c r="D138" s="90" t="s">
        <v>21</v>
      </c>
      <c r="E138" s="90" t="s">
        <v>528</v>
      </c>
      <c r="F138" s="90" t="s">
        <v>697</v>
      </c>
      <c r="G138" s="93">
        <v>24830.34</v>
      </c>
      <c r="H138" s="92"/>
      <c r="I138" s="93">
        <v>24830.34</v>
      </c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3">
        <v>1418.24</v>
      </c>
      <c r="AE138" s="92"/>
      <c r="AF138" s="92"/>
      <c r="AG138" s="93">
        <v>26248.58</v>
      </c>
      <c r="AH138" s="93">
        <v>0</v>
      </c>
    </row>
    <row r="139" spans="1:34" ht="15.75" thickBot="1" x14ac:dyDescent="0.3">
      <c r="A139" s="90" t="s">
        <v>869</v>
      </c>
      <c r="B139" s="90" t="s">
        <v>31</v>
      </c>
      <c r="C139" s="90" t="s">
        <v>880</v>
      </c>
      <c r="D139" s="90" t="s">
        <v>21</v>
      </c>
      <c r="E139" s="90" t="s">
        <v>518</v>
      </c>
      <c r="F139" s="90" t="s">
        <v>686</v>
      </c>
      <c r="G139" s="95">
        <v>251369.11</v>
      </c>
      <c r="H139" s="95">
        <v>1103481</v>
      </c>
      <c r="I139" s="94"/>
      <c r="J139" s="94"/>
      <c r="K139" s="95">
        <v>251369.11</v>
      </c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5">
        <v>14617.07</v>
      </c>
      <c r="AE139" s="94"/>
      <c r="AF139" s="94"/>
      <c r="AG139" s="95">
        <v>265986.18</v>
      </c>
      <c r="AH139" s="95">
        <v>0</v>
      </c>
    </row>
    <row r="140" spans="1:34" ht="15.75" thickBot="1" x14ac:dyDescent="0.3">
      <c r="A140" s="90" t="s">
        <v>869</v>
      </c>
      <c r="B140" s="90" t="s">
        <v>31</v>
      </c>
      <c r="C140" s="90" t="s">
        <v>880</v>
      </c>
      <c r="D140" s="90" t="s">
        <v>21</v>
      </c>
      <c r="E140" s="90" t="s">
        <v>518</v>
      </c>
      <c r="F140" s="90" t="s">
        <v>697</v>
      </c>
      <c r="G140" s="93">
        <v>251369.11</v>
      </c>
      <c r="H140" s="304">
        <v>1103481</v>
      </c>
      <c r="I140" s="92"/>
      <c r="J140" s="92"/>
      <c r="K140" s="93">
        <v>251369.11</v>
      </c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3">
        <v>14617.07</v>
      </c>
      <c r="AE140" s="92"/>
      <c r="AF140" s="92"/>
      <c r="AG140" s="93">
        <v>265986.18</v>
      </c>
      <c r="AH140" s="93">
        <v>0</v>
      </c>
    </row>
    <row r="141" spans="1:34" ht="15.75" thickBot="1" x14ac:dyDescent="0.3">
      <c r="A141" s="90" t="s">
        <v>869</v>
      </c>
      <c r="B141" s="90" t="s">
        <v>31</v>
      </c>
      <c r="C141" s="90" t="s">
        <v>880</v>
      </c>
      <c r="D141" s="90" t="s">
        <v>21</v>
      </c>
      <c r="E141" s="90" t="s">
        <v>673</v>
      </c>
      <c r="F141" s="90" t="s">
        <v>686</v>
      </c>
      <c r="G141" s="95">
        <v>55316.87</v>
      </c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5">
        <v>55316.87</v>
      </c>
      <c r="Y141" s="94"/>
      <c r="Z141" s="94"/>
      <c r="AA141" s="94"/>
      <c r="AB141" s="94"/>
      <c r="AC141" s="94"/>
      <c r="AD141" s="95">
        <v>3193.87</v>
      </c>
      <c r="AE141" s="94"/>
      <c r="AF141" s="94"/>
      <c r="AG141" s="95">
        <v>58510.74</v>
      </c>
      <c r="AH141" s="95">
        <v>0</v>
      </c>
    </row>
    <row r="142" spans="1:34" ht="15.75" thickBot="1" x14ac:dyDescent="0.3">
      <c r="A142" s="90" t="s">
        <v>869</v>
      </c>
      <c r="B142" s="90" t="s">
        <v>31</v>
      </c>
      <c r="C142" s="90" t="s">
        <v>880</v>
      </c>
      <c r="D142" s="90" t="s">
        <v>21</v>
      </c>
      <c r="E142" s="90" t="s">
        <v>673</v>
      </c>
      <c r="F142" s="90" t="s">
        <v>697</v>
      </c>
      <c r="G142" s="93">
        <v>55316.87</v>
      </c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3">
        <v>55316.87</v>
      </c>
      <c r="Y142" s="92"/>
      <c r="Z142" s="92"/>
      <c r="AA142" s="92"/>
      <c r="AB142" s="92"/>
      <c r="AC142" s="92"/>
      <c r="AD142" s="93">
        <v>3193.87</v>
      </c>
      <c r="AE142" s="92"/>
      <c r="AF142" s="92"/>
      <c r="AG142" s="93">
        <v>58510.74</v>
      </c>
      <c r="AH142" s="93">
        <v>0</v>
      </c>
    </row>
    <row r="143" spans="1:34" ht="15.75" thickBot="1" x14ac:dyDescent="0.3">
      <c r="A143" s="90" t="s">
        <v>869</v>
      </c>
      <c r="B143" s="90" t="s">
        <v>31</v>
      </c>
      <c r="C143" s="90" t="s">
        <v>880</v>
      </c>
      <c r="D143" s="90" t="s">
        <v>21</v>
      </c>
      <c r="E143" s="90" t="s">
        <v>196</v>
      </c>
      <c r="F143" s="90" t="s">
        <v>686</v>
      </c>
      <c r="G143" s="95">
        <v>356914.62</v>
      </c>
      <c r="H143" s="94"/>
      <c r="I143" s="94"/>
      <c r="J143" s="94"/>
      <c r="K143" s="94"/>
      <c r="L143" s="94"/>
      <c r="M143" s="94"/>
      <c r="N143" s="94"/>
      <c r="O143" s="94"/>
      <c r="P143" s="95">
        <v>356914.62</v>
      </c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5">
        <v>20754.580000000002</v>
      </c>
      <c r="AE143" s="94"/>
      <c r="AF143" s="94"/>
      <c r="AG143" s="95">
        <v>377669.2</v>
      </c>
      <c r="AH143" s="95">
        <v>0</v>
      </c>
    </row>
    <row r="144" spans="1:34" ht="15.75" thickBot="1" x14ac:dyDescent="0.3">
      <c r="A144" s="90" t="s">
        <v>869</v>
      </c>
      <c r="B144" s="90" t="s">
        <v>31</v>
      </c>
      <c r="C144" s="90" t="s">
        <v>880</v>
      </c>
      <c r="D144" s="90" t="s">
        <v>21</v>
      </c>
      <c r="E144" s="90" t="s">
        <v>196</v>
      </c>
      <c r="F144" s="90" t="s">
        <v>697</v>
      </c>
      <c r="G144" s="93">
        <v>356914.62</v>
      </c>
      <c r="H144" s="92"/>
      <c r="I144" s="92"/>
      <c r="J144" s="92"/>
      <c r="K144" s="92"/>
      <c r="L144" s="92"/>
      <c r="M144" s="92"/>
      <c r="N144" s="92"/>
      <c r="O144" s="92"/>
      <c r="P144" s="93">
        <v>356914.62</v>
      </c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3">
        <v>20754.580000000002</v>
      </c>
      <c r="AE144" s="92"/>
      <c r="AF144" s="92"/>
      <c r="AG144" s="93">
        <v>377669.2</v>
      </c>
      <c r="AH144" s="93">
        <v>0</v>
      </c>
    </row>
    <row r="145" spans="1:34" ht="15.75" thickBot="1" x14ac:dyDescent="0.3">
      <c r="A145" s="90" t="s">
        <v>869</v>
      </c>
      <c r="B145" s="90" t="s">
        <v>31</v>
      </c>
      <c r="C145" s="90" t="s">
        <v>880</v>
      </c>
      <c r="D145" s="90" t="s">
        <v>17</v>
      </c>
      <c r="E145" s="90" t="s">
        <v>919</v>
      </c>
      <c r="F145" s="90" t="s">
        <v>686</v>
      </c>
      <c r="G145" s="95">
        <v>-0.13</v>
      </c>
      <c r="H145" s="94"/>
      <c r="I145" s="95">
        <v>-0.13</v>
      </c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5">
        <v>-0.01</v>
      </c>
      <c r="AE145" s="94"/>
      <c r="AF145" s="94"/>
      <c r="AG145" s="95">
        <v>-0.14000000000000001</v>
      </c>
      <c r="AH145" s="95">
        <v>0</v>
      </c>
    </row>
    <row r="146" spans="1:34" ht="15.75" thickBot="1" x14ac:dyDescent="0.3">
      <c r="A146" s="90" t="s">
        <v>869</v>
      </c>
      <c r="B146" s="90" t="s">
        <v>31</v>
      </c>
      <c r="C146" s="90" t="s">
        <v>880</v>
      </c>
      <c r="D146" s="90" t="s">
        <v>17</v>
      </c>
      <c r="E146" s="90" t="s">
        <v>919</v>
      </c>
      <c r="F146" s="90" t="s">
        <v>697</v>
      </c>
      <c r="G146" s="93">
        <v>-0.13</v>
      </c>
      <c r="H146" s="92"/>
      <c r="I146" s="93">
        <v>-0.13</v>
      </c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3">
        <v>-0.01</v>
      </c>
      <c r="AE146" s="92"/>
      <c r="AF146" s="92"/>
      <c r="AG146" s="93">
        <v>-0.14000000000000001</v>
      </c>
      <c r="AH146" s="93">
        <v>0</v>
      </c>
    </row>
    <row r="147" spans="1:34" ht="15.75" thickBot="1" x14ac:dyDescent="0.3">
      <c r="A147" s="90" t="s">
        <v>869</v>
      </c>
      <c r="B147" s="90" t="s">
        <v>31</v>
      </c>
      <c r="C147" s="90" t="s">
        <v>880</v>
      </c>
      <c r="D147" s="90" t="s">
        <v>17</v>
      </c>
      <c r="E147" s="90" t="s">
        <v>726</v>
      </c>
      <c r="F147" s="90" t="s">
        <v>686</v>
      </c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5">
        <v>641.85</v>
      </c>
      <c r="AD147" s="95">
        <v>33.869999999999997</v>
      </c>
      <c r="AE147" s="94"/>
      <c r="AF147" s="94"/>
      <c r="AG147" s="95">
        <v>675.72</v>
      </c>
      <c r="AH147" s="95">
        <v>0</v>
      </c>
    </row>
    <row r="148" spans="1:34" ht="15.75" thickBot="1" x14ac:dyDescent="0.3">
      <c r="A148" s="90" t="s">
        <v>869</v>
      </c>
      <c r="B148" s="90" t="s">
        <v>31</v>
      </c>
      <c r="C148" s="90" t="s">
        <v>880</v>
      </c>
      <c r="D148" s="90" t="s">
        <v>17</v>
      </c>
      <c r="E148" s="90" t="s">
        <v>726</v>
      </c>
      <c r="F148" s="90" t="s">
        <v>697</v>
      </c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3">
        <v>641.85</v>
      </c>
      <c r="AD148" s="93">
        <v>33.869999999999997</v>
      </c>
      <c r="AE148" s="92"/>
      <c r="AF148" s="92"/>
      <c r="AG148" s="93">
        <v>675.72</v>
      </c>
      <c r="AH148" s="93">
        <v>0</v>
      </c>
    </row>
    <row r="149" spans="1:34" ht="15.75" thickBot="1" x14ac:dyDescent="0.3">
      <c r="A149" s="90" t="s">
        <v>869</v>
      </c>
      <c r="B149" s="90" t="s">
        <v>31</v>
      </c>
      <c r="C149" s="90" t="s">
        <v>880</v>
      </c>
      <c r="D149" s="90" t="s">
        <v>17</v>
      </c>
      <c r="E149" s="90" t="s">
        <v>528</v>
      </c>
      <c r="F149" s="90" t="s">
        <v>686</v>
      </c>
      <c r="G149" s="95">
        <v>1575</v>
      </c>
      <c r="H149" s="94"/>
      <c r="I149" s="95">
        <v>1575</v>
      </c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5">
        <v>89.4</v>
      </c>
      <c r="AE149" s="94"/>
      <c r="AF149" s="94"/>
      <c r="AG149" s="95">
        <v>1664.4</v>
      </c>
      <c r="AH149" s="95">
        <v>0</v>
      </c>
    </row>
    <row r="150" spans="1:34" ht="15.75" thickBot="1" x14ac:dyDescent="0.3">
      <c r="A150" s="90" t="s">
        <v>869</v>
      </c>
      <c r="B150" s="90" t="s">
        <v>31</v>
      </c>
      <c r="C150" s="90" t="s">
        <v>880</v>
      </c>
      <c r="D150" s="90" t="s">
        <v>17</v>
      </c>
      <c r="E150" s="90" t="s">
        <v>528</v>
      </c>
      <c r="F150" s="90" t="s">
        <v>697</v>
      </c>
      <c r="G150" s="93">
        <v>1575</v>
      </c>
      <c r="H150" s="92"/>
      <c r="I150" s="93">
        <v>1575</v>
      </c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3">
        <v>89.4</v>
      </c>
      <c r="AE150" s="92"/>
      <c r="AF150" s="92"/>
      <c r="AG150" s="93">
        <v>1664.4</v>
      </c>
      <c r="AH150" s="93">
        <v>0</v>
      </c>
    </row>
    <row r="151" spans="1:34" ht="15.75" thickBot="1" x14ac:dyDescent="0.3">
      <c r="A151" s="90" t="s">
        <v>869</v>
      </c>
      <c r="B151" s="90" t="s">
        <v>31</v>
      </c>
      <c r="C151" s="90" t="s">
        <v>880</v>
      </c>
      <c r="D151" s="90" t="s">
        <v>17</v>
      </c>
      <c r="E151" s="90" t="s">
        <v>518</v>
      </c>
      <c r="F151" s="90" t="s">
        <v>686</v>
      </c>
      <c r="G151" s="95">
        <v>11322.25</v>
      </c>
      <c r="H151" s="95">
        <v>49736</v>
      </c>
      <c r="I151" s="94"/>
      <c r="J151" s="94"/>
      <c r="K151" s="95">
        <v>11322.25</v>
      </c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5">
        <v>617.58000000000004</v>
      </c>
      <c r="AE151" s="94"/>
      <c r="AF151" s="94"/>
      <c r="AG151" s="95">
        <v>11939.83</v>
      </c>
      <c r="AH151" s="95">
        <v>0</v>
      </c>
    </row>
    <row r="152" spans="1:34" ht="15.75" thickBot="1" x14ac:dyDescent="0.3">
      <c r="A152" s="90" t="s">
        <v>869</v>
      </c>
      <c r="B152" s="90" t="s">
        <v>31</v>
      </c>
      <c r="C152" s="90" t="s">
        <v>880</v>
      </c>
      <c r="D152" s="90" t="s">
        <v>17</v>
      </c>
      <c r="E152" s="90" t="s">
        <v>518</v>
      </c>
      <c r="F152" s="90" t="s">
        <v>697</v>
      </c>
      <c r="G152" s="93">
        <v>11322.25</v>
      </c>
      <c r="H152" s="304">
        <v>49736</v>
      </c>
      <c r="I152" s="92"/>
      <c r="J152" s="92"/>
      <c r="K152" s="93">
        <v>11322.25</v>
      </c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3">
        <v>617.58000000000004</v>
      </c>
      <c r="AE152" s="92"/>
      <c r="AF152" s="92"/>
      <c r="AG152" s="93">
        <v>11939.83</v>
      </c>
      <c r="AH152" s="93">
        <v>0</v>
      </c>
    </row>
    <row r="153" spans="1:34" ht="15.75" thickBot="1" x14ac:dyDescent="0.3">
      <c r="A153" s="90" t="s">
        <v>869</v>
      </c>
      <c r="B153" s="90" t="s">
        <v>31</v>
      </c>
      <c r="C153" s="90" t="s">
        <v>880</v>
      </c>
      <c r="D153" s="90" t="s">
        <v>17</v>
      </c>
      <c r="E153" s="90" t="s">
        <v>673</v>
      </c>
      <c r="F153" s="90" t="s">
        <v>686</v>
      </c>
      <c r="G153" s="95">
        <v>5247.27</v>
      </c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5">
        <v>5247.27</v>
      </c>
      <c r="Y153" s="94"/>
      <c r="Z153" s="94"/>
      <c r="AA153" s="94"/>
      <c r="AB153" s="94"/>
      <c r="AC153" s="94"/>
      <c r="AD153" s="95">
        <v>307.92</v>
      </c>
      <c r="AE153" s="94"/>
      <c r="AF153" s="94"/>
      <c r="AG153" s="95">
        <v>5555.19</v>
      </c>
      <c r="AH153" s="95">
        <v>0</v>
      </c>
    </row>
    <row r="154" spans="1:34" ht="15.75" thickBot="1" x14ac:dyDescent="0.3">
      <c r="A154" s="90" t="s">
        <v>869</v>
      </c>
      <c r="B154" s="90" t="s">
        <v>31</v>
      </c>
      <c r="C154" s="90" t="s">
        <v>880</v>
      </c>
      <c r="D154" s="90" t="s">
        <v>17</v>
      </c>
      <c r="E154" s="90" t="s">
        <v>673</v>
      </c>
      <c r="F154" s="90" t="s">
        <v>697</v>
      </c>
      <c r="G154" s="93">
        <v>5247.27</v>
      </c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3">
        <v>5247.27</v>
      </c>
      <c r="Y154" s="92"/>
      <c r="Z154" s="92"/>
      <c r="AA154" s="92"/>
      <c r="AB154" s="92"/>
      <c r="AC154" s="92"/>
      <c r="AD154" s="93">
        <v>307.92</v>
      </c>
      <c r="AE154" s="92"/>
      <c r="AF154" s="92"/>
      <c r="AG154" s="93">
        <v>5555.19</v>
      </c>
      <c r="AH154" s="93">
        <v>0</v>
      </c>
    </row>
    <row r="155" spans="1:34" ht="15.75" thickBot="1" x14ac:dyDescent="0.3">
      <c r="A155" s="90" t="s">
        <v>869</v>
      </c>
      <c r="B155" s="90" t="s">
        <v>31</v>
      </c>
      <c r="C155" s="90" t="s">
        <v>880</v>
      </c>
      <c r="D155" s="90" t="s">
        <v>17</v>
      </c>
      <c r="E155" s="90" t="s">
        <v>196</v>
      </c>
      <c r="F155" s="90" t="s">
        <v>686</v>
      </c>
      <c r="G155" s="95">
        <v>16180.67</v>
      </c>
      <c r="H155" s="94"/>
      <c r="I155" s="94"/>
      <c r="J155" s="94"/>
      <c r="K155" s="94"/>
      <c r="L155" s="94"/>
      <c r="M155" s="94"/>
      <c r="N155" s="94"/>
      <c r="O155" s="94"/>
      <c r="P155" s="95">
        <v>16180.67</v>
      </c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5">
        <v>883.14</v>
      </c>
      <c r="AE155" s="94"/>
      <c r="AF155" s="94"/>
      <c r="AG155" s="95">
        <v>17063.810000000001</v>
      </c>
      <c r="AH155" s="95">
        <v>0</v>
      </c>
    </row>
    <row r="156" spans="1:34" ht="15.75" thickBot="1" x14ac:dyDescent="0.3">
      <c r="A156" s="90" t="s">
        <v>869</v>
      </c>
      <c r="B156" s="90" t="s">
        <v>31</v>
      </c>
      <c r="C156" s="90" t="s">
        <v>880</v>
      </c>
      <c r="D156" s="90" t="s">
        <v>17</v>
      </c>
      <c r="E156" s="90" t="s">
        <v>196</v>
      </c>
      <c r="F156" s="90" t="s">
        <v>697</v>
      </c>
      <c r="G156" s="93">
        <v>16180.67</v>
      </c>
      <c r="H156" s="92"/>
      <c r="I156" s="92"/>
      <c r="J156" s="92"/>
      <c r="K156" s="92"/>
      <c r="L156" s="92"/>
      <c r="M156" s="92"/>
      <c r="N156" s="92"/>
      <c r="O156" s="92"/>
      <c r="P156" s="93">
        <v>16180.67</v>
      </c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3">
        <v>883.14</v>
      </c>
      <c r="AE156" s="92"/>
      <c r="AF156" s="92"/>
      <c r="AG156" s="93">
        <v>17063.810000000001</v>
      </c>
      <c r="AH156" s="93">
        <v>0</v>
      </c>
    </row>
    <row r="157" spans="1:34" ht="15.75" thickBot="1" x14ac:dyDescent="0.3">
      <c r="A157" s="90" t="s">
        <v>869</v>
      </c>
      <c r="B157" s="90" t="s">
        <v>22</v>
      </c>
      <c r="C157" s="90" t="s">
        <v>874</v>
      </c>
      <c r="D157" s="90" t="s">
        <v>21</v>
      </c>
      <c r="E157" s="90" t="s">
        <v>726</v>
      </c>
      <c r="F157" s="90" t="s">
        <v>686</v>
      </c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5">
        <v>430.85</v>
      </c>
      <c r="AD157" s="95">
        <v>0</v>
      </c>
      <c r="AE157" s="94"/>
      <c r="AF157" s="94"/>
      <c r="AG157" s="95">
        <v>430.85</v>
      </c>
      <c r="AH157" s="95">
        <v>0</v>
      </c>
    </row>
    <row r="158" spans="1:34" ht="15.75" thickBot="1" x14ac:dyDescent="0.3">
      <c r="A158" s="90" t="s">
        <v>869</v>
      </c>
      <c r="B158" s="90" t="s">
        <v>22</v>
      </c>
      <c r="C158" s="90" t="s">
        <v>874</v>
      </c>
      <c r="D158" s="90" t="s">
        <v>21</v>
      </c>
      <c r="E158" s="90" t="s">
        <v>726</v>
      </c>
      <c r="F158" s="90" t="s">
        <v>697</v>
      </c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3">
        <v>430.85</v>
      </c>
      <c r="AD158" s="93">
        <v>0</v>
      </c>
      <c r="AE158" s="92"/>
      <c r="AF158" s="92"/>
      <c r="AG158" s="93">
        <v>430.85</v>
      </c>
      <c r="AH158" s="93">
        <v>0</v>
      </c>
    </row>
    <row r="159" spans="1:34" ht="15.75" thickBot="1" x14ac:dyDescent="0.3">
      <c r="A159" s="90" t="s">
        <v>869</v>
      </c>
      <c r="B159" s="90" t="s">
        <v>22</v>
      </c>
      <c r="C159" s="90" t="s">
        <v>874</v>
      </c>
      <c r="D159" s="90" t="s">
        <v>21</v>
      </c>
      <c r="E159" s="90" t="s">
        <v>528</v>
      </c>
      <c r="F159" s="90" t="s">
        <v>686</v>
      </c>
      <c r="G159" s="95">
        <v>1200</v>
      </c>
      <c r="H159" s="94"/>
      <c r="I159" s="95">
        <v>1200</v>
      </c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5">
        <v>0</v>
      </c>
      <c r="AE159" s="94"/>
      <c r="AF159" s="94"/>
      <c r="AG159" s="95">
        <v>1200</v>
      </c>
      <c r="AH159" s="95">
        <v>0</v>
      </c>
    </row>
    <row r="160" spans="1:34" ht="15.75" thickBot="1" x14ac:dyDescent="0.3">
      <c r="A160" s="90" t="s">
        <v>869</v>
      </c>
      <c r="B160" s="90" t="s">
        <v>22</v>
      </c>
      <c r="C160" s="90" t="s">
        <v>874</v>
      </c>
      <c r="D160" s="90" t="s">
        <v>21</v>
      </c>
      <c r="E160" s="90" t="s">
        <v>528</v>
      </c>
      <c r="F160" s="90" t="s">
        <v>697</v>
      </c>
      <c r="G160" s="93">
        <v>1200</v>
      </c>
      <c r="H160" s="92"/>
      <c r="I160" s="93">
        <v>1200</v>
      </c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3">
        <v>0</v>
      </c>
      <c r="AE160" s="92"/>
      <c r="AF160" s="92"/>
      <c r="AG160" s="93">
        <v>1200</v>
      </c>
      <c r="AH160" s="93">
        <v>0</v>
      </c>
    </row>
    <row r="161" spans="1:34" ht="15.75" thickBot="1" x14ac:dyDescent="0.3">
      <c r="A161" s="90" t="s">
        <v>869</v>
      </c>
      <c r="B161" s="90" t="s">
        <v>22</v>
      </c>
      <c r="C161" s="90" t="s">
        <v>874</v>
      </c>
      <c r="D161" s="90" t="s">
        <v>21</v>
      </c>
      <c r="E161" s="90" t="s">
        <v>518</v>
      </c>
      <c r="F161" s="90" t="s">
        <v>686</v>
      </c>
      <c r="G161" s="95">
        <v>2738.9</v>
      </c>
      <c r="H161" s="95">
        <v>39077</v>
      </c>
      <c r="I161" s="94"/>
      <c r="J161" s="94"/>
      <c r="K161" s="95">
        <v>2738.9</v>
      </c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5">
        <v>0</v>
      </c>
      <c r="AE161" s="94"/>
      <c r="AF161" s="94"/>
      <c r="AG161" s="95">
        <v>2738.9</v>
      </c>
      <c r="AH161" s="95">
        <v>0</v>
      </c>
    </row>
    <row r="162" spans="1:34" ht="15.75" thickBot="1" x14ac:dyDescent="0.3">
      <c r="A162" s="90" t="s">
        <v>869</v>
      </c>
      <c r="B162" s="90" t="s">
        <v>22</v>
      </c>
      <c r="C162" s="90" t="s">
        <v>874</v>
      </c>
      <c r="D162" s="90" t="s">
        <v>21</v>
      </c>
      <c r="E162" s="90" t="s">
        <v>518</v>
      </c>
      <c r="F162" s="90" t="s">
        <v>697</v>
      </c>
      <c r="G162" s="93">
        <v>2738.9</v>
      </c>
      <c r="H162" s="304">
        <v>39077</v>
      </c>
      <c r="I162" s="92"/>
      <c r="J162" s="92"/>
      <c r="K162" s="93">
        <v>2738.9</v>
      </c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3">
        <v>0</v>
      </c>
      <c r="AE162" s="92"/>
      <c r="AF162" s="92"/>
      <c r="AG162" s="93">
        <v>2738.9</v>
      </c>
      <c r="AH162" s="93">
        <v>0</v>
      </c>
    </row>
    <row r="163" spans="1:34" ht="15.75" thickBot="1" x14ac:dyDescent="0.3">
      <c r="A163" s="90" t="s">
        <v>869</v>
      </c>
      <c r="B163" s="90" t="s">
        <v>22</v>
      </c>
      <c r="C163" s="90" t="s">
        <v>874</v>
      </c>
      <c r="D163" s="90" t="s">
        <v>21</v>
      </c>
      <c r="E163" s="90" t="s">
        <v>673</v>
      </c>
      <c r="F163" s="90" t="s">
        <v>686</v>
      </c>
      <c r="G163" s="95">
        <v>8064.93</v>
      </c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5">
        <v>8064.93</v>
      </c>
      <c r="Y163" s="94"/>
      <c r="Z163" s="94"/>
      <c r="AA163" s="94"/>
      <c r="AB163" s="94"/>
      <c r="AC163" s="94"/>
      <c r="AD163" s="95">
        <v>0</v>
      </c>
      <c r="AE163" s="94"/>
      <c r="AF163" s="94"/>
      <c r="AG163" s="95">
        <v>8064.93</v>
      </c>
      <c r="AH163" s="95">
        <v>0</v>
      </c>
    </row>
    <row r="164" spans="1:34" ht="15.75" thickBot="1" x14ac:dyDescent="0.3">
      <c r="A164" s="90" t="s">
        <v>869</v>
      </c>
      <c r="B164" s="90" t="s">
        <v>22</v>
      </c>
      <c r="C164" s="90" t="s">
        <v>874</v>
      </c>
      <c r="D164" s="90" t="s">
        <v>21</v>
      </c>
      <c r="E164" s="90" t="s">
        <v>673</v>
      </c>
      <c r="F164" s="90" t="s">
        <v>697</v>
      </c>
      <c r="G164" s="93">
        <v>8064.93</v>
      </c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3">
        <v>8064.93</v>
      </c>
      <c r="Y164" s="92"/>
      <c r="Z164" s="92"/>
      <c r="AA164" s="92"/>
      <c r="AB164" s="92"/>
      <c r="AC164" s="92"/>
      <c r="AD164" s="93">
        <v>0</v>
      </c>
      <c r="AE164" s="92"/>
      <c r="AF164" s="92"/>
      <c r="AG164" s="93">
        <v>8064.93</v>
      </c>
      <c r="AH164" s="93">
        <v>0</v>
      </c>
    </row>
    <row r="165" spans="1:34" ht="15.75" thickBot="1" x14ac:dyDescent="0.3">
      <c r="A165" s="90" t="s">
        <v>869</v>
      </c>
      <c r="B165" s="90" t="s">
        <v>22</v>
      </c>
      <c r="C165" s="90" t="s">
        <v>874</v>
      </c>
      <c r="D165" s="90" t="s">
        <v>21</v>
      </c>
      <c r="E165" s="90" t="s">
        <v>196</v>
      </c>
      <c r="F165" s="90" t="s">
        <v>686</v>
      </c>
      <c r="G165" s="95">
        <v>12644.41</v>
      </c>
      <c r="H165" s="94"/>
      <c r="I165" s="94"/>
      <c r="J165" s="94"/>
      <c r="K165" s="94"/>
      <c r="L165" s="94"/>
      <c r="M165" s="94"/>
      <c r="N165" s="94"/>
      <c r="O165" s="94"/>
      <c r="P165" s="95">
        <v>12644.41</v>
      </c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5">
        <v>0</v>
      </c>
      <c r="AE165" s="94"/>
      <c r="AF165" s="94"/>
      <c r="AG165" s="95">
        <v>12644.41</v>
      </c>
      <c r="AH165" s="95">
        <v>0</v>
      </c>
    </row>
    <row r="166" spans="1:34" ht="15.75" thickBot="1" x14ac:dyDescent="0.3">
      <c r="A166" s="90" t="s">
        <v>869</v>
      </c>
      <c r="B166" s="90" t="s">
        <v>22</v>
      </c>
      <c r="C166" s="90" t="s">
        <v>874</v>
      </c>
      <c r="D166" s="90" t="s">
        <v>21</v>
      </c>
      <c r="E166" s="90" t="s">
        <v>196</v>
      </c>
      <c r="F166" s="90" t="s">
        <v>697</v>
      </c>
      <c r="G166" s="93">
        <v>12644.41</v>
      </c>
      <c r="H166" s="92"/>
      <c r="I166" s="92"/>
      <c r="J166" s="92"/>
      <c r="K166" s="92"/>
      <c r="L166" s="92"/>
      <c r="M166" s="92"/>
      <c r="N166" s="92"/>
      <c r="O166" s="92"/>
      <c r="P166" s="93">
        <v>12644.41</v>
      </c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3">
        <v>0</v>
      </c>
      <c r="AE166" s="92"/>
      <c r="AF166" s="92"/>
      <c r="AG166" s="93">
        <v>12644.41</v>
      </c>
      <c r="AH166" s="93">
        <v>0</v>
      </c>
    </row>
    <row r="167" spans="1:34" ht="15.75" thickBot="1" x14ac:dyDescent="0.3">
      <c r="A167" s="90" t="s">
        <v>869</v>
      </c>
      <c r="B167" s="90" t="s">
        <v>42</v>
      </c>
      <c r="C167" s="90" t="s">
        <v>884</v>
      </c>
      <c r="D167" s="90" t="s">
        <v>663</v>
      </c>
      <c r="E167" s="90" t="s">
        <v>726</v>
      </c>
      <c r="F167" s="90" t="s">
        <v>522</v>
      </c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5">
        <v>391.78</v>
      </c>
      <c r="AD167" s="95">
        <v>9.6999999999999993</v>
      </c>
      <c r="AE167" s="94"/>
      <c r="AF167" s="94"/>
      <c r="AG167" s="95">
        <v>401.48</v>
      </c>
      <c r="AH167" s="95">
        <v>0</v>
      </c>
    </row>
    <row r="168" spans="1:34" ht="15.75" thickBot="1" x14ac:dyDescent="0.3">
      <c r="A168" s="90" t="s">
        <v>869</v>
      </c>
      <c r="B168" s="90" t="s">
        <v>42</v>
      </c>
      <c r="C168" s="90" t="s">
        <v>884</v>
      </c>
      <c r="D168" s="90" t="s">
        <v>663</v>
      </c>
      <c r="E168" s="90" t="s">
        <v>726</v>
      </c>
      <c r="F168" s="90" t="s">
        <v>697</v>
      </c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3">
        <v>391.78</v>
      </c>
      <c r="AD168" s="93">
        <v>9.6999999999999993</v>
      </c>
      <c r="AE168" s="92"/>
      <c r="AF168" s="92"/>
      <c r="AG168" s="93">
        <v>401.48</v>
      </c>
      <c r="AH168" s="93">
        <v>0</v>
      </c>
    </row>
    <row r="169" spans="1:34" ht="15.75" thickBot="1" x14ac:dyDescent="0.3">
      <c r="A169" s="90" t="s">
        <v>869</v>
      </c>
      <c r="B169" s="90" t="s">
        <v>42</v>
      </c>
      <c r="C169" s="90" t="s">
        <v>884</v>
      </c>
      <c r="D169" s="90" t="s">
        <v>663</v>
      </c>
      <c r="E169" s="90" t="s">
        <v>729</v>
      </c>
      <c r="F169" s="90" t="s">
        <v>522</v>
      </c>
      <c r="G169" s="95">
        <v>-994.51</v>
      </c>
      <c r="H169" s="94"/>
      <c r="I169" s="94"/>
      <c r="J169" s="94"/>
      <c r="K169" s="94"/>
      <c r="L169" s="94"/>
      <c r="M169" s="94"/>
      <c r="N169" s="94"/>
      <c r="O169" s="94"/>
      <c r="P169" s="94"/>
      <c r="Q169" s="95">
        <v>-994.51</v>
      </c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5">
        <v>-25.46</v>
      </c>
      <c r="AE169" s="94"/>
      <c r="AF169" s="94"/>
      <c r="AG169" s="95">
        <v>-1019.97</v>
      </c>
      <c r="AH169" s="95">
        <v>0</v>
      </c>
    </row>
    <row r="170" spans="1:34" ht="15.75" thickBot="1" x14ac:dyDescent="0.3">
      <c r="A170" s="90" t="s">
        <v>869</v>
      </c>
      <c r="B170" s="90" t="s">
        <v>42</v>
      </c>
      <c r="C170" s="90" t="s">
        <v>884</v>
      </c>
      <c r="D170" s="90" t="s">
        <v>663</v>
      </c>
      <c r="E170" s="90" t="s">
        <v>729</v>
      </c>
      <c r="F170" s="90" t="s">
        <v>697</v>
      </c>
      <c r="G170" s="93">
        <v>-994.51</v>
      </c>
      <c r="H170" s="92"/>
      <c r="I170" s="92"/>
      <c r="J170" s="92"/>
      <c r="K170" s="92"/>
      <c r="L170" s="92"/>
      <c r="M170" s="92"/>
      <c r="N170" s="92"/>
      <c r="O170" s="92"/>
      <c r="P170" s="92"/>
      <c r="Q170" s="93">
        <v>-994.51</v>
      </c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3">
        <v>-25.46</v>
      </c>
      <c r="AE170" s="92"/>
      <c r="AF170" s="92"/>
      <c r="AG170" s="93">
        <v>-1019.97</v>
      </c>
      <c r="AH170" s="93">
        <v>0</v>
      </c>
    </row>
    <row r="171" spans="1:34" ht="15.75" thickBot="1" x14ac:dyDescent="0.3">
      <c r="A171" s="90" t="s">
        <v>869</v>
      </c>
      <c r="B171" s="90" t="s">
        <v>42</v>
      </c>
      <c r="C171" s="90" t="s">
        <v>884</v>
      </c>
      <c r="D171" s="90" t="s">
        <v>663</v>
      </c>
      <c r="E171" s="90" t="s">
        <v>528</v>
      </c>
      <c r="F171" s="90" t="s">
        <v>690</v>
      </c>
      <c r="G171" s="95">
        <v>720</v>
      </c>
      <c r="H171" s="94"/>
      <c r="I171" s="95">
        <v>720</v>
      </c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5">
        <v>16.2</v>
      </c>
      <c r="AE171" s="94"/>
      <c r="AF171" s="94"/>
      <c r="AG171" s="95">
        <v>736.2</v>
      </c>
      <c r="AH171" s="95">
        <v>0</v>
      </c>
    </row>
    <row r="172" spans="1:34" ht="15.75" thickBot="1" x14ac:dyDescent="0.3">
      <c r="A172" s="90" t="s">
        <v>869</v>
      </c>
      <c r="B172" s="90" t="s">
        <v>42</v>
      </c>
      <c r="C172" s="90" t="s">
        <v>884</v>
      </c>
      <c r="D172" s="90" t="s">
        <v>663</v>
      </c>
      <c r="E172" s="90" t="s">
        <v>528</v>
      </c>
      <c r="F172" s="90" t="s">
        <v>697</v>
      </c>
      <c r="G172" s="93">
        <v>720</v>
      </c>
      <c r="H172" s="92"/>
      <c r="I172" s="93">
        <v>720</v>
      </c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3">
        <v>16.2</v>
      </c>
      <c r="AE172" s="92"/>
      <c r="AF172" s="92"/>
      <c r="AG172" s="93">
        <v>736.2</v>
      </c>
      <c r="AH172" s="93">
        <v>0</v>
      </c>
    </row>
    <row r="173" spans="1:34" ht="15.75" thickBot="1" x14ac:dyDescent="0.3">
      <c r="A173" s="90" t="s">
        <v>869</v>
      </c>
      <c r="B173" s="90" t="s">
        <v>42</v>
      </c>
      <c r="C173" s="90" t="s">
        <v>884</v>
      </c>
      <c r="D173" s="90" t="s">
        <v>663</v>
      </c>
      <c r="E173" s="90" t="s">
        <v>518</v>
      </c>
      <c r="F173" s="90" t="s">
        <v>522</v>
      </c>
      <c r="G173" s="95">
        <v>14640.29</v>
      </c>
      <c r="H173" s="95">
        <v>64271</v>
      </c>
      <c r="I173" s="94"/>
      <c r="J173" s="94"/>
      <c r="K173" s="95">
        <v>14640.29</v>
      </c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5">
        <v>382.41</v>
      </c>
      <c r="AE173" s="94"/>
      <c r="AF173" s="94"/>
      <c r="AG173" s="95">
        <v>15022.7</v>
      </c>
      <c r="AH173" s="95">
        <v>0</v>
      </c>
    </row>
    <row r="174" spans="1:34" ht="15.75" thickBot="1" x14ac:dyDescent="0.3">
      <c r="A174" s="90" t="s">
        <v>869</v>
      </c>
      <c r="B174" s="90" t="s">
        <v>42</v>
      </c>
      <c r="C174" s="90" t="s">
        <v>884</v>
      </c>
      <c r="D174" s="90" t="s">
        <v>663</v>
      </c>
      <c r="E174" s="90" t="s">
        <v>518</v>
      </c>
      <c r="F174" s="90" t="s">
        <v>697</v>
      </c>
      <c r="G174" s="93">
        <v>14640.29</v>
      </c>
      <c r="H174" s="304">
        <v>64271</v>
      </c>
      <c r="I174" s="92"/>
      <c r="J174" s="92"/>
      <c r="K174" s="93">
        <v>14640.29</v>
      </c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3">
        <v>382.41</v>
      </c>
      <c r="AE174" s="92"/>
      <c r="AF174" s="92"/>
      <c r="AG174" s="93">
        <v>15022.7</v>
      </c>
      <c r="AH174" s="93">
        <v>0</v>
      </c>
    </row>
    <row r="175" spans="1:34" ht="15.75" thickBot="1" x14ac:dyDescent="0.3">
      <c r="A175" s="90" t="s">
        <v>869</v>
      </c>
      <c r="B175" s="90" t="s">
        <v>42</v>
      </c>
      <c r="C175" s="90" t="s">
        <v>884</v>
      </c>
      <c r="D175" s="90" t="s">
        <v>663</v>
      </c>
      <c r="E175" s="90" t="s">
        <v>673</v>
      </c>
      <c r="F175" s="90" t="s">
        <v>522</v>
      </c>
      <c r="G175" s="95">
        <v>980.32</v>
      </c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5">
        <v>980.32</v>
      </c>
      <c r="Y175" s="94"/>
      <c r="Z175" s="94"/>
      <c r="AA175" s="94"/>
      <c r="AB175" s="94"/>
      <c r="AC175" s="94"/>
      <c r="AD175" s="95">
        <v>22.05</v>
      </c>
      <c r="AE175" s="94"/>
      <c r="AF175" s="94"/>
      <c r="AG175" s="95">
        <v>1002.37</v>
      </c>
      <c r="AH175" s="95">
        <v>0</v>
      </c>
    </row>
    <row r="176" spans="1:34" ht="15.75" thickBot="1" x14ac:dyDescent="0.3">
      <c r="A176" s="90" t="s">
        <v>869</v>
      </c>
      <c r="B176" s="90" t="s">
        <v>42</v>
      </c>
      <c r="C176" s="90" t="s">
        <v>884</v>
      </c>
      <c r="D176" s="90" t="s">
        <v>663</v>
      </c>
      <c r="E176" s="90" t="s">
        <v>673</v>
      </c>
      <c r="F176" s="90" t="s">
        <v>697</v>
      </c>
      <c r="G176" s="93">
        <v>980.32</v>
      </c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3">
        <v>980.32</v>
      </c>
      <c r="Y176" s="92"/>
      <c r="Z176" s="92"/>
      <c r="AA176" s="92"/>
      <c r="AB176" s="92"/>
      <c r="AC176" s="92"/>
      <c r="AD176" s="93">
        <v>22.05</v>
      </c>
      <c r="AE176" s="92"/>
      <c r="AF176" s="92"/>
      <c r="AG176" s="93">
        <v>1002.37</v>
      </c>
      <c r="AH176" s="93">
        <v>0</v>
      </c>
    </row>
    <row r="177" spans="1:34" ht="15.75" thickBot="1" x14ac:dyDescent="0.3">
      <c r="A177" s="90" t="s">
        <v>869</v>
      </c>
      <c r="B177" s="90" t="s">
        <v>42</v>
      </c>
      <c r="C177" s="90" t="s">
        <v>884</v>
      </c>
      <c r="D177" s="90" t="s">
        <v>663</v>
      </c>
      <c r="E177" s="90" t="s">
        <v>530</v>
      </c>
      <c r="F177" s="90" t="s">
        <v>522</v>
      </c>
      <c r="G177" s="95">
        <v>5376.27</v>
      </c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5">
        <v>5376.27</v>
      </c>
      <c r="X177" s="94"/>
      <c r="Y177" s="94"/>
      <c r="Z177" s="94"/>
      <c r="AA177" s="94"/>
      <c r="AB177" s="94"/>
      <c r="AC177" s="94"/>
      <c r="AD177" s="95">
        <v>140.43</v>
      </c>
      <c r="AE177" s="94"/>
      <c r="AF177" s="94"/>
      <c r="AG177" s="95">
        <v>5516.7</v>
      </c>
      <c r="AH177" s="95">
        <v>0</v>
      </c>
    </row>
    <row r="178" spans="1:34" ht="15.75" thickBot="1" x14ac:dyDescent="0.3">
      <c r="A178" s="90" t="s">
        <v>869</v>
      </c>
      <c r="B178" s="90" t="s">
        <v>42</v>
      </c>
      <c r="C178" s="90" t="s">
        <v>884</v>
      </c>
      <c r="D178" s="90" t="s">
        <v>663</v>
      </c>
      <c r="E178" s="90" t="s">
        <v>530</v>
      </c>
      <c r="F178" s="90" t="s">
        <v>697</v>
      </c>
      <c r="G178" s="93">
        <v>5376.27</v>
      </c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3">
        <v>5376.27</v>
      </c>
      <c r="X178" s="92"/>
      <c r="Y178" s="92"/>
      <c r="Z178" s="92"/>
      <c r="AA178" s="92"/>
      <c r="AB178" s="92"/>
      <c r="AC178" s="92"/>
      <c r="AD178" s="93">
        <v>140.43</v>
      </c>
      <c r="AE178" s="92"/>
      <c r="AF178" s="92"/>
      <c r="AG178" s="93">
        <v>5516.7</v>
      </c>
      <c r="AH178" s="93">
        <v>0</v>
      </c>
    </row>
    <row r="179" spans="1:34" ht="15.75" thickBot="1" x14ac:dyDescent="0.3">
      <c r="A179" s="90" t="s">
        <v>869</v>
      </c>
      <c r="B179" s="90" t="s">
        <v>42</v>
      </c>
      <c r="C179" s="90" t="s">
        <v>884</v>
      </c>
      <c r="D179" s="90" t="s">
        <v>663</v>
      </c>
      <c r="E179" s="90" t="s">
        <v>524</v>
      </c>
      <c r="F179" s="90" t="s">
        <v>522</v>
      </c>
      <c r="G179" s="95">
        <v>2200</v>
      </c>
      <c r="H179" s="94"/>
      <c r="I179" s="95">
        <v>2200</v>
      </c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5">
        <v>49.5</v>
      </c>
      <c r="AE179" s="94"/>
      <c r="AF179" s="94"/>
      <c r="AG179" s="95">
        <v>2249.5</v>
      </c>
      <c r="AH179" s="95">
        <v>0</v>
      </c>
    </row>
    <row r="180" spans="1:34" ht="15.75" thickBot="1" x14ac:dyDescent="0.3">
      <c r="A180" s="90" t="s">
        <v>869</v>
      </c>
      <c r="B180" s="90" t="s">
        <v>42</v>
      </c>
      <c r="C180" s="90" t="s">
        <v>884</v>
      </c>
      <c r="D180" s="90" t="s">
        <v>663</v>
      </c>
      <c r="E180" s="90" t="s">
        <v>524</v>
      </c>
      <c r="F180" s="90" t="s">
        <v>697</v>
      </c>
      <c r="G180" s="93">
        <v>2200</v>
      </c>
      <c r="H180" s="92"/>
      <c r="I180" s="93">
        <v>2200</v>
      </c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3">
        <v>49.5</v>
      </c>
      <c r="AE180" s="92"/>
      <c r="AF180" s="92"/>
      <c r="AG180" s="93">
        <v>2249.5</v>
      </c>
      <c r="AH180" s="93">
        <v>0</v>
      </c>
    </row>
    <row r="181" spans="1:34" ht="15.75" thickBot="1" x14ac:dyDescent="0.3">
      <c r="A181" s="90" t="s">
        <v>869</v>
      </c>
      <c r="B181" s="90" t="s">
        <v>42</v>
      </c>
      <c r="C181" s="90" t="s">
        <v>884</v>
      </c>
      <c r="D181" s="90" t="s">
        <v>662</v>
      </c>
      <c r="E181" s="90" t="s">
        <v>726</v>
      </c>
      <c r="F181" s="90" t="s">
        <v>522</v>
      </c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3">
        <v>846.47</v>
      </c>
      <c r="AD181" s="93">
        <v>0</v>
      </c>
      <c r="AE181" s="92"/>
      <c r="AF181" s="92"/>
      <c r="AG181" s="93">
        <v>846.47</v>
      </c>
      <c r="AH181" s="93">
        <v>0</v>
      </c>
    </row>
    <row r="182" spans="1:34" ht="15.75" thickBot="1" x14ac:dyDescent="0.3">
      <c r="A182" s="90" t="s">
        <v>869</v>
      </c>
      <c r="B182" s="90" t="s">
        <v>42</v>
      </c>
      <c r="C182" s="90" t="s">
        <v>884</v>
      </c>
      <c r="D182" s="90" t="s">
        <v>662</v>
      </c>
      <c r="E182" s="90" t="s">
        <v>726</v>
      </c>
      <c r="F182" s="90" t="s">
        <v>697</v>
      </c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5">
        <v>846.47</v>
      </c>
      <c r="AD182" s="95">
        <v>0</v>
      </c>
      <c r="AE182" s="94"/>
      <c r="AF182" s="94"/>
      <c r="AG182" s="95">
        <v>846.47</v>
      </c>
      <c r="AH182" s="95">
        <v>0</v>
      </c>
    </row>
    <row r="183" spans="1:34" ht="15.75" thickBot="1" x14ac:dyDescent="0.3">
      <c r="A183" s="90" t="s">
        <v>869</v>
      </c>
      <c r="B183" s="90" t="s">
        <v>42</v>
      </c>
      <c r="C183" s="90" t="s">
        <v>884</v>
      </c>
      <c r="D183" s="90" t="s">
        <v>662</v>
      </c>
      <c r="E183" s="90" t="s">
        <v>729</v>
      </c>
      <c r="F183" s="90" t="s">
        <v>522</v>
      </c>
      <c r="G183" s="93">
        <v>-2467.69</v>
      </c>
      <c r="H183" s="92"/>
      <c r="I183" s="92"/>
      <c r="J183" s="92"/>
      <c r="K183" s="92"/>
      <c r="L183" s="92"/>
      <c r="M183" s="92"/>
      <c r="N183" s="92"/>
      <c r="O183" s="92"/>
      <c r="P183" s="92"/>
      <c r="Q183" s="93">
        <v>-2467.69</v>
      </c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3">
        <v>0</v>
      </c>
      <c r="AE183" s="92"/>
      <c r="AF183" s="92"/>
      <c r="AG183" s="93">
        <v>-2467.69</v>
      </c>
      <c r="AH183" s="93">
        <v>0</v>
      </c>
    </row>
    <row r="184" spans="1:34" ht="15.75" thickBot="1" x14ac:dyDescent="0.3">
      <c r="A184" s="90" t="s">
        <v>869</v>
      </c>
      <c r="B184" s="90" t="s">
        <v>42</v>
      </c>
      <c r="C184" s="90" t="s">
        <v>884</v>
      </c>
      <c r="D184" s="90" t="s">
        <v>662</v>
      </c>
      <c r="E184" s="90" t="s">
        <v>729</v>
      </c>
      <c r="F184" s="90" t="s">
        <v>697</v>
      </c>
      <c r="G184" s="95">
        <v>-2467.69</v>
      </c>
      <c r="H184" s="94"/>
      <c r="I184" s="94"/>
      <c r="J184" s="94"/>
      <c r="K184" s="94"/>
      <c r="L184" s="94"/>
      <c r="M184" s="94"/>
      <c r="N184" s="94"/>
      <c r="O184" s="94"/>
      <c r="P184" s="94"/>
      <c r="Q184" s="95">
        <v>-2467.69</v>
      </c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5">
        <v>0</v>
      </c>
      <c r="AE184" s="94"/>
      <c r="AF184" s="94"/>
      <c r="AG184" s="95">
        <v>-2467.69</v>
      </c>
      <c r="AH184" s="95">
        <v>0</v>
      </c>
    </row>
    <row r="185" spans="1:34" ht="15.75" thickBot="1" x14ac:dyDescent="0.3">
      <c r="A185" s="90" t="s">
        <v>869</v>
      </c>
      <c r="B185" s="90" t="s">
        <v>42</v>
      </c>
      <c r="C185" s="90" t="s">
        <v>884</v>
      </c>
      <c r="D185" s="90" t="s">
        <v>662</v>
      </c>
      <c r="E185" s="90" t="s">
        <v>528</v>
      </c>
      <c r="F185" s="90" t="s">
        <v>690</v>
      </c>
      <c r="G185" s="93">
        <v>180</v>
      </c>
      <c r="H185" s="92"/>
      <c r="I185" s="93">
        <v>180</v>
      </c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3">
        <v>0</v>
      </c>
      <c r="AE185" s="92"/>
      <c r="AF185" s="92"/>
      <c r="AG185" s="93">
        <v>180</v>
      </c>
      <c r="AH185" s="93">
        <v>0</v>
      </c>
    </row>
    <row r="186" spans="1:34" ht="15.75" thickBot="1" x14ac:dyDescent="0.3">
      <c r="A186" s="90" t="s">
        <v>869</v>
      </c>
      <c r="B186" s="90" t="s">
        <v>42</v>
      </c>
      <c r="C186" s="90" t="s">
        <v>884</v>
      </c>
      <c r="D186" s="90" t="s">
        <v>662</v>
      </c>
      <c r="E186" s="90" t="s">
        <v>528</v>
      </c>
      <c r="F186" s="90" t="s">
        <v>697</v>
      </c>
      <c r="G186" s="95">
        <v>180</v>
      </c>
      <c r="H186" s="94"/>
      <c r="I186" s="95">
        <v>180</v>
      </c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5">
        <v>0</v>
      </c>
      <c r="AE186" s="94"/>
      <c r="AF186" s="94"/>
      <c r="AG186" s="95">
        <v>180</v>
      </c>
      <c r="AH186" s="95">
        <v>0</v>
      </c>
    </row>
    <row r="187" spans="1:34" ht="15.75" thickBot="1" x14ac:dyDescent="0.3">
      <c r="A187" s="90" t="s">
        <v>869</v>
      </c>
      <c r="B187" s="90" t="s">
        <v>42</v>
      </c>
      <c r="C187" s="90" t="s">
        <v>884</v>
      </c>
      <c r="D187" s="90" t="s">
        <v>662</v>
      </c>
      <c r="E187" s="90" t="s">
        <v>518</v>
      </c>
      <c r="F187" s="90" t="s">
        <v>522</v>
      </c>
      <c r="G187" s="93">
        <v>32047.55</v>
      </c>
      <c r="H187" s="93">
        <v>140689</v>
      </c>
      <c r="I187" s="92"/>
      <c r="J187" s="92"/>
      <c r="K187" s="93">
        <v>32047.55</v>
      </c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3">
        <v>0</v>
      </c>
      <c r="AE187" s="92"/>
      <c r="AF187" s="92"/>
      <c r="AG187" s="93">
        <v>32047.55</v>
      </c>
      <c r="AH187" s="93">
        <v>0</v>
      </c>
    </row>
    <row r="188" spans="1:34" ht="15.75" thickBot="1" x14ac:dyDescent="0.3">
      <c r="A188" s="90" t="s">
        <v>869</v>
      </c>
      <c r="B188" s="90" t="s">
        <v>42</v>
      </c>
      <c r="C188" s="90" t="s">
        <v>884</v>
      </c>
      <c r="D188" s="90" t="s">
        <v>662</v>
      </c>
      <c r="E188" s="90" t="s">
        <v>518</v>
      </c>
      <c r="F188" s="90" t="s">
        <v>697</v>
      </c>
      <c r="G188" s="95">
        <v>32047.55</v>
      </c>
      <c r="H188" s="305">
        <v>140689</v>
      </c>
      <c r="I188" s="94"/>
      <c r="J188" s="94"/>
      <c r="K188" s="95">
        <v>32047.55</v>
      </c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5">
        <v>0</v>
      </c>
      <c r="AE188" s="94"/>
      <c r="AF188" s="94"/>
      <c r="AG188" s="95">
        <v>32047.55</v>
      </c>
      <c r="AH188" s="95">
        <v>0</v>
      </c>
    </row>
    <row r="189" spans="1:34" ht="15.75" thickBot="1" x14ac:dyDescent="0.3">
      <c r="A189" s="90" t="s">
        <v>869</v>
      </c>
      <c r="B189" s="90" t="s">
        <v>42</v>
      </c>
      <c r="C189" s="90" t="s">
        <v>884</v>
      </c>
      <c r="D189" s="90" t="s">
        <v>662</v>
      </c>
      <c r="E189" s="90" t="s">
        <v>673</v>
      </c>
      <c r="F189" s="90" t="s">
        <v>522</v>
      </c>
      <c r="G189" s="93">
        <v>245.08</v>
      </c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3">
        <v>245.08</v>
      </c>
      <c r="Y189" s="92"/>
      <c r="Z189" s="92"/>
      <c r="AA189" s="92"/>
      <c r="AB189" s="92"/>
      <c r="AC189" s="92"/>
      <c r="AD189" s="93">
        <v>0</v>
      </c>
      <c r="AE189" s="92"/>
      <c r="AF189" s="92"/>
      <c r="AG189" s="93">
        <v>245.08</v>
      </c>
      <c r="AH189" s="93">
        <v>0</v>
      </c>
    </row>
    <row r="190" spans="1:34" ht="15.75" thickBot="1" x14ac:dyDescent="0.3">
      <c r="A190" s="90" t="s">
        <v>869</v>
      </c>
      <c r="B190" s="90" t="s">
        <v>42</v>
      </c>
      <c r="C190" s="90" t="s">
        <v>884</v>
      </c>
      <c r="D190" s="90" t="s">
        <v>662</v>
      </c>
      <c r="E190" s="90" t="s">
        <v>673</v>
      </c>
      <c r="F190" s="90" t="s">
        <v>697</v>
      </c>
      <c r="G190" s="95">
        <v>245.08</v>
      </c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5">
        <v>245.08</v>
      </c>
      <c r="Y190" s="94"/>
      <c r="Z190" s="94"/>
      <c r="AA190" s="94"/>
      <c r="AB190" s="94"/>
      <c r="AC190" s="94"/>
      <c r="AD190" s="95">
        <v>0</v>
      </c>
      <c r="AE190" s="94"/>
      <c r="AF190" s="94"/>
      <c r="AG190" s="95">
        <v>245.08</v>
      </c>
      <c r="AH190" s="95">
        <v>0</v>
      </c>
    </row>
    <row r="191" spans="1:34" ht="15.75" thickBot="1" x14ac:dyDescent="0.3">
      <c r="A191" s="90" t="s">
        <v>869</v>
      </c>
      <c r="B191" s="90" t="s">
        <v>42</v>
      </c>
      <c r="C191" s="90" t="s">
        <v>884</v>
      </c>
      <c r="D191" s="90" t="s">
        <v>662</v>
      </c>
      <c r="E191" s="90" t="s">
        <v>530</v>
      </c>
      <c r="F191" s="90" t="s">
        <v>522</v>
      </c>
      <c r="G191" s="93">
        <v>11768.63</v>
      </c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3">
        <v>11768.63</v>
      </c>
      <c r="X191" s="92"/>
      <c r="Y191" s="92"/>
      <c r="Z191" s="92"/>
      <c r="AA191" s="92"/>
      <c r="AB191" s="92"/>
      <c r="AC191" s="92"/>
      <c r="AD191" s="93">
        <v>0</v>
      </c>
      <c r="AE191" s="92"/>
      <c r="AF191" s="92"/>
      <c r="AG191" s="93">
        <v>11768.63</v>
      </c>
      <c r="AH191" s="93">
        <v>0</v>
      </c>
    </row>
    <row r="192" spans="1:34" ht="15.75" thickBot="1" x14ac:dyDescent="0.3">
      <c r="A192" s="90" t="s">
        <v>869</v>
      </c>
      <c r="B192" s="90" t="s">
        <v>42</v>
      </c>
      <c r="C192" s="90" t="s">
        <v>884</v>
      </c>
      <c r="D192" s="90" t="s">
        <v>662</v>
      </c>
      <c r="E192" s="90" t="s">
        <v>530</v>
      </c>
      <c r="F192" s="90" t="s">
        <v>697</v>
      </c>
      <c r="G192" s="95">
        <v>11768.63</v>
      </c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5">
        <v>11768.63</v>
      </c>
      <c r="X192" s="94"/>
      <c r="Y192" s="94"/>
      <c r="Z192" s="94"/>
      <c r="AA192" s="94"/>
      <c r="AB192" s="94"/>
      <c r="AC192" s="94"/>
      <c r="AD192" s="95">
        <v>0</v>
      </c>
      <c r="AE192" s="94"/>
      <c r="AF192" s="94"/>
      <c r="AG192" s="95">
        <v>11768.63</v>
      </c>
      <c r="AH192" s="95">
        <v>0</v>
      </c>
    </row>
    <row r="193" spans="1:34" ht="15.75" thickBot="1" x14ac:dyDescent="0.3">
      <c r="A193" s="90" t="s">
        <v>869</v>
      </c>
      <c r="B193" s="90" t="s">
        <v>42</v>
      </c>
      <c r="C193" s="90" t="s">
        <v>884</v>
      </c>
      <c r="D193" s="90" t="s">
        <v>662</v>
      </c>
      <c r="E193" s="90" t="s">
        <v>524</v>
      </c>
      <c r="F193" s="90" t="s">
        <v>522</v>
      </c>
      <c r="G193" s="93">
        <v>550</v>
      </c>
      <c r="H193" s="92"/>
      <c r="I193" s="93">
        <v>550</v>
      </c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3">
        <v>0</v>
      </c>
      <c r="AE193" s="92"/>
      <c r="AF193" s="92"/>
      <c r="AG193" s="93">
        <v>550</v>
      </c>
      <c r="AH193" s="93">
        <v>0</v>
      </c>
    </row>
    <row r="194" spans="1:34" ht="15.75" thickBot="1" x14ac:dyDescent="0.3">
      <c r="A194" s="90" t="s">
        <v>869</v>
      </c>
      <c r="B194" s="90" t="s">
        <v>42</v>
      </c>
      <c r="C194" s="90" t="s">
        <v>884</v>
      </c>
      <c r="D194" s="90" t="s">
        <v>662</v>
      </c>
      <c r="E194" s="90" t="s">
        <v>524</v>
      </c>
      <c r="F194" s="90" t="s">
        <v>697</v>
      </c>
      <c r="G194" s="95">
        <v>550</v>
      </c>
      <c r="H194" s="94"/>
      <c r="I194" s="95">
        <v>550</v>
      </c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5">
        <v>0</v>
      </c>
      <c r="AE194" s="94"/>
      <c r="AF194" s="94"/>
      <c r="AG194" s="95">
        <v>550</v>
      </c>
      <c r="AH194" s="95">
        <v>0</v>
      </c>
    </row>
    <row r="195" spans="1:34" ht="15.75" thickBot="1" x14ac:dyDescent="0.3">
      <c r="A195" s="90" t="s">
        <v>869</v>
      </c>
      <c r="B195" s="90" t="s">
        <v>93</v>
      </c>
      <c r="C195" s="90" t="s">
        <v>719</v>
      </c>
      <c r="D195" s="90" t="s">
        <v>663</v>
      </c>
      <c r="E195" s="90" t="s">
        <v>525</v>
      </c>
      <c r="F195" s="90" t="s">
        <v>690</v>
      </c>
      <c r="G195" s="93">
        <v>3407.92</v>
      </c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3">
        <v>3407.92</v>
      </c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3">
        <v>0</v>
      </c>
      <c r="AE195" s="92"/>
      <c r="AF195" s="92"/>
      <c r="AG195" s="93">
        <v>3407.92</v>
      </c>
      <c r="AH195" s="93">
        <v>0</v>
      </c>
    </row>
    <row r="196" spans="1:34" ht="15.75" thickBot="1" x14ac:dyDescent="0.3">
      <c r="A196" s="90" t="s">
        <v>869</v>
      </c>
      <c r="B196" s="90" t="s">
        <v>93</v>
      </c>
      <c r="C196" s="90" t="s">
        <v>719</v>
      </c>
      <c r="D196" s="90" t="s">
        <v>663</v>
      </c>
      <c r="E196" s="90" t="s">
        <v>525</v>
      </c>
      <c r="F196" s="90" t="s">
        <v>697</v>
      </c>
      <c r="G196" s="95">
        <v>3407.92</v>
      </c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5">
        <v>3407.92</v>
      </c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5">
        <v>0</v>
      </c>
      <c r="AE196" s="94"/>
      <c r="AF196" s="94"/>
      <c r="AG196" s="95">
        <v>3407.92</v>
      </c>
      <c r="AH196" s="95">
        <v>0</v>
      </c>
    </row>
    <row r="197" spans="1:34" ht="15.75" thickBot="1" x14ac:dyDescent="0.3">
      <c r="A197" s="90" t="s">
        <v>869</v>
      </c>
      <c r="B197" s="90" t="s">
        <v>93</v>
      </c>
      <c r="C197" s="90" t="s">
        <v>719</v>
      </c>
      <c r="D197" s="90" t="s">
        <v>663</v>
      </c>
      <c r="E197" s="90" t="s">
        <v>527</v>
      </c>
      <c r="F197" s="90" t="s">
        <v>690</v>
      </c>
      <c r="G197" s="93">
        <v>-492.19</v>
      </c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3">
        <v>-492.19</v>
      </c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3">
        <v>0</v>
      </c>
      <c r="AE197" s="92"/>
      <c r="AF197" s="92"/>
      <c r="AG197" s="93">
        <v>-492.19</v>
      </c>
      <c r="AH197" s="93">
        <v>0</v>
      </c>
    </row>
    <row r="198" spans="1:34" ht="15.75" thickBot="1" x14ac:dyDescent="0.3">
      <c r="A198" s="90" t="s">
        <v>869</v>
      </c>
      <c r="B198" s="90" t="s">
        <v>93</v>
      </c>
      <c r="C198" s="90" t="s">
        <v>719</v>
      </c>
      <c r="D198" s="90" t="s">
        <v>663</v>
      </c>
      <c r="E198" s="90" t="s">
        <v>527</v>
      </c>
      <c r="F198" s="90" t="s">
        <v>697</v>
      </c>
      <c r="G198" s="95">
        <v>-492.19</v>
      </c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5">
        <v>-492.19</v>
      </c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5">
        <v>0</v>
      </c>
      <c r="AE198" s="94"/>
      <c r="AF198" s="94"/>
      <c r="AG198" s="95">
        <v>-492.19</v>
      </c>
      <c r="AH198" s="95">
        <v>0</v>
      </c>
    </row>
    <row r="199" spans="1:34" ht="15.75" thickBot="1" x14ac:dyDescent="0.3">
      <c r="A199" s="90" t="s">
        <v>869</v>
      </c>
      <c r="B199" s="90" t="s">
        <v>93</v>
      </c>
      <c r="C199" s="90" t="s">
        <v>719</v>
      </c>
      <c r="D199" s="90" t="s">
        <v>663</v>
      </c>
      <c r="E199" s="90" t="s">
        <v>524</v>
      </c>
      <c r="F199" s="90" t="s">
        <v>522</v>
      </c>
      <c r="G199" s="93">
        <v>525</v>
      </c>
      <c r="H199" s="92"/>
      <c r="I199" s="93">
        <v>525</v>
      </c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3">
        <v>0</v>
      </c>
      <c r="AE199" s="92"/>
      <c r="AF199" s="92"/>
      <c r="AG199" s="93">
        <v>525</v>
      </c>
      <c r="AH199" s="93">
        <v>0</v>
      </c>
    </row>
    <row r="200" spans="1:34" ht="15.75" thickBot="1" x14ac:dyDescent="0.3">
      <c r="A200" s="90" t="s">
        <v>869</v>
      </c>
      <c r="B200" s="90" t="s">
        <v>93</v>
      </c>
      <c r="C200" s="90" t="s">
        <v>719</v>
      </c>
      <c r="D200" s="90" t="s">
        <v>663</v>
      </c>
      <c r="E200" s="90" t="s">
        <v>524</v>
      </c>
      <c r="F200" s="90" t="s">
        <v>697</v>
      </c>
      <c r="G200" s="95">
        <v>525</v>
      </c>
      <c r="H200" s="94"/>
      <c r="I200" s="95">
        <v>525</v>
      </c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5">
        <v>0</v>
      </c>
      <c r="AE200" s="94"/>
      <c r="AF200" s="94"/>
      <c r="AG200" s="95">
        <v>525</v>
      </c>
      <c r="AH200" s="95">
        <v>0</v>
      </c>
    </row>
    <row r="201" spans="1:34" ht="15.75" thickBot="1" x14ac:dyDescent="0.3">
      <c r="A201" s="90" t="s">
        <v>869</v>
      </c>
      <c r="B201" s="90" t="s">
        <v>96</v>
      </c>
      <c r="C201" s="90" t="s">
        <v>883</v>
      </c>
      <c r="D201" s="90" t="s">
        <v>663</v>
      </c>
      <c r="E201" s="90" t="s">
        <v>729</v>
      </c>
      <c r="F201" s="90" t="s">
        <v>522</v>
      </c>
      <c r="G201" s="95">
        <v>-98.01</v>
      </c>
      <c r="H201" s="94"/>
      <c r="I201" s="94"/>
      <c r="J201" s="94"/>
      <c r="K201" s="94"/>
      <c r="L201" s="94"/>
      <c r="M201" s="94"/>
      <c r="N201" s="94"/>
      <c r="O201" s="94"/>
      <c r="P201" s="94"/>
      <c r="Q201" s="95">
        <v>-98.01</v>
      </c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5">
        <v>0</v>
      </c>
      <c r="AE201" s="94"/>
      <c r="AF201" s="94"/>
      <c r="AG201" s="95">
        <v>-98.01</v>
      </c>
      <c r="AH201" s="95">
        <v>0</v>
      </c>
    </row>
    <row r="202" spans="1:34" ht="15.75" thickBot="1" x14ac:dyDescent="0.3">
      <c r="A202" s="90" t="s">
        <v>869</v>
      </c>
      <c r="B202" s="90" t="s">
        <v>96</v>
      </c>
      <c r="C202" s="90" t="s">
        <v>883</v>
      </c>
      <c r="D202" s="90" t="s">
        <v>663</v>
      </c>
      <c r="E202" s="90" t="s">
        <v>729</v>
      </c>
      <c r="F202" s="90" t="s">
        <v>697</v>
      </c>
      <c r="G202" s="93">
        <v>-98.01</v>
      </c>
      <c r="H202" s="92"/>
      <c r="I202" s="92"/>
      <c r="J202" s="92"/>
      <c r="K202" s="92"/>
      <c r="L202" s="92"/>
      <c r="M202" s="92"/>
      <c r="N202" s="92"/>
      <c r="O202" s="92"/>
      <c r="P202" s="92"/>
      <c r="Q202" s="93">
        <v>-98.01</v>
      </c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3">
        <v>0</v>
      </c>
      <c r="AE202" s="92"/>
      <c r="AF202" s="92"/>
      <c r="AG202" s="93">
        <v>-98.01</v>
      </c>
      <c r="AH202" s="93">
        <v>0</v>
      </c>
    </row>
    <row r="203" spans="1:34" ht="15.75" thickBot="1" x14ac:dyDescent="0.3">
      <c r="A203" s="90" t="s">
        <v>869</v>
      </c>
      <c r="B203" s="90" t="s">
        <v>96</v>
      </c>
      <c r="C203" s="90" t="s">
        <v>883</v>
      </c>
      <c r="D203" s="90" t="s">
        <v>663</v>
      </c>
      <c r="E203" s="90" t="s">
        <v>528</v>
      </c>
      <c r="F203" s="90" t="s">
        <v>690</v>
      </c>
      <c r="G203" s="95">
        <v>400</v>
      </c>
      <c r="H203" s="94"/>
      <c r="I203" s="95">
        <v>400</v>
      </c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5">
        <v>0</v>
      </c>
      <c r="AE203" s="94"/>
      <c r="AF203" s="94"/>
      <c r="AG203" s="95">
        <v>400</v>
      </c>
      <c r="AH203" s="95">
        <v>0</v>
      </c>
    </row>
    <row r="204" spans="1:34" ht="15.75" thickBot="1" x14ac:dyDescent="0.3">
      <c r="A204" s="90" t="s">
        <v>869</v>
      </c>
      <c r="B204" s="90" t="s">
        <v>96</v>
      </c>
      <c r="C204" s="90" t="s">
        <v>883</v>
      </c>
      <c r="D204" s="90" t="s">
        <v>663</v>
      </c>
      <c r="E204" s="90" t="s">
        <v>528</v>
      </c>
      <c r="F204" s="90" t="s">
        <v>697</v>
      </c>
      <c r="G204" s="93">
        <v>400</v>
      </c>
      <c r="H204" s="92"/>
      <c r="I204" s="93">
        <v>400</v>
      </c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3">
        <v>0</v>
      </c>
      <c r="AE204" s="92"/>
      <c r="AF204" s="92"/>
      <c r="AG204" s="93">
        <v>400</v>
      </c>
      <c r="AH204" s="93">
        <v>0</v>
      </c>
    </row>
    <row r="205" spans="1:34" ht="15.75" thickBot="1" x14ac:dyDescent="0.3">
      <c r="A205" s="90" t="s">
        <v>869</v>
      </c>
      <c r="B205" s="90" t="s">
        <v>96</v>
      </c>
      <c r="C205" s="90" t="s">
        <v>883</v>
      </c>
      <c r="D205" s="90" t="s">
        <v>663</v>
      </c>
      <c r="E205" s="90" t="s">
        <v>518</v>
      </c>
      <c r="F205" s="90" t="s">
        <v>522</v>
      </c>
      <c r="G205" s="95">
        <v>7548.9</v>
      </c>
      <c r="H205" s="95">
        <v>107703</v>
      </c>
      <c r="I205" s="94"/>
      <c r="J205" s="94"/>
      <c r="K205" s="95">
        <v>7548.9</v>
      </c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5">
        <v>0</v>
      </c>
      <c r="AE205" s="94"/>
      <c r="AF205" s="94"/>
      <c r="AG205" s="95">
        <v>7548.9</v>
      </c>
      <c r="AH205" s="95">
        <v>0</v>
      </c>
    </row>
    <row r="206" spans="1:34" ht="15.75" thickBot="1" x14ac:dyDescent="0.3">
      <c r="A206" s="90" t="s">
        <v>869</v>
      </c>
      <c r="B206" s="90" t="s">
        <v>96</v>
      </c>
      <c r="C206" s="90" t="s">
        <v>883</v>
      </c>
      <c r="D206" s="90" t="s">
        <v>663</v>
      </c>
      <c r="E206" s="90" t="s">
        <v>518</v>
      </c>
      <c r="F206" s="90" t="s">
        <v>697</v>
      </c>
      <c r="G206" s="93">
        <v>7548.9</v>
      </c>
      <c r="H206" s="304">
        <v>107703</v>
      </c>
      <c r="I206" s="92"/>
      <c r="J206" s="92"/>
      <c r="K206" s="93">
        <v>7548.9</v>
      </c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3">
        <v>0</v>
      </c>
      <c r="AE206" s="92"/>
      <c r="AF206" s="92"/>
      <c r="AG206" s="93">
        <v>7548.9</v>
      </c>
      <c r="AH206" s="93">
        <v>0</v>
      </c>
    </row>
    <row r="207" spans="1:34" ht="15.75" thickBot="1" x14ac:dyDescent="0.3">
      <c r="A207" s="90" t="s">
        <v>869</v>
      </c>
      <c r="B207" s="90" t="s">
        <v>96</v>
      </c>
      <c r="C207" s="90" t="s">
        <v>883</v>
      </c>
      <c r="D207" s="90" t="s">
        <v>663</v>
      </c>
      <c r="E207" s="90" t="s">
        <v>673</v>
      </c>
      <c r="F207" s="90" t="s">
        <v>522</v>
      </c>
      <c r="G207" s="95">
        <v>2688.31</v>
      </c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5">
        <v>2688.31</v>
      </c>
      <c r="Y207" s="94"/>
      <c r="Z207" s="94"/>
      <c r="AA207" s="94"/>
      <c r="AB207" s="94"/>
      <c r="AC207" s="94"/>
      <c r="AD207" s="95">
        <v>0</v>
      </c>
      <c r="AE207" s="94"/>
      <c r="AF207" s="94"/>
      <c r="AG207" s="95">
        <v>2688.31</v>
      </c>
      <c r="AH207" s="95">
        <v>0</v>
      </c>
    </row>
    <row r="208" spans="1:34" ht="15.75" thickBot="1" x14ac:dyDescent="0.3">
      <c r="A208" s="90" t="s">
        <v>869</v>
      </c>
      <c r="B208" s="90" t="s">
        <v>96</v>
      </c>
      <c r="C208" s="90" t="s">
        <v>883</v>
      </c>
      <c r="D208" s="90" t="s">
        <v>663</v>
      </c>
      <c r="E208" s="90" t="s">
        <v>673</v>
      </c>
      <c r="F208" s="90" t="s">
        <v>697</v>
      </c>
      <c r="G208" s="93">
        <v>2688.31</v>
      </c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3">
        <v>2688.31</v>
      </c>
      <c r="Y208" s="92"/>
      <c r="Z208" s="92"/>
      <c r="AA208" s="92"/>
      <c r="AB208" s="92"/>
      <c r="AC208" s="92"/>
      <c r="AD208" s="93">
        <v>0</v>
      </c>
      <c r="AE208" s="92"/>
      <c r="AF208" s="92"/>
      <c r="AG208" s="93">
        <v>2688.31</v>
      </c>
      <c r="AH208" s="93">
        <v>0</v>
      </c>
    </row>
    <row r="209" spans="1:34" ht="15.75" thickBot="1" x14ac:dyDescent="0.3">
      <c r="A209" s="90" t="s">
        <v>869</v>
      </c>
      <c r="B209" s="90" t="s">
        <v>96</v>
      </c>
      <c r="C209" s="90" t="s">
        <v>883</v>
      </c>
      <c r="D209" s="90" t="s">
        <v>663</v>
      </c>
      <c r="E209" s="90" t="s">
        <v>530</v>
      </c>
      <c r="F209" s="90" t="s">
        <v>522</v>
      </c>
      <c r="G209" s="95">
        <v>9009.36</v>
      </c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5">
        <v>9009.36</v>
      </c>
      <c r="X209" s="94"/>
      <c r="Y209" s="94"/>
      <c r="Z209" s="94"/>
      <c r="AA209" s="94"/>
      <c r="AB209" s="94"/>
      <c r="AC209" s="94"/>
      <c r="AD209" s="95">
        <v>0</v>
      </c>
      <c r="AE209" s="94"/>
      <c r="AF209" s="94"/>
      <c r="AG209" s="95">
        <v>9009.36</v>
      </c>
      <c r="AH209" s="95">
        <v>0</v>
      </c>
    </row>
    <row r="210" spans="1:34" ht="15.75" thickBot="1" x14ac:dyDescent="0.3">
      <c r="A210" s="90" t="s">
        <v>869</v>
      </c>
      <c r="B210" s="90" t="s">
        <v>96</v>
      </c>
      <c r="C210" s="90" t="s">
        <v>883</v>
      </c>
      <c r="D210" s="90" t="s">
        <v>663</v>
      </c>
      <c r="E210" s="90" t="s">
        <v>530</v>
      </c>
      <c r="F210" s="90" t="s">
        <v>697</v>
      </c>
      <c r="G210" s="93">
        <v>9009.36</v>
      </c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3">
        <v>9009.36</v>
      </c>
      <c r="X210" s="92"/>
      <c r="Y210" s="92"/>
      <c r="Z210" s="92"/>
      <c r="AA210" s="92"/>
      <c r="AB210" s="92"/>
      <c r="AC210" s="92"/>
      <c r="AD210" s="93">
        <v>0</v>
      </c>
      <c r="AE210" s="92"/>
      <c r="AF210" s="92"/>
      <c r="AG210" s="93">
        <v>9009.36</v>
      </c>
      <c r="AH210" s="93">
        <v>0</v>
      </c>
    </row>
    <row r="211" spans="1:34" ht="15.75" thickBot="1" x14ac:dyDescent="0.3">
      <c r="A211" s="90" t="s">
        <v>869</v>
      </c>
      <c r="B211" s="90" t="s">
        <v>96</v>
      </c>
      <c r="C211" s="90" t="s">
        <v>883</v>
      </c>
      <c r="D211" s="90" t="s">
        <v>663</v>
      </c>
      <c r="E211" s="90" t="s">
        <v>524</v>
      </c>
      <c r="F211" s="90" t="s">
        <v>522</v>
      </c>
      <c r="G211" s="95">
        <v>550</v>
      </c>
      <c r="H211" s="94"/>
      <c r="I211" s="95">
        <v>550</v>
      </c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5">
        <v>0</v>
      </c>
      <c r="AE211" s="94"/>
      <c r="AF211" s="94"/>
      <c r="AG211" s="95">
        <v>550</v>
      </c>
      <c r="AH211" s="95">
        <v>0</v>
      </c>
    </row>
    <row r="212" spans="1:34" ht="15.75" thickBot="1" x14ac:dyDescent="0.3">
      <c r="A212" s="90" t="s">
        <v>869</v>
      </c>
      <c r="B212" s="90" t="s">
        <v>96</v>
      </c>
      <c r="C212" s="90" t="s">
        <v>883</v>
      </c>
      <c r="D212" s="90" t="s">
        <v>663</v>
      </c>
      <c r="E212" s="90" t="s">
        <v>524</v>
      </c>
      <c r="F212" s="90" t="s">
        <v>697</v>
      </c>
      <c r="G212" s="93">
        <v>550</v>
      </c>
      <c r="H212" s="92"/>
      <c r="I212" s="93">
        <v>550</v>
      </c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3">
        <v>0</v>
      </c>
      <c r="AE212" s="92"/>
      <c r="AF212" s="92"/>
      <c r="AG212" s="93">
        <v>550</v>
      </c>
      <c r="AH212" s="93">
        <v>0</v>
      </c>
    </row>
    <row r="213" spans="1:34" ht="15.75" thickBot="1" x14ac:dyDescent="0.3">
      <c r="A213" s="90" t="s">
        <v>869</v>
      </c>
      <c r="B213" s="90" t="s">
        <v>96</v>
      </c>
      <c r="C213" s="90" t="s">
        <v>883</v>
      </c>
      <c r="D213" s="90" t="s">
        <v>662</v>
      </c>
      <c r="E213" s="90" t="s">
        <v>726</v>
      </c>
      <c r="F213" s="90" t="s">
        <v>522</v>
      </c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3">
        <v>429.37</v>
      </c>
      <c r="AD213" s="93">
        <v>0</v>
      </c>
      <c r="AE213" s="92"/>
      <c r="AF213" s="92"/>
      <c r="AG213" s="93">
        <v>429.37</v>
      </c>
      <c r="AH213" s="93">
        <v>0</v>
      </c>
    </row>
    <row r="214" spans="1:34" ht="15.75" thickBot="1" x14ac:dyDescent="0.3">
      <c r="A214" s="90" t="s">
        <v>869</v>
      </c>
      <c r="B214" s="90" t="s">
        <v>96</v>
      </c>
      <c r="C214" s="90" t="s">
        <v>883</v>
      </c>
      <c r="D214" s="90" t="s">
        <v>662</v>
      </c>
      <c r="E214" s="90" t="s">
        <v>726</v>
      </c>
      <c r="F214" s="90" t="s">
        <v>697</v>
      </c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5">
        <v>429.37</v>
      </c>
      <c r="AD214" s="95">
        <v>0</v>
      </c>
      <c r="AE214" s="94"/>
      <c r="AF214" s="94"/>
      <c r="AG214" s="95">
        <v>429.37</v>
      </c>
      <c r="AH214" s="95">
        <v>0</v>
      </c>
    </row>
    <row r="215" spans="1:34" ht="15.75" thickBot="1" x14ac:dyDescent="0.3">
      <c r="A215" s="90" t="s">
        <v>869</v>
      </c>
      <c r="B215" s="90" t="s">
        <v>96</v>
      </c>
      <c r="C215" s="90" t="s">
        <v>883</v>
      </c>
      <c r="D215" s="90" t="s">
        <v>662</v>
      </c>
      <c r="E215" s="90" t="s">
        <v>729</v>
      </c>
      <c r="F215" s="90" t="s">
        <v>522</v>
      </c>
      <c r="G215" s="93">
        <v>-2296.21</v>
      </c>
      <c r="H215" s="92"/>
      <c r="I215" s="92"/>
      <c r="J215" s="92"/>
      <c r="K215" s="92"/>
      <c r="L215" s="92"/>
      <c r="M215" s="92"/>
      <c r="N215" s="92"/>
      <c r="O215" s="92"/>
      <c r="P215" s="92"/>
      <c r="Q215" s="93">
        <v>-2296.21</v>
      </c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3">
        <v>0</v>
      </c>
      <c r="AE215" s="92"/>
      <c r="AF215" s="92"/>
      <c r="AG215" s="93">
        <v>-2296.21</v>
      </c>
      <c r="AH215" s="93">
        <v>0</v>
      </c>
    </row>
    <row r="216" spans="1:34" ht="15.75" thickBot="1" x14ac:dyDescent="0.3">
      <c r="A216" s="90" t="s">
        <v>869</v>
      </c>
      <c r="B216" s="90" t="s">
        <v>96</v>
      </c>
      <c r="C216" s="90" t="s">
        <v>883</v>
      </c>
      <c r="D216" s="90" t="s">
        <v>662</v>
      </c>
      <c r="E216" s="90" t="s">
        <v>729</v>
      </c>
      <c r="F216" s="90" t="s">
        <v>697</v>
      </c>
      <c r="G216" s="95">
        <v>-2296.21</v>
      </c>
      <c r="H216" s="94"/>
      <c r="I216" s="94"/>
      <c r="J216" s="94"/>
      <c r="K216" s="94"/>
      <c r="L216" s="94"/>
      <c r="M216" s="94"/>
      <c r="N216" s="94"/>
      <c r="O216" s="94"/>
      <c r="P216" s="94"/>
      <c r="Q216" s="95">
        <v>-2296.21</v>
      </c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5">
        <v>0</v>
      </c>
      <c r="AE216" s="94"/>
      <c r="AF216" s="94"/>
      <c r="AG216" s="95">
        <v>-2296.21</v>
      </c>
      <c r="AH216" s="95">
        <v>0</v>
      </c>
    </row>
    <row r="217" spans="1:34" ht="15.75" thickBot="1" x14ac:dyDescent="0.3">
      <c r="A217" s="90" t="s">
        <v>869</v>
      </c>
      <c r="B217" s="90" t="s">
        <v>96</v>
      </c>
      <c r="C217" s="90" t="s">
        <v>883</v>
      </c>
      <c r="D217" s="90" t="s">
        <v>662</v>
      </c>
      <c r="E217" s="90" t="s">
        <v>528</v>
      </c>
      <c r="F217" s="90" t="s">
        <v>690</v>
      </c>
      <c r="G217" s="93">
        <v>400</v>
      </c>
      <c r="H217" s="92"/>
      <c r="I217" s="93">
        <v>400</v>
      </c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3">
        <v>0</v>
      </c>
      <c r="AE217" s="92"/>
      <c r="AF217" s="92"/>
      <c r="AG217" s="93">
        <v>400</v>
      </c>
      <c r="AH217" s="93">
        <v>0</v>
      </c>
    </row>
    <row r="218" spans="1:34" ht="15.75" thickBot="1" x14ac:dyDescent="0.3">
      <c r="A218" s="90" t="s">
        <v>869</v>
      </c>
      <c r="B218" s="90" t="s">
        <v>96</v>
      </c>
      <c r="C218" s="90" t="s">
        <v>883</v>
      </c>
      <c r="D218" s="90" t="s">
        <v>662</v>
      </c>
      <c r="E218" s="90" t="s">
        <v>528</v>
      </c>
      <c r="F218" s="90" t="s">
        <v>697</v>
      </c>
      <c r="G218" s="95">
        <v>400</v>
      </c>
      <c r="H218" s="94"/>
      <c r="I218" s="95">
        <v>400</v>
      </c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5">
        <v>0</v>
      </c>
      <c r="AE218" s="94"/>
      <c r="AF218" s="94"/>
      <c r="AG218" s="95">
        <v>400</v>
      </c>
      <c r="AH218" s="95">
        <v>0</v>
      </c>
    </row>
    <row r="219" spans="1:34" ht="15.75" thickBot="1" x14ac:dyDescent="0.3">
      <c r="A219" s="90" t="s">
        <v>869</v>
      </c>
      <c r="B219" s="90" t="s">
        <v>96</v>
      </c>
      <c r="C219" s="90" t="s">
        <v>883</v>
      </c>
      <c r="D219" s="90" t="s">
        <v>662</v>
      </c>
      <c r="E219" s="90" t="s">
        <v>518</v>
      </c>
      <c r="F219" s="90" t="s">
        <v>522</v>
      </c>
      <c r="G219" s="93">
        <v>9175.69</v>
      </c>
      <c r="H219" s="93">
        <v>130913</v>
      </c>
      <c r="I219" s="92"/>
      <c r="J219" s="92"/>
      <c r="K219" s="93">
        <v>9175.69</v>
      </c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3">
        <v>0</v>
      </c>
      <c r="AE219" s="92"/>
      <c r="AF219" s="92"/>
      <c r="AG219" s="93">
        <v>9175.69</v>
      </c>
      <c r="AH219" s="93">
        <v>0</v>
      </c>
    </row>
    <row r="220" spans="1:34" ht="15.75" thickBot="1" x14ac:dyDescent="0.3">
      <c r="A220" s="90" t="s">
        <v>869</v>
      </c>
      <c r="B220" s="90" t="s">
        <v>96</v>
      </c>
      <c r="C220" s="90" t="s">
        <v>883</v>
      </c>
      <c r="D220" s="90" t="s">
        <v>662</v>
      </c>
      <c r="E220" s="90" t="s">
        <v>518</v>
      </c>
      <c r="F220" s="90" t="s">
        <v>697</v>
      </c>
      <c r="G220" s="95">
        <v>9175.69</v>
      </c>
      <c r="H220" s="305">
        <v>130913</v>
      </c>
      <c r="I220" s="94"/>
      <c r="J220" s="94"/>
      <c r="K220" s="95">
        <v>9175.69</v>
      </c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5">
        <v>0</v>
      </c>
      <c r="AE220" s="94"/>
      <c r="AF220" s="94"/>
      <c r="AG220" s="95">
        <v>9175.69</v>
      </c>
      <c r="AH220" s="95">
        <v>0</v>
      </c>
    </row>
    <row r="221" spans="1:34" ht="15.75" thickBot="1" x14ac:dyDescent="0.3">
      <c r="A221" s="90" t="s">
        <v>869</v>
      </c>
      <c r="B221" s="90" t="s">
        <v>96</v>
      </c>
      <c r="C221" s="90" t="s">
        <v>883</v>
      </c>
      <c r="D221" s="90" t="s">
        <v>662</v>
      </c>
      <c r="E221" s="90" t="s">
        <v>673</v>
      </c>
      <c r="F221" s="90" t="s">
        <v>522</v>
      </c>
      <c r="G221" s="93">
        <v>2688.31</v>
      </c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3">
        <v>2688.31</v>
      </c>
      <c r="Y221" s="92"/>
      <c r="Z221" s="92"/>
      <c r="AA221" s="92"/>
      <c r="AB221" s="92"/>
      <c r="AC221" s="92"/>
      <c r="AD221" s="93">
        <v>0</v>
      </c>
      <c r="AE221" s="92"/>
      <c r="AF221" s="92"/>
      <c r="AG221" s="93">
        <v>2688.31</v>
      </c>
      <c r="AH221" s="93">
        <v>0</v>
      </c>
    </row>
    <row r="222" spans="1:34" ht="15.75" thickBot="1" x14ac:dyDescent="0.3">
      <c r="A222" s="90" t="s">
        <v>869</v>
      </c>
      <c r="B222" s="90" t="s">
        <v>96</v>
      </c>
      <c r="C222" s="90" t="s">
        <v>883</v>
      </c>
      <c r="D222" s="90" t="s">
        <v>662</v>
      </c>
      <c r="E222" s="90" t="s">
        <v>673</v>
      </c>
      <c r="F222" s="90" t="s">
        <v>697</v>
      </c>
      <c r="G222" s="95">
        <v>2688.31</v>
      </c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5">
        <v>2688.31</v>
      </c>
      <c r="Y222" s="94"/>
      <c r="Z222" s="94"/>
      <c r="AA222" s="94"/>
      <c r="AB222" s="94"/>
      <c r="AC222" s="94"/>
      <c r="AD222" s="95">
        <v>0</v>
      </c>
      <c r="AE222" s="94"/>
      <c r="AF222" s="94"/>
      <c r="AG222" s="95">
        <v>2688.31</v>
      </c>
      <c r="AH222" s="95">
        <v>0</v>
      </c>
    </row>
    <row r="223" spans="1:34" ht="15.75" thickBot="1" x14ac:dyDescent="0.3">
      <c r="A223" s="90" t="s">
        <v>869</v>
      </c>
      <c r="B223" s="90" t="s">
        <v>96</v>
      </c>
      <c r="C223" s="90" t="s">
        <v>883</v>
      </c>
      <c r="D223" s="90" t="s">
        <v>662</v>
      </c>
      <c r="E223" s="90" t="s">
        <v>530</v>
      </c>
      <c r="F223" s="90" t="s">
        <v>522</v>
      </c>
      <c r="G223" s="93">
        <v>10950.87</v>
      </c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3">
        <v>10950.87</v>
      </c>
      <c r="X223" s="92"/>
      <c r="Y223" s="92"/>
      <c r="Z223" s="92"/>
      <c r="AA223" s="92"/>
      <c r="AB223" s="92"/>
      <c r="AC223" s="92"/>
      <c r="AD223" s="93">
        <v>0</v>
      </c>
      <c r="AE223" s="92"/>
      <c r="AF223" s="92"/>
      <c r="AG223" s="93">
        <v>10950.87</v>
      </c>
      <c r="AH223" s="93">
        <v>0</v>
      </c>
    </row>
    <row r="224" spans="1:34" ht="15.75" thickBot="1" x14ac:dyDescent="0.3">
      <c r="A224" s="90" t="s">
        <v>869</v>
      </c>
      <c r="B224" s="90" t="s">
        <v>96</v>
      </c>
      <c r="C224" s="90" t="s">
        <v>883</v>
      </c>
      <c r="D224" s="90" t="s">
        <v>662</v>
      </c>
      <c r="E224" s="90" t="s">
        <v>530</v>
      </c>
      <c r="F224" s="90" t="s">
        <v>697</v>
      </c>
      <c r="G224" s="95">
        <v>10950.87</v>
      </c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5">
        <v>10950.87</v>
      </c>
      <c r="X224" s="94"/>
      <c r="Y224" s="94"/>
      <c r="Z224" s="94"/>
      <c r="AA224" s="94"/>
      <c r="AB224" s="94"/>
      <c r="AC224" s="94"/>
      <c r="AD224" s="95">
        <v>0</v>
      </c>
      <c r="AE224" s="94"/>
      <c r="AF224" s="94"/>
      <c r="AG224" s="95">
        <v>10950.87</v>
      </c>
      <c r="AH224" s="95">
        <v>0</v>
      </c>
    </row>
    <row r="225" spans="1:34" ht="15.75" thickBot="1" x14ac:dyDescent="0.3">
      <c r="A225" s="90" t="s">
        <v>869</v>
      </c>
      <c r="B225" s="90" t="s">
        <v>96</v>
      </c>
      <c r="C225" s="90" t="s">
        <v>883</v>
      </c>
      <c r="D225" s="90" t="s">
        <v>662</v>
      </c>
      <c r="E225" s="90" t="s">
        <v>524</v>
      </c>
      <c r="F225" s="90" t="s">
        <v>522</v>
      </c>
      <c r="G225" s="93">
        <v>550</v>
      </c>
      <c r="H225" s="92"/>
      <c r="I225" s="93">
        <v>550</v>
      </c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3">
        <v>0</v>
      </c>
      <c r="AE225" s="92"/>
      <c r="AF225" s="92"/>
      <c r="AG225" s="93">
        <v>550</v>
      </c>
      <c r="AH225" s="93">
        <v>0</v>
      </c>
    </row>
    <row r="226" spans="1:34" ht="15.75" thickBot="1" x14ac:dyDescent="0.3">
      <c r="A226" s="90" t="s">
        <v>869</v>
      </c>
      <c r="B226" s="90" t="s">
        <v>96</v>
      </c>
      <c r="C226" s="90" t="s">
        <v>883</v>
      </c>
      <c r="D226" s="90" t="s">
        <v>662</v>
      </c>
      <c r="E226" s="90" t="s">
        <v>524</v>
      </c>
      <c r="F226" s="90" t="s">
        <v>697</v>
      </c>
      <c r="G226" s="95">
        <v>550</v>
      </c>
      <c r="H226" s="94"/>
      <c r="I226" s="95">
        <v>550</v>
      </c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5">
        <v>0</v>
      </c>
      <c r="AE226" s="94"/>
      <c r="AF226" s="94"/>
      <c r="AG226" s="95">
        <v>550</v>
      </c>
      <c r="AH226" s="95">
        <v>0</v>
      </c>
    </row>
    <row r="227" spans="1:34" ht="15.75" thickBot="1" x14ac:dyDescent="0.3">
      <c r="A227" s="90" t="s">
        <v>869</v>
      </c>
      <c r="B227" s="90" t="s">
        <v>52</v>
      </c>
      <c r="C227" s="90" t="s">
        <v>882</v>
      </c>
      <c r="D227" s="90" t="s">
        <v>663</v>
      </c>
      <c r="E227" s="90" t="s">
        <v>726</v>
      </c>
      <c r="F227" s="90" t="s">
        <v>522</v>
      </c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3">
        <v>9321.4500000000007</v>
      </c>
      <c r="AD227" s="93">
        <v>495.54</v>
      </c>
      <c r="AE227" s="92"/>
      <c r="AF227" s="92"/>
      <c r="AG227" s="93">
        <v>9816.99</v>
      </c>
      <c r="AH227" s="93">
        <v>0</v>
      </c>
    </row>
    <row r="228" spans="1:34" ht="15.75" thickBot="1" x14ac:dyDescent="0.3">
      <c r="A228" s="90" t="s">
        <v>869</v>
      </c>
      <c r="B228" s="90" t="s">
        <v>52</v>
      </c>
      <c r="C228" s="90" t="s">
        <v>882</v>
      </c>
      <c r="D228" s="90" t="s">
        <v>663</v>
      </c>
      <c r="E228" s="90" t="s">
        <v>726</v>
      </c>
      <c r="F228" s="90" t="s">
        <v>697</v>
      </c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5">
        <v>9321.4500000000007</v>
      </c>
      <c r="AD228" s="95">
        <v>495.54</v>
      </c>
      <c r="AE228" s="94"/>
      <c r="AF228" s="94"/>
      <c r="AG228" s="95">
        <v>9816.99</v>
      </c>
      <c r="AH228" s="95">
        <v>0</v>
      </c>
    </row>
    <row r="229" spans="1:34" ht="15.75" thickBot="1" x14ac:dyDescent="0.3">
      <c r="A229" s="90" t="s">
        <v>869</v>
      </c>
      <c r="B229" s="90" t="s">
        <v>52</v>
      </c>
      <c r="C229" s="90" t="s">
        <v>882</v>
      </c>
      <c r="D229" s="90" t="s">
        <v>663</v>
      </c>
      <c r="E229" s="90" t="s">
        <v>729</v>
      </c>
      <c r="F229" s="90" t="s">
        <v>522</v>
      </c>
      <c r="G229" s="93">
        <v>-110.9</v>
      </c>
      <c r="H229" s="92"/>
      <c r="I229" s="92"/>
      <c r="J229" s="92"/>
      <c r="K229" s="92"/>
      <c r="L229" s="92"/>
      <c r="M229" s="92"/>
      <c r="N229" s="92"/>
      <c r="O229" s="92"/>
      <c r="P229" s="92"/>
      <c r="Q229" s="93">
        <v>-110.9</v>
      </c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3">
        <v>-2.4900000000000002</v>
      </c>
      <c r="AE229" s="92"/>
      <c r="AF229" s="92"/>
      <c r="AG229" s="93">
        <v>-113.39</v>
      </c>
      <c r="AH229" s="93">
        <v>0</v>
      </c>
    </row>
    <row r="230" spans="1:34" ht="15.75" thickBot="1" x14ac:dyDescent="0.3">
      <c r="A230" s="90" t="s">
        <v>869</v>
      </c>
      <c r="B230" s="90" t="s">
        <v>52</v>
      </c>
      <c r="C230" s="90" t="s">
        <v>882</v>
      </c>
      <c r="D230" s="90" t="s">
        <v>663</v>
      </c>
      <c r="E230" s="90" t="s">
        <v>729</v>
      </c>
      <c r="F230" s="90" t="s">
        <v>697</v>
      </c>
      <c r="G230" s="95">
        <v>-110.9</v>
      </c>
      <c r="H230" s="94"/>
      <c r="I230" s="94"/>
      <c r="J230" s="94"/>
      <c r="K230" s="94"/>
      <c r="L230" s="94"/>
      <c r="M230" s="94"/>
      <c r="N230" s="94"/>
      <c r="O230" s="94"/>
      <c r="P230" s="94"/>
      <c r="Q230" s="95">
        <v>-110.9</v>
      </c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5">
        <v>-2.4900000000000002</v>
      </c>
      <c r="AE230" s="94"/>
      <c r="AF230" s="94"/>
      <c r="AG230" s="95">
        <v>-113.39</v>
      </c>
      <c r="AH230" s="95">
        <v>0</v>
      </c>
    </row>
    <row r="231" spans="1:34" ht="15.75" thickBot="1" x14ac:dyDescent="0.3">
      <c r="A231" s="90" t="s">
        <v>869</v>
      </c>
      <c r="B231" s="90" t="s">
        <v>52</v>
      </c>
      <c r="C231" s="90" t="s">
        <v>882</v>
      </c>
      <c r="D231" s="90" t="s">
        <v>663</v>
      </c>
      <c r="E231" s="90" t="s">
        <v>525</v>
      </c>
      <c r="F231" s="90" t="s">
        <v>690</v>
      </c>
      <c r="G231" s="93">
        <v>2399.34</v>
      </c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3">
        <v>2399.34</v>
      </c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3">
        <v>143.96</v>
      </c>
      <c r="AE231" s="92"/>
      <c r="AF231" s="92"/>
      <c r="AG231" s="93">
        <v>2543.3000000000002</v>
      </c>
      <c r="AH231" s="93">
        <v>0</v>
      </c>
    </row>
    <row r="232" spans="1:34" ht="15.75" thickBot="1" x14ac:dyDescent="0.3">
      <c r="A232" s="90" t="s">
        <v>869</v>
      </c>
      <c r="B232" s="90" t="s">
        <v>52</v>
      </c>
      <c r="C232" s="90" t="s">
        <v>882</v>
      </c>
      <c r="D232" s="90" t="s">
        <v>663</v>
      </c>
      <c r="E232" s="90" t="s">
        <v>525</v>
      </c>
      <c r="F232" s="90" t="s">
        <v>697</v>
      </c>
      <c r="G232" s="95">
        <v>2399.34</v>
      </c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5">
        <v>2399.34</v>
      </c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5">
        <v>143.96</v>
      </c>
      <c r="AE232" s="94"/>
      <c r="AF232" s="94"/>
      <c r="AG232" s="95">
        <v>2543.3000000000002</v>
      </c>
      <c r="AH232" s="95">
        <v>0</v>
      </c>
    </row>
    <row r="233" spans="1:34" ht="15.75" thickBot="1" x14ac:dyDescent="0.3">
      <c r="A233" s="90" t="s">
        <v>869</v>
      </c>
      <c r="B233" s="90" t="s">
        <v>52</v>
      </c>
      <c r="C233" s="90" t="s">
        <v>882</v>
      </c>
      <c r="D233" s="90" t="s">
        <v>663</v>
      </c>
      <c r="E233" s="90" t="s">
        <v>518</v>
      </c>
      <c r="F233" s="90" t="s">
        <v>522</v>
      </c>
      <c r="G233" s="93">
        <v>527831.14</v>
      </c>
      <c r="H233" s="93">
        <v>12269436</v>
      </c>
      <c r="I233" s="92"/>
      <c r="J233" s="92"/>
      <c r="K233" s="93">
        <v>527831.14</v>
      </c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3">
        <v>26391.79</v>
      </c>
      <c r="AE233" s="92"/>
      <c r="AF233" s="92"/>
      <c r="AG233" s="93">
        <v>554222.93000000005</v>
      </c>
      <c r="AH233" s="93">
        <v>0</v>
      </c>
    </row>
    <row r="234" spans="1:34" ht="15.75" thickBot="1" x14ac:dyDescent="0.3">
      <c r="A234" s="90" t="s">
        <v>869</v>
      </c>
      <c r="B234" s="90" t="s">
        <v>52</v>
      </c>
      <c r="C234" s="90" t="s">
        <v>882</v>
      </c>
      <c r="D234" s="90" t="s">
        <v>663</v>
      </c>
      <c r="E234" s="90" t="s">
        <v>518</v>
      </c>
      <c r="F234" s="90" t="s">
        <v>690</v>
      </c>
      <c r="G234" s="95">
        <v>557.88</v>
      </c>
      <c r="H234" s="95">
        <v>12968</v>
      </c>
      <c r="I234" s="94"/>
      <c r="J234" s="94"/>
      <c r="K234" s="95">
        <v>557.88</v>
      </c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5">
        <v>33.47</v>
      </c>
      <c r="AE234" s="94"/>
      <c r="AF234" s="94"/>
      <c r="AG234" s="95">
        <v>591.35</v>
      </c>
      <c r="AH234" s="95">
        <v>0</v>
      </c>
    </row>
    <row r="235" spans="1:34" ht="15.75" thickBot="1" x14ac:dyDescent="0.3">
      <c r="A235" s="90" t="s">
        <v>869</v>
      </c>
      <c r="B235" s="90" t="s">
        <v>52</v>
      </c>
      <c r="C235" s="90" t="s">
        <v>882</v>
      </c>
      <c r="D235" s="90" t="s">
        <v>663</v>
      </c>
      <c r="E235" s="90" t="s">
        <v>518</v>
      </c>
      <c r="F235" s="90" t="s">
        <v>697</v>
      </c>
      <c r="G235" s="93">
        <v>528389.02</v>
      </c>
      <c r="H235" s="304">
        <v>12282404</v>
      </c>
      <c r="I235" s="92"/>
      <c r="J235" s="92"/>
      <c r="K235" s="93">
        <v>528389.02</v>
      </c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3">
        <v>26425.26</v>
      </c>
      <c r="AE235" s="92"/>
      <c r="AF235" s="92"/>
      <c r="AG235" s="93">
        <v>554814.28</v>
      </c>
      <c r="AH235" s="93">
        <v>0</v>
      </c>
    </row>
    <row r="236" spans="1:34" ht="15.75" thickBot="1" x14ac:dyDescent="0.3">
      <c r="A236" s="90" t="s">
        <v>869</v>
      </c>
      <c r="B236" s="90" t="s">
        <v>52</v>
      </c>
      <c r="C236" s="90" t="s">
        <v>882</v>
      </c>
      <c r="D236" s="90" t="s">
        <v>663</v>
      </c>
      <c r="E236" s="90" t="s">
        <v>527</v>
      </c>
      <c r="F236" s="90" t="s">
        <v>690</v>
      </c>
      <c r="G236" s="95">
        <v>-445.87</v>
      </c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5">
        <v>-445.87</v>
      </c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5">
        <v>-26.75</v>
      </c>
      <c r="AE236" s="94"/>
      <c r="AF236" s="94"/>
      <c r="AG236" s="95">
        <v>-472.62</v>
      </c>
      <c r="AH236" s="95">
        <v>0</v>
      </c>
    </row>
    <row r="237" spans="1:34" ht="15.75" thickBot="1" x14ac:dyDescent="0.3">
      <c r="A237" s="90" t="s">
        <v>869</v>
      </c>
      <c r="B237" s="90" t="s">
        <v>52</v>
      </c>
      <c r="C237" s="90" t="s">
        <v>882</v>
      </c>
      <c r="D237" s="90" t="s">
        <v>663</v>
      </c>
      <c r="E237" s="90" t="s">
        <v>527</v>
      </c>
      <c r="F237" s="90" t="s">
        <v>697</v>
      </c>
      <c r="G237" s="93">
        <v>-445.87</v>
      </c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3">
        <v>-445.87</v>
      </c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3">
        <v>-26.75</v>
      </c>
      <c r="AE237" s="92"/>
      <c r="AF237" s="92"/>
      <c r="AG237" s="93">
        <v>-472.62</v>
      </c>
      <c r="AH237" s="93">
        <v>0</v>
      </c>
    </row>
    <row r="238" spans="1:34" ht="15.75" thickBot="1" x14ac:dyDescent="0.3">
      <c r="A238" s="90" t="s">
        <v>869</v>
      </c>
      <c r="B238" s="90" t="s">
        <v>52</v>
      </c>
      <c r="C238" s="90" t="s">
        <v>882</v>
      </c>
      <c r="D238" s="90" t="s">
        <v>663</v>
      </c>
      <c r="E238" s="90" t="s">
        <v>671</v>
      </c>
      <c r="F238" s="90" t="s">
        <v>522</v>
      </c>
      <c r="G238" s="95">
        <v>1350.44</v>
      </c>
      <c r="H238" s="94"/>
      <c r="I238" s="94"/>
      <c r="J238" s="94"/>
      <c r="K238" s="94"/>
      <c r="L238" s="95">
        <v>1350.44</v>
      </c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5">
        <v>44.13</v>
      </c>
      <c r="AE238" s="94"/>
      <c r="AF238" s="94"/>
      <c r="AG238" s="95">
        <v>1394.57</v>
      </c>
      <c r="AH238" s="95">
        <v>0</v>
      </c>
    </row>
    <row r="239" spans="1:34" ht="15.75" thickBot="1" x14ac:dyDescent="0.3">
      <c r="A239" s="90" t="s">
        <v>869</v>
      </c>
      <c r="B239" s="90" t="s">
        <v>52</v>
      </c>
      <c r="C239" s="90" t="s">
        <v>882</v>
      </c>
      <c r="D239" s="90" t="s">
        <v>663</v>
      </c>
      <c r="E239" s="90" t="s">
        <v>671</v>
      </c>
      <c r="F239" s="90" t="s">
        <v>697</v>
      </c>
      <c r="G239" s="93">
        <v>1350.44</v>
      </c>
      <c r="H239" s="92"/>
      <c r="I239" s="92"/>
      <c r="J239" s="92"/>
      <c r="K239" s="92"/>
      <c r="L239" s="93">
        <v>1350.44</v>
      </c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3">
        <v>44.13</v>
      </c>
      <c r="AE239" s="92"/>
      <c r="AF239" s="92"/>
      <c r="AG239" s="93">
        <v>1394.57</v>
      </c>
      <c r="AH239" s="93">
        <v>0</v>
      </c>
    </row>
    <row r="240" spans="1:34" ht="15.75" thickBot="1" x14ac:dyDescent="0.3">
      <c r="A240" s="90" t="s">
        <v>869</v>
      </c>
      <c r="B240" s="90" t="s">
        <v>52</v>
      </c>
      <c r="C240" s="90" t="s">
        <v>882</v>
      </c>
      <c r="D240" s="90" t="s">
        <v>663</v>
      </c>
      <c r="E240" s="90" t="s">
        <v>672</v>
      </c>
      <c r="F240" s="90" t="s">
        <v>522</v>
      </c>
      <c r="G240" s="95">
        <v>6751.75</v>
      </c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5">
        <v>6751.75</v>
      </c>
      <c r="U240" s="94"/>
      <c r="V240" s="94"/>
      <c r="W240" s="94"/>
      <c r="X240" s="94"/>
      <c r="Y240" s="94"/>
      <c r="Z240" s="94"/>
      <c r="AA240" s="94"/>
      <c r="AB240" s="94"/>
      <c r="AC240" s="94"/>
      <c r="AD240" s="95">
        <v>405.11</v>
      </c>
      <c r="AE240" s="94"/>
      <c r="AF240" s="94"/>
      <c r="AG240" s="95">
        <v>7156.86</v>
      </c>
      <c r="AH240" s="95">
        <v>0</v>
      </c>
    </row>
    <row r="241" spans="1:34" ht="15.75" thickBot="1" x14ac:dyDescent="0.3">
      <c r="A241" s="90" t="s">
        <v>869</v>
      </c>
      <c r="B241" s="90" t="s">
        <v>52</v>
      </c>
      <c r="C241" s="90" t="s">
        <v>882</v>
      </c>
      <c r="D241" s="90" t="s">
        <v>663</v>
      </c>
      <c r="E241" s="90" t="s">
        <v>672</v>
      </c>
      <c r="F241" s="90" t="s">
        <v>697</v>
      </c>
      <c r="G241" s="93">
        <v>6751.75</v>
      </c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3">
        <v>6751.75</v>
      </c>
      <c r="U241" s="92"/>
      <c r="V241" s="92"/>
      <c r="W241" s="92"/>
      <c r="X241" s="92"/>
      <c r="Y241" s="92"/>
      <c r="Z241" s="92"/>
      <c r="AA241" s="92"/>
      <c r="AB241" s="92"/>
      <c r="AC241" s="92"/>
      <c r="AD241" s="93">
        <v>405.11</v>
      </c>
      <c r="AE241" s="92"/>
      <c r="AF241" s="92"/>
      <c r="AG241" s="93">
        <v>7156.86</v>
      </c>
      <c r="AH241" s="93">
        <v>0</v>
      </c>
    </row>
    <row r="242" spans="1:34" ht="15.75" thickBot="1" x14ac:dyDescent="0.3">
      <c r="A242" s="90" t="s">
        <v>869</v>
      </c>
      <c r="B242" s="90" t="s">
        <v>52</v>
      </c>
      <c r="C242" s="90" t="s">
        <v>882</v>
      </c>
      <c r="D242" s="90" t="s">
        <v>663</v>
      </c>
      <c r="E242" s="90" t="s">
        <v>524</v>
      </c>
      <c r="F242" s="90" t="s">
        <v>522</v>
      </c>
      <c r="G242" s="95">
        <v>34650</v>
      </c>
      <c r="H242" s="94"/>
      <c r="I242" s="95">
        <v>34650</v>
      </c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5">
        <v>1707.43</v>
      </c>
      <c r="AE242" s="94"/>
      <c r="AF242" s="94"/>
      <c r="AG242" s="95">
        <v>36357.43</v>
      </c>
      <c r="AH242" s="95">
        <v>0</v>
      </c>
    </row>
    <row r="243" spans="1:34" ht="15.75" thickBot="1" x14ac:dyDescent="0.3">
      <c r="A243" s="90" t="s">
        <v>869</v>
      </c>
      <c r="B243" s="90" t="s">
        <v>52</v>
      </c>
      <c r="C243" s="90" t="s">
        <v>882</v>
      </c>
      <c r="D243" s="90" t="s">
        <v>663</v>
      </c>
      <c r="E243" s="90" t="s">
        <v>524</v>
      </c>
      <c r="F243" s="90" t="s">
        <v>697</v>
      </c>
      <c r="G243" s="93">
        <v>34650</v>
      </c>
      <c r="H243" s="92"/>
      <c r="I243" s="93">
        <v>34650</v>
      </c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3">
        <v>1707.43</v>
      </c>
      <c r="AE243" s="92"/>
      <c r="AF243" s="92"/>
      <c r="AG243" s="93">
        <v>36357.43</v>
      </c>
      <c r="AH243" s="93">
        <v>0</v>
      </c>
    </row>
    <row r="244" spans="1:34" ht="15.75" thickBot="1" x14ac:dyDescent="0.3">
      <c r="A244" s="90" t="s">
        <v>869</v>
      </c>
      <c r="B244" s="90" t="s">
        <v>52</v>
      </c>
      <c r="C244" s="90" t="s">
        <v>882</v>
      </c>
      <c r="D244" s="90" t="s">
        <v>663</v>
      </c>
      <c r="E244" s="90" t="s">
        <v>676</v>
      </c>
      <c r="F244" s="90" t="s">
        <v>522</v>
      </c>
      <c r="G244" s="95">
        <v>567.20000000000005</v>
      </c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5">
        <v>567.20000000000005</v>
      </c>
      <c r="V244" s="94"/>
      <c r="W244" s="94"/>
      <c r="X244" s="94"/>
      <c r="Y244" s="94"/>
      <c r="Z244" s="94"/>
      <c r="AA244" s="94"/>
      <c r="AB244" s="94"/>
      <c r="AC244" s="94"/>
      <c r="AD244" s="95">
        <v>34.03</v>
      </c>
      <c r="AE244" s="94"/>
      <c r="AF244" s="94"/>
      <c r="AG244" s="95">
        <v>601.23</v>
      </c>
      <c r="AH244" s="95">
        <v>0</v>
      </c>
    </row>
    <row r="245" spans="1:34" ht="15.75" thickBot="1" x14ac:dyDescent="0.3">
      <c r="A245" s="90" t="s">
        <v>869</v>
      </c>
      <c r="B245" s="90" t="s">
        <v>52</v>
      </c>
      <c r="C245" s="90" t="s">
        <v>882</v>
      </c>
      <c r="D245" s="90" t="s">
        <v>663</v>
      </c>
      <c r="E245" s="90" t="s">
        <v>676</v>
      </c>
      <c r="F245" s="90" t="s">
        <v>697</v>
      </c>
      <c r="G245" s="93">
        <v>567.20000000000005</v>
      </c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3">
        <v>567.20000000000005</v>
      </c>
      <c r="V245" s="92"/>
      <c r="W245" s="92"/>
      <c r="X245" s="92"/>
      <c r="Y245" s="92"/>
      <c r="Z245" s="92"/>
      <c r="AA245" s="92"/>
      <c r="AB245" s="92"/>
      <c r="AC245" s="92"/>
      <c r="AD245" s="93">
        <v>34.03</v>
      </c>
      <c r="AE245" s="92"/>
      <c r="AF245" s="92"/>
      <c r="AG245" s="93">
        <v>601.23</v>
      </c>
      <c r="AH245" s="93">
        <v>0</v>
      </c>
    </row>
    <row r="246" spans="1:34" ht="15.75" thickBot="1" x14ac:dyDescent="0.3">
      <c r="A246" s="90" t="s">
        <v>869</v>
      </c>
      <c r="B246" s="90" t="s">
        <v>52</v>
      </c>
      <c r="C246" s="90" t="s">
        <v>882</v>
      </c>
      <c r="D246" s="90" t="s">
        <v>663</v>
      </c>
      <c r="E246" s="90" t="s">
        <v>677</v>
      </c>
      <c r="F246" s="90" t="s">
        <v>522</v>
      </c>
      <c r="G246" s="95">
        <v>625.58000000000004</v>
      </c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5">
        <v>625.58000000000004</v>
      </c>
      <c r="W246" s="94"/>
      <c r="X246" s="94"/>
      <c r="Y246" s="94"/>
      <c r="Z246" s="94"/>
      <c r="AA246" s="94"/>
      <c r="AB246" s="94"/>
      <c r="AC246" s="94"/>
      <c r="AD246" s="95">
        <v>37.54</v>
      </c>
      <c r="AE246" s="94"/>
      <c r="AF246" s="94"/>
      <c r="AG246" s="95">
        <v>663.12</v>
      </c>
      <c r="AH246" s="95">
        <v>0</v>
      </c>
    </row>
    <row r="247" spans="1:34" ht="15.75" thickBot="1" x14ac:dyDescent="0.3">
      <c r="A247" s="90" t="s">
        <v>869</v>
      </c>
      <c r="B247" s="90" t="s">
        <v>52</v>
      </c>
      <c r="C247" s="90" t="s">
        <v>882</v>
      </c>
      <c r="D247" s="90" t="s">
        <v>663</v>
      </c>
      <c r="E247" s="90" t="s">
        <v>677</v>
      </c>
      <c r="F247" s="90" t="s">
        <v>697</v>
      </c>
      <c r="G247" s="93">
        <v>625.58000000000004</v>
      </c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3">
        <v>625.58000000000004</v>
      </c>
      <c r="W247" s="92"/>
      <c r="X247" s="92"/>
      <c r="Y247" s="92"/>
      <c r="Z247" s="92"/>
      <c r="AA247" s="92"/>
      <c r="AB247" s="92"/>
      <c r="AC247" s="92"/>
      <c r="AD247" s="93">
        <v>37.54</v>
      </c>
      <c r="AE247" s="92"/>
      <c r="AF247" s="92"/>
      <c r="AG247" s="93">
        <v>663.12</v>
      </c>
      <c r="AH247" s="93">
        <v>0</v>
      </c>
    </row>
    <row r="248" spans="1:34" ht="15.75" thickBot="1" x14ac:dyDescent="0.3">
      <c r="A248" s="90" t="s">
        <v>869</v>
      </c>
      <c r="B248" s="90" t="s">
        <v>52</v>
      </c>
      <c r="C248" s="90" t="s">
        <v>882</v>
      </c>
      <c r="D248" s="90" t="s">
        <v>662</v>
      </c>
      <c r="E248" s="90" t="s">
        <v>726</v>
      </c>
      <c r="F248" s="90" t="s">
        <v>522</v>
      </c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3">
        <v>227.66</v>
      </c>
      <c r="AD248" s="93">
        <v>0</v>
      </c>
      <c r="AE248" s="92"/>
      <c r="AF248" s="92"/>
      <c r="AG248" s="93">
        <v>227.66</v>
      </c>
      <c r="AH248" s="93">
        <v>0</v>
      </c>
    </row>
    <row r="249" spans="1:34" ht="15.75" thickBot="1" x14ac:dyDescent="0.3">
      <c r="A249" s="90" t="s">
        <v>869</v>
      </c>
      <c r="B249" s="90" t="s">
        <v>52</v>
      </c>
      <c r="C249" s="90" t="s">
        <v>882</v>
      </c>
      <c r="D249" s="90" t="s">
        <v>662</v>
      </c>
      <c r="E249" s="90" t="s">
        <v>726</v>
      </c>
      <c r="F249" s="90" t="s">
        <v>697</v>
      </c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5">
        <v>227.66</v>
      </c>
      <c r="AD249" s="95">
        <v>0</v>
      </c>
      <c r="AE249" s="94"/>
      <c r="AF249" s="94"/>
      <c r="AG249" s="95">
        <v>227.66</v>
      </c>
      <c r="AH249" s="95">
        <v>0</v>
      </c>
    </row>
    <row r="250" spans="1:34" ht="15.75" thickBot="1" x14ac:dyDescent="0.3">
      <c r="A250" s="90" t="s">
        <v>869</v>
      </c>
      <c r="B250" s="90" t="s">
        <v>52</v>
      </c>
      <c r="C250" s="90" t="s">
        <v>882</v>
      </c>
      <c r="D250" s="90" t="s">
        <v>662</v>
      </c>
      <c r="E250" s="90" t="s">
        <v>518</v>
      </c>
      <c r="F250" s="90" t="s">
        <v>522</v>
      </c>
      <c r="G250" s="93">
        <v>10833</v>
      </c>
      <c r="H250" s="93">
        <v>251813</v>
      </c>
      <c r="I250" s="92"/>
      <c r="J250" s="92"/>
      <c r="K250" s="93">
        <v>10833</v>
      </c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3">
        <v>0</v>
      </c>
      <c r="AE250" s="92"/>
      <c r="AF250" s="92"/>
      <c r="AG250" s="93">
        <v>10833</v>
      </c>
      <c r="AH250" s="93">
        <v>0</v>
      </c>
    </row>
    <row r="251" spans="1:34" ht="15.75" thickBot="1" x14ac:dyDescent="0.3">
      <c r="A251" s="90" t="s">
        <v>869</v>
      </c>
      <c r="B251" s="90" t="s">
        <v>52</v>
      </c>
      <c r="C251" s="90" t="s">
        <v>882</v>
      </c>
      <c r="D251" s="90" t="s">
        <v>662</v>
      </c>
      <c r="E251" s="90" t="s">
        <v>518</v>
      </c>
      <c r="F251" s="90" t="s">
        <v>697</v>
      </c>
      <c r="G251" s="95">
        <v>10833</v>
      </c>
      <c r="H251" s="305">
        <v>251813</v>
      </c>
      <c r="I251" s="94"/>
      <c r="J251" s="94"/>
      <c r="K251" s="95">
        <v>10833</v>
      </c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5">
        <v>0</v>
      </c>
      <c r="AE251" s="94"/>
      <c r="AF251" s="94"/>
      <c r="AG251" s="95">
        <v>10833</v>
      </c>
      <c r="AH251" s="95">
        <v>0</v>
      </c>
    </row>
    <row r="252" spans="1:34" ht="15.75" thickBot="1" x14ac:dyDescent="0.3">
      <c r="A252" s="90" t="s">
        <v>869</v>
      </c>
      <c r="B252" s="90" t="s">
        <v>52</v>
      </c>
      <c r="C252" s="90" t="s">
        <v>882</v>
      </c>
      <c r="D252" s="90" t="s">
        <v>662</v>
      </c>
      <c r="E252" s="90" t="s">
        <v>524</v>
      </c>
      <c r="F252" s="90" t="s">
        <v>522</v>
      </c>
      <c r="G252" s="93">
        <v>550</v>
      </c>
      <c r="H252" s="92"/>
      <c r="I252" s="93">
        <v>550</v>
      </c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3">
        <v>0</v>
      </c>
      <c r="AE252" s="92"/>
      <c r="AF252" s="92"/>
      <c r="AG252" s="93">
        <v>550</v>
      </c>
      <c r="AH252" s="93">
        <v>0</v>
      </c>
    </row>
    <row r="253" spans="1:34" ht="15.75" thickBot="1" x14ac:dyDescent="0.3">
      <c r="A253" s="90" t="s">
        <v>869</v>
      </c>
      <c r="B253" s="90" t="s">
        <v>52</v>
      </c>
      <c r="C253" s="90" t="s">
        <v>882</v>
      </c>
      <c r="D253" s="90" t="s">
        <v>662</v>
      </c>
      <c r="E253" s="90" t="s">
        <v>524</v>
      </c>
      <c r="F253" s="90" t="s">
        <v>697</v>
      </c>
      <c r="G253" s="95">
        <v>550</v>
      </c>
      <c r="H253" s="94"/>
      <c r="I253" s="95">
        <v>550</v>
      </c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5">
        <v>0</v>
      </c>
      <c r="AE253" s="94"/>
      <c r="AF253" s="94"/>
      <c r="AG253" s="95">
        <v>550</v>
      </c>
      <c r="AH253" s="95">
        <v>0</v>
      </c>
    </row>
    <row r="254" spans="1:34" ht="15.75" thickBot="1" x14ac:dyDescent="0.3">
      <c r="A254" s="90" t="s">
        <v>869</v>
      </c>
      <c r="B254" s="90" t="s">
        <v>54</v>
      </c>
      <c r="C254" s="90" t="s">
        <v>55</v>
      </c>
      <c r="D254" s="90" t="s">
        <v>663</v>
      </c>
      <c r="E254" s="90" t="s">
        <v>525</v>
      </c>
      <c r="F254" s="90" t="s">
        <v>690</v>
      </c>
      <c r="G254" s="95">
        <v>-78071.990000000005</v>
      </c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5">
        <v>-78071.990000000005</v>
      </c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5">
        <v>-39.32</v>
      </c>
      <c r="AE254" s="94"/>
      <c r="AF254" s="94"/>
      <c r="AG254" s="95">
        <v>-78111.31</v>
      </c>
      <c r="AH254" s="95">
        <v>0</v>
      </c>
    </row>
    <row r="255" spans="1:34" ht="15.75" thickBot="1" x14ac:dyDescent="0.3">
      <c r="A255" s="90" t="s">
        <v>869</v>
      </c>
      <c r="B255" s="90" t="s">
        <v>54</v>
      </c>
      <c r="C255" s="90" t="s">
        <v>55</v>
      </c>
      <c r="D255" s="90" t="s">
        <v>663</v>
      </c>
      <c r="E255" s="90" t="s">
        <v>525</v>
      </c>
      <c r="F255" s="90" t="s">
        <v>697</v>
      </c>
      <c r="G255" s="93">
        <v>-78071.990000000005</v>
      </c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3">
        <v>-78071.990000000005</v>
      </c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3">
        <v>-39.32</v>
      </c>
      <c r="AE255" s="92"/>
      <c r="AF255" s="92"/>
      <c r="AG255" s="93">
        <v>-78111.31</v>
      </c>
      <c r="AH255" s="93">
        <v>0</v>
      </c>
    </row>
    <row r="256" spans="1:34" ht="15.75" thickBot="1" x14ac:dyDescent="0.3">
      <c r="A256" s="90" t="s">
        <v>869</v>
      </c>
      <c r="B256" s="90" t="s">
        <v>54</v>
      </c>
      <c r="C256" s="90" t="s">
        <v>55</v>
      </c>
      <c r="D256" s="90" t="s">
        <v>663</v>
      </c>
      <c r="E256" s="90" t="s">
        <v>527</v>
      </c>
      <c r="F256" s="90" t="s">
        <v>690</v>
      </c>
      <c r="G256" s="95">
        <v>-12357.45</v>
      </c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5">
        <v>-12357.45</v>
      </c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5">
        <v>-245.16</v>
      </c>
      <c r="AE256" s="94"/>
      <c r="AF256" s="94"/>
      <c r="AG256" s="95">
        <v>-12602.61</v>
      </c>
      <c r="AH256" s="95">
        <v>0</v>
      </c>
    </row>
    <row r="257" spans="1:34" ht="15.75" thickBot="1" x14ac:dyDescent="0.3">
      <c r="A257" s="90" t="s">
        <v>869</v>
      </c>
      <c r="B257" s="90" t="s">
        <v>54</v>
      </c>
      <c r="C257" s="90" t="s">
        <v>55</v>
      </c>
      <c r="D257" s="90" t="s">
        <v>663</v>
      </c>
      <c r="E257" s="90" t="s">
        <v>527</v>
      </c>
      <c r="F257" s="90" t="s">
        <v>697</v>
      </c>
      <c r="G257" s="93">
        <v>-12357.45</v>
      </c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3">
        <v>-12357.45</v>
      </c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3">
        <v>-245.16</v>
      </c>
      <c r="AE257" s="92"/>
      <c r="AF257" s="92"/>
      <c r="AG257" s="93">
        <v>-12602.61</v>
      </c>
      <c r="AH257" s="93">
        <v>0</v>
      </c>
    </row>
    <row r="258" spans="1:34" ht="15.75" thickBot="1" x14ac:dyDescent="0.3">
      <c r="A258" s="90" t="s">
        <v>869</v>
      </c>
      <c r="B258" s="90" t="s">
        <v>54</v>
      </c>
      <c r="C258" s="90" t="s">
        <v>55</v>
      </c>
      <c r="D258" s="90" t="s">
        <v>663</v>
      </c>
      <c r="E258" s="90" t="s">
        <v>672</v>
      </c>
      <c r="F258" s="90" t="s">
        <v>522</v>
      </c>
      <c r="G258" s="95">
        <v>33195.699999999997</v>
      </c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5">
        <v>33195.699999999997</v>
      </c>
      <c r="U258" s="94"/>
      <c r="V258" s="94"/>
      <c r="W258" s="94"/>
      <c r="X258" s="94"/>
      <c r="Y258" s="94"/>
      <c r="Z258" s="94"/>
      <c r="AA258" s="94"/>
      <c r="AB258" s="94"/>
      <c r="AC258" s="94"/>
      <c r="AD258" s="95">
        <v>0</v>
      </c>
      <c r="AE258" s="94"/>
      <c r="AF258" s="94"/>
      <c r="AG258" s="95">
        <v>33195.699999999997</v>
      </c>
      <c r="AH258" s="95">
        <v>0</v>
      </c>
    </row>
    <row r="259" spans="1:34" ht="15.75" thickBot="1" x14ac:dyDescent="0.3">
      <c r="A259" s="90" t="s">
        <v>869</v>
      </c>
      <c r="B259" s="90" t="s">
        <v>54</v>
      </c>
      <c r="C259" s="90" t="s">
        <v>55</v>
      </c>
      <c r="D259" s="90" t="s">
        <v>663</v>
      </c>
      <c r="E259" s="90" t="s">
        <v>672</v>
      </c>
      <c r="F259" s="90" t="s">
        <v>697</v>
      </c>
      <c r="G259" s="93">
        <v>33195.699999999997</v>
      </c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3">
        <v>33195.699999999997</v>
      </c>
      <c r="U259" s="92"/>
      <c r="V259" s="92"/>
      <c r="W259" s="92"/>
      <c r="X259" s="92"/>
      <c r="Y259" s="92"/>
      <c r="Z259" s="92"/>
      <c r="AA259" s="92"/>
      <c r="AB259" s="92"/>
      <c r="AC259" s="92"/>
      <c r="AD259" s="93">
        <v>0</v>
      </c>
      <c r="AE259" s="92"/>
      <c r="AF259" s="92"/>
      <c r="AG259" s="93">
        <v>33195.699999999997</v>
      </c>
      <c r="AH259" s="93">
        <v>0</v>
      </c>
    </row>
    <row r="260" spans="1:34" ht="15.75" thickBot="1" x14ac:dyDescent="0.3">
      <c r="A260" s="90" t="s">
        <v>869</v>
      </c>
      <c r="B260" s="90" t="s">
        <v>54</v>
      </c>
      <c r="C260" s="90" t="s">
        <v>55</v>
      </c>
      <c r="D260" s="90" t="s">
        <v>663</v>
      </c>
      <c r="E260" s="90" t="s">
        <v>524</v>
      </c>
      <c r="F260" s="90" t="s">
        <v>522</v>
      </c>
      <c r="G260" s="95">
        <v>5325</v>
      </c>
      <c r="H260" s="94"/>
      <c r="I260" s="95">
        <v>5325</v>
      </c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5">
        <v>9</v>
      </c>
      <c r="AE260" s="94"/>
      <c r="AF260" s="94"/>
      <c r="AG260" s="95">
        <v>5334</v>
      </c>
      <c r="AH260" s="95">
        <v>0</v>
      </c>
    </row>
    <row r="261" spans="1:34" ht="15.75" thickBot="1" x14ac:dyDescent="0.3">
      <c r="A261" s="90" t="s">
        <v>869</v>
      </c>
      <c r="B261" s="90" t="s">
        <v>54</v>
      </c>
      <c r="C261" s="90" t="s">
        <v>55</v>
      </c>
      <c r="D261" s="90" t="s">
        <v>663</v>
      </c>
      <c r="E261" s="90" t="s">
        <v>524</v>
      </c>
      <c r="F261" s="90" t="s">
        <v>697</v>
      </c>
      <c r="G261" s="93">
        <v>5325</v>
      </c>
      <c r="H261" s="92"/>
      <c r="I261" s="93">
        <v>5325</v>
      </c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3">
        <v>9</v>
      </c>
      <c r="AE261" s="92"/>
      <c r="AF261" s="92"/>
      <c r="AG261" s="93">
        <v>5334</v>
      </c>
      <c r="AH261" s="93">
        <v>0</v>
      </c>
    </row>
    <row r="262" spans="1:34" ht="15.75" thickBot="1" x14ac:dyDescent="0.3">
      <c r="A262" s="90" t="s">
        <v>869</v>
      </c>
      <c r="B262" s="90" t="s">
        <v>54</v>
      </c>
      <c r="C262" s="90" t="s">
        <v>55</v>
      </c>
      <c r="D262" s="90" t="s">
        <v>663</v>
      </c>
      <c r="E262" s="90" t="s">
        <v>676</v>
      </c>
      <c r="F262" s="90" t="s">
        <v>522</v>
      </c>
      <c r="G262" s="95">
        <v>26934.48</v>
      </c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5">
        <v>26934.48</v>
      </c>
      <c r="V262" s="94"/>
      <c r="W262" s="94"/>
      <c r="X262" s="94"/>
      <c r="Y262" s="94"/>
      <c r="Z262" s="94"/>
      <c r="AA262" s="94"/>
      <c r="AB262" s="94"/>
      <c r="AC262" s="94"/>
      <c r="AD262" s="95">
        <v>1031.21</v>
      </c>
      <c r="AE262" s="94"/>
      <c r="AF262" s="94"/>
      <c r="AG262" s="95">
        <v>27965.69</v>
      </c>
      <c r="AH262" s="95">
        <v>0</v>
      </c>
    </row>
    <row r="263" spans="1:34" ht="15.75" thickBot="1" x14ac:dyDescent="0.3">
      <c r="A263" s="90" t="s">
        <v>869</v>
      </c>
      <c r="B263" s="90" t="s">
        <v>54</v>
      </c>
      <c r="C263" s="90" t="s">
        <v>55</v>
      </c>
      <c r="D263" s="90" t="s">
        <v>663</v>
      </c>
      <c r="E263" s="90" t="s">
        <v>676</v>
      </c>
      <c r="F263" s="90" t="s">
        <v>697</v>
      </c>
      <c r="G263" s="93">
        <v>26934.48</v>
      </c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3">
        <v>26934.48</v>
      </c>
      <c r="V263" s="92"/>
      <c r="W263" s="92"/>
      <c r="X263" s="92"/>
      <c r="Y263" s="92"/>
      <c r="Z263" s="92"/>
      <c r="AA263" s="92"/>
      <c r="AB263" s="92"/>
      <c r="AC263" s="92"/>
      <c r="AD263" s="93">
        <v>1031.21</v>
      </c>
      <c r="AE263" s="92"/>
      <c r="AF263" s="92"/>
      <c r="AG263" s="93">
        <v>27965.69</v>
      </c>
      <c r="AH263" s="93">
        <v>0</v>
      </c>
    </row>
    <row r="264" spans="1:34" ht="15.75" thickBot="1" x14ac:dyDescent="0.3">
      <c r="A264" s="90" t="s">
        <v>869</v>
      </c>
      <c r="B264" s="90" t="s">
        <v>54</v>
      </c>
      <c r="C264" s="90" t="s">
        <v>55</v>
      </c>
      <c r="D264" s="90" t="s">
        <v>663</v>
      </c>
      <c r="E264" s="90" t="s">
        <v>677</v>
      </c>
      <c r="F264" s="90" t="s">
        <v>522</v>
      </c>
      <c r="G264" s="95">
        <v>29705.71</v>
      </c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5">
        <v>29705.71</v>
      </c>
      <c r="W264" s="94"/>
      <c r="X264" s="94"/>
      <c r="Y264" s="94"/>
      <c r="Z264" s="94"/>
      <c r="AA264" s="94"/>
      <c r="AB264" s="94"/>
      <c r="AC264" s="94"/>
      <c r="AD264" s="95">
        <v>1137.31</v>
      </c>
      <c r="AE264" s="94"/>
      <c r="AF264" s="94"/>
      <c r="AG264" s="95">
        <v>30843.02</v>
      </c>
      <c r="AH264" s="95">
        <v>0</v>
      </c>
    </row>
    <row r="265" spans="1:34" ht="15.75" thickBot="1" x14ac:dyDescent="0.3">
      <c r="A265" s="90" t="s">
        <v>869</v>
      </c>
      <c r="B265" s="90" t="s">
        <v>54</v>
      </c>
      <c r="C265" s="90" t="s">
        <v>55</v>
      </c>
      <c r="D265" s="90" t="s">
        <v>663</v>
      </c>
      <c r="E265" s="90" t="s">
        <v>677</v>
      </c>
      <c r="F265" s="90" t="s">
        <v>697</v>
      </c>
      <c r="G265" s="93">
        <v>29705.71</v>
      </c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3">
        <v>29705.71</v>
      </c>
      <c r="W265" s="92"/>
      <c r="X265" s="92"/>
      <c r="Y265" s="92"/>
      <c r="Z265" s="92"/>
      <c r="AA265" s="92"/>
      <c r="AB265" s="92"/>
      <c r="AC265" s="92"/>
      <c r="AD265" s="93">
        <v>1137.31</v>
      </c>
      <c r="AE265" s="92"/>
      <c r="AF265" s="92"/>
      <c r="AG265" s="93">
        <v>30843.02</v>
      </c>
      <c r="AH265" s="93">
        <v>0</v>
      </c>
    </row>
    <row r="266" spans="1:34" ht="15.75" thickBot="1" x14ac:dyDescent="0.3">
      <c r="A266" s="90" t="s">
        <v>869</v>
      </c>
      <c r="B266" s="90" t="s">
        <v>45</v>
      </c>
      <c r="C266" s="90" t="s">
        <v>46</v>
      </c>
      <c r="D266" s="90" t="s">
        <v>165</v>
      </c>
      <c r="E266" s="90" t="s">
        <v>726</v>
      </c>
      <c r="F266" s="90" t="s">
        <v>511</v>
      </c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3">
        <v>7278.5</v>
      </c>
      <c r="AD266" s="93">
        <v>0</v>
      </c>
      <c r="AE266" s="92"/>
      <c r="AF266" s="92"/>
      <c r="AG266" s="93">
        <v>7278.5</v>
      </c>
      <c r="AH266" s="93">
        <v>0</v>
      </c>
    </row>
    <row r="267" spans="1:34" ht="15.75" thickBot="1" x14ac:dyDescent="0.3">
      <c r="A267" s="90" t="s">
        <v>869</v>
      </c>
      <c r="B267" s="90" t="s">
        <v>45</v>
      </c>
      <c r="C267" s="90" t="s">
        <v>46</v>
      </c>
      <c r="D267" s="90" t="s">
        <v>165</v>
      </c>
      <c r="E267" s="90" t="s">
        <v>726</v>
      </c>
      <c r="F267" s="90" t="s">
        <v>697</v>
      </c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5">
        <v>7278.5</v>
      </c>
      <c r="AD267" s="95">
        <v>0</v>
      </c>
      <c r="AE267" s="94"/>
      <c r="AF267" s="94"/>
      <c r="AG267" s="95">
        <v>7278.5</v>
      </c>
      <c r="AH267" s="95">
        <v>0</v>
      </c>
    </row>
    <row r="268" spans="1:34" ht="15.75" thickBot="1" x14ac:dyDescent="0.3">
      <c r="A268" s="90" t="s">
        <v>869</v>
      </c>
      <c r="B268" s="90" t="s">
        <v>45</v>
      </c>
      <c r="C268" s="90" t="s">
        <v>46</v>
      </c>
      <c r="D268" s="90" t="s">
        <v>165</v>
      </c>
      <c r="E268" s="90" t="s">
        <v>528</v>
      </c>
      <c r="F268" s="90" t="s">
        <v>698</v>
      </c>
      <c r="G268" s="93">
        <v>180</v>
      </c>
      <c r="H268" s="92"/>
      <c r="I268" s="93">
        <v>180</v>
      </c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3">
        <v>0</v>
      </c>
      <c r="AE268" s="92"/>
      <c r="AF268" s="92"/>
      <c r="AG268" s="93">
        <v>180</v>
      </c>
      <c r="AH268" s="93">
        <v>0</v>
      </c>
    </row>
    <row r="269" spans="1:34" ht="15.75" thickBot="1" x14ac:dyDescent="0.3">
      <c r="A269" s="90" t="s">
        <v>869</v>
      </c>
      <c r="B269" s="90" t="s">
        <v>45</v>
      </c>
      <c r="C269" s="90" t="s">
        <v>46</v>
      </c>
      <c r="D269" s="90" t="s">
        <v>165</v>
      </c>
      <c r="E269" s="90" t="s">
        <v>528</v>
      </c>
      <c r="F269" s="90" t="s">
        <v>697</v>
      </c>
      <c r="G269" s="95">
        <v>180</v>
      </c>
      <c r="H269" s="94"/>
      <c r="I269" s="95">
        <v>180</v>
      </c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5">
        <v>0</v>
      </c>
      <c r="AE269" s="94"/>
      <c r="AF269" s="94"/>
      <c r="AG269" s="95">
        <v>180</v>
      </c>
      <c r="AH269" s="95">
        <v>0</v>
      </c>
    </row>
    <row r="270" spans="1:34" ht="15.75" thickBot="1" x14ac:dyDescent="0.3">
      <c r="A270" s="90" t="s">
        <v>869</v>
      </c>
      <c r="B270" s="90" t="s">
        <v>45</v>
      </c>
      <c r="C270" s="90" t="s">
        <v>46</v>
      </c>
      <c r="D270" s="90" t="s">
        <v>165</v>
      </c>
      <c r="E270" s="90" t="s">
        <v>547</v>
      </c>
      <c r="F270" s="90" t="s">
        <v>698</v>
      </c>
      <c r="G270" s="93">
        <v>186513.62</v>
      </c>
      <c r="H270" s="92"/>
      <c r="I270" s="92"/>
      <c r="J270" s="93">
        <v>186513.62</v>
      </c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3">
        <v>0</v>
      </c>
      <c r="AE270" s="92"/>
      <c r="AF270" s="92"/>
      <c r="AG270" s="93">
        <v>186513.62</v>
      </c>
      <c r="AH270" s="93">
        <v>0</v>
      </c>
    </row>
    <row r="271" spans="1:34" ht="15.75" thickBot="1" x14ac:dyDescent="0.3">
      <c r="A271" s="90" t="s">
        <v>869</v>
      </c>
      <c r="B271" s="90" t="s">
        <v>45</v>
      </c>
      <c r="C271" s="90" t="s">
        <v>46</v>
      </c>
      <c r="D271" s="90" t="s">
        <v>165</v>
      </c>
      <c r="E271" s="90" t="s">
        <v>547</v>
      </c>
      <c r="F271" s="90" t="s">
        <v>697</v>
      </c>
      <c r="G271" s="95">
        <v>186513.62</v>
      </c>
      <c r="H271" s="94"/>
      <c r="I271" s="94"/>
      <c r="J271" s="95">
        <v>186513.62</v>
      </c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5">
        <v>0</v>
      </c>
      <c r="AE271" s="94"/>
      <c r="AF271" s="94"/>
      <c r="AG271" s="95">
        <v>186513.62</v>
      </c>
      <c r="AH271" s="95">
        <v>0</v>
      </c>
    </row>
    <row r="272" spans="1:34" ht="15.75" thickBot="1" x14ac:dyDescent="0.3">
      <c r="A272" s="90" t="s">
        <v>869</v>
      </c>
      <c r="B272" s="90" t="s">
        <v>45</v>
      </c>
      <c r="C272" s="90" t="s">
        <v>46</v>
      </c>
      <c r="D272" s="90" t="s">
        <v>165</v>
      </c>
      <c r="E272" s="90" t="s">
        <v>518</v>
      </c>
      <c r="F272" s="90" t="s">
        <v>698</v>
      </c>
      <c r="G272" s="93">
        <v>16516.8</v>
      </c>
      <c r="H272" s="93">
        <v>496149</v>
      </c>
      <c r="I272" s="92"/>
      <c r="J272" s="92"/>
      <c r="K272" s="93">
        <v>16516.8</v>
      </c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3">
        <v>0</v>
      </c>
      <c r="AE272" s="92"/>
      <c r="AF272" s="92"/>
      <c r="AG272" s="93">
        <v>16516.8</v>
      </c>
      <c r="AH272" s="93">
        <v>0</v>
      </c>
    </row>
    <row r="273" spans="1:34" ht="15.75" thickBot="1" x14ac:dyDescent="0.3">
      <c r="A273" s="90" t="s">
        <v>869</v>
      </c>
      <c r="B273" s="90" t="s">
        <v>45</v>
      </c>
      <c r="C273" s="90" t="s">
        <v>46</v>
      </c>
      <c r="D273" s="90" t="s">
        <v>165</v>
      </c>
      <c r="E273" s="90" t="s">
        <v>518</v>
      </c>
      <c r="F273" s="90" t="s">
        <v>697</v>
      </c>
      <c r="G273" s="95">
        <v>16516.8</v>
      </c>
      <c r="H273" s="305">
        <v>496149</v>
      </c>
      <c r="I273" s="94"/>
      <c r="J273" s="94"/>
      <c r="K273" s="95">
        <v>16516.8</v>
      </c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5">
        <v>0</v>
      </c>
      <c r="AE273" s="94"/>
      <c r="AF273" s="94"/>
      <c r="AG273" s="95">
        <v>16516.8</v>
      </c>
      <c r="AH273" s="95">
        <v>0</v>
      </c>
    </row>
    <row r="274" spans="1:34" ht="15.75" thickBot="1" x14ac:dyDescent="0.3">
      <c r="A274" s="90" t="s">
        <v>869</v>
      </c>
      <c r="B274" s="90" t="s">
        <v>45</v>
      </c>
      <c r="C274" s="90" t="s">
        <v>46</v>
      </c>
      <c r="D274" s="90" t="s">
        <v>165</v>
      </c>
      <c r="E274" s="90" t="s">
        <v>673</v>
      </c>
      <c r="F274" s="90" t="s">
        <v>511</v>
      </c>
      <c r="G274" s="93">
        <v>245.08</v>
      </c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3">
        <v>245.08</v>
      </c>
      <c r="Y274" s="92"/>
      <c r="Z274" s="92"/>
      <c r="AA274" s="92"/>
      <c r="AB274" s="92"/>
      <c r="AC274" s="92"/>
      <c r="AD274" s="93">
        <v>0</v>
      </c>
      <c r="AE274" s="92"/>
      <c r="AF274" s="92"/>
      <c r="AG274" s="93">
        <v>245.08</v>
      </c>
      <c r="AH274" s="93">
        <v>0</v>
      </c>
    </row>
    <row r="275" spans="1:34" ht="15.75" thickBot="1" x14ac:dyDescent="0.3">
      <c r="A275" s="90" t="s">
        <v>869</v>
      </c>
      <c r="B275" s="90" t="s">
        <v>45</v>
      </c>
      <c r="C275" s="90" t="s">
        <v>46</v>
      </c>
      <c r="D275" s="90" t="s">
        <v>165</v>
      </c>
      <c r="E275" s="90" t="s">
        <v>673</v>
      </c>
      <c r="F275" s="90" t="s">
        <v>697</v>
      </c>
      <c r="G275" s="95">
        <v>245.08</v>
      </c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5">
        <v>245.08</v>
      </c>
      <c r="Y275" s="94"/>
      <c r="Z275" s="94"/>
      <c r="AA275" s="94"/>
      <c r="AB275" s="94"/>
      <c r="AC275" s="94"/>
      <c r="AD275" s="95">
        <v>0</v>
      </c>
      <c r="AE275" s="94"/>
      <c r="AF275" s="94"/>
      <c r="AG275" s="95">
        <v>245.08</v>
      </c>
      <c r="AH275" s="95">
        <v>0</v>
      </c>
    </row>
    <row r="276" spans="1:34" ht="15.75" thickBot="1" x14ac:dyDescent="0.3">
      <c r="A276" s="90" t="s">
        <v>869</v>
      </c>
      <c r="B276" s="90" t="s">
        <v>45</v>
      </c>
      <c r="C276" s="90" t="s">
        <v>46</v>
      </c>
      <c r="D276" s="90" t="s">
        <v>165</v>
      </c>
      <c r="E276" s="90" t="s">
        <v>196</v>
      </c>
      <c r="F276" s="90" t="s">
        <v>511</v>
      </c>
      <c r="G276" s="93">
        <v>160469.47</v>
      </c>
      <c r="H276" s="92"/>
      <c r="I276" s="92"/>
      <c r="J276" s="92"/>
      <c r="K276" s="92"/>
      <c r="L276" s="92"/>
      <c r="M276" s="92"/>
      <c r="N276" s="92"/>
      <c r="O276" s="92"/>
      <c r="P276" s="93">
        <v>160469.47</v>
      </c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3">
        <v>0</v>
      </c>
      <c r="AE276" s="92"/>
      <c r="AF276" s="92"/>
      <c r="AG276" s="93">
        <v>160469.47</v>
      </c>
      <c r="AH276" s="93">
        <v>0</v>
      </c>
    </row>
    <row r="277" spans="1:34" ht="15.75" thickBot="1" x14ac:dyDescent="0.3">
      <c r="A277" s="90" t="s">
        <v>869</v>
      </c>
      <c r="B277" s="90" t="s">
        <v>45</v>
      </c>
      <c r="C277" s="90" t="s">
        <v>46</v>
      </c>
      <c r="D277" s="90" t="s">
        <v>165</v>
      </c>
      <c r="E277" s="90" t="s">
        <v>196</v>
      </c>
      <c r="F277" s="90" t="s">
        <v>697</v>
      </c>
      <c r="G277" s="95">
        <v>160469.47</v>
      </c>
      <c r="H277" s="94"/>
      <c r="I277" s="94"/>
      <c r="J277" s="94"/>
      <c r="K277" s="94"/>
      <c r="L277" s="94"/>
      <c r="M277" s="94"/>
      <c r="N277" s="94"/>
      <c r="O277" s="94"/>
      <c r="P277" s="95">
        <v>160469.47</v>
      </c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5">
        <v>0</v>
      </c>
      <c r="AE277" s="94"/>
      <c r="AF277" s="94"/>
      <c r="AG277" s="95">
        <v>160469.47</v>
      </c>
      <c r="AH277" s="95">
        <v>0</v>
      </c>
    </row>
    <row r="278" spans="1:34" ht="15.75" thickBot="1" x14ac:dyDescent="0.3">
      <c r="A278" s="90" t="s">
        <v>869</v>
      </c>
      <c r="B278" s="90" t="s">
        <v>57</v>
      </c>
      <c r="C278" s="90" t="s">
        <v>58</v>
      </c>
      <c r="D278" s="90" t="s">
        <v>664</v>
      </c>
      <c r="E278" s="90" t="s">
        <v>726</v>
      </c>
      <c r="F278" s="90" t="s">
        <v>511</v>
      </c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5">
        <v>2149.46</v>
      </c>
      <c r="AD278" s="95">
        <v>0</v>
      </c>
      <c r="AE278" s="94"/>
      <c r="AF278" s="94"/>
      <c r="AG278" s="95">
        <v>2149.46</v>
      </c>
      <c r="AH278" s="95">
        <v>0</v>
      </c>
    </row>
    <row r="279" spans="1:34" ht="15.75" thickBot="1" x14ac:dyDescent="0.3">
      <c r="A279" s="90" t="s">
        <v>869</v>
      </c>
      <c r="B279" s="90" t="s">
        <v>57</v>
      </c>
      <c r="C279" s="90" t="s">
        <v>58</v>
      </c>
      <c r="D279" s="90" t="s">
        <v>664</v>
      </c>
      <c r="E279" s="90" t="s">
        <v>726</v>
      </c>
      <c r="F279" s="90" t="s">
        <v>697</v>
      </c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3">
        <v>2149.46</v>
      </c>
      <c r="AD279" s="93">
        <v>0</v>
      </c>
      <c r="AE279" s="92"/>
      <c r="AF279" s="92"/>
      <c r="AG279" s="93">
        <v>2149.46</v>
      </c>
      <c r="AH279" s="93">
        <v>0</v>
      </c>
    </row>
    <row r="280" spans="1:34" ht="15.75" thickBot="1" x14ac:dyDescent="0.3">
      <c r="A280" s="90" t="s">
        <v>869</v>
      </c>
      <c r="B280" s="90" t="s">
        <v>57</v>
      </c>
      <c r="C280" s="90" t="s">
        <v>58</v>
      </c>
      <c r="D280" s="90" t="s">
        <v>664</v>
      </c>
      <c r="E280" s="90" t="s">
        <v>525</v>
      </c>
      <c r="F280" s="90" t="s">
        <v>698</v>
      </c>
      <c r="G280" s="95">
        <v>-1145.25</v>
      </c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5">
        <v>-1145.25</v>
      </c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5">
        <v>0</v>
      </c>
      <c r="AE280" s="94"/>
      <c r="AF280" s="94"/>
      <c r="AG280" s="95">
        <v>-1145.25</v>
      </c>
      <c r="AH280" s="95">
        <v>0</v>
      </c>
    </row>
    <row r="281" spans="1:34" ht="15.75" thickBot="1" x14ac:dyDescent="0.3">
      <c r="A281" s="90" t="s">
        <v>869</v>
      </c>
      <c r="B281" s="90" t="s">
        <v>57</v>
      </c>
      <c r="C281" s="90" t="s">
        <v>58</v>
      </c>
      <c r="D281" s="90" t="s">
        <v>664</v>
      </c>
      <c r="E281" s="90" t="s">
        <v>525</v>
      </c>
      <c r="F281" s="90" t="s">
        <v>697</v>
      </c>
      <c r="G281" s="93">
        <v>-1145.25</v>
      </c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3">
        <v>-1145.25</v>
      </c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3">
        <v>0</v>
      </c>
      <c r="AE281" s="92"/>
      <c r="AF281" s="92"/>
      <c r="AG281" s="93">
        <v>-1145.25</v>
      </c>
      <c r="AH281" s="93">
        <v>0</v>
      </c>
    </row>
    <row r="282" spans="1:34" ht="15.75" thickBot="1" x14ac:dyDescent="0.3">
      <c r="A282" s="90" t="s">
        <v>869</v>
      </c>
      <c r="B282" s="90" t="s">
        <v>57</v>
      </c>
      <c r="C282" s="90" t="s">
        <v>58</v>
      </c>
      <c r="D282" s="90" t="s">
        <v>664</v>
      </c>
      <c r="E282" s="90" t="s">
        <v>528</v>
      </c>
      <c r="F282" s="90" t="s">
        <v>698</v>
      </c>
      <c r="G282" s="95">
        <v>800</v>
      </c>
      <c r="H282" s="94"/>
      <c r="I282" s="95">
        <v>800</v>
      </c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5">
        <v>0</v>
      </c>
      <c r="AE282" s="94"/>
      <c r="AF282" s="94"/>
      <c r="AG282" s="95">
        <v>800</v>
      </c>
      <c r="AH282" s="95">
        <v>0</v>
      </c>
    </row>
    <row r="283" spans="1:34" ht="15.75" thickBot="1" x14ac:dyDescent="0.3">
      <c r="A283" s="90" t="s">
        <v>869</v>
      </c>
      <c r="B283" s="90" t="s">
        <v>57</v>
      </c>
      <c r="C283" s="90" t="s">
        <v>58</v>
      </c>
      <c r="D283" s="90" t="s">
        <v>664</v>
      </c>
      <c r="E283" s="90" t="s">
        <v>528</v>
      </c>
      <c r="F283" s="90" t="s">
        <v>697</v>
      </c>
      <c r="G283" s="93">
        <v>800</v>
      </c>
      <c r="H283" s="92"/>
      <c r="I283" s="93">
        <v>800</v>
      </c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3">
        <v>0</v>
      </c>
      <c r="AE283" s="92"/>
      <c r="AF283" s="92"/>
      <c r="AG283" s="93">
        <v>800</v>
      </c>
      <c r="AH283" s="93">
        <v>0</v>
      </c>
    </row>
    <row r="284" spans="1:34" ht="15.75" thickBot="1" x14ac:dyDescent="0.3">
      <c r="A284" s="90" t="s">
        <v>869</v>
      </c>
      <c r="B284" s="90" t="s">
        <v>57</v>
      </c>
      <c r="C284" s="90" t="s">
        <v>58</v>
      </c>
      <c r="D284" s="90" t="s">
        <v>664</v>
      </c>
      <c r="E284" s="90" t="s">
        <v>518</v>
      </c>
      <c r="F284" s="90" t="s">
        <v>511</v>
      </c>
      <c r="G284" s="95">
        <v>478.56</v>
      </c>
      <c r="H284" s="95">
        <v>96290</v>
      </c>
      <c r="I284" s="94"/>
      <c r="J284" s="94"/>
      <c r="K284" s="95">
        <v>478.56</v>
      </c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5">
        <v>0</v>
      </c>
      <c r="AE284" s="94"/>
      <c r="AF284" s="94"/>
      <c r="AG284" s="95">
        <v>478.56</v>
      </c>
      <c r="AH284" s="95">
        <v>0</v>
      </c>
    </row>
    <row r="285" spans="1:34" ht="15.75" thickBot="1" x14ac:dyDescent="0.3">
      <c r="A285" s="90" t="s">
        <v>869</v>
      </c>
      <c r="B285" s="90" t="s">
        <v>57</v>
      </c>
      <c r="C285" s="90" t="s">
        <v>58</v>
      </c>
      <c r="D285" s="90" t="s">
        <v>664</v>
      </c>
      <c r="E285" s="90" t="s">
        <v>518</v>
      </c>
      <c r="F285" s="90" t="s">
        <v>697</v>
      </c>
      <c r="G285" s="93">
        <v>478.56</v>
      </c>
      <c r="H285" s="304">
        <v>96290</v>
      </c>
      <c r="I285" s="92"/>
      <c r="J285" s="92"/>
      <c r="K285" s="93">
        <v>478.56</v>
      </c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3">
        <v>0</v>
      </c>
      <c r="AE285" s="92"/>
      <c r="AF285" s="92"/>
      <c r="AG285" s="93">
        <v>478.56</v>
      </c>
      <c r="AH285" s="93">
        <v>0</v>
      </c>
    </row>
    <row r="286" spans="1:34" ht="15.75" thickBot="1" x14ac:dyDescent="0.3">
      <c r="A286" s="90" t="s">
        <v>869</v>
      </c>
      <c r="B286" s="90" t="s">
        <v>57</v>
      </c>
      <c r="C286" s="90" t="s">
        <v>58</v>
      </c>
      <c r="D286" s="90" t="s">
        <v>664</v>
      </c>
      <c r="E286" s="90" t="s">
        <v>529</v>
      </c>
      <c r="F286" s="90" t="s">
        <v>511</v>
      </c>
      <c r="G286" s="95">
        <v>107140.32</v>
      </c>
      <c r="H286" s="94"/>
      <c r="I286" s="94"/>
      <c r="J286" s="95">
        <v>107140.32</v>
      </c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5">
        <v>0</v>
      </c>
      <c r="AE286" s="94"/>
      <c r="AF286" s="94"/>
      <c r="AG286" s="95">
        <v>107140.32</v>
      </c>
      <c r="AH286" s="95">
        <v>0</v>
      </c>
    </row>
    <row r="287" spans="1:34" ht="15.75" thickBot="1" x14ac:dyDescent="0.3">
      <c r="A287" s="90" t="s">
        <v>869</v>
      </c>
      <c r="B287" s="90" t="s">
        <v>57</v>
      </c>
      <c r="C287" s="90" t="s">
        <v>58</v>
      </c>
      <c r="D287" s="90" t="s">
        <v>664</v>
      </c>
      <c r="E287" s="90" t="s">
        <v>529</v>
      </c>
      <c r="F287" s="90" t="s">
        <v>697</v>
      </c>
      <c r="G287" s="93">
        <v>107140.32</v>
      </c>
      <c r="H287" s="92"/>
      <c r="I287" s="92"/>
      <c r="J287" s="93">
        <v>107140.32</v>
      </c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3">
        <v>0</v>
      </c>
      <c r="AE287" s="92"/>
      <c r="AF287" s="92"/>
      <c r="AG287" s="93">
        <v>107140.32</v>
      </c>
      <c r="AH287" s="93">
        <v>0</v>
      </c>
    </row>
    <row r="288" spans="1:34" ht="15.75" thickBot="1" x14ac:dyDescent="0.3">
      <c r="A288" s="90" t="s">
        <v>869</v>
      </c>
      <c r="B288" s="90" t="s">
        <v>57</v>
      </c>
      <c r="C288" s="90" t="s">
        <v>58</v>
      </c>
      <c r="D288" s="90" t="s">
        <v>664</v>
      </c>
      <c r="E288" s="90" t="s">
        <v>676</v>
      </c>
      <c r="F288" s="90" t="s">
        <v>511</v>
      </c>
      <c r="G288" s="95">
        <v>94.75</v>
      </c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5">
        <v>94.75</v>
      </c>
      <c r="V288" s="94"/>
      <c r="W288" s="94"/>
      <c r="X288" s="94"/>
      <c r="Y288" s="94"/>
      <c r="Z288" s="94"/>
      <c r="AA288" s="94"/>
      <c r="AB288" s="94"/>
      <c r="AC288" s="94"/>
      <c r="AD288" s="95">
        <v>0</v>
      </c>
      <c r="AE288" s="94"/>
      <c r="AF288" s="94"/>
      <c r="AG288" s="95">
        <v>94.75</v>
      </c>
      <c r="AH288" s="95">
        <v>0</v>
      </c>
    </row>
    <row r="289" spans="1:34" ht="15.75" thickBot="1" x14ac:dyDescent="0.3">
      <c r="A289" s="90" t="s">
        <v>869</v>
      </c>
      <c r="B289" s="90" t="s">
        <v>57</v>
      </c>
      <c r="C289" s="90" t="s">
        <v>58</v>
      </c>
      <c r="D289" s="90" t="s">
        <v>664</v>
      </c>
      <c r="E289" s="90" t="s">
        <v>676</v>
      </c>
      <c r="F289" s="90" t="s">
        <v>697</v>
      </c>
      <c r="G289" s="93">
        <v>94.75</v>
      </c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3">
        <v>94.75</v>
      </c>
      <c r="V289" s="92"/>
      <c r="W289" s="92"/>
      <c r="X289" s="92"/>
      <c r="Y289" s="92"/>
      <c r="Z289" s="92"/>
      <c r="AA289" s="92"/>
      <c r="AB289" s="92"/>
      <c r="AC289" s="92"/>
      <c r="AD289" s="93">
        <v>0</v>
      </c>
      <c r="AE289" s="92"/>
      <c r="AF289" s="92"/>
      <c r="AG289" s="93">
        <v>94.75</v>
      </c>
      <c r="AH289" s="93">
        <v>0</v>
      </c>
    </row>
    <row r="290" spans="1:34" ht="15.75" thickBot="1" x14ac:dyDescent="0.3">
      <c r="A290" s="90" t="s">
        <v>869</v>
      </c>
      <c r="B290" s="90" t="s">
        <v>57</v>
      </c>
      <c r="C290" s="90" t="s">
        <v>58</v>
      </c>
      <c r="D290" s="90" t="s">
        <v>664</v>
      </c>
      <c r="E290" s="90" t="s">
        <v>677</v>
      </c>
      <c r="F290" s="90" t="s">
        <v>511</v>
      </c>
      <c r="G290" s="95">
        <v>104.5</v>
      </c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5">
        <v>104.5</v>
      </c>
      <c r="W290" s="94"/>
      <c r="X290" s="94"/>
      <c r="Y290" s="94"/>
      <c r="Z290" s="94"/>
      <c r="AA290" s="94"/>
      <c r="AB290" s="94"/>
      <c r="AC290" s="94"/>
      <c r="AD290" s="95">
        <v>0</v>
      </c>
      <c r="AE290" s="94"/>
      <c r="AF290" s="94"/>
      <c r="AG290" s="95">
        <v>104.5</v>
      </c>
      <c r="AH290" s="95">
        <v>0</v>
      </c>
    </row>
    <row r="291" spans="1:34" ht="15.75" thickBot="1" x14ac:dyDescent="0.3">
      <c r="A291" s="90" t="s">
        <v>869</v>
      </c>
      <c r="B291" s="90" t="s">
        <v>57</v>
      </c>
      <c r="C291" s="90" t="s">
        <v>58</v>
      </c>
      <c r="D291" s="90" t="s">
        <v>664</v>
      </c>
      <c r="E291" s="90" t="s">
        <v>677</v>
      </c>
      <c r="F291" s="90" t="s">
        <v>697</v>
      </c>
      <c r="G291" s="93">
        <v>104.5</v>
      </c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3">
        <v>104.5</v>
      </c>
      <c r="W291" s="92"/>
      <c r="X291" s="92"/>
      <c r="Y291" s="92"/>
      <c r="Z291" s="92"/>
      <c r="AA291" s="92"/>
      <c r="AB291" s="92"/>
      <c r="AC291" s="92"/>
      <c r="AD291" s="93">
        <v>0</v>
      </c>
      <c r="AE291" s="92"/>
      <c r="AF291" s="92"/>
      <c r="AG291" s="93">
        <v>104.5</v>
      </c>
      <c r="AH291" s="93">
        <v>0</v>
      </c>
    </row>
    <row r="292" spans="1:34" ht="15.75" thickBot="1" x14ac:dyDescent="0.3">
      <c r="A292" s="90" t="s">
        <v>869</v>
      </c>
      <c r="B292" s="90" t="s">
        <v>35</v>
      </c>
      <c r="C292" s="90" t="s">
        <v>36</v>
      </c>
      <c r="D292" s="90" t="s">
        <v>17</v>
      </c>
      <c r="E292" s="90" t="s">
        <v>726</v>
      </c>
      <c r="F292" s="90" t="s">
        <v>686</v>
      </c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3">
        <v>13.02</v>
      </c>
      <c r="AD292" s="93">
        <v>0.74</v>
      </c>
      <c r="AE292" s="92"/>
      <c r="AF292" s="92"/>
      <c r="AG292" s="93">
        <v>13.76</v>
      </c>
      <c r="AH292" s="93">
        <v>0</v>
      </c>
    </row>
    <row r="293" spans="1:34" ht="15.75" thickBot="1" x14ac:dyDescent="0.3">
      <c r="A293" s="90" t="s">
        <v>869</v>
      </c>
      <c r="B293" s="90" t="s">
        <v>35</v>
      </c>
      <c r="C293" s="90" t="s">
        <v>36</v>
      </c>
      <c r="D293" s="90" t="s">
        <v>17</v>
      </c>
      <c r="E293" s="90" t="s">
        <v>726</v>
      </c>
      <c r="F293" s="90" t="s">
        <v>697</v>
      </c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5">
        <v>13.02</v>
      </c>
      <c r="AD293" s="95">
        <v>0.74</v>
      </c>
      <c r="AE293" s="94"/>
      <c r="AF293" s="94"/>
      <c r="AG293" s="95">
        <v>13.76</v>
      </c>
      <c r="AH293" s="95">
        <v>0</v>
      </c>
    </row>
    <row r="294" spans="1:34" ht="15.75" thickBot="1" x14ac:dyDescent="0.3">
      <c r="A294" s="90" t="s">
        <v>869</v>
      </c>
      <c r="B294" s="90" t="s">
        <v>35</v>
      </c>
      <c r="C294" s="90" t="s">
        <v>36</v>
      </c>
      <c r="D294" s="90" t="s">
        <v>17</v>
      </c>
      <c r="E294" s="90" t="s">
        <v>528</v>
      </c>
      <c r="F294" s="90" t="s">
        <v>686</v>
      </c>
      <c r="G294" s="93">
        <v>175.5</v>
      </c>
      <c r="H294" s="92"/>
      <c r="I294" s="93">
        <v>175.5</v>
      </c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3">
        <v>9.75</v>
      </c>
      <c r="AE294" s="92"/>
      <c r="AF294" s="92"/>
      <c r="AG294" s="93">
        <v>185.25</v>
      </c>
      <c r="AH294" s="93">
        <v>0</v>
      </c>
    </row>
    <row r="295" spans="1:34" ht="15.75" thickBot="1" x14ac:dyDescent="0.3">
      <c r="A295" s="90" t="s">
        <v>869</v>
      </c>
      <c r="B295" s="90" t="s">
        <v>35</v>
      </c>
      <c r="C295" s="90" t="s">
        <v>36</v>
      </c>
      <c r="D295" s="90" t="s">
        <v>17</v>
      </c>
      <c r="E295" s="90" t="s">
        <v>528</v>
      </c>
      <c r="F295" s="90" t="s">
        <v>697</v>
      </c>
      <c r="G295" s="95">
        <v>175.5</v>
      </c>
      <c r="H295" s="94"/>
      <c r="I295" s="95">
        <v>175.5</v>
      </c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5">
        <v>9.75</v>
      </c>
      <c r="AE295" s="94"/>
      <c r="AF295" s="94"/>
      <c r="AG295" s="95">
        <v>185.25</v>
      </c>
      <c r="AH295" s="95">
        <v>0</v>
      </c>
    </row>
    <row r="296" spans="1:34" ht="15.75" thickBot="1" x14ac:dyDescent="0.3">
      <c r="A296" s="90" t="s">
        <v>869</v>
      </c>
      <c r="B296" s="90" t="s">
        <v>35</v>
      </c>
      <c r="C296" s="90" t="s">
        <v>36</v>
      </c>
      <c r="D296" s="90" t="s">
        <v>17</v>
      </c>
      <c r="E296" s="90" t="s">
        <v>518</v>
      </c>
      <c r="F296" s="90" t="s">
        <v>686</v>
      </c>
      <c r="G296" s="93">
        <v>211.75</v>
      </c>
      <c r="H296" s="93">
        <v>738</v>
      </c>
      <c r="I296" s="92"/>
      <c r="J296" s="92"/>
      <c r="K296" s="93">
        <v>211.75</v>
      </c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3">
        <v>12.37</v>
      </c>
      <c r="AE296" s="92"/>
      <c r="AF296" s="92"/>
      <c r="AG296" s="93">
        <v>224.12</v>
      </c>
      <c r="AH296" s="93">
        <v>0</v>
      </c>
    </row>
    <row r="297" spans="1:34" ht="15.75" thickBot="1" x14ac:dyDescent="0.3">
      <c r="A297" s="90" t="s">
        <v>869</v>
      </c>
      <c r="B297" s="90" t="s">
        <v>35</v>
      </c>
      <c r="C297" s="90" t="s">
        <v>36</v>
      </c>
      <c r="D297" s="90" t="s">
        <v>17</v>
      </c>
      <c r="E297" s="90" t="s">
        <v>518</v>
      </c>
      <c r="F297" s="90" t="s">
        <v>697</v>
      </c>
      <c r="G297" s="95">
        <v>211.75</v>
      </c>
      <c r="H297" s="305">
        <v>738</v>
      </c>
      <c r="I297" s="94"/>
      <c r="J297" s="94"/>
      <c r="K297" s="95">
        <v>211.75</v>
      </c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5">
        <v>12.37</v>
      </c>
      <c r="AE297" s="94"/>
      <c r="AF297" s="94"/>
      <c r="AG297" s="95">
        <v>224.12</v>
      </c>
      <c r="AH297" s="95">
        <v>0</v>
      </c>
    </row>
    <row r="298" spans="1:34" ht="15.75" thickBot="1" x14ac:dyDescent="0.3">
      <c r="A298" s="90" t="s">
        <v>869</v>
      </c>
      <c r="B298" s="90" t="s">
        <v>35</v>
      </c>
      <c r="C298" s="90" t="s">
        <v>36</v>
      </c>
      <c r="D298" s="90" t="s">
        <v>17</v>
      </c>
      <c r="E298" s="90" t="s">
        <v>727</v>
      </c>
      <c r="F298" s="90" t="s">
        <v>686</v>
      </c>
      <c r="G298" s="93">
        <v>6.68</v>
      </c>
      <c r="H298" s="92"/>
      <c r="I298" s="92"/>
      <c r="J298" s="92"/>
      <c r="K298" s="92"/>
      <c r="L298" s="92"/>
      <c r="M298" s="92"/>
      <c r="N298" s="92"/>
      <c r="O298" s="93">
        <v>6.68</v>
      </c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3">
        <v>0.39</v>
      </c>
      <c r="AE298" s="92"/>
      <c r="AF298" s="92"/>
      <c r="AG298" s="93">
        <v>7.07</v>
      </c>
      <c r="AH298" s="93">
        <v>0</v>
      </c>
    </row>
    <row r="299" spans="1:34" ht="15.75" thickBot="1" x14ac:dyDescent="0.3">
      <c r="A299" s="90" t="s">
        <v>869</v>
      </c>
      <c r="B299" s="90" t="s">
        <v>35</v>
      </c>
      <c r="C299" s="90" t="s">
        <v>36</v>
      </c>
      <c r="D299" s="90" t="s">
        <v>17</v>
      </c>
      <c r="E299" s="90" t="s">
        <v>727</v>
      </c>
      <c r="F299" s="90" t="s">
        <v>697</v>
      </c>
      <c r="G299" s="95">
        <v>6.68</v>
      </c>
      <c r="H299" s="94"/>
      <c r="I299" s="94"/>
      <c r="J299" s="94"/>
      <c r="K299" s="94"/>
      <c r="L299" s="94"/>
      <c r="M299" s="94"/>
      <c r="N299" s="94"/>
      <c r="O299" s="95">
        <v>6.68</v>
      </c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5">
        <v>0.39</v>
      </c>
      <c r="AE299" s="94"/>
      <c r="AF299" s="94"/>
      <c r="AG299" s="95">
        <v>7.07</v>
      </c>
      <c r="AH299" s="95">
        <v>0</v>
      </c>
    </row>
    <row r="300" spans="1:34" ht="15.75" thickBot="1" x14ac:dyDescent="0.3">
      <c r="A300" s="90" t="s">
        <v>869</v>
      </c>
      <c r="B300" s="90" t="s">
        <v>35</v>
      </c>
      <c r="C300" s="90" t="s">
        <v>36</v>
      </c>
      <c r="D300" s="90" t="s">
        <v>17</v>
      </c>
      <c r="E300" s="90" t="s">
        <v>728</v>
      </c>
      <c r="F300" s="90" t="s">
        <v>686</v>
      </c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3">
        <v>3.25</v>
      </c>
      <c r="AC300" s="92"/>
      <c r="AD300" s="93">
        <v>0</v>
      </c>
      <c r="AE300" s="92"/>
      <c r="AF300" s="92"/>
      <c r="AG300" s="93">
        <v>3.25</v>
      </c>
      <c r="AH300" s="93">
        <v>0</v>
      </c>
    </row>
    <row r="301" spans="1:34" ht="15.75" thickBot="1" x14ac:dyDescent="0.3">
      <c r="A301" s="90" t="s">
        <v>869</v>
      </c>
      <c r="B301" s="90" t="s">
        <v>35</v>
      </c>
      <c r="C301" s="90" t="s">
        <v>36</v>
      </c>
      <c r="D301" s="90" t="s">
        <v>17</v>
      </c>
      <c r="E301" s="90" t="s">
        <v>728</v>
      </c>
      <c r="F301" s="90" t="s">
        <v>697</v>
      </c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5">
        <v>3.25</v>
      </c>
      <c r="AC301" s="94"/>
      <c r="AD301" s="95">
        <v>0</v>
      </c>
      <c r="AE301" s="94"/>
      <c r="AF301" s="94"/>
      <c r="AG301" s="95">
        <v>3.25</v>
      </c>
      <c r="AH301" s="95">
        <v>0</v>
      </c>
    </row>
    <row r="302" spans="1:34" ht="15.75" thickBot="1" x14ac:dyDescent="0.3">
      <c r="A302" s="90" t="s">
        <v>869</v>
      </c>
      <c r="B302" s="90" t="s">
        <v>35</v>
      </c>
      <c r="C302" s="90" t="s">
        <v>36</v>
      </c>
      <c r="D302" s="90" t="s">
        <v>17</v>
      </c>
      <c r="E302" s="90" t="s">
        <v>673</v>
      </c>
      <c r="F302" s="90" t="s">
        <v>686</v>
      </c>
      <c r="G302" s="93">
        <v>63.05</v>
      </c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3">
        <v>63.05</v>
      </c>
      <c r="Y302" s="92"/>
      <c r="Z302" s="92"/>
      <c r="AA302" s="92"/>
      <c r="AB302" s="92"/>
      <c r="AC302" s="92"/>
      <c r="AD302" s="93">
        <v>3.5</v>
      </c>
      <c r="AE302" s="92"/>
      <c r="AF302" s="92"/>
      <c r="AG302" s="93">
        <v>66.55</v>
      </c>
      <c r="AH302" s="93">
        <v>0</v>
      </c>
    </row>
    <row r="303" spans="1:34" ht="15.75" thickBot="1" x14ac:dyDescent="0.3">
      <c r="A303" s="90" t="s">
        <v>869</v>
      </c>
      <c r="B303" s="90" t="s">
        <v>35</v>
      </c>
      <c r="C303" s="90" t="s">
        <v>36</v>
      </c>
      <c r="D303" s="90" t="s">
        <v>17</v>
      </c>
      <c r="E303" s="90" t="s">
        <v>673</v>
      </c>
      <c r="F303" s="90" t="s">
        <v>697</v>
      </c>
      <c r="G303" s="95">
        <v>63.05</v>
      </c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5">
        <v>63.05</v>
      </c>
      <c r="Y303" s="94"/>
      <c r="Z303" s="94"/>
      <c r="AA303" s="94"/>
      <c r="AB303" s="94"/>
      <c r="AC303" s="94"/>
      <c r="AD303" s="95">
        <v>3.5</v>
      </c>
      <c r="AE303" s="94"/>
      <c r="AF303" s="94"/>
      <c r="AG303" s="95">
        <v>66.55</v>
      </c>
      <c r="AH303" s="95">
        <v>0</v>
      </c>
    </row>
    <row r="304" spans="1:34" ht="15.75" thickBot="1" x14ac:dyDescent="0.3">
      <c r="A304" s="90" t="s">
        <v>869</v>
      </c>
      <c r="B304" s="90" t="s">
        <v>35</v>
      </c>
      <c r="C304" s="90" t="s">
        <v>36</v>
      </c>
      <c r="D304" s="90" t="s">
        <v>17</v>
      </c>
      <c r="E304" s="90" t="s">
        <v>196</v>
      </c>
      <c r="F304" s="90" t="s">
        <v>686</v>
      </c>
      <c r="G304" s="93">
        <v>238.68</v>
      </c>
      <c r="H304" s="92"/>
      <c r="I304" s="92"/>
      <c r="J304" s="92"/>
      <c r="K304" s="92"/>
      <c r="L304" s="92"/>
      <c r="M304" s="92"/>
      <c r="N304" s="92"/>
      <c r="O304" s="92"/>
      <c r="P304" s="93">
        <v>238.68</v>
      </c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3">
        <v>13.95</v>
      </c>
      <c r="AE304" s="92"/>
      <c r="AF304" s="92"/>
      <c r="AG304" s="93">
        <v>252.63</v>
      </c>
      <c r="AH304" s="93">
        <v>0</v>
      </c>
    </row>
    <row r="305" spans="1:34" ht="15.75" thickBot="1" x14ac:dyDescent="0.3">
      <c r="A305" s="90" t="s">
        <v>869</v>
      </c>
      <c r="B305" s="90" t="s">
        <v>35</v>
      </c>
      <c r="C305" s="90" t="s">
        <v>36</v>
      </c>
      <c r="D305" s="90" t="s">
        <v>17</v>
      </c>
      <c r="E305" s="90" t="s">
        <v>196</v>
      </c>
      <c r="F305" s="90" t="s">
        <v>697</v>
      </c>
      <c r="G305" s="95">
        <v>238.68</v>
      </c>
      <c r="H305" s="94"/>
      <c r="I305" s="94"/>
      <c r="J305" s="94"/>
      <c r="K305" s="94"/>
      <c r="L305" s="94"/>
      <c r="M305" s="94"/>
      <c r="N305" s="94"/>
      <c r="O305" s="94"/>
      <c r="P305" s="95">
        <v>238.68</v>
      </c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95">
        <v>13.95</v>
      </c>
      <c r="AE305" s="94"/>
      <c r="AF305" s="94"/>
      <c r="AG305" s="95">
        <v>252.63</v>
      </c>
      <c r="AH305" s="95">
        <v>0</v>
      </c>
    </row>
    <row r="306" spans="1:34" ht="15.75" thickBot="1" x14ac:dyDescent="0.3">
      <c r="A306" s="90" t="s">
        <v>869</v>
      </c>
      <c r="B306" s="90" t="s">
        <v>35</v>
      </c>
      <c r="C306" s="90" t="s">
        <v>36</v>
      </c>
      <c r="D306" s="90" t="s">
        <v>17</v>
      </c>
      <c r="E306" s="90" t="s">
        <v>674</v>
      </c>
      <c r="F306" s="90" t="s">
        <v>686</v>
      </c>
      <c r="G306" s="93">
        <v>68.989999999999995</v>
      </c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3">
        <v>68.989999999999995</v>
      </c>
      <c r="Z306" s="92"/>
      <c r="AA306" s="92"/>
      <c r="AB306" s="92"/>
      <c r="AC306" s="92"/>
      <c r="AD306" s="93">
        <v>3.8</v>
      </c>
      <c r="AE306" s="92"/>
      <c r="AF306" s="92"/>
      <c r="AG306" s="93">
        <v>72.790000000000006</v>
      </c>
      <c r="AH306" s="93">
        <v>0</v>
      </c>
    </row>
    <row r="307" spans="1:34" ht="15.75" thickBot="1" x14ac:dyDescent="0.3">
      <c r="A307" s="90" t="s">
        <v>869</v>
      </c>
      <c r="B307" s="90" t="s">
        <v>35</v>
      </c>
      <c r="C307" s="90" t="s">
        <v>36</v>
      </c>
      <c r="D307" s="90" t="s">
        <v>17</v>
      </c>
      <c r="E307" s="90" t="s">
        <v>674</v>
      </c>
      <c r="F307" s="90" t="s">
        <v>697</v>
      </c>
      <c r="G307" s="95">
        <v>68.989999999999995</v>
      </c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5">
        <v>68.989999999999995</v>
      </c>
      <c r="Z307" s="94"/>
      <c r="AA307" s="94"/>
      <c r="AB307" s="94"/>
      <c r="AC307" s="94"/>
      <c r="AD307" s="95">
        <v>3.8</v>
      </c>
      <c r="AE307" s="94"/>
      <c r="AF307" s="94"/>
      <c r="AG307" s="95">
        <v>72.790000000000006</v>
      </c>
      <c r="AH307" s="95">
        <v>0</v>
      </c>
    </row>
    <row r="308" spans="1:34" ht="15.75" thickBot="1" x14ac:dyDescent="0.3">
      <c r="A308" s="90" t="s">
        <v>869</v>
      </c>
      <c r="B308" s="90" t="s">
        <v>35</v>
      </c>
      <c r="C308" s="90" t="s">
        <v>36</v>
      </c>
      <c r="D308" s="90" t="s">
        <v>20</v>
      </c>
      <c r="E308" s="90" t="s">
        <v>726</v>
      </c>
      <c r="F308" s="90" t="s">
        <v>686</v>
      </c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3">
        <v>49.06</v>
      </c>
      <c r="AD308" s="93">
        <v>0</v>
      </c>
      <c r="AE308" s="92"/>
      <c r="AF308" s="92"/>
      <c r="AG308" s="93">
        <v>49.06</v>
      </c>
      <c r="AH308" s="93">
        <v>0</v>
      </c>
    </row>
    <row r="309" spans="1:34" ht="15.75" thickBot="1" x14ac:dyDescent="0.3">
      <c r="A309" s="90" t="s">
        <v>869</v>
      </c>
      <c r="B309" s="90" t="s">
        <v>35</v>
      </c>
      <c r="C309" s="90" t="s">
        <v>36</v>
      </c>
      <c r="D309" s="90" t="s">
        <v>20</v>
      </c>
      <c r="E309" s="90" t="s">
        <v>726</v>
      </c>
      <c r="F309" s="90" t="s">
        <v>697</v>
      </c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5">
        <v>49.06</v>
      </c>
      <c r="AD309" s="95">
        <v>0</v>
      </c>
      <c r="AE309" s="94"/>
      <c r="AF309" s="94"/>
      <c r="AG309" s="95">
        <v>49.06</v>
      </c>
      <c r="AH309" s="95">
        <v>0</v>
      </c>
    </row>
    <row r="310" spans="1:34" ht="15.75" thickBot="1" x14ac:dyDescent="0.3">
      <c r="A310" s="90" t="s">
        <v>869</v>
      </c>
      <c r="B310" s="90" t="s">
        <v>35</v>
      </c>
      <c r="C310" s="90" t="s">
        <v>36</v>
      </c>
      <c r="D310" s="90" t="s">
        <v>20</v>
      </c>
      <c r="E310" s="90" t="s">
        <v>528</v>
      </c>
      <c r="F310" s="90" t="s">
        <v>686</v>
      </c>
      <c r="G310" s="93">
        <v>870.3</v>
      </c>
      <c r="H310" s="92"/>
      <c r="I310" s="93">
        <v>870.3</v>
      </c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3">
        <v>1.2</v>
      </c>
      <c r="AE310" s="92"/>
      <c r="AF310" s="92"/>
      <c r="AG310" s="93">
        <v>871.5</v>
      </c>
      <c r="AH310" s="93">
        <v>0</v>
      </c>
    </row>
    <row r="311" spans="1:34" ht="15.75" thickBot="1" x14ac:dyDescent="0.3">
      <c r="A311" s="90" t="s">
        <v>869</v>
      </c>
      <c r="B311" s="90" t="s">
        <v>35</v>
      </c>
      <c r="C311" s="90" t="s">
        <v>36</v>
      </c>
      <c r="D311" s="90" t="s">
        <v>20</v>
      </c>
      <c r="E311" s="90" t="s">
        <v>528</v>
      </c>
      <c r="F311" s="90" t="s">
        <v>697</v>
      </c>
      <c r="G311" s="95">
        <v>870.3</v>
      </c>
      <c r="H311" s="94"/>
      <c r="I311" s="95">
        <v>870.3</v>
      </c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  <c r="AC311" s="94"/>
      <c r="AD311" s="95">
        <v>1.2</v>
      </c>
      <c r="AE311" s="94"/>
      <c r="AF311" s="94"/>
      <c r="AG311" s="95">
        <v>871.5</v>
      </c>
      <c r="AH311" s="95">
        <v>0</v>
      </c>
    </row>
    <row r="312" spans="1:34" ht="15.75" thickBot="1" x14ac:dyDescent="0.3">
      <c r="A312" s="90" t="s">
        <v>869</v>
      </c>
      <c r="B312" s="90" t="s">
        <v>35</v>
      </c>
      <c r="C312" s="90" t="s">
        <v>36</v>
      </c>
      <c r="D312" s="90" t="s">
        <v>20</v>
      </c>
      <c r="E312" s="90" t="s">
        <v>518</v>
      </c>
      <c r="F312" s="90" t="s">
        <v>686</v>
      </c>
      <c r="G312" s="93">
        <v>1148.8499999999999</v>
      </c>
      <c r="H312" s="93">
        <v>4004</v>
      </c>
      <c r="I312" s="92"/>
      <c r="J312" s="92"/>
      <c r="K312" s="93">
        <v>1148.8499999999999</v>
      </c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3">
        <v>5.58</v>
      </c>
      <c r="AE312" s="92"/>
      <c r="AF312" s="92"/>
      <c r="AG312" s="93">
        <v>1154.43</v>
      </c>
      <c r="AH312" s="93">
        <v>0</v>
      </c>
    </row>
    <row r="313" spans="1:34" ht="15.75" thickBot="1" x14ac:dyDescent="0.3">
      <c r="A313" s="90" t="s">
        <v>869</v>
      </c>
      <c r="B313" s="90" t="s">
        <v>35</v>
      </c>
      <c r="C313" s="90" t="s">
        <v>36</v>
      </c>
      <c r="D313" s="90" t="s">
        <v>20</v>
      </c>
      <c r="E313" s="90" t="s">
        <v>518</v>
      </c>
      <c r="F313" s="90" t="s">
        <v>697</v>
      </c>
      <c r="G313" s="95">
        <v>1148.8499999999999</v>
      </c>
      <c r="H313" s="305">
        <v>4004</v>
      </c>
      <c r="I313" s="94"/>
      <c r="J313" s="94"/>
      <c r="K313" s="95">
        <v>1148.8499999999999</v>
      </c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95">
        <v>5.58</v>
      </c>
      <c r="AE313" s="94"/>
      <c r="AF313" s="94"/>
      <c r="AG313" s="95">
        <v>1154.43</v>
      </c>
      <c r="AH313" s="95">
        <v>0</v>
      </c>
    </row>
    <row r="314" spans="1:34" ht="15.75" thickBot="1" x14ac:dyDescent="0.3">
      <c r="A314" s="90" t="s">
        <v>869</v>
      </c>
      <c r="B314" s="90" t="s">
        <v>35</v>
      </c>
      <c r="C314" s="90" t="s">
        <v>36</v>
      </c>
      <c r="D314" s="90" t="s">
        <v>20</v>
      </c>
      <c r="E314" s="90" t="s">
        <v>727</v>
      </c>
      <c r="F314" s="90" t="s">
        <v>686</v>
      </c>
      <c r="G314" s="93">
        <v>36.29</v>
      </c>
      <c r="H314" s="92"/>
      <c r="I314" s="92"/>
      <c r="J314" s="92"/>
      <c r="K314" s="92"/>
      <c r="L314" s="92"/>
      <c r="M314" s="92"/>
      <c r="N314" s="92"/>
      <c r="O314" s="93">
        <v>36.29</v>
      </c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3">
        <v>0.18</v>
      </c>
      <c r="AE314" s="92"/>
      <c r="AF314" s="92"/>
      <c r="AG314" s="93">
        <v>36.47</v>
      </c>
      <c r="AH314" s="93">
        <v>0</v>
      </c>
    </row>
    <row r="315" spans="1:34" ht="15.75" thickBot="1" x14ac:dyDescent="0.3">
      <c r="A315" s="90" t="s">
        <v>869</v>
      </c>
      <c r="B315" s="90" t="s">
        <v>35</v>
      </c>
      <c r="C315" s="90" t="s">
        <v>36</v>
      </c>
      <c r="D315" s="90" t="s">
        <v>20</v>
      </c>
      <c r="E315" s="90" t="s">
        <v>727</v>
      </c>
      <c r="F315" s="90" t="s">
        <v>697</v>
      </c>
      <c r="G315" s="95">
        <v>36.29</v>
      </c>
      <c r="H315" s="94"/>
      <c r="I315" s="94"/>
      <c r="J315" s="94"/>
      <c r="K315" s="94"/>
      <c r="L315" s="94"/>
      <c r="M315" s="94"/>
      <c r="N315" s="94"/>
      <c r="O315" s="95">
        <v>36.29</v>
      </c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95">
        <v>0.18</v>
      </c>
      <c r="AE315" s="94"/>
      <c r="AF315" s="94"/>
      <c r="AG315" s="95">
        <v>36.47</v>
      </c>
      <c r="AH315" s="95">
        <v>0</v>
      </c>
    </row>
    <row r="316" spans="1:34" ht="15.75" thickBot="1" x14ac:dyDescent="0.3">
      <c r="A316" s="90" t="s">
        <v>869</v>
      </c>
      <c r="B316" s="90" t="s">
        <v>35</v>
      </c>
      <c r="C316" s="90" t="s">
        <v>36</v>
      </c>
      <c r="D316" s="90" t="s">
        <v>20</v>
      </c>
      <c r="E316" s="90" t="s">
        <v>728</v>
      </c>
      <c r="F316" s="90" t="s">
        <v>686</v>
      </c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3">
        <v>16.5</v>
      </c>
      <c r="AC316" s="92"/>
      <c r="AD316" s="93">
        <v>0</v>
      </c>
      <c r="AE316" s="92"/>
      <c r="AF316" s="92"/>
      <c r="AG316" s="93">
        <v>16.5</v>
      </c>
      <c r="AH316" s="93">
        <v>0</v>
      </c>
    </row>
    <row r="317" spans="1:34" ht="15.75" thickBot="1" x14ac:dyDescent="0.3">
      <c r="A317" s="90" t="s">
        <v>869</v>
      </c>
      <c r="B317" s="90" t="s">
        <v>35</v>
      </c>
      <c r="C317" s="90" t="s">
        <v>36</v>
      </c>
      <c r="D317" s="90" t="s">
        <v>20</v>
      </c>
      <c r="E317" s="90" t="s">
        <v>728</v>
      </c>
      <c r="F317" s="90" t="s">
        <v>697</v>
      </c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5">
        <v>16.5</v>
      </c>
      <c r="AC317" s="94"/>
      <c r="AD317" s="95">
        <v>0</v>
      </c>
      <c r="AE317" s="94"/>
      <c r="AF317" s="94"/>
      <c r="AG317" s="95">
        <v>16.5</v>
      </c>
      <c r="AH317" s="95">
        <v>0</v>
      </c>
    </row>
    <row r="318" spans="1:34" ht="15.75" thickBot="1" x14ac:dyDescent="0.3">
      <c r="A318" s="90" t="s">
        <v>869</v>
      </c>
      <c r="B318" s="90" t="s">
        <v>35</v>
      </c>
      <c r="C318" s="90" t="s">
        <v>36</v>
      </c>
      <c r="D318" s="90" t="s">
        <v>20</v>
      </c>
      <c r="E318" s="90" t="s">
        <v>673</v>
      </c>
      <c r="F318" s="90" t="s">
        <v>686</v>
      </c>
      <c r="G318" s="93">
        <v>312.47000000000003</v>
      </c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3">
        <v>312.47000000000003</v>
      </c>
      <c r="Y318" s="92"/>
      <c r="Z318" s="92"/>
      <c r="AA318" s="92"/>
      <c r="AB318" s="92"/>
      <c r="AC318" s="92"/>
      <c r="AD318" s="93">
        <v>0.45</v>
      </c>
      <c r="AE318" s="92"/>
      <c r="AF318" s="92"/>
      <c r="AG318" s="93">
        <v>312.92</v>
      </c>
      <c r="AH318" s="93">
        <v>0</v>
      </c>
    </row>
    <row r="319" spans="1:34" ht="15.75" thickBot="1" x14ac:dyDescent="0.3">
      <c r="A319" s="90" t="s">
        <v>869</v>
      </c>
      <c r="B319" s="90" t="s">
        <v>35</v>
      </c>
      <c r="C319" s="90" t="s">
        <v>36</v>
      </c>
      <c r="D319" s="90" t="s">
        <v>20</v>
      </c>
      <c r="E319" s="90" t="s">
        <v>673</v>
      </c>
      <c r="F319" s="90" t="s">
        <v>697</v>
      </c>
      <c r="G319" s="95">
        <v>312.47000000000003</v>
      </c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5">
        <v>312.47000000000003</v>
      </c>
      <c r="Y319" s="94"/>
      <c r="Z319" s="94"/>
      <c r="AA319" s="94"/>
      <c r="AB319" s="94"/>
      <c r="AC319" s="94"/>
      <c r="AD319" s="95">
        <v>0.45</v>
      </c>
      <c r="AE319" s="94"/>
      <c r="AF319" s="94"/>
      <c r="AG319" s="95">
        <v>312.92</v>
      </c>
      <c r="AH319" s="95">
        <v>0</v>
      </c>
    </row>
    <row r="320" spans="1:34" ht="15.75" thickBot="1" x14ac:dyDescent="0.3">
      <c r="A320" s="90" t="s">
        <v>869</v>
      </c>
      <c r="B320" s="90" t="s">
        <v>35</v>
      </c>
      <c r="C320" s="90" t="s">
        <v>36</v>
      </c>
      <c r="D320" s="90" t="s">
        <v>20</v>
      </c>
      <c r="E320" s="90" t="s">
        <v>196</v>
      </c>
      <c r="F320" s="90" t="s">
        <v>686</v>
      </c>
      <c r="G320" s="93">
        <v>1289.1099999999999</v>
      </c>
      <c r="H320" s="92"/>
      <c r="I320" s="92"/>
      <c r="J320" s="92"/>
      <c r="K320" s="92"/>
      <c r="L320" s="92"/>
      <c r="M320" s="92"/>
      <c r="N320" s="92"/>
      <c r="O320" s="92"/>
      <c r="P320" s="93">
        <v>1289.1099999999999</v>
      </c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3">
        <v>6.29</v>
      </c>
      <c r="AE320" s="92"/>
      <c r="AF320" s="92"/>
      <c r="AG320" s="93">
        <v>1295.4000000000001</v>
      </c>
      <c r="AH320" s="93">
        <v>0</v>
      </c>
    </row>
    <row r="321" spans="1:34" ht="15.75" thickBot="1" x14ac:dyDescent="0.3">
      <c r="A321" s="90" t="s">
        <v>869</v>
      </c>
      <c r="B321" s="90" t="s">
        <v>35</v>
      </c>
      <c r="C321" s="90" t="s">
        <v>36</v>
      </c>
      <c r="D321" s="90" t="s">
        <v>20</v>
      </c>
      <c r="E321" s="90" t="s">
        <v>196</v>
      </c>
      <c r="F321" s="90" t="s">
        <v>697</v>
      </c>
      <c r="G321" s="95">
        <v>1289.1099999999999</v>
      </c>
      <c r="H321" s="94"/>
      <c r="I321" s="94"/>
      <c r="J321" s="94"/>
      <c r="K321" s="94"/>
      <c r="L321" s="94"/>
      <c r="M321" s="94"/>
      <c r="N321" s="94"/>
      <c r="O321" s="94"/>
      <c r="P321" s="95">
        <v>1289.1099999999999</v>
      </c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95">
        <v>6.29</v>
      </c>
      <c r="AE321" s="94"/>
      <c r="AF321" s="94"/>
      <c r="AG321" s="95">
        <v>1295.4000000000001</v>
      </c>
      <c r="AH321" s="95">
        <v>0</v>
      </c>
    </row>
    <row r="322" spans="1:34" ht="15.75" thickBot="1" x14ac:dyDescent="0.3">
      <c r="A322" s="90" t="s">
        <v>869</v>
      </c>
      <c r="B322" s="90" t="s">
        <v>35</v>
      </c>
      <c r="C322" s="90" t="s">
        <v>36</v>
      </c>
      <c r="D322" s="90" t="s">
        <v>20</v>
      </c>
      <c r="E322" s="90" t="s">
        <v>674</v>
      </c>
      <c r="F322" s="90" t="s">
        <v>686</v>
      </c>
      <c r="G322" s="93">
        <v>424.29</v>
      </c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3">
        <v>424.29</v>
      </c>
      <c r="Z322" s="92"/>
      <c r="AA322" s="92"/>
      <c r="AB322" s="92"/>
      <c r="AC322" s="92"/>
      <c r="AD322" s="93">
        <v>3.31</v>
      </c>
      <c r="AE322" s="92"/>
      <c r="AF322" s="92"/>
      <c r="AG322" s="93">
        <v>427.6</v>
      </c>
      <c r="AH322" s="93">
        <v>0</v>
      </c>
    </row>
    <row r="323" spans="1:34" ht="15.75" thickBot="1" x14ac:dyDescent="0.3">
      <c r="A323" s="90" t="s">
        <v>869</v>
      </c>
      <c r="B323" s="90" t="s">
        <v>35</v>
      </c>
      <c r="C323" s="90" t="s">
        <v>36</v>
      </c>
      <c r="D323" s="90" t="s">
        <v>20</v>
      </c>
      <c r="E323" s="90" t="s">
        <v>674</v>
      </c>
      <c r="F323" s="90" t="s">
        <v>697</v>
      </c>
      <c r="G323" s="95">
        <v>424.29</v>
      </c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5">
        <v>424.29</v>
      </c>
      <c r="Z323" s="94"/>
      <c r="AA323" s="94"/>
      <c r="AB323" s="94"/>
      <c r="AC323" s="94"/>
      <c r="AD323" s="95">
        <v>3.31</v>
      </c>
      <c r="AE323" s="94"/>
      <c r="AF323" s="94"/>
      <c r="AG323" s="95">
        <v>427.6</v>
      </c>
      <c r="AH323" s="95">
        <v>0</v>
      </c>
    </row>
    <row r="324" spans="1:34" ht="15.75" thickBot="1" x14ac:dyDescent="0.3">
      <c r="A324" s="90" t="s">
        <v>869</v>
      </c>
      <c r="B324" s="90" t="s">
        <v>35</v>
      </c>
      <c r="C324" s="90" t="s">
        <v>36</v>
      </c>
      <c r="D324" s="90" t="s">
        <v>28</v>
      </c>
      <c r="E324" s="90" t="s">
        <v>919</v>
      </c>
      <c r="F324" s="90" t="s">
        <v>686</v>
      </c>
      <c r="G324" s="93">
        <v>0.91</v>
      </c>
      <c r="H324" s="92"/>
      <c r="I324" s="93">
        <v>0.91</v>
      </c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3">
        <v>0</v>
      </c>
      <c r="AE324" s="92"/>
      <c r="AF324" s="92"/>
      <c r="AG324" s="93">
        <v>0.91</v>
      </c>
      <c r="AH324" s="93">
        <v>0</v>
      </c>
    </row>
    <row r="325" spans="1:34" ht="15.75" thickBot="1" x14ac:dyDescent="0.3">
      <c r="A325" s="90" t="s">
        <v>869</v>
      </c>
      <c r="B325" s="90" t="s">
        <v>35</v>
      </c>
      <c r="C325" s="90" t="s">
        <v>36</v>
      </c>
      <c r="D325" s="90" t="s">
        <v>28</v>
      </c>
      <c r="E325" s="90" t="s">
        <v>919</v>
      </c>
      <c r="F325" s="90" t="s">
        <v>697</v>
      </c>
      <c r="G325" s="95">
        <v>0.91</v>
      </c>
      <c r="H325" s="94"/>
      <c r="I325" s="95">
        <v>0.91</v>
      </c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95">
        <v>0</v>
      </c>
      <c r="AE325" s="94"/>
      <c r="AF325" s="94"/>
      <c r="AG325" s="95">
        <v>0.91</v>
      </c>
      <c r="AH325" s="95">
        <v>0</v>
      </c>
    </row>
    <row r="326" spans="1:34" ht="15.75" thickBot="1" x14ac:dyDescent="0.3">
      <c r="A326" s="90" t="s">
        <v>869</v>
      </c>
      <c r="B326" s="90" t="s">
        <v>35</v>
      </c>
      <c r="C326" s="90" t="s">
        <v>36</v>
      </c>
      <c r="D326" s="90" t="s">
        <v>28</v>
      </c>
      <c r="E326" s="90" t="s">
        <v>726</v>
      </c>
      <c r="F326" s="90" t="s">
        <v>686</v>
      </c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3">
        <v>317496.73</v>
      </c>
      <c r="AD326" s="93">
        <v>0.06</v>
      </c>
      <c r="AE326" s="92"/>
      <c r="AF326" s="92"/>
      <c r="AG326" s="93">
        <v>317496.78999999998</v>
      </c>
      <c r="AH326" s="93">
        <v>0</v>
      </c>
    </row>
    <row r="327" spans="1:34" ht="15.75" thickBot="1" x14ac:dyDescent="0.3">
      <c r="A327" s="90" t="s">
        <v>869</v>
      </c>
      <c r="B327" s="90" t="s">
        <v>35</v>
      </c>
      <c r="C327" s="90" t="s">
        <v>36</v>
      </c>
      <c r="D327" s="90" t="s">
        <v>28</v>
      </c>
      <c r="E327" s="90" t="s">
        <v>726</v>
      </c>
      <c r="F327" s="90" t="s">
        <v>697</v>
      </c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5">
        <v>317496.73</v>
      </c>
      <c r="AD327" s="95">
        <v>0.06</v>
      </c>
      <c r="AE327" s="94"/>
      <c r="AF327" s="94"/>
      <c r="AG327" s="95">
        <v>317496.78999999998</v>
      </c>
      <c r="AH327" s="95">
        <v>0</v>
      </c>
    </row>
    <row r="328" spans="1:34" ht="15.75" thickBot="1" x14ac:dyDescent="0.3">
      <c r="A328" s="90" t="s">
        <v>869</v>
      </c>
      <c r="B328" s="90" t="s">
        <v>35</v>
      </c>
      <c r="C328" s="90" t="s">
        <v>36</v>
      </c>
      <c r="D328" s="90" t="s">
        <v>28</v>
      </c>
      <c r="E328" s="90" t="s">
        <v>528</v>
      </c>
      <c r="F328" s="90" t="s">
        <v>686</v>
      </c>
      <c r="G328" s="93">
        <v>4088042.71</v>
      </c>
      <c r="H328" s="92"/>
      <c r="I328" s="93">
        <v>4088042.71</v>
      </c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3">
        <v>16836.349999999999</v>
      </c>
      <c r="AE328" s="92"/>
      <c r="AF328" s="92"/>
      <c r="AG328" s="93">
        <v>4104879.06</v>
      </c>
      <c r="AH328" s="93">
        <v>0</v>
      </c>
    </row>
    <row r="329" spans="1:34" ht="15.75" thickBot="1" x14ac:dyDescent="0.3">
      <c r="A329" s="90" t="s">
        <v>869</v>
      </c>
      <c r="B329" s="90" t="s">
        <v>35</v>
      </c>
      <c r="C329" s="90" t="s">
        <v>36</v>
      </c>
      <c r="D329" s="90" t="s">
        <v>28</v>
      </c>
      <c r="E329" s="90" t="s">
        <v>528</v>
      </c>
      <c r="F329" s="90" t="s">
        <v>697</v>
      </c>
      <c r="G329" s="95">
        <v>4088042.71</v>
      </c>
      <c r="H329" s="94"/>
      <c r="I329" s="95">
        <v>4088042.71</v>
      </c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95">
        <v>16836.349999999999</v>
      </c>
      <c r="AE329" s="94"/>
      <c r="AF329" s="94"/>
      <c r="AG329" s="95">
        <v>4104879.06</v>
      </c>
      <c r="AH329" s="95">
        <v>0</v>
      </c>
    </row>
    <row r="330" spans="1:34" ht="15.75" thickBot="1" x14ac:dyDescent="0.3">
      <c r="A330" s="90" t="s">
        <v>869</v>
      </c>
      <c r="B330" s="90" t="s">
        <v>35</v>
      </c>
      <c r="C330" s="90" t="s">
        <v>36</v>
      </c>
      <c r="D330" s="90" t="s">
        <v>28</v>
      </c>
      <c r="E330" s="90" t="s">
        <v>518</v>
      </c>
      <c r="F330" s="90" t="s">
        <v>686</v>
      </c>
      <c r="G330" s="93">
        <v>7157040.2400000002</v>
      </c>
      <c r="H330" s="93">
        <v>24943488</v>
      </c>
      <c r="I330" s="92"/>
      <c r="J330" s="92"/>
      <c r="K330" s="93">
        <v>7157040.2400000002</v>
      </c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3">
        <v>30710.29</v>
      </c>
      <c r="AE330" s="92"/>
      <c r="AF330" s="92"/>
      <c r="AG330" s="93">
        <v>7187750.5300000003</v>
      </c>
      <c r="AH330" s="93">
        <v>0</v>
      </c>
    </row>
    <row r="331" spans="1:34" ht="15.75" thickBot="1" x14ac:dyDescent="0.3">
      <c r="A331" s="90" t="s">
        <v>869</v>
      </c>
      <c r="B331" s="90" t="s">
        <v>35</v>
      </c>
      <c r="C331" s="90" t="s">
        <v>36</v>
      </c>
      <c r="D331" s="90" t="s">
        <v>28</v>
      </c>
      <c r="E331" s="90" t="s">
        <v>518</v>
      </c>
      <c r="F331" s="90" t="s">
        <v>697</v>
      </c>
      <c r="G331" s="95">
        <v>7157040.2400000002</v>
      </c>
      <c r="H331" s="305">
        <v>24943488</v>
      </c>
      <c r="I331" s="94"/>
      <c r="J331" s="94"/>
      <c r="K331" s="95">
        <v>7157040.2400000002</v>
      </c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95">
        <v>30710.29</v>
      </c>
      <c r="AE331" s="94"/>
      <c r="AF331" s="94"/>
      <c r="AG331" s="95">
        <v>7187750.5300000003</v>
      </c>
      <c r="AH331" s="95">
        <v>0</v>
      </c>
    </row>
    <row r="332" spans="1:34" ht="15.75" thickBot="1" x14ac:dyDescent="0.3">
      <c r="A332" s="90" t="s">
        <v>869</v>
      </c>
      <c r="B332" s="90" t="s">
        <v>35</v>
      </c>
      <c r="C332" s="90" t="s">
        <v>36</v>
      </c>
      <c r="D332" s="90" t="s">
        <v>28</v>
      </c>
      <c r="E332" s="90" t="s">
        <v>727</v>
      </c>
      <c r="F332" s="90" t="s">
        <v>686</v>
      </c>
      <c r="G332" s="93">
        <v>226235.32</v>
      </c>
      <c r="H332" s="92"/>
      <c r="I332" s="92"/>
      <c r="J332" s="92"/>
      <c r="K332" s="92"/>
      <c r="L332" s="92"/>
      <c r="M332" s="92"/>
      <c r="N332" s="92"/>
      <c r="O332" s="93">
        <v>226235.32</v>
      </c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3">
        <v>967.93</v>
      </c>
      <c r="AE332" s="92"/>
      <c r="AF332" s="92"/>
      <c r="AG332" s="93">
        <v>227203.25</v>
      </c>
      <c r="AH332" s="93">
        <v>0</v>
      </c>
    </row>
    <row r="333" spans="1:34" ht="15.75" thickBot="1" x14ac:dyDescent="0.3">
      <c r="A333" s="90" t="s">
        <v>869</v>
      </c>
      <c r="B333" s="90" t="s">
        <v>35</v>
      </c>
      <c r="C333" s="90" t="s">
        <v>36</v>
      </c>
      <c r="D333" s="90" t="s">
        <v>28</v>
      </c>
      <c r="E333" s="90" t="s">
        <v>727</v>
      </c>
      <c r="F333" s="90" t="s">
        <v>697</v>
      </c>
      <c r="G333" s="95">
        <v>226235.32</v>
      </c>
      <c r="H333" s="94"/>
      <c r="I333" s="94"/>
      <c r="J333" s="94"/>
      <c r="K333" s="94"/>
      <c r="L333" s="94"/>
      <c r="M333" s="94"/>
      <c r="N333" s="94"/>
      <c r="O333" s="95">
        <v>226235.32</v>
      </c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95">
        <v>967.93</v>
      </c>
      <c r="AE333" s="94"/>
      <c r="AF333" s="94"/>
      <c r="AG333" s="95">
        <v>227203.25</v>
      </c>
      <c r="AH333" s="95">
        <v>0</v>
      </c>
    </row>
    <row r="334" spans="1:34" ht="15.75" thickBot="1" x14ac:dyDescent="0.3">
      <c r="A334" s="90" t="s">
        <v>869</v>
      </c>
      <c r="B334" s="90" t="s">
        <v>35</v>
      </c>
      <c r="C334" s="90" t="s">
        <v>36</v>
      </c>
      <c r="D334" s="90" t="s">
        <v>28</v>
      </c>
      <c r="E334" s="90" t="s">
        <v>728</v>
      </c>
      <c r="F334" s="90" t="s">
        <v>686</v>
      </c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3">
        <v>76449.75</v>
      </c>
      <c r="AC334" s="92"/>
      <c r="AD334" s="93">
        <v>0</v>
      </c>
      <c r="AE334" s="92"/>
      <c r="AF334" s="92"/>
      <c r="AG334" s="93">
        <v>76449.75</v>
      </c>
      <c r="AH334" s="93">
        <v>0</v>
      </c>
    </row>
    <row r="335" spans="1:34" ht="15.75" thickBot="1" x14ac:dyDescent="0.3">
      <c r="A335" s="90" t="s">
        <v>869</v>
      </c>
      <c r="B335" s="90" t="s">
        <v>35</v>
      </c>
      <c r="C335" s="90" t="s">
        <v>36</v>
      </c>
      <c r="D335" s="90" t="s">
        <v>28</v>
      </c>
      <c r="E335" s="90" t="s">
        <v>728</v>
      </c>
      <c r="F335" s="90" t="s">
        <v>697</v>
      </c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5">
        <v>76449.75</v>
      </c>
      <c r="AC335" s="94"/>
      <c r="AD335" s="95">
        <v>0</v>
      </c>
      <c r="AE335" s="94"/>
      <c r="AF335" s="94"/>
      <c r="AG335" s="95">
        <v>76449.75</v>
      </c>
      <c r="AH335" s="95">
        <v>0</v>
      </c>
    </row>
    <row r="336" spans="1:34" ht="15.75" thickBot="1" x14ac:dyDescent="0.3">
      <c r="A336" s="90" t="s">
        <v>869</v>
      </c>
      <c r="B336" s="90" t="s">
        <v>35</v>
      </c>
      <c r="C336" s="90" t="s">
        <v>36</v>
      </c>
      <c r="D336" s="90" t="s">
        <v>28</v>
      </c>
      <c r="E336" s="90" t="s">
        <v>673</v>
      </c>
      <c r="F336" s="90" t="s">
        <v>686</v>
      </c>
      <c r="G336" s="93">
        <v>1468660.35</v>
      </c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3">
        <v>1468660.35</v>
      </c>
      <c r="Y336" s="92"/>
      <c r="Z336" s="92"/>
      <c r="AA336" s="92"/>
      <c r="AB336" s="92"/>
      <c r="AC336" s="92"/>
      <c r="AD336" s="93">
        <v>6291.93</v>
      </c>
      <c r="AE336" s="92"/>
      <c r="AF336" s="92"/>
      <c r="AG336" s="93">
        <v>1474952.28</v>
      </c>
      <c r="AH336" s="93">
        <v>0</v>
      </c>
    </row>
    <row r="337" spans="1:34" ht="15.75" thickBot="1" x14ac:dyDescent="0.3">
      <c r="A337" s="90" t="s">
        <v>869</v>
      </c>
      <c r="B337" s="90" t="s">
        <v>35</v>
      </c>
      <c r="C337" s="90" t="s">
        <v>36</v>
      </c>
      <c r="D337" s="90" t="s">
        <v>28</v>
      </c>
      <c r="E337" s="90" t="s">
        <v>673</v>
      </c>
      <c r="F337" s="90" t="s">
        <v>697</v>
      </c>
      <c r="G337" s="95">
        <v>1468660.35</v>
      </c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5">
        <v>1468660.35</v>
      </c>
      <c r="Y337" s="94"/>
      <c r="Z337" s="94"/>
      <c r="AA337" s="94"/>
      <c r="AB337" s="94"/>
      <c r="AC337" s="94"/>
      <c r="AD337" s="95">
        <v>6291.93</v>
      </c>
      <c r="AE337" s="94"/>
      <c r="AF337" s="94"/>
      <c r="AG337" s="95">
        <v>1474952.28</v>
      </c>
      <c r="AH337" s="95">
        <v>0</v>
      </c>
    </row>
    <row r="338" spans="1:34" ht="15.75" thickBot="1" x14ac:dyDescent="0.3">
      <c r="A338" s="90" t="s">
        <v>869</v>
      </c>
      <c r="B338" s="90" t="s">
        <v>35</v>
      </c>
      <c r="C338" s="90" t="s">
        <v>36</v>
      </c>
      <c r="D338" s="90" t="s">
        <v>28</v>
      </c>
      <c r="E338" s="90" t="s">
        <v>196</v>
      </c>
      <c r="F338" s="90" t="s">
        <v>686</v>
      </c>
      <c r="G338" s="93">
        <v>8067417.3499999996</v>
      </c>
      <c r="H338" s="92"/>
      <c r="I338" s="92"/>
      <c r="J338" s="92"/>
      <c r="K338" s="92"/>
      <c r="L338" s="92"/>
      <c r="M338" s="92"/>
      <c r="N338" s="92"/>
      <c r="O338" s="92"/>
      <c r="P338" s="93">
        <v>8067417.3499999996</v>
      </c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3">
        <v>34617.599999999999</v>
      </c>
      <c r="AE338" s="92"/>
      <c r="AF338" s="92"/>
      <c r="AG338" s="93">
        <v>8102034.9500000002</v>
      </c>
      <c r="AH338" s="93">
        <v>0</v>
      </c>
    </row>
    <row r="339" spans="1:34" ht="15.75" thickBot="1" x14ac:dyDescent="0.3">
      <c r="A339" s="90" t="s">
        <v>869</v>
      </c>
      <c r="B339" s="90" t="s">
        <v>35</v>
      </c>
      <c r="C339" s="90" t="s">
        <v>36</v>
      </c>
      <c r="D339" s="90" t="s">
        <v>28</v>
      </c>
      <c r="E339" s="90" t="s">
        <v>196</v>
      </c>
      <c r="F339" s="90" t="s">
        <v>697</v>
      </c>
      <c r="G339" s="95">
        <v>8067417.3499999996</v>
      </c>
      <c r="H339" s="94"/>
      <c r="I339" s="94"/>
      <c r="J339" s="94"/>
      <c r="K339" s="94"/>
      <c r="L339" s="94"/>
      <c r="M339" s="94"/>
      <c r="N339" s="94"/>
      <c r="O339" s="94"/>
      <c r="P339" s="95">
        <v>8067417.3499999996</v>
      </c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4"/>
      <c r="AD339" s="95">
        <v>34617.599999999999</v>
      </c>
      <c r="AE339" s="94"/>
      <c r="AF339" s="94"/>
      <c r="AG339" s="95">
        <v>8102034.9500000002</v>
      </c>
      <c r="AH339" s="95">
        <v>0</v>
      </c>
    </row>
    <row r="340" spans="1:34" ht="15.75" thickBot="1" x14ac:dyDescent="0.3">
      <c r="A340" s="90" t="s">
        <v>869</v>
      </c>
      <c r="B340" s="90" t="s">
        <v>35</v>
      </c>
      <c r="C340" s="90" t="s">
        <v>36</v>
      </c>
      <c r="D340" s="90" t="s">
        <v>28</v>
      </c>
      <c r="E340" s="90" t="s">
        <v>674</v>
      </c>
      <c r="F340" s="90" t="s">
        <v>686</v>
      </c>
      <c r="G340" s="93">
        <v>1299364.82</v>
      </c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3">
        <v>1299364.82</v>
      </c>
      <c r="Z340" s="92"/>
      <c r="AA340" s="92"/>
      <c r="AB340" s="92"/>
      <c r="AC340" s="92"/>
      <c r="AD340" s="93">
        <v>4176.18</v>
      </c>
      <c r="AE340" s="92"/>
      <c r="AF340" s="92"/>
      <c r="AG340" s="93">
        <v>1303541</v>
      </c>
      <c r="AH340" s="93">
        <v>0</v>
      </c>
    </row>
    <row r="341" spans="1:34" ht="15.75" thickBot="1" x14ac:dyDescent="0.3">
      <c r="A341" s="90" t="s">
        <v>869</v>
      </c>
      <c r="B341" s="90" t="s">
        <v>35</v>
      </c>
      <c r="C341" s="90" t="s">
        <v>36</v>
      </c>
      <c r="D341" s="90" t="s">
        <v>28</v>
      </c>
      <c r="E341" s="90" t="s">
        <v>674</v>
      </c>
      <c r="F341" s="90" t="s">
        <v>697</v>
      </c>
      <c r="G341" s="95">
        <v>1299364.82</v>
      </c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5">
        <v>1299364.82</v>
      </c>
      <c r="Z341" s="94"/>
      <c r="AA341" s="94"/>
      <c r="AB341" s="94"/>
      <c r="AC341" s="94"/>
      <c r="AD341" s="95">
        <v>4176.18</v>
      </c>
      <c r="AE341" s="94"/>
      <c r="AF341" s="94"/>
      <c r="AG341" s="95">
        <v>1303541</v>
      </c>
      <c r="AH341" s="95">
        <v>0</v>
      </c>
    </row>
    <row r="342" spans="1:34" ht="15.75" thickBot="1" x14ac:dyDescent="0.3">
      <c r="A342" s="90" t="s">
        <v>869</v>
      </c>
      <c r="B342" s="90" t="s">
        <v>37</v>
      </c>
      <c r="C342" s="90" t="s">
        <v>38</v>
      </c>
      <c r="D342" s="90" t="s">
        <v>20</v>
      </c>
      <c r="E342" s="90" t="s">
        <v>528</v>
      </c>
      <c r="F342" s="90" t="s">
        <v>686</v>
      </c>
      <c r="G342" s="93">
        <v>13.5</v>
      </c>
      <c r="H342" s="92"/>
      <c r="I342" s="93">
        <v>13.5</v>
      </c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3">
        <v>0</v>
      </c>
      <c r="AE342" s="92"/>
      <c r="AF342" s="92"/>
      <c r="AG342" s="93">
        <v>13.5</v>
      </c>
      <c r="AH342" s="93">
        <v>0</v>
      </c>
    </row>
    <row r="343" spans="1:34" ht="15.75" thickBot="1" x14ac:dyDescent="0.3">
      <c r="A343" s="90" t="s">
        <v>869</v>
      </c>
      <c r="B343" s="90" t="s">
        <v>37</v>
      </c>
      <c r="C343" s="90" t="s">
        <v>38</v>
      </c>
      <c r="D343" s="90" t="s">
        <v>20</v>
      </c>
      <c r="E343" s="90" t="s">
        <v>528</v>
      </c>
      <c r="F343" s="90" t="s">
        <v>697</v>
      </c>
      <c r="G343" s="95">
        <v>13.5</v>
      </c>
      <c r="H343" s="94"/>
      <c r="I343" s="95">
        <v>13.5</v>
      </c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95">
        <v>0</v>
      </c>
      <c r="AE343" s="94"/>
      <c r="AF343" s="94"/>
      <c r="AG343" s="95">
        <v>13.5</v>
      </c>
      <c r="AH343" s="95">
        <v>0</v>
      </c>
    </row>
    <row r="344" spans="1:34" ht="15.75" thickBot="1" x14ac:dyDescent="0.3">
      <c r="A344" s="90" t="s">
        <v>869</v>
      </c>
      <c r="B344" s="90" t="s">
        <v>37</v>
      </c>
      <c r="C344" s="90" t="s">
        <v>38</v>
      </c>
      <c r="D344" s="90" t="s">
        <v>20</v>
      </c>
      <c r="E344" s="90" t="s">
        <v>518</v>
      </c>
      <c r="F344" s="90" t="s">
        <v>686</v>
      </c>
      <c r="G344" s="93">
        <v>194.83</v>
      </c>
      <c r="H344" s="93">
        <v>679</v>
      </c>
      <c r="I344" s="92"/>
      <c r="J344" s="92"/>
      <c r="K344" s="93">
        <v>194.83</v>
      </c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3">
        <v>0</v>
      </c>
      <c r="AE344" s="92"/>
      <c r="AF344" s="92"/>
      <c r="AG344" s="93">
        <v>194.83</v>
      </c>
      <c r="AH344" s="93">
        <v>0</v>
      </c>
    </row>
    <row r="345" spans="1:34" ht="15.75" thickBot="1" x14ac:dyDescent="0.3">
      <c r="A345" s="90" t="s">
        <v>869</v>
      </c>
      <c r="B345" s="90" t="s">
        <v>37</v>
      </c>
      <c r="C345" s="90" t="s">
        <v>38</v>
      </c>
      <c r="D345" s="90" t="s">
        <v>20</v>
      </c>
      <c r="E345" s="90" t="s">
        <v>518</v>
      </c>
      <c r="F345" s="90" t="s">
        <v>697</v>
      </c>
      <c r="G345" s="95">
        <v>194.83</v>
      </c>
      <c r="H345" s="305">
        <v>679</v>
      </c>
      <c r="I345" s="94"/>
      <c r="J345" s="94"/>
      <c r="K345" s="95">
        <v>194.83</v>
      </c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95">
        <v>0</v>
      </c>
      <c r="AE345" s="94"/>
      <c r="AF345" s="94"/>
      <c r="AG345" s="95">
        <v>194.83</v>
      </c>
      <c r="AH345" s="95">
        <v>0</v>
      </c>
    </row>
    <row r="346" spans="1:34" ht="15.75" thickBot="1" x14ac:dyDescent="0.3">
      <c r="A346" s="90" t="s">
        <v>869</v>
      </c>
      <c r="B346" s="90" t="s">
        <v>37</v>
      </c>
      <c r="C346" s="90" t="s">
        <v>38</v>
      </c>
      <c r="D346" s="90" t="s">
        <v>20</v>
      </c>
      <c r="E346" s="90" t="s">
        <v>727</v>
      </c>
      <c r="F346" s="90" t="s">
        <v>686</v>
      </c>
      <c r="G346" s="93">
        <v>6.16</v>
      </c>
      <c r="H346" s="92"/>
      <c r="I346" s="92"/>
      <c r="J346" s="92"/>
      <c r="K346" s="92"/>
      <c r="L346" s="92"/>
      <c r="M346" s="92"/>
      <c r="N346" s="92"/>
      <c r="O346" s="93">
        <v>6.16</v>
      </c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3">
        <v>0</v>
      </c>
      <c r="AE346" s="92"/>
      <c r="AF346" s="92"/>
      <c r="AG346" s="93">
        <v>6.16</v>
      </c>
      <c r="AH346" s="93">
        <v>0</v>
      </c>
    </row>
    <row r="347" spans="1:34" ht="15.75" thickBot="1" x14ac:dyDescent="0.3">
      <c r="A347" s="90" t="s">
        <v>869</v>
      </c>
      <c r="B347" s="90" t="s">
        <v>37</v>
      </c>
      <c r="C347" s="90" t="s">
        <v>38</v>
      </c>
      <c r="D347" s="90" t="s">
        <v>20</v>
      </c>
      <c r="E347" s="90" t="s">
        <v>727</v>
      </c>
      <c r="F347" s="90" t="s">
        <v>697</v>
      </c>
      <c r="G347" s="95">
        <v>6.16</v>
      </c>
      <c r="H347" s="94"/>
      <c r="I347" s="94"/>
      <c r="J347" s="94"/>
      <c r="K347" s="94"/>
      <c r="L347" s="94"/>
      <c r="M347" s="94"/>
      <c r="N347" s="94"/>
      <c r="O347" s="95">
        <v>6.16</v>
      </c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95">
        <v>0</v>
      </c>
      <c r="AE347" s="94"/>
      <c r="AF347" s="94"/>
      <c r="AG347" s="95">
        <v>6.16</v>
      </c>
      <c r="AH347" s="95">
        <v>0</v>
      </c>
    </row>
    <row r="348" spans="1:34" ht="15.75" thickBot="1" x14ac:dyDescent="0.3">
      <c r="A348" s="90" t="s">
        <v>869</v>
      </c>
      <c r="B348" s="90" t="s">
        <v>37</v>
      </c>
      <c r="C348" s="90" t="s">
        <v>38</v>
      </c>
      <c r="D348" s="90" t="s">
        <v>20</v>
      </c>
      <c r="E348" s="90" t="s">
        <v>673</v>
      </c>
      <c r="F348" s="90" t="s">
        <v>686</v>
      </c>
      <c r="G348" s="93">
        <v>4.8499999999999996</v>
      </c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3">
        <v>4.8499999999999996</v>
      </c>
      <c r="Y348" s="92"/>
      <c r="Z348" s="92"/>
      <c r="AA348" s="92"/>
      <c r="AB348" s="92"/>
      <c r="AC348" s="92"/>
      <c r="AD348" s="93">
        <v>0</v>
      </c>
      <c r="AE348" s="92"/>
      <c r="AF348" s="92"/>
      <c r="AG348" s="93">
        <v>4.8499999999999996</v>
      </c>
      <c r="AH348" s="93">
        <v>0</v>
      </c>
    </row>
    <row r="349" spans="1:34" ht="15.75" thickBot="1" x14ac:dyDescent="0.3">
      <c r="A349" s="90" t="s">
        <v>869</v>
      </c>
      <c r="B349" s="90" t="s">
        <v>37</v>
      </c>
      <c r="C349" s="90" t="s">
        <v>38</v>
      </c>
      <c r="D349" s="90" t="s">
        <v>20</v>
      </c>
      <c r="E349" s="90" t="s">
        <v>673</v>
      </c>
      <c r="F349" s="90" t="s">
        <v>697</v>
      </c>
      <c r="G349" s="95">
        <v>4.8499999999999996</v>
      </c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5">
        <v>4.8499999999999996</v>
      </c>
      <c r="Y349" s="94"/>
      <c r="Z349" s="94"/>
      <c r="AA349" s="94"/>
      <c r="AB349" s="94"/>
      <c r="AC349" s="94"/>
      <c r="AD349" s="95">
        <v>0</v>
      </c>
      <c r="AE349" s="94"/>
      <c r="AF349" s="94"/>
      <c r="AG349" s="95">
        <v>4.8499999999999996</v>
      </c>
      <c r="AH349" s="95">
        <v>0</v>
      </c>
    </row>
    <row r="350" spans="1:34" ht="15.75" thickBot="1" x14ac:dyDescent="0.3">
      <c r="A350" s="90" t="s">
        <v>869</v>
      </c>
      <c r="B350" s="90" t="s">
        <v>37</v>
      </c>
      <c r="C350" s="90" t="s">
        <v>38</v>
      </c>
      <c r="D350" s="90" t="s">
        <v>20</v>
      </c>
      <c r="E350" s="90" t="s">
        <v>196</v>
      </c>
      <c r="F350" s="90" t="s">
        <v>686</v>
      </c>
      <c r="G350" s="93">
        <v>219.61</v>
      </c>
      <c r="H350" s="92"/>
      <c r="I350" s="92"/>
      <c r="J350" s="92"/>
      <c r="K350" s="92"/>
      <c r="L350" s="92"/>
      <c r="M350" s="92"/>
      <c r="N350" s="92"/>
      <c r="O350" s="92"/>
      <c r="P350" s="93">
        <v>219.61</v>
      </c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3">
        <v>0</v>
      </c>
      <c r="AE350" s="92"/>
      <c r="AF350" s="92"/>
      <c r="AG350" s="93">
        <v>219.61</v>
      </c>
      <c r="AH350" s="93">
        <v>0</v>
      </c>
    </row>
    <row r="351" spans="1:34" ht="15.75" thickBot="1" x14ac:dyDescent="0.3">
      <c r="A351" s="90" t="s">
        <v>869</v>
      </c>
      <c r="B351" s="90" t="s">
        <v>37</v>
      </c>
      <c r="C351" s="90" t="s">
        <v>38</v>
      </c>
      <c r="D351" s="90" t="s">
        <v>20</v>
      </c>
      <c r="E351" s="90" t="s">
        <v>196</v>
      </c>
      <c r="F351" s="90" t="s">
        <v>697</v>
      </c>
      <c r="G351" s="95">
        <v>219.61</v>
      </c>
      <c r="H351" s="94"/>
      <c r="I351" s="94"/>
      <c r="J351" s="94"/>
      <c r="K351" s="94"/>
      <c r="L351" s="94"/>
      <c r="M351" s="94"/>
      <c r="N351" s="94"/>
      <c r="O351" s="94"/>
      <c r="P351" s="95">
        <v>219.61</v>
      </c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95">
        <v>0</v>
      </c>
      <c r="AE351" s="94"/>
      <c r="AF351" s="94"/>
      <c r="AG351" s="95">
        <v>219.61</v>
      </c>
      <c r="AH351" s="95">
        <v>0</v>
      </c>
    </row>
    <row r="352" spans="1:34" ht="15.75" thickBot="1" x14ac:dyDescent="0.3">
      <c r="A352" s="90" t="s">
        <v>869</v>
      </c>
      <c r="B352" s="90" t="s">
        <v>37</v>
      </c>
      <c r="C352" s="90" t="s">
        <v>38</v>
      </c>
      <c r="D352" s="90" t="s">
        <v>20</v>
      </c>
      <c r="E352" s="90" t="s">
        <v>674</v>
      </c>
      <c r="F352" s="90" t="s">
        <v>686</v>
      </c>
      <c r="G352" s="93">
        <v>32</v>
      </c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3">
        <v>32</v>
      </c>
      <c r="Z352" s="92"/>
      <c r="AA352" s="92"/>
      <c r="AB352" s="92"/>
      <c r="AC352" s="92"/>
      <c r="AD352" s="93">
        <v>0</v>
      </c>
      <c r="AE352" s="92"/>
      <c r="AF352" s="92"/>
      <c r="AG352" s="93">
        <v>32</v>
      </c>
      <c r="AH352" s="93">
        <v>0</v>
      </c>
    </row>
    <row r="353" spans="1:34" ht="15.75" thickBot="1" x14ac:dyDescent="0.3">
      <c r="A353" s="90" t="s">
        <v>869</v>
      </c>
      <c r="B353" s="90" t="s">
        <v>37</v>
      </c>
      <c r="C353" s="90" t="s">
        <v>38</v>
      </c>
      <c r="D353" s="90" t="s">
        <v>20</v>
      </c>
      <c r="E353" s="90" t="s">
        <v>674</v>
      </c>
      <c r="F353" s="90" t="s">
        <v>697</v>
      </c>
      <c r="G353" s="95">
        <v>32</v>
      </c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5">
        <v>32</v>
      </c>
      <c r="Z353" s="94"/>
      <c r="AA353" s="94"/>
      <c r="AB353" s="94"/>
      <c r="AC353" s="94"/>
      <c r="AD353" s="95">
        <v>0</v>
      </c>
      <c r="AE353" s="94"/>
      <c r="AF353" s="94"/>
      <c r="AG353" s="95">
        <v>32</v>
      </c>
      <c r="AH353" s="95">
        <v>0</v>
      </c>
    </row>
    <row r="354" spans="1:34" ht="15.75" thickBot="1" x14ac:dyDescent="0.3">
      <c r="A354" s="90" t="s">
        <v>869</v>
      </c>
      <c r="B354" s="90" t="s">
        <v>37</v>
      </c>
      <c r="C354" s="90" t="s">
        <v>38</v>
      </c>
      <c r="D354" s="90" t="s">
        <v>28</v>
      </c>
      <c r="E354" s="90" t="s">
        <v>726</v>
      </c>
      <c r="F354" s="90" t="s">
        <v>686</v>
      </c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3">
        <v>6.46</v>
      </c>
      <c r="AD354" s="93">
        <v>0</v>
      </c>
      <c r="AE354" s="92"/>
      <c r="AF354" s="92"/>
      <c r="AG354" s="93">
        <v>6.46</v>
      </c>
      <c r="AH354" s="93">
        <v>0</v>
      </c>
    </row>
    <row r="355" spans="1:34" ht="15.75" thickBot="1" x14ac:dyDescent="0.3">
      <c r="A355" s="90" t="s">
        <v>869</v>
      </c>
      <c r="B355" s="90" t="s">
        <v>37</v>
      </c>
      <c r="C355" s="90" t="s">
        <v>38</v>
      </c>
      <c r="D355" s="90" t="s">
        <v>28</v>
      </c>
      <c r="E355" s="90" t="s">
        <v>726</v>
      </c>
      <c r="F355" s="90" t="s">
        <v>697</v>
      </c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5">
        <v>6.46</v>
      </c>
      <c r="AD355" s="95">
        <v>0</v>
      </c>
      <c r="AE355" s="94"/>
      <c r="AF355" s="94"/>
      <c r="AG355" s="95">
        <v>6.46</v>
      </c>
      <c r="AH355" s="95">
        <v>0</v>
      </c>
    </row>
    <row r="356" spans="1:34" ht="15.75" thickBot="1" x14ac:dyDescent="0.3">
      <c r="A356" s="90" t="s">
        <v>869</v>
      </c>
      <c r="B356" s="90" t="s">
        <v>37</v>
      </c>
      <c r="C356" s="90" t="s">
        <v>38</v>
      </c>
      <c r="D356" s="90" t="s">
        <v>28</v>
      </c>
      <c r="E356" s="90" t="s">
        <v>528</v>
      </c>
      <c r="F356" s="90" t="s">
        <v>686</v>
      </c>
      <c r="G356" s="93">
        <v>27</v>
      </c>
      <c r="H356" s="92"/>
      <c r="I356" s="93">
        <v>27</v>
      </c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3">
        <v>0</v>
      </c>
      <c r="AE356" s="92"/>
      <c r="AF356" s="92"/>
      <c r="AG356" s="93">
        <v>27</v>
      </c>
      <c r="AH356" s="93">
        <v>0</v>
      </c>
    </row>
    <row r="357" spans="1:34" ht="15.75" thickBot="1" x14ac:dyDescent="0.3">
      <c r="A357" s="90" t="s">
        <v>869</v>
      </c>
      <c r="B357" s="90" t="s">
        <v>37</v>
      </c>
      <c r="C357" s="90" t="s">
        <v>38</v>
      </c>
      <c r="D357" s="90" t="s">
        <v>28</v>
      </c>
      <c r="E357" s="90" t="s">
        <v>528</v>
      </c>
      <c r="F357" s="90" t="s">
        <v>697</v>
      </c>
      <c r="G357" s="95">
        <v>27</v>
      </c>
      <c r="H357" s="94"/>
      <c r="I357" s="95">
        <v>27</v>
      </c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4"/>
      <c r="AD357" s="95">
        <v>0</v>
      </c>
      <c r="AE357" s="94"/>
      <c r="AF357" s="94"/>
      <c r="AG357" s="95">
        <v>27</v>
      </c>
      <c r="AH357" s="95">
        <v>0</v>
      </c>
    </row>
    <row r="358" spans="1:34" ht="15.75" thickBot="1" x14ac:dyDescent="0.3">
      <c r="A358" s="90" t="s">
        <v>869</v>
      </c>
      <c r="B358" s="90" t="s">
        <v>37</v>
      </c>
      <c r="C358" s="90" t="s">
        <v>38</v>
      </c>
      <c r="D358" s="90" t="s">
        <v>28</v>
      </c>
      <c r="E358" s="90" t="s">
        <v>518</v>
      </c>
      <c r="F358" s="90" t="s">
        <v>686</v>
      </c>
      <c r="G358" s="93">
        <v>200.57</v>
      </c>
      <c r="H358" s="93">
        <v>699</v>
      </c>
      <c r="I358" s="92"/>
      <c r="J358" s="92"/>
      <c r="K358" s="93">
        <v>200.57</v>
      </c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3">
        <v>0</v>
      </c>
      <c r="AE358" s="92"/>
      <c r="AF358" s="92"/>
      <c r="AG358" s="93">
        <v>200.57</v>
      </c>
      <c r="AH358" s="93">
        <v>0</v>
      </c>
    </row>
    <row r="359" spans="1:34" ht="15.75" thickBot="1" x14ac:dyDescent="0.3">
      <c r="A359" s="90" t="s">
        <v>869</v>
      </c>
      <c r="B359" s="90" t="s">
        <v>37</v>
      </c>
      <c r="C359" s="90" t="s">
        <v>38</v>
      </c>
      <c r="D359" s="90" t="s">
        <v>28</v>
      </c>
      <c r="E359" s="90" t="s">
        <v>518</v>
      </c>
      <c r="F359" s="90" t="s">
        <v>697</v>
      </c>
      <c r="G359" s="95">
        <v>200.57</v>
      </c>
      <c r="H359" s="305">
        <v>699</v>
      </c>
      <c r="I359" s="94"/>
      <c r="J359" s="94"/>
      <c r="K359" s="95">
        <v>200.57</v>
      </c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4"/>
      <c r="AD359" s="95">
        <v>0</v>
      </c>
      <c r="AE359" s="94"/>
      <c r="AF359" s="94"/>
      <c r="AG359" s="95">
        <v>200.57</v>
      </c>
      <c r="AH359" s="95">
        <v>0</v>
      </c>
    </row>
    <row r="360" spans="1:34" ht="15.75" thickBot="1" x14ac:dyDescent="0.3">
      <c r="A360" s="90" t="s">
        <v>869</v>
      </c>
      <c r="B360" s="90" t="s">
        <v>37</v>
      </c>
      <c r="C360" s="90" t="s">
        <v>38</v>
      </c>
      <c r="D360" s="90" t="s">
        <v>28</v>
      </c>
      <c r="E360" s="90" t="s">
        <v>727</v>
      </c>
      <c r="F360" s="90" t="s">
        <v>686</v>
      </c>
      <c r="G360" s="93">
        <v>6.34</v>
      </c>
      <c r="H360" s="92"/>
      <c r="I360" s="92"/>
      <c r="J360" s="92"/>
      <c r="K360" s="92"/>
      <c r="L360" s="92"/>
      <c r="M360" s="92"/>
      <c r="N360" s="92"/>
      <c r="O360" s="93">
        <v>6.34</v>
      </c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3">
        <v>0</v>
      </c>
      <c r="AE360" s="92"/>
      <c r="AF360" s="92"/>
      <c r="AG360" s="93">
        <v>6.34</v>
      </c>
      <c r="AH360" s="93">
        <v>0</v>
      </c>
    </row>
    <row r="361" spans="1:34" ht="15.75" thickBot="1" x14ac:dyDescent="0.3">
      <c r="A361" s="90" t="s">
        <v>869</v>
      </c>
      <c r="B361" s="90" t="s">
        <v>37</v>
      </c>
      <c r="C361" s="90" t="s">
        <v>38</v>
      </c>
      <c r="D361" s="90" t="s">
        <v>28</v>
      </c>
      <c r="E361" s="90" t="s">
        <v>727</v>
      </c>
      <c r="F361" s="90" t="s">
        <v>697</v>
      </c>
      <c r="G361" s="95">
        <v>6.34</v>
      </c>
      <c r="H361" s="94"/>
      <c r="I361" s="94"/>
      <c r="J361" s="94"/>
      <c r="K361" s="94"/>
      <c r="L361" s="94"/>
      <c r="M361" s="94"/>
      <c r="N361" s="94"/>
      <c r="O361" s="95">
        <v>6.34</v>
      </c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5">
        <v>0</v>
      </c>
      <c r="AE361" s="94"/>
      <c r="AF361" s="94"/>
      <c r="AG361" s="95">
        <v>6.34</v>
      </c>
      <c r="AH361" s="95">
        <v>0</v>
      </c>
    </row>
    <row r="362" spans="1:34" ht="15.75" thickBot="1" x14ac:dyDescent="0.3">
      <c r="A362" s="90" t="s">
        <v>869</v>
      </c>
      <c r="B362" s="90" t="s">
        <v>37</v>
      </c>
      <c r="C362" s="90" t="s">
        <v>38</v>
      </c>
      <c r="D362" s="90" t="s">
        <v>28</v>
      </c>
      <c r="E362" s="90" t="s">
        <v>673</v>
      </c>
      <c r="F362" s="90" t="s">
        <v>686</v>
      </c>
      <c r="G362" s="93">
        <v>9.6999999999999993</v>
      </c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3">
        <v>9.6999999999999993</v>
      </c>
      <c r="Y362" s="92"/>
      <c r="Z362" s="92"/>
      <c r="AA362" s="92"/>
      <c r="AB362" s="92"/>
      <c r="AC362" s="92"/>
      <c r="AD362" s="93">
        <v>0</v>
      </c>
      <c r="AE362" s="92"/>
      <c r="AF362" s="92"/>
      <c r="AG362" s="93">
        <v>9.6999999999999993</v>
      </c>
      <c r="AH362" s="93">
        <v>0</v>
      </c>
    </row>
    <row r="363" spans="1:34" ht="15.75" thickBot="1" x14ac:dyDescent="0.3">
      <c r="A363" s="90" t="s">
        <v>869</v>
      </c>
      <c r="B363" s="90" t="s">
        <v>37</v>
      </c>
      <c r="C363" s="90" t="s">
        <v>38</v>
      </c>
      <c r="D363" s="90" t="s">
        <v>28</v>
      </c>
      <c r="E363" s="90" t="s">
        <v>673</v>
      </c>
      <c r="F363" s="90" t="s">
        <v>697</v>
      </c>
      <c r="G363" s="95">
        <v>9.6999999999999993</v>
      </c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5">
        <v>9.6999999999999993</v>
      </c>
      <c r="Y363" s="94"/>
      <c r="Z363" s="94"/>
      <c r="AA363" s="94"/>
      <c r="AB363" s="94"/>
      <c r="AC363" s="94"/>
      <c r="AD363" s="95">
        <v>0</v>
      </c>
      <c r="AE363" s="94"/>
      <c r="AF363" s="94"/>
      <c r="AG363" s="95">
        <v>9.6999999999999993</v>
      </c>
      <c r="AH363" s="95">
        <v>0</v>
      </c>
    </row>
    <row r="364" spans="1:34" ht="15.75" thickBot="1" x14ac:dyDescent="0.3">
      <c r="A364" s="90" t="s">
        <v>869</v>
      </c>
      <c r="B364" s="90" t="s">
        <v>37</v>
      </c>
      <c r="C364" s="90" t="s">
        <v>38</v>
      </c>
      <c r="D364" s="90" t="s">
        <v>28</v>
      </c>
      <c r="E364" s="90" t="s">
        <v>196</v>
      </c>
      <c r="F364" s="90" t="s">
        <v>686</v>
      </c>
      <c r="G364" s="93">
        <v>226.07</v>
      </c>
      <c r="H364" s="92"/>
      <c r="I364" s="92"/>
      <c r="J364" s="92"/>
      <c r="K364" s="92"/>
      <c r="L364" s="92"/>
      <c r="M364" s="92"/>
      <c r="N364" s="92"/>
      <c r="O364" s="92"/>
      <c r="P364" s="93">
        <v>226.07</v>
      </c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3">
        <v>0</v>
      </c>
      <c r="AE364" s="92"/>
      <c r="AF364" s="92"/>
      <c r="AG364" s="93">
        <v>226.07</v>
      </c>
      <c r="AH364" s="93">
        <v>0</v>
      </c>
    </row>
    <row r="365" spans="1:34" ht="15.75" thickBot="1" x14ac:dyDescent="0.3">
      <c r="A365" s="90" t="s">
        <v>869</v>
      </c>
      <c r="B365" s="90" t="s">
        <v>37</v>
      </c>
      <c r="C365" s="90" t="s">
        <v>38</v>
      </c>
      <c r="D365" s="90" t="s">
        <v>28</v>
      </c>
      <c r="E365" s="90" t="s">
        <v>196</v>
      </c>
      <c r="F365" s="90" t="s">
        <v>697</v>
      </c>
      <c r="G365" s="95">
        <v>226.07</v>
      </c>
      <c r="H365" s="94"/>
      <c r="I365" s="94"/>
      <c r="J365" s="94"/>
      <c r="K365" s="94"/>
      <c r="L365" s="94"/>
      <c r="M365" s="94"/>
      <c r="N365" s="94"/>
      <c r="O365" s="94"/>
      <c r="P365" s="95">
        <v>226.07</v>
      </c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95">
        <v>0</v>
      </c>
      <c r="AE365" s="94"/>
      <c r="AF365" s="94"/>
      <c r="AG365" s="95">
        <v>226.07</v>
      </c>
      <c r="AH365" s="95">
        <v>0</v>
      </c>
    </row>
    <row r="366" spans="1:34" ht="15.75" thickBot="1" x14ac:dyDescent="0.3">
      <c r="A366" s="90" t="s">
        <v>869</v>
      </c>
      <c r="B366" s="90" t="s">
        <v>37</v>
      </c>
      <c r="C366" s="90" t="s">
        <v>38</v>
      </c>
      <c r="D366" s="90" t="s">
        <v>28</v>
      </c>
      <c r="E366" s="90" t="s">
        <v>674</v>
      </c>
      <c r="F366" s="90" t="s">
        <v>686</v>
      </c>
      <c r="G366" s="93">
        <v>77.88</v>
      </c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3">
        <v>77.88</v>
      </c>
      <c r="Z366" s="92"/>
      <c r="AA366" s="92"/>
      <c r="AB366" s="92"/>
      <c r="AC366" s="92"/>
      <c r="AD366" s="93">
        <v>0</v>
      </c>
      <c r="AE366" s="92"/>
      <c r="AF366" s="92"/>
      <c r="AG366" s="93">
        <v>77.88</v>
      </c>
      <c r="AH366" s="93">
        <v>0</v>
      </c>
    </row>
    <row r="367" spans="1:34" ht="15.75" thickBot="1" x14ac:dyDescent="0.3">
      <c r="A367" s="90" t="s">
        <v>869</v>
      </c>
      <c r="B367" s="90" t="s">
        <v>37</v>
      </c>
      <c r="C367" s="90" t="s">
        <v>38</v>
      </c>
      <c r="D367" s="90" t="s">
        <v>28</v>
      </c>
      <c r="E367" s="90" t="s">
        <v>674</v>
      </c>
      <c r="F367" s="90" t="s">
        <v>697</v>
      </c>
      <c r="G367" s="95">
        <v>77.88</v>
      </c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5">
        <v>77.88</v>
      </c>
      <c r="Z367" s="94"/>
      <c r="AA367" s="94"/>
      <c r="AB367" s="94"/>
      <c r="AC367" s="94"/>
      <c r="AD367" s="95">
        <v>0</v>
      </c>
      <c r="AE367" s="94"/>
      <c r="AF367" s="94"/>
      <c r="AG367" s="95">
        <v>77.88</v>
      </c>
      <c r="AH367" s="95">
        <v>0</v>
      </c>
    </row>
    <row r="368" spans="1:34" ht="15.75" thickBot="1" x14ac:dyDescent="0.3">
      <c r="A368" s="90" t="s">
        <v>869</v>
      </c>
      <c r="B368" s="90" t="s">
        <v>29</v>
      </c>
      <c r="C368" s="90" t="s">
        <v>30</v>
      </c>
      <c r="D368" s="90" t="s">
        <v>17</v>
      </c>
      <c r="E368" s="90" t="s">
        <v>726</v>
      </c>
      <c r="F368" s="90" t="s">
        <v>686</v>
      </c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3">
        <v>349.88</v>
      </c>
      <c r="AD368" s="93">
        <v>21.59</v>
      </c>
      <c r="AE368" s="92"/>
      <c r="AF368" s="92"/>
      <c r="AG368" s="93">
        <v>371.47</v>
      </c>
      <c r="AH368" s="93">
        <v>0</v>
      </c>
    </row>
    <row r="369" spans="1:34" ht="15.75" thickBot="1" x14ac:dyDescent="0.3">
      <c r="A369" s="90" t="s">
        <v>869</v>
      </c>
      <c r="B369" s="90" t="s">
        <v>29</v>
      </c>
      <c r="C369" s="90" t="s">
        <v>30</v>
      </c>
      <c r="D369" s="90" t="s">
        <v>17</v>
      </c>
      <c r="E369" s="90" t="s">
        <v>726</v>
      </c>
      <c r="F369" s="90" t="s">
        <v>697</v>
      </c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  <c r="AC369" s="95">
        <v>349.88</v>
      </c>
      <c r="AD369" s="95">
        <v>21.59</v>
      </c>
      <c r="AE369" s="94"/>
      <c r="AF369" s="94"/>
      <c r="AG369" s="95">
        <v>371.47</v>
      </c>
      <c r="AH369" s="95">
        <v>0</v>
      </c>
    </row>
    <row r="370" spans="1:34" ht="15.75" thickBot="1" x14ac:dyDescent="0.3">
      <c r="A370" s="90" t="s">
        <v>869</v>
      </c>
      <c r="B370" s="90" t="s">
        <v>29</v>
      </c>
      <c r="C370" s="90" t="s">
        <v>30</v>
      </c>
      <c r="D370" s="90" t="s">
        <v>17</v>
      </c>
      <c r="E370" s="90" t="s">
        <v>528</v>
      </c>
      <c r="F370" s="90" t="s">
        <v>686</v>
      </c>
      <c r="G370" s="93">
        <v>25200</v>
      </c>
      <c r="H370" s="92"/>
      <c r="I370" s="93">
        <v>25200</v>
      </c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3">
        <v>1595.08</v>
      </c>
      <c r="AE370" s="92"/>
      <c r="AF370" s="92"/>
      <c r="AG370" s="93">
        <v>26795.08</v>
      </c>
      <c r="AH370" s="93">
        <v>0</v>
      </c>
    </row>
    <row r="371" spans="1:34" ht="15.75" thickBot="1" x14ac:dyDescent="0.3">
      <c r="A371" s="90" t="s">
        <v>869</v>
      </c>
      <c r="B371" s="90" t="s">
        <v>29</v>
      </c>
      <c r="C371" s="90" t="s">
        <v>30</v>
      </c>
      <c r="D371" s="90" t="s">
        <v>17</v>
      </c>
      <c r="E371" s="90" t="s">
        <v>528</v>
      </c>
      <c r="F371" s="90" t="s">
        <v>697</v>
      </c>
      <c r="G371" s="95">
        <v>25200</v>
      </c>
      <c r="H371" s="94"/>
      <c r="I371" s="95">
        <v>25200</v>
      </c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4"/>
      <c r="AD371" s="95">
        <v>1595.08</v>
      </c>
      <c r="AE371" s="94"/>
      <c r="AF371" s="94"/>
      <c r="AG371" s="95">
        <v>26795.08</v>
      </c>
      <c r="AH371" s="95">
        <v>0</v>
      </c>
    </row>
    <row r="372" spans="1:34" ht="15.75" thickBot="1" x14ac:dyDescent="0.3">
      <c r="A372" s="90" t="s">
        <v>869</v>
      </c>
      <c r="B372" s="90" t="s">
        <v>29</v>
      </c>
      <c r="C372" s="90" t="s">
        <v>30</v>
      </c>
      <c r="D372" s="90" t="s">
        <v>17</v>
      </c>
      <c r="E372" s="90" t="s">
        <v>518</v>
      </c>
      <c r="F372" s="90" t="s">
        <v>686</v>
      </c>
      <c r="G372" s="93">
        <v>136.96</v>
      </c>
      <c r="H372" s="93">
        <v>623</v>
      </c>
      <c r="I372" s="92"/>
      <c r="J372" s="92"/>
      <c r="K372" s="93">
        <v>136.96</v>
      </c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3">
        <v>6.96</v>
      </c>
      <c r="AE372" s="92"/>
      <c r="AF372" s="92"/>
      <c r="AG372" s="93">
        <v>143.91999999999999</v>
      </c>
      <c r="AH372" s="93">
        <v>0</v>
      </c>
    </row>
    <row r="373" spans="1:34" ht="15.75" thickBot="1" x14ac:dyDescent="0.3">
      <c r="A373" s="90" t="s">
        <v>869</v>
      </c>
      <c r="B373" s="90" t="s">
        <v>29</v>
      </c>
      <c r="C373" s="90" t="s">
        <v>30</v>
      </c>
      <c r="D373" s="90" t="s">
        <v>17</v>
      </c>
      <c r="E373" s="90" t="s">
        <v>518</v>
      </c>
      <c r="F373" s="90" t="s">
        <v>697</v>
      </c>
      <c r="G373" s="95">
        <v>136.96</v>
      </c>
      <c r="H373" s="305">
        <v>623</v>
      </c>
      <c r="I373" s="94"/>
      <c r="J373" s="94"/>
      <c r="K373" s="95">
        <v>136.96</v>
      </c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4"/>
      <c r="AD373" s="95">
        <v>6.96</v>
      </c>
      <c r="AE373" s="94"/>
      <c r="AF373" s="94"/>
      <c r="AG373" s="95">
        <v>143.91999999999999</v>
      </c>
      <c r="AH373" s="95">
        <v>0</v>
      </c>
    </row>
    <row r="374" spans="1:34" ht="15.75" thickBot="1" x14ac:dyDescent="0.3">
      <c r="A374" s="90" t="s">
        <v>869</v>
      </c>
      <c r="B374" s="90" t="s">
        <v>29</v>
      </c>
      <c r="C374" s="90" t="s">
        <v>30</v>
      </c>
      <c r="D374" s="90" t="s">
        <v>17</v>
      </c>
      <c r="E374" s="90" t="s">
        <v>196</v>
      </c>
      <c r="F374" s="90" t="s">
        <v>686</v>
      </c>
      <c r="G374" s="93">
        <v>199.46</v>
      </c>
      <c r="H374" s="92"/>
      <c r="I374" s="92"/>
      <c r="J374" s="92"/>
      <c r="K374" s="92"/>
      <c r="L374" s="92"/>
      <c r="M374" s="92"/>
      <c r="N374" s="92"/>
      <c r="O374" s="92"/>
      <c r="P374" s="93">
        <v>199.46</v>
      </c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3">
        <v>13.09</v>
      </c>
      <c r="AE374" s="92"/>
      <c r="AF374" s="92"/>
      <c r="AG374" s="93">
        <v>212.55</v>
      </c>
      <c r="AH374" s="93">
        <v>0</v>
      </c>
    </row>
    <row r="375" spans="1:34" ht="15.75" thickBot="1" x14ac:dyDescent="0.3">
      <c r="A375" s="90" t="s">
        <v>869</v>
      </c>
      <c r="B375" s="90" t="s">
        <v>29</v>
      </c>
      <c r="C375" s="90" t="s">
        <v>30</v>
      </c>
      <c r="D375" s="90" t="s">
        <v>17</v>
      </c>
      <c r="E375" s="90" t="s">
        <v>196</v>
      </c>
      <c r="F375" s="90" t="s">
        <v>697</v>
      </c>
      <c r="G375" s="95">
        <v>199.46</v>
      </c>
      <c r="H375" s="94"/>
      <c r="I375" s="94"/>
      <c r="J375" s="94"/>
      <c r="K375" s="94"/>
      <c r="L375" s="94"/>
      <c r="M375" s="94"/>
      <c r="N375" s="94"/>
      <c r="O375" s="94"/>
      <c r="P375" s="95">
        <v>199.46</v>
      </c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4"/>
      <c r="AD375" s="95">
        <v>13.09</v>
      </c>
      <c r="AE375" s="94"/>
      <c r="AF375" s="94"/>
      <c r="AG375" s="95">
        <v>212.55</v>
      </c>
      <c r="AH375" s="95">
        <v>0</v>
      </c>
    </row>
    <row r="376" spans="1:34" ht="15.75" thickBot="1" x14ac:dyDescent="0.3">
      <c r="A376" s="90" t="s">
        <v>885</v>
      </c>
      <c r="B376" s="90" t="s">
        <v>26</v>
      </c>
      <c r="C376" s="90" t="s">
        <v>875</v>
      </c>
      <c r="D376" s="90" t="s">
        <v>17</v>
      </c>
      <c r="E376" s="90" t="s">
        <v>919</v>
      </c>
      <c r="F376" s="90" t="s">
        <v>686</v>
      </c>
      <c r="G376" s="93">
        <v>1.82</v>
      </c>
      <c r="H376" s="92"/>
      <c r="I376" s="93">
        <v>1.82</v>
      </c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3">
        <v>0.14000000000000001</v>
      </c>
      <c r="AE376" s="92"/>
      <c r="AF376" s="92"/>
      <c r="AG376" s="93">
        <v>1.96</v>
      </c>
      <c r="AH376" s="93">
        <v>0</v>
      </c>
    </row>
    <row r="377" spans="1:34" ht="15.75" thickBot="1" x14ac:dyDescent="0.3">
      <c r="A377" s="90" t="s">
        <v>885</v>
      </c>
      <c r="B377" s="90" t="s">
        <v>26</v>
      </c>
      <c r="C377" s="90" t="s">
        <v>875</v>
      </c>
      <c r="D377" s="90" t="s">
        <v>17</v>
      </c>
      <c r="E377" s="90" t="s">
        <v>919</v>
      </c>
      <c r="F377" s="90" t="s">
        <v>697</v>
      </c>
      <c r="G377" s="95">
        <v>1.82</v>
      </c>
      <c r="H377" s="94"/>
      <c r="I377" s="95">
        <v>1.82</v>
      </c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4"/>
      <c r="AD377" s="95">
        <v>0.14000000000000001</v>
      </c>
      <c r="AE377" s="94"/>
      <c r="AF377" s="94"/>
      <c r="AG377" s="95">
        <v>1.96</v>
      </c>
      <c r="AH377" s="95">
        <v>0</v>
      </c>
    </row>
    <row r="378" spans="1:34" ht="15.75" thickBot="1" x14ac:dyDescent="0.3">
      <c r="A378" s="90" t="s">
        <v>885</v>
      </c>
      <c r="B378" s="90" t="s">
        <v>26</v>
      </c>
      <c r="C378" s="90" t="s">
        <v>875</v>
      </c>
      <c r="D378" s="90" t="s">
        <v>17</v>
      </c>
      <c r="E378" s="90" t="s">
        <v>726</v>
      </c>
      <c r="F378" s="90" t="s">
        <v>686</v>
      </c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3">
        <v>4710.59</v>
      </c>
      <c r="AD378" s="93">
        <v>116.87</v>
      </c>
      <c r="AE378" s="92"/>
      <c r="AF378" s="92"/>
      <c r="AG378" s="93">
        <v>4827.46</v>
      </c>
      <c r="AH378" s="93">
        <v>0</v>
      </c>
    </row>
    <row r="379" spans="1:34" ht="15.75" thickBot="1" x14ac:dyDescent="0.3">
      <c r="A379" s="90" t="s">
        <v>885</v>
      </c>
      <c r="B379" s="90" t="s">
        <v>26</v>
      </c>
      <c r="C379" s="90" t="s">
        <v>875</v>
      </c>
      <c r="D379" s="90" t="s">
        <v>17</v>
      </c>
      <c r="E379" s="90" t="s">
        <v>726</v>
      </c>
      <c r="F379" s="90" t="s">
        <v>697</v>
      </c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  <c r="AC379" s="95">
        <v>4710.59</v>
      </c>
      <c r="AD379" s="95">
        <v>116.87</v>
      </c>
      <c r="AE379" s="94"/>
      <c r="AF379" s="94"/>
      <c r="AG379" s="95">
        <v>4827.46</v>
      </c>
      <c r="AH379" s="95">
        <v>0</v>
      </c>
    </row>
    <row r="380" spans="1:34" ht="15.75" thickBot="1" x14ac:dyDescent="0.3">
      <c r="A380" s="90" t="s">
        <v>885</v>
      </c>
      <c r="B380" s="90" t="s">
        <v>26</v>
      </c>
      <c r="C380" s="90" t="s">
        <v>875</v>
      </c>
      <c r="D380" s="90" t="s">
        <v>17</v>
      </c>
      <c r="E380" s="90" t="s">
        <v>528</v>
      </c>
      <c r="F380" s="90" t="s">
        <v>686</v>
      </c>
      <c r="G380" s="93">
        <v>1082465.49</v>
      </c>
      <c r="H380" s="92"/>
      <c r="I380" s="93">
        <v>1082465.49</v>
      </c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3">
        <v>63790.7</v>
      </c>
      <c r="AE380" s="92"/>
      <c r="AF380" s="92"/>
      <c r="AG380" s="93">
        <v>1146256.19</v>
      </c>
      <c r="AH380" s="93">
        <v>0</v>
      </c>
    </row>
    <row r="381" spans="1:34" ht="15.75" thickBot="1" x14ac:dyDescent="0.3">
      <c r="A381" s="90" t="s">
        <v>885</v>
      </c>
      <c r="B381" s="90" t="s">
        <v>26</v>
      </c>
      <c r="C381" s="90" t="s">
        <v>875</v>
      </c>
      <c r="D381" s="90" t="s">
        <v>17</v>
      </c>
      <c r="E381" s="90" t="s">
        <v>528</v>
      </c>
      <c r="F381" s="90" t="s">
        <v>697</v>
      </c>
      <c r="G381" s="95">
        <v>1082465.49</v>
      </c>
      <c r="H381" s="94"/>
      <c r="I381" s="95">
        <v>1082465.49</v>
      </c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4"/>
      <c r="AD381" s="95">
        <v>63790.7</v>
      </c>
      <c r="AE381" s="94"/>
      <c r="AF381" s="94"/>
      <c r="AG381" s="95">
        <v>1146256.19</v>
      </c>
      <c r="AH381" s="95">
        <v>0</v>
      </c>
    </row>
    <row r="382" spans="1:34" ht="15.75" thickBot="1" x14ac:dyDescent="0.3">
      <c r="A382" s="90" t="s">
        <v>885</v>
      </c>
      <c r="B382" s="90" t="s">
        <v>26</v>
      </c>
      <c r="C382" s="90" t="s">
        <v>875</v>
      </c>
      <c r="D382" s="90" t="s">
        <v>17</v>
      </c>
      <c r="E382" s="90" t="s">
        <v>518</v>
      </c>
      <c r="F382" s="90" t="s">
        <v>686</v>
      </c>
      <c r="G382" s="93">
        <v>1310284.8400000001</v>
      </c>
      <c r="H382" s="93">
        <v>6597913</v>
      </c>
      <c r="I382" s="92"/>
      <c r="J382" s="92"/>
      <c r="K382" s="93">
        <v>1310284.8400000001</v>
      </c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3">
        <v>68765.09</v>
      </c>
      <c r="AE382" s="92"/>
      <c r="AF382" s="92"/>
      <c r="AG382" s="93">
        <v>1379049.93</v>
      </c>
      <c r="AH382" s="93">
        <v>0</v>
      </c>
    </row>
    <row r="383" spans="1:34" ht="15.75" thickBot="1" x14ac:dyDescent="0.3">
      <c r="A383" s="90" t="s">
        <v>885</v>
      </c>
      <c r="B383" s="90" t="s">
        <v>26</v>
      </c>
      <c r="C383" s="90" t="s">
        <v>875</v>
      </c>
      <c r="D383" s="90" t="s">
        <v>17</v>
      </c>
      <c r="E383" s="90" t="s">
        <v>518</v>
      </c>
      <c r="F383" s="90" t="s">
        <v>697</v>
      </c>
      <c r="G383" s="95">
        <v>1310284.8400000001</v>
      </c>
      <c r="H383" s="305">
        <v>6597913</v>
      </c>
      <c r="I383" s="94"/>
      <c r="J383" s="94"/>
      <c r="K383" s="95">
        <v>1310284.8400000001</v>
      </c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4"/>
      <c r="AD383" s="95">
        <v>68765.09</v>
      </c>
      <c r="AE383" s="94"/>
      <c r="AF383" s="94"/>
      <c r="AG383" s="95">
        <v>1379049.93</v>
      </c>
      <c r="AH383" s="95">
        <v>0</v>
      </c>
    </row>
    <row r="384" spans="1:34" ht="15.75" thickBot="1" x14ac:dyDescent="0.3">
      <c r="A384" s="90" t="s">
        <v>885</v>
      </c>
      <c r="B384" s="90" t="s">
        <v>26</v>
      </c>
      <c r="C384" s="90" t="s">
        <v>875</v>
      </c>
      <c r="D384" s="90" t="s">
        <v>17</v>
      </c>
      <c r="E384" s="90" t="s">
        <v>727</v>
      </c>
      <c r="F384" s="90" t="s">
        <v>686</v>
      </c>
      <c r="G384" s="93">
        <v>3752.57</v>
      </c>
      <c r="H384" s="92"/>
      <c r="I384" s="92"/>
      <c r="J384" s="92"/>
      <c r="K384" s="92"/>
      <c r="L384" s="92"/>
      <c r="M384" s="92"/>
      <c r="N384" s="92"/>
      <c r="O384" s="93">
        <v>3752.57</v>
      </c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3">
        <v>179.14</v>
      </c>
      <c r="AE384" s="92"/>
      <c r="AF384" s="92"/>
      <c r="AG384" s="93">
        <v>3931.71</v>
      </c>
      <c r="AH384" s="93">
        <v>0</v>
      </c>
    </row>
    <row r="385" spans="1:34" ht="15.75" thickBot="1" x14ac:dyDescent="0.3">
      <c r="A385" s="90" t="s">
        <v>885</v>
      </c>
      <c r="B385" s="90" t="s">
        <v>26</v>
      </c>
      <c r="C385" s="90" t="s">
        <v>875</v>
      </c>
      <c r="D385" s="90" t="s">
        <v>17</v>
      </c>
      <c r="E385" s="90" t="s">
        <v>727</v>
      </c>
      <c r="F385" s="90" t="s">
        <v>697</v>
      </c>
      <c r="G385" s="95">
        <v>3752.57</v>
      </c>
      <c r="H385" s="94"/>
      <c r="I385" s="94"/>
      <c r="J385" s="94"/>
      <c r="K385" s="94"/>
      <c r="L385" s="94"/>
      <c r="M385" s="94"/>
      <c r="N385" s="94"/>
      <c r="O385" s="95">
        <v>3752.57</v>
      </c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5">
        <v>179.14</v>
      </c>
      <c r="AE385" s="94"/>
      <c r="AF385" s="94"/>
      <c r="AG385" s="95">
        <v>3931.71</v>
      </c>
      <c r="AH385" s="95">
        <v>0</v>
      </c>
    </row>
    <row r="386" spans="1:34" ht="15.75" thickBot="1" x14ac:dyDescent="0.3">
      <c r="A386" s="90" t="s">
        <v>885</v>
      </c>
      <c r="B386" s="90" t="s">
        <v>26</v>
      </c>
      <c r="C386" s="90" t="s">
        <v>875</v>
      </c>
      <c r="D386" s="90" t="s">
        <v>17</v>
      </c>
      <c r="E386" s="90" t="s">
        <v>673</v>
      </c>
      <c r="F386" s="90" t="s">
        <v>686</v>
      </c>
      <c r="G386" s="93">
        <v>625947.88</v>
      </c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3">
        <v>625947.88</v>
      </c>
      <c r="Y386" s="92"/>
      <c r="Z386" s="92"/>
      <c r="AA386" s="92"/>
      <c r="AB386" s="92"/>
      <c r="AC386" s="92"/>
      <c r="AD386" s="93">
        <v>37604.01</v>
      </c>
      <c r="AE386" s="92"/>
      <c r="AF386" s="92"/>
      <c r="AG386" s="93">
        <v>663551.89</v>
      </c>
      <c r="AH386" s="93">
        <v>0</v>
      </c>
    </row>
    <row r="387" spans="1:34" ht="15.75" thickBot="1" x14ac:dyDescent="0.3">
      <c r="A387" s="90" t="s">
        <v>885</v>
      </c>
      <c r="B387" s="90" t="s">
        <v>26</v>
      </c>
      <c r="C387" s="90" t="s">
        <v>875</v>
      </c>
      <c r="D387" s="90" t="s">
        <v>17</v>
      </c>
      <c r="E387" s="90" t="s">
        <v>673</v>
      </c>
      <c r="F387" s="90" t="s">
        <v>697</v>
      </c>
      <c r="G387" s="95">
        <v>625947.88</v>
      </c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5">
        <v>625947.88</v>
      </c>
      <c r="Y387" s="94"/>
      <c r="Z387" s="94"/>
      <c r="AA387" s="94"/>
      <c r="AB387" s="94"/>
      <c r="AC387" s="94"/>
      <c r="AD387" s="95">
        <v>37604.01</v>
      </c>
      <c r="AE387" s="94"/>
      <c r="AF387" s="94"/>
      <c r="AG387" s="95">
        <v>663551.89</v>
      </c>
      <c r="AH387" s="95">
        <v>0</v>
      </c>
    </row>
    <row r="388" spans="1:34" ht="15.75" thickBot="1" x14ac:dyDescent="0.3">
      <c r="A388" s="90" t="s">
        <v>885</v>
      </c>
      <c r="B388" s="90" t="s">
        <v>26</v>
      </c>
      <c r="C388" s="90" t="s">
        <v>875</v>
      </c>
      <c r="D388" s="90" t="s">
        <v>17</v>
      </c>
      <c r="E388" s="90" t="s">
        <v>196</v>
      </c>
      <c r="F388" s="90" t="s">
        <v>686</v>
      </c>
      <c r="G388" s="93">
        <v>2133456.0499999998</v>
      </c>
      <c r="H388" s="92"/>
      <c r="I388" s="92"/>
      <c r="J388" s="92"/>
      <c r="K388" s="92"/>
      <c r="L388" s="92"/>
      <c r="M388" s="92"/>
      <c r="N388" s="92"/>
      <c r="O388" s="92"/>
      <c r="P388" s="93">
        <v>2133456.0499999998</v>
      </c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3">
        <v>111606.88</v>
      </c>
      <c r="AE388" s="92"/>
      <c r="AF388" s="92"/>
      <c r="AG388" s="93">
        <v>2245062.9300000002</v>
      </c>
      <c r="AH388" s="93">
        <v>0</v>
      </c>
    </row>
    <row r="389" spans="1:34" ht="15.75" thickBot="1" x14ac:dyDescent="0.3">
      <c r="A389" s="90" t="s">
        <v>885</v>
      </c>
      <c r="B389" s="90" t="s">
        <v>26</v>
      </c>
      <c r="C389" s="90" t="s">
        <v>875</v>
      </c>
      <c r="D389" s="90" t="s">
        <v>17</v>
      </c>
      <c r="E389" s="90" t="s">
        <v>196</v>
      </c>
      <c r="F389" s="90" t="s">
        <v>697</v>
      </c>
      <c r="G389" s="95">
        <v>2133456.0499999998</v>
      </c>
      <c r="H389" s="94"/>
      <c r="I389" s="94"/>
      <c r="J389" s="94"/>
      <c r="K389" s="94"/>
      <c r="L389" s="94"/>
      <c r="M389" s="94"/>
      <c r="N389" s="94"/>
      <c r="O389" s="94"/>
      <c r="P389" s="95">
        <v>2133456.0499999998</v>
      </c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4"/>
      <c r="AD389" s="95">
        <v>111606.88</v>
      </c>
      <c r="AE389" s="94"/>
      <c r="AF389" s="94"/>
      <c r="AG389" s="95">
        <v>2245062.9300000002</v>
      </c>
      <c r="AH389" s="95">
        <v>0</v>
      </c>
    </row>
    <row r="390" spans="1:34" ht="15.75" thickBot="1" x14ac:dyDescent="0.3">
      <c r="A390" s="90" t="s">
        <v>885</v>
      </c>
      <c r="B390" s="90" t="s">
        <v>26</v>
      </c>
      <c r="C390" s="90" t="s">
        <v>875</v>
      </c>
      <c r="D390" s="90" t="s">
        <v>17</v>
      </c>
      <c r="E390" s="90" t="s">
        <v>674</v>
      </c>
      <c r="F390" s="90" t="s">
        <v>686</v>
      </c>
      <c r="G390" s="93">
        <v>296419.52</v>
      </c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3">
        <v>296419.52</v>
      </c>
      <c r="Z390" s="92"/>
      <c r="AA390" s="92"/>
      <c r="AB390" s="92"/>
      <c r="AC390" s="92"/>
      <c r="AD390" s="93">
        <v>15371.28</v>
      </c>
      <c r="AE390" s="92"/>
      <c r="AF390" s="92"/>
      <c r="AG390" s="93">
        <v>311790.8</v>
      </c>
      <c r="AH390" s="93">
        <v>0</v>
      </c>
    </row>
    <row r="391" spans="1:34" ht="15.75" thickBot="1" x14ac:dyDescent="0.3">
      <c r="A391" s="90" t="s">
        <v>885</v>
      </c>
      <c r="B391" s="90" t="s">
        <v>26</v>
      </c>
      <c r="C391" s="90" t="s">
        <v>875</v>
      </c>
      <c r="D391" s="90" t="s">
        <v>17</v>
      </c>
      <c r="E391" s="90" t="s">
        <v>674</v>
      </c>
      <c r="F391" s="90" t="s">
        <v>697</v>
      </c>
      <c r="G391" s="95">
        <v>296419.52</v>
      </c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5">
        <v>296419.52</v>
      </c>
      <c r="Z391" s="94"/>
      <c r="AA391" s="94"/>
      <c r="AB391" s="94"/>
      <c r="AC391" s="94"/>
      <c r="AD391" s="95">
        <v>15371.28</v>
      </c>
      <c r="AE391" s="94"/>
      <c r="AF391" s="94"/>
      <c r="AG391" s="95">
        <v>311790.8</v>
      </c>
      <c r="AH391" s="95">
        <v>0</v>
      </c>
    </row>
    <row r="392" spans="1:34" ht="15.75" thickBot="1" x14ac:dyDescent="0.3">
      <c r="A392" s="90" t="s">
        <v>885</v>
      </c>
      <c r="B392" s="90" t="s">
        <v>26</v>
      </c>
      <c r="C392" s="90" t="s">
        <v>875</v>
      </c>
      <c r="D392" s="90" t="s">
        <v>20</v>
      </c>
      <c r="E392" s="90" t="s">
        <v>726</v>
      </c>
      <c r="F392" s="90" t="s">
        <v>686</v>
      </c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3">
        <v>895.57</v>
      </c>
      <c r="AD392" s="93">
        <v>0.13</v>
      </c>
      <c r="AE392" s="92"/>
      <c r="AF392" s="92"/>
      <c r="AG392" s="93">
        <v>895.7</v>
      </c>
      <c r="AH392" s="93">
        <v>0</v>
      </c>
    </row>
    <row r="393" spans="1:34" ht="15.75" thickBot="1" x14ac:dyDescent="0.3">
      <c r="A393" s="90" t="s">
        <v>885</v>
      </c>
      <c r="B393" s="90" t="s">
        <v>26</v>
      </c>
      <c r="C393" s="90" t="s">
        <v>875</v>
      </c>
      <c r="D393" s="90" t="s">
        <v>20</v>
      </c>
      <c r="E393" s="90" t="s">
        <v>726</v>
      </c>
      <c r="F393" s="90" t="s">
        <v>697</v>
      </c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  <c r="AC393" s="95">
        <v>895.57</v>
      </c>
      <c r="AD393" s="95">
        <v>0.13</v>
      </c>
      <c r="AE393" s="94"/>
      <c r="AF393" s="94"/>
      <c r="AG393" s="95">
        <v>895.7</v>
      </c>
      <c r="AH393" s="95">
        <v>0</v>
      </c>
    </row>
    <row r="394" spans="1:34" ht="15.75" thickBot="1" x14ac:dyDescent="0.3">
      <c r="A394" s="90" t="s">
        <v>885</v>
      </c>
      <c r="B394" s="90" t="s">
        <v>26</v>
      </c>
      <c r="C394" s="90" t="s">
        <v>875</v>
      </c>
      <c r="D394" s="90" t="s">
        <v>20</v>
      </c>
      <c r="E394" s="90" t="s">
        <v>528</v>
      </c>
      <c r="F394" s="90" t="s">
        <v>686</v>
      </c>
      <c r="G394" s="93">
        <v>80996.11</v>
      </c>
      <c r="H394" s="92"/>
      <c r="I394" s="93">
        <v>80996.11</v>
      </c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3">
        <v>596.78</v>
      </c>
      <c r="AE394" s="92"/>
      <c r="AF394" s="92"/>
      <c r="AG394" s="93">
        <v>81592.89</v>
      </c>
      <c r="AH394" s="93">
        <v>0</v>
      </c>
    </row>
    <row r="395" spans="1:34" ht="15.75" thickBot="1" x14ac:dyDescent="0.3">
      <c r="A395" s="90" t="s">
        <v>885</v>
      </c>
      <c r="B395" s="90" t="s">
        <v>26</v>
      </c>
      <c r="C395" s="90" t="s">
        <v>875</v>
      </c>
      <c r="D395" s="90" t="s">
        <v>20</v>
      </c>
      <c r="E395" s="90" t="s">
        <v>528</v>
      </c>
      <c r="F395" s="90" t="s">
        <v>697</v>
      </c>
      <c r="G395" s="95">
        <v>80996.11</v>
      </c>
      <c r="H395" s="94"/>
      <c r="I395" s="95">
        <v>80996.11</v>
      </c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4"/>
      <c r="AD395" s="95">
        <v>596.78</v>
      </c>
      <c r="AE395" s="94"/>
      <c r="AF395" s="94"/>
      <c r="AG395" s="95">
        <v>81592.89</v>
      </c>
      <c r="AH395" s="95">
        <v>0</v>
      </c>
    </row>
    <row r="396" spans="1:34" ht="15.75" thickBot="1" x14ac:dyDescent="0.3">
      <c r="A396" s="90" t="s">
        <v>885</v>
      </c>
      <c r="B396" s="90" t="s">
        <v>26</v>
      </c>
      <c r="C396" s="90" t="s">
        <v>875</v>
      </c>
      <c r="D396" s="90" t="s">
        <v>20</v>
      </c>
      <c r="E396" s="90" t="s">
        <v>518</v>
      </c>
      <c r="F396" s="90" t="s">
        <v>686</v>
      </c>
      <c r="G396" s="93">
        <v>161805.73000000001</v>
      </c>
      <c r="H396" s="93">
        <v>840595</v>
      </c>
      <c r="I396" s="92"/>
      <c r="J396" s="92"/>
      <c r="K396" s="93">
        <v>161805.73000000001</v>
      </c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3">
        <v>864.6</v>
      </c>
      <c r="AE396" s="92"/>
      <c r="AF396" s="92"/>
      <c r="AG396" s="93">
        <v>162670.32999999999</v>
      </c>
      <c r="AH396" s="93">
        <v>0</v>
      </c>
    </row>
    <row r="397" spans="1:34" ht="15.75" thickBot="1" x14ac:dyDescent="0.3">
      <c r="A397" s="90" t="s">
        <v>885</v>
      </c>
      <c r="B397" s="90" t="s">
        <v>26</v>
      </c>
      <c r="C397" s="90" t="s">
        <v>875</v>
      </c>
      <c r="D397" s="90" t="s">
        <v>20</v>
      </c>
      <c r="E397" s="90" t="s">
        <v>518</v>
      </c>
      <c r="F397" s="90" t="s">
        <v>697</v>
      </c>
      <c r="G397" s="95">
        <v>161805.73000000001</v>
      </c>
      <c r="H397" s="305">
        <v>840595</v>
      </c>
      <c r="I397" s="94"/>
      <c r="J397" s="94"/>
      <c r="K397" s="95">
        <v>161805.73000000001</v>
      </c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4"/>
      <c r="AD397" s="95">
        <v>864.6</v>
      </c>
      <c r="AE397" s="94"/>
      <c r="AF397" s="94"/>
      <c r="AG397" s="95">
        <v>162670.32999999999</v>
      </c>
      <c r="AH397" s="95">
        <v>0</v>
      </c>
    </row>
    <row r="398" spans="1:34" ht="15.75" thickBot="1" x14ac:dyDescent="0.3">
      <c r="A398" s="90" t="s">
        <v>885</v>
      </c>
      <c r="B398" s="90" t="s">
        <v>26</v>
      </c>
      <c r="C398" s="90" t="s">
        <v>875</v>
      </c>
      <c r="D398" s="90" t="s">
        <v>20</v>
      </c>
      <c r="E398" s="90" t="s">
        <v>727</v>
      </c>
      <c r="F398" s="90" t="s">
        <v>686</v>
      </c>
      <c r="G398" s="93">
        <v>477.28</v>
      </c>
      <c r="H398" s="92"/>
      <c r="I398" s="92"/>
      <c r="J398" s="92"/>
      <c r="K398" s="92"/>
      <c r="L398" s="92"/>
      <c r="M398" s="92"/>
      <c r="N398" s="92"/>
      <c r="O398" s="93">
        <v>477.28</v>
      </c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3">
        <v>2.2799999999999998</v>
      </c>
      <c r="AE398" s="92"/>
      <c r="AF398" s="92"/>
      <c r="AG398" s="93">
        <v>479.56</v>
      </c>
      <c r="AH398" s="93">
        <v>0</v>
      </c>
    </row>
    <row r="399" spans="1:34" ht="15.75" thickBot="1" x14ac:dyDescent="0.3">
      <c r="A399" s="90" t="s">
        <v>885</v>
      </c>
      <c r="B399" s="90" t="s">
        <v>26</v>
      </c>
      <c r="C399" s="90" t="s">
        <v>875</v>
      </c>
      <c r="D399" s="90" t="s">
        <v>20</v>
      </c>
      <c r="E399" s="90" t="s">
        <v>727</v>
      </c>
      <c r="F399" s="90" t="s">
        <v>697</v>
      </c>
      <c r="G399" s="95">
        <v>477.28</v>
      </c>
      <c r="H399" s="94"/>
      <c r="I399" s="94"/>
      <c r="J399" s="94"/>
      <c r="K399" s="94"/>
      <c r="L399" s="94"/>
      <c r="M399" s="94"/>
      <c r="N399" s="94"/>
      <c r="O399" s="95">
        <v>477.28</v>
      </c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4"/>
      <c r="AD399" s="95">
        <v>2.2799999999999998</v>
      </c>
      <c r="AE399" s="94"/>
      <c r="AF399" s="94"/>
      <c r="AG399" s="95">
        <v>479.56</v>
      </c>
      <c r="AH399" s="95">
        <v>0</v>
      </c>
    </row>
    <row r="400" spans="1:34" ht="15.75" thickBot="1" x14ac:dyDescent="0.3">
      <c r="A400" s="90" t="s">
        <v>885</v>
      </c>
      <c r="B400" s="90" t="s">
        <v>26</v>
      </c>
      <c r="C400" s="90" t="s">
        <v>875</v>
      </c>
      <c r="D400" s="90" t="s">
        <v>20</v>
      </c>
      <c r="E400" s="90" t="s">
        <v>673</v>
      </c>
      <c r="F400" s="90" t="s">
        <v>686</v>
      </c>
      <c r="G400" s="93">
        <v>28945.52</v>
      </c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3">
        <v>28945.52</v>
      </c>
      <c r="Y400" s="92"/>
      <c r="Z400" s="92"/>
      <c r="AA400" s="92"/>
      <c r="AB400" s="92"/>
      <c r="AC400" s="92"/>
      <c r="AD400" s="93">
        <v>248.73</v>
      </c>
      <c r="AE400" s="92"/>
      <c r="AF400" s="92"/>
      <c r="AG400" s="93">
        <v>29194.25</v>
      </c>
      <c r="AH400" s="93">
        <v>0</v>
      </c>
    </row>
    <row r="401" spans="1:34" ht="15.75" thickBot="1" x14ac:dyDescent="0.3">
      <c r="A401" s="90" t="s">
        <v>885</v>
      </c>
      <c r="B401" s="90" t="s">
        <v>26</v>
      </c>
      <c r="C401" s="90" t="s">
        <v>875</v>
      </c>
      <c r="D401" s="90" t="s">
        <v>20</v>
      </c>
      <c r="E401" s="90" t="s">
        <v>673</v>
      </c>
      <c r="F401" s="90" t="s">
        <v>697</v>
      </c>
      <c r="G401" s="95">
        <v>28945.52</v>
      </c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5">
        <v>28945.52</v>
      </c>
      <c r="Y401" s="94"/>
      <c r="Z401" s="94"/>
      <c r="AA401" s="94"/>
      <c r="AB401" s="94"/>
      <c r="AC401" s="94"/>
      <c r="AD401" s="95">
        <v>248.73</v>
      </c>
      <c r="AE401" s="94"/>
      <c r="AF401" s="94"/>
      <c r="AG401" s="95">
        <v>29194.25</v>
      </c>
      <c r="AH401" s="95">
        <v>0</v>
      </c>
    </row>
    <row r="402" spans="1:34" ht="15.75" thickBot="1" x14ac:dyDescent="0.3">
      <c r="A402" s="90" t="s">
        <v>885</v>
      </c>
      <c r="B402" s="90" t="s">
        <v>26</v>
      </c>
      <c r="C402" s="90" t="s">
        <v>875</v>
      </c>
      <c r="D402" s="90" t="s">
        <v>20</v>
      </c>
      <c r="E402" s="90" t="s">
        <v>196</v>
      </c>
      <c r="F402" s="90" t="s">
        <v>686</v>
      </c>
      <c r="G402" s="93">
        <v>271873.62</v>
      </c>
      <c r="H402" s="92"/>
      <c r="I402" s="92"/>
      <c r="J402" s="92"/>
      <c r="K402" s="92"/>
      <c r="L402" s="92"/>
      <c r="M402" s="92"/>
      <c r="N402" s="92"/>
      <c r="O402" s="92"/>
      <c r="P402" s="93">
        <v>271873.62</v>
      </c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3">
        <v>1436.52</v>
      </c>
      <c r="AE402" s="92"/>
      <c r="AF402" s="92"/>
      <c r="AG402" s="93">
        <v>273310.14</v>
      </c>
      <c r="AH402" s="93">
        <v>0</v>
      </c>
    </row>
    <row r="403" spans="1:34" ht="15.75" thickBot="1" x14ac:dyDescent="0.3">
      <c r="A403" s="90" t="s">
        <v>885</v>
      </c>
      <c r="B403" s="90" t="s">
        <v>26</v>
      </c>
      <c r="C403" s="90" t="s">
        <v>875</v>
      </c>
      <c r="D403" s="90" t="s">
        <v>20</v>
      </c>
      <c r="E403" s="90" t="s">
        <v>196</v>
      </c>
      <c r="F403" s="90" t="s">
        <v>697</v>
      </c>
      <c r="G403" s="95">
        <v>271873.62</v>
      </c>
      <c r="H403" s="94"/>
      <c r="I403" s="94"/>
      <c r="J403" s="94"/>
      <c r="K403" s="94"/>
      <c r="L403" s="94"/>
      <c r="M403" s="94"/>
      <c r="N403" s="94"/>
      <c r="O403" s="94"/>
      <c r="P403" s="95">
        <v>271873.62</v>
      </c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  <c r="AC403" s="94"/>
      <c r="AD403" s="95">
        <v>1436.52</v>
      </c>
      <c r="AE403" s="94"/>
      <c r="AF403" s="94"/>
      <c r="AG403" s="95">
        <v>273310.14</v>
      </c>
      <c r="AH403" s="95">
        <v>0</v>
      </c>
    </row>
    <row r="404" spans="1:34" ht="15.75" thickBot="1" x14ac:dyDescent="0.3">
      <c r="A404" s="90" t="s">
        <v>885</v>
      </c>
      <c r="B404" s="90" t="s">
        <v>26</v>
      </c>
      <c r="C404" s="90" t="s">
        <v>875</v>
      </c>
      <c r="D404" s="90" t="s">
        <v>20</v>
      </c>
      <c r="E404" s="90" t="s">
        <v>674</v>
      </c>
      <c r="F404" s="90" t="s">
        <v>686</v>
      </c>
      <c r="G404" s="93">
        <v>48650.25</v>
      </c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3">
        <v>48650.25</v>
      </c>
      <c r="Z404" s="92"/>
      <c r="AA404" s="92"/>
      <c r="AB404" s="92"/>
      <c r="AC404" s="92"/>
      <c r="AD404" s="93">
        <v>234.9</v>
      </c>
      <c r="AE404" s="92"/>
      <c r="AF404" s="92"/>
      <c r="AG404" s="93">
        <v>48885.15</v>
      </c>
      <c r="AH404" s="93">
        <v>0</v>
      </c>
    </row>
    <row r="405" spans="1:34" ht="15.75" thickBot="1" x14ac:dyDescent="0.3">
      <c r="A405" s="90" t="s">
        <v>885</v>
      </c>
      <c r="B405" s="90" t="s">
        <v>26</v>
      </c>
      <c r="C405" s="90" t="s">
        <v>875</v>
      </c>
      <c r="D405" s="90" t="s">
        <v>20</v>
      </c>
      <c r="E405" s="90" t="s">
        <v>674</v>
      </c>
      <c r="F405" s="90" t="s">
        <v>697</v>
      </c>
      <c r="G405" s="95">
        <v>48650.25</v>
      </c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5">
        <v>48650.25</v>
      </c>
      <c r="Z405" s="94"/>
      <c r="AA405" s="94"/>
      <c r="AB405" s="94"/>
      <c r="AC405" s="94"/>
      <c r="AD405" s="95">
        <v>234.9</v>
      </c>
      <c r="AE405" s="94"/>
      <c r="AF405" s="94"/>
      <c r="AG405" s="95">
        <v>48885.15</v>
      </c>
      <c r="AH405" s="95">
        <v>0</v>
      </c>
    </row>
    <row r="406" spans="1:34" ht="15.75" thickBot="1" x14ac:dyDescent="0.3">
      <c r="A406" s="90" t="s">
        <v>885</v>
      </c>
      <c r="B406" s="90" t="s">
        <v>26</v>
      </c>
      <c r="C406" s="90" t="s">
        <v>875</v>
      </c>
      <c r="D406" s="90" t="s">
        <v>28</v>
      </c>
      <c r="E406" s="90" t="s">
        <v>528</v>
      </c>
      <c r="F406" s="90" t="s">
        <v>686</v>
      </c>
      <c r="G406" s="93">
        <v>480</v>
      </c>
      <c r="H406" s="92"/>
      <c r="I406" s="93">
        <v>480</v>
      </c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3">
        <v>3.6</v>
      </c>
      <c r="AE406" s="92"/>
      <c r="AF406" s="92"/>
      <c r="AG406" s="93">
        <v>483.6</v>
      </c>
      <c r="AH406" s="93">
        <v>0</v>
      </c>
    </row>
    <row r="407" spans="1:34" ht="15.75" thickBot="1" x14ac:dyDescent="0.3">
      <c r="A407" s="90" t="s">
        <v>885</v>
      </c>
      <c r="B407" s="90" t="s">
        <v>26</v>
      </c>
      <c r="C407" s="90" t="s">
        <v>875</v>
      </c>
      <c r="D407" s="90" t="s">
        <v>28</v>
      </c>
      <c r="E407" s="90" t="s">
        <v>528</v>
      </c>
      <c r="F407" s="90" t="s">
        <v>697</v>
      </c>
      <c r="G407" s="95">
        <v>480</v>
      </c>
      <c r="H407" s="94"/>
      <c r="I407" s="95">
        <v>480</v>
      </c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  <c r="AC407" s="94"/>
      <c r="AD407" s="95">
        <v>3.6</v>
      </c>
      <c r="AE407" s="94"/>
      <c r="AF407" s="94"/>
      <c r="AG407" s="95">
        <v>483.6</v>
      </c>
      <c r="AH407" s="95">
        <v>0</v>
      </c>
    </row>
    <row r="408" spans="1:34" ht="15.75" thickBot="1" x14ac:dyDescent="0.3">
      <c r="A408" s="90" t="s">
        <v>885</v>
      </c>
      <c r="B408" s="90" t="s">
        <v>26</v>
      </c>
      <c r="C408" s="90" t="s">
        <v>875</v>
      </c>
      <c r="D408" s="90" t="s">
        <v>28</v>
      </c>
      <c r="E408" s="90" t="s">
        <v>518</v>
      </c>
      <c r="F408" s="90" t="s">
        <v>686</v>
      </c>
      <c r="G408" s="93">
        <v>444.02</v>
      </c>
      <c r="H408" s="93">
        <v>2153</v>
      </c>
      <c r="I408" s="92"/>
      <c r="J408" s="92"/>
      <c r="K408" s="93">
        <v>444.02</v>
      </c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3">
        <v>2.38</v>
      </c>
      <c r="AE408" s="92"/>
      <c r="AF408" s="92"/>
      <c r="AG408" s="93">
        <v>446.4</v>
      </c>
      <c r="AH408" s="93">
        <v>0</v>
      </c>
    </row>
    <row r="409" spans="1:34" ht="15.75" thickBot="1" x14ac:dyDescent="0.3">
      <c r="A409" s="90" t="s">
        <v>885</v>
      </c>
      <c r="B409" s="90" t="s">
        <v>26</v>
      </c>
      <c r="C409" s="90" t="s">
        <v>875</v>
      </c>
      <c r="D409" s="90" t="s">
        <v>28</v>
      </c>
      <c r="E409" s="90" t="s">
        <v>518</v>
      </c>
      <c r="F409" s="90" t="s">
        <v>697</v>
      </c>
      <c r="G409" s="95">
        <v>444.02</v>
      </c>
      <c r="H409" s="305">
        <v>2153</v>
      </c>
      <c r="I409" s="94"/>
      <c r="J409" s="94"/>
      <c r="K409" s="95">
        <v>444.02</v>
      </c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  <c r="AC409" s="94"/>
      <c r="AD409" s="95">
        <v>2.38</v>
      </c>
      <c r="AE409" s="94"/>
      <c r="AF409" s="94"/>
      <c r="AG409" s="95">
        <v>446.4</v>
      </c>
      <c r="AH409" s="95">
        <v>0</v>
      </c>
    </row>
    <row r="410" spans="1:34" ht="15.75" thickBot="1" x14ac:dyDescent="0.3">
      <c r="A410" s="90" t="s">
        <v>885</v>
      </c>
      <c r="B410" s="90" t="s">
        <v>26</v>
      </c>
      <c r="C410" s="90" t="s">
        <v>875</v>
      </c>
      <c r="D410" s="90" t="s">
        <v>28</v>
      </c>
      <c r="E410" s="90" t="s">
        <v>727</v>
      </c>
      <c r="F410" s="90" t="s">
        <v>686</v>
      </c>
      <c r="G410" s="93">
        <v>1.22</v>
      </c>
      <c r="H410" s="92"/>
      <c r="I410" s="92"/>
      <c r="J410" s="92"/>
      <c r="K410" s="92"/>
      <c r="L410" s="92"/>
      <c r="M410" s="92"/>
      <c r="N410" s="92"/>
      <c r="O410" s="93">
        <v>1.22</v>
      </c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3">
        <v>0</v>
      </c>
      <c r="AE410" s="92"/>
      <c r="AF410" s="92"/>
      <c r="AG410" s="93">
        <v>1.22</v>
      </c>
      <c r="AH410" s="93">
        <v>0</v>
      </c>
    </row>
    <row r="411" spans="1:34" ht="15.75" thickBot="1" x14ac:dyDescent="0.3">
      <c r="A411" s="90" t="s">
        <v>885</v>
      </c>
      <c r="B411" s="90" t="s">
        <v>26</v>
      </c>
      <c r="C411" s="90" t="s">
        <v>875</v>
      </c>
      <c r="D411" s="90" t="s">
        <v>28</v>
      </c>
      <c r="E411" s="90" t="s">
        <v>727</v>
      </c>
      <c r="F411" s="90" t="s">
        <v>697</v>
      </c>
      <c r="G411" s="95">
        <v>1.22</v>
      </c>
      <c r="H411" s="94"/>
      <c r="I411" s="94"/>
      <c r="J411" s="94"/>
      <c r="K411" s="94"/>
      <c r="L411" s="94"/>
      <c r="M411" s="94"/>
      <c r="N411" s="94"/>
      <c r="O411" s="95">
        <v>1.22</v>
      </c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  <c r="AC411" s="94"/>
      <c r="AD411" s="95">
        <v>0</v>
      </c>
      <c r="AE411" s="94"/>
      <c r="AF411" s="94"/>
      <c r="AG411" s="95">
        <v>1.22</v>
      </c>
      <c r="AH411" s="95">
        <v>0</v>
      </c>
    </row>
    <row r="412" spans="1:34" ht="15.75" thickBot="1" x14ac:dyDescent="0.3">
      <c r="A412" s="90" t="s">
        <v>885</v>
      </c>
      <c r="B412" s="90" t="s">
        <v>26</v>
      </c>
      <c r="C412" s="90" t="s">
        <v>875</v>
      </c>
      <c r="D412" s="90" t="s">
        <v>28</v>
      </c>
      <c r="E412" s="90" t="s">
        <v>673</v>
      </c>
      <c r="F412" s="90" t="s">
        <v>686</v>
      </c>
      <c r="G412" s="93">
        <v>310.5</v>
      </c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3">
        <v>310.5</v>
      </c>
      <c r="Y412" s="92"/>
      <c r="Z412" s="92"/>
      <c r="AA412" s="92"/>
      <c r="AB412" s="92"/>
      <c r="AC412" s="92"/>
      <c r="AD412" s="93">
        <v>2.34</v>
      </c>
      <c r="AE412" s="92"/>
      <c r="AF412" s="92"/>
      <c r="AG412" s="93">
        <v>312.83999999999997</v>
      </c>
      <c r="AH412" s="93">
        <v>0</v>
      </c>
    </row>
    <row r="413" spans="1:34" ht="15.75" thickBot="1" x14ac:dyDescent="0.3">
      <c r="A413" s="90" t="s">
        <v>885</v>
      </c>
      <c r="B413" s="90" t="s">
        <v>26</v>
      </c>
      <c r="C413" s="90" t="s">
        <v>875</v>
      </c>
      <c r="D413" s="90" t="s">
        <v>28</v>
      </c>
      <c r="E413" s="90" t="s">
        <v>673</v>
      </c>
      <c r="F413" s="90" t="s">
        <v>697</v>
      </c>
      <c r="G413" s="95">
        <v>310.5</v>
      </c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5">
        <v>310.5</v>
      </c>
      <c r="Y413" s="94"/>
      <c r="Z413" s="94"/>
      <c r="AA413" s="94"/>
      <c r="AB413" s="94"/>
      <c r="AC413" s="94"/>
      <c r="AD413" s="95">
        <v>2.34</v>
      </c>
      <c r="AE413" s="94"/>
      <c r="AF413" s="94"/>
      <c r="AG413" s="95">
        <v>312.83999999999997</v>
      </c>
      <c r="AH413" s="95">
        <v>0</v>
      </c>
    </row>
    <row r="414" spans="1:34" ht="15.75" thickBot="1" x14ac:dyDescent="0.3">
      <c r="A414" s="90" t="s">
        <v>885</v>
      </c>
      <c r="B414" s="90" t="s">
        <v>26</v>
      </c>
      <c r="C414" s="90" t="s">
        <v>875</v>
      </c>
      <c r="D414" s="90" t="s">
        <v>28</v>
      </c>
      <c r="E414" s="90" t="s">
        <v>196</v>
      </c>
      <c r="F414" s="90" t="s">
        <v>686</v>
      </c>
      <c r="G414" s="93">
        <v>696.34</v>
      </c>
      <c r="H414" s="92"/>
      <c r="I414" s="92"/>
      <c r="J414" s="92"/>
      <c r="K414" s="92"/>
      <c r="L414" s="92"/>
      <c r="M414" s="92"/>
      <c r="N414" s="92"/>
      <c r="O414" s="92"/>
      <c r="P414" s="93">
        <v>696.34</v>
      </c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3">
        <v>3.57</v>
      </c>
      <c r="AE414" s="92"/>
      <c r="AF414" s="92"/>
      <c r="AG414" s="93">
        <v>699.91</v>
      </c>
      <c r="AH414" s="93">
        <v>0</v>
      </c>
    </row>
    <row r="415" spans="1:34" ht="15.75" thickBot="1" x14ac:dyDescent="0.3">
      <c r="A415" s="90" t="s">
        <v>885</v>
      </c>
      <c r="B415" s="90" t="s">
        <v>26</v>
      </c>
      <c r="C415" s="90" t="s">
        <v>875</v>
      </c>
      <c r="D415" s="90" t="s">
        <v>28</v>
      </c>
      <c r="E415" s="90" t="s">
        <v>196</v>
      </c>
      <c r="F415" s="90" t="s">
        <v>697</v>
      </c>
      <c r="G415" s="95">
        <v>696.34</v>
      </c>
      <c r="H415" s="94"/>
      <c r="I415" s="94"/>
      <c r="J415" s="94"/>
      <c r="K415" s="94"/>
      <c r="L415" s="94"/>
      <c r="M415" s="94"/>
      <c r="N415" s="94"/>
      <c r="O415" s="94"/>
      <c r="P415" s="95">
        <v>696.34</v>
      </c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  <c r="AC415" s="94"/>
      <c r="AD415" s="95">
        <v>3.57</v>
      </c>
      <c r="AE415" s="94"/>
      <c r="AF415" s="94"/>
      <c r="AG415" s="95">
        <v>699.91</v>
      </c>
      <c r="AH415" s="95">
        <v>0</v>
      </c>
    </row>
    <row r="416" spans="1:34" ht="15.75" thickBot="1" x14ac:dyDescent="0.3">
      <c r="A416" s="90" t="s">
        <v>885</v>
      </c>
      <c r="B416" s="90" t="s">
        <v>26</v>
      </c>
      <c r="C416" s="90" t="s">
        <v>875</v>
      </c>
      <c r="D416" s="90" t="s">
        <v>28</v>
      </c>
      <c r="E416" s="90" t="s">
        <v>674</v>
      </c>
      <c r="F416" s="90" t="s">
        <v>686</v>
      </c>
      <c r="G416" s="93">
        <v>60.25</v>
      </c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3">
        <v>60.25</v>
      </c>
      <c r="Z416" s="92"/>
      <c r="AA416" s="92"/>
      <c r="AB416" s="92"/>
      <c r="AC416" s="92"/>
      <c r="AD416" s="93">
        <v>0.53</v>
      </c>
      <c r="AE416" s="92"/>
      <c r="AF416" s="92"/>
      <c r="AG416" s="93">
        <v>60.78</v>
      </c>
      <c r="AH416" s="93">
        <v>0</v>
      </c>
    </row>
    <row r="417" spans="1:34" ht="15.75" thickBot="1" x14ac:dyDescent="0.3">
      <c r="A417" s="90" t="s">
        <v>885</v>
      </c>
      <c r="B417" s="90" t="s">
        <v>26</v>
      </c>
      <c r="C417" s="90" t="s">
        <v>875</v>
      </c>
      <c r="D417" s="90" t="s">
        <v>28</v>
      </c>
      <c r="E417" s="90" t="s">
        <v>674</v>
      </c>
      <c r="F417" s="90" t="s">
        <v>697</v>
      </c>
      <c r="G417" s="95">
        <v>60.25</v>
      </c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5">
        <v>60.25</v>
      </c>
      <c r="Z417" s="94"/>
      <c r="AA417" s="94"/>
      <c r="AB417" s="94"/>
      <c r="AC417" s="94"/>
      <c r="AD417" s="95">
        <v>0.53</v>
      </c>
      <c r="AE417" s="94"/>
      <c r="AF417" s="94"/>
      <c r="AG417" s="95">
        <v>60.78</v>
      </c>
      <c r="AH417" s="95">
        <v>0</v>
      </c>
    </row>
    <row r="418" spans="1:34" ht="15.75" thickBot="1" x14ac:dyDescent="0.3">
      <c r="A418" s="90" t="s">
        <v>885</v>
      </c>
      <c r="B418" s="90" t="s">
        <v>707</v>
      </c>
      <c r="C418" s="90" t="s">
        <v>876</v>
      </c>
      <c r="D418" s="90" t="s">
        <v>17</v>
      </c>
      <c r="E418" s="90" t="s">
        <v>528</v>
      </c>
      <c r="F418" s="90" t="s">
        <v>686</v>
      </c>
      <c r="G418" s="93">
        <v>40</v>
      </c>
      <c r="H418" s="92"/>
      <c r="I418" s="93">
        <v>40</v>
      </c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3">
        <v>2.4</v>
      </c>
      <c r="AE418" s="92"/>
      <c r="AF418" s="92"/>
      <c r="AG418" s="93">
        <v>42.4</v>
      </c>
      <c r="AH418" s="93">
        <v>0</v>
      </c>
    </row>
    <row r="419" spans="1:34" ht="15.75" thickBot="1" x14ac:dyDescent="0.3">
      <c r="A419" s="90" t="s">
        <v>885</v>
      </c>
      <c r="B419" s="90" t="s">
        <v>707</v>
      </c>
      <c r="C419" s="90" t="s">
        <v>876</v>
      </c>
      <c r="D419" s="90" t="s">
        <v>17</v>
      </c>
      <c r="E419" s="90" t="s">
        <v>528</v>
      </c>
      <c r="F419" s="90" t="s">
        <v>697</v>
      </c>
      <c r="G419" s="95">
        <v>40</v>
      </c>
      <c r="H419" s="94"/>
      <c r="I419" s="95">
        <v>40</v>
      </c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  <c r="AC419" s="94"/>
      <c r="AD419" s="95">
        <v>2.4</v>
      </c>
      <c r="AE419" s="94"/>
      <c r="AF419" s="94"/>
      <c r="AG419" s="95">
        <v>42.4</v>
      </c>
      <c r="AH419" s="95">
        <v>0</v>
      </c>
    </row>
    <row r="420" spans="1:34" ht="15.75" thickBot="1" x14ac:dyDescent="0.3">
      <c r="A420" s="90" t="s">
        <v>885</v>
      </c>
      <c r="B420" s="90" t="s">
        <v>707</v>
      </c>
      <c r="C420" s="90" t="s">
        <v>876</v>
      </c>
      <c r="D420" s="90" t="s">
        <v>17</v>
      </c>
      <c r="E420" s="90" t="s">
        <v>518</v>
      </c>
      <c r="F420" s="90" t="s">
        <v>686</v>
      </c>
      <c r="G420" s="93">
        <v>63.65</v>
      </c>
      <c r="H420" s="93">
        <v>296</v>
      </c>
      <c r="I420" s="92"/>
      <c r="J420" s="92"/>
      <c r="K420" s="93">
        <v>63.65</v>
      </c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3">
        <v>3.82</v>
      </c>
      <c r="AE420" s="92"/>
      <c r="AF420" s="92"/>
      <c r="AG420" s="93">
        <v>67.47</v>
      </c>
      <c r="AH420" s="93">
        <v>0</v>
      </c>
    </row>
    <row r="421" spans="1:34" ht="15.75" thickBot="1" x14ac:dyDescent="0.3">
      <c r="A421" s="90" t="s">
        <v>885</v>
      </c>
      <c r="B421" s="90" t="s">
        <v>707</v>
      </c>
      <c r="C421" s="90" t="s">
        <v>876</v>
      </c>
      <c r="D421" s="90" t="s">
        <v>17</v>
      </c>
      <c r="E421" s="90" t="s">
        <v>518</v>
      </c>
      <c r="F421" s="90" t="s">
        <v>697</v>
      </c>
      <c r="G421" s="95">
        <v>63.65</v>
      </c>
      <c r="H421" s="305">
        <v>296</v>
      </c>
      <c r="I421" s="94"/>
      <c r="J421" s="94"/>
      <c r="K421" s="95">
        <v>63.65</v>
      </c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5">
        <v>3.82</v>
      </c>
      <c r="AE421" s="94"/>
      <c r="AF421" s="94"/>
      <c r="AG421" s="95">
        <v>67.47</v>
      </c>
      <c r="AH421" s="95">
        <v>0</v>
      </c>
    </row>
    <row r="422" spans="1:34" ht="15.75" thickBot="1" x14ac:dyDescent="0.3">
      <c r="A422" s="90" t="s">
        <v>885</v>
      </c>
      <c r="B422" s="90" t="s">
        <v>707</v>
      </c>
      <c r="C422" s="90" t="s">
        <v>876</v>
      </c>
      <c r="D422" s="90" t="s">
        <v>17</v>
      </c>
      <c r="E422" s="90" t="s">
        <v>727</v>
      </c>
      <c r="F422" s="90" t="s">
        <v>686</v>
      </c>
      <c r="G422" s="93">
        <v>0.17</v>
      </c>
      <c r="H422" s="92"/>
      <c r="I422" s="92"/>
      <c r="J422" s="92"/>
      <c r="K422" s="92"/>
      <c r="L422" s="92"/>
      <c r="M422" s="92"/>
      <c r="N422" s="92"/>
      <c r="O422" s="93">
        <v>0.17</v>
      </c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3">
        <v>0.01</v>
      </c>
      <c r="AE422" s="92"/>
      <c r="AF422" s="92"/>
      <c r="AG422" s="93">
        <v>0.18</v>
      </c>
      <c r="AH422" s="93">
        <v>0</v>
      </c>
    </row>
    <row r="423" spans="1:34" ht="15.75" thickBot="1" x14ac:dyDescent="0.3">
      <c r="A423" s="90" t="s">
        <v>885</v>
      </c>
      <c r="B423" s="90" t="s">
        <v>707</v>
      </c>
      <c r="C423" s="90" t="s">
        <v>876</v>
      </c>
      <c r="D423" s="90" t="s">
        <v>17</v>
      </c>
      <c r="E423" s="90" t="s">
        <v>727</v>
      </c>
      <c r="F423" s="90" t="s">
        <v>697</v>
      </c>
      <c r="G423" s="95">
        <v>0.17</v>
      </c>
      <c r="H423" s="94"/>
      <c r="I423" s="94"/>
      <c r="J423" s="94"/>
      <c r="K423" s="94"/>
      <c r="L423" s="94"/>
      <c r="M423" s="94"/>
      <c r="N423" s="94"/>
      <c r="O423" s="95">
        <v>0.17</v>
      </c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  <c r="AC423" s="94"/>
      <c r="AD423" s="95">
        <v>0.01</v>
      </c>
      <c r="AE423" s="94"/>
      <c r="AF423" s="94"/>
      <c r="AG423" s="95">
        <v>0.18</v>
      </c>
      <c r="AH423" s="95">
        <v>0</v>
      </c>
    </row>
    <row r="424" spans="1:34" ht="15.75" thickBot="1" x14ac:dyDescent="0.3">
      <c r="A424" s="90" t="s">
        <v>885</v>
      </c>
      <c r="B424" s="90" t="s">
        <v>707</v>
      </c>
      <c r="C424" s="90" t="s">
        <v>876</v>
      </c>
      <c r="D424" s="90" t="s">
        <v>17</v>
      </c>
      <c r="E424" s="90" t="s">
        <v>673</v>
      </c>
      <c r="F424" s="90" t="s">
        <v>686</v>
      </c>
      <c r="G424" s="93">
        <v>25.87</v>
      </c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3">
        <v>25.87</v>
      </c>
      <c r="Y424" s="92"/>
      <c r="Z424" s="92"/>
      <c r="AA424" s="92"/>
      <c r="AB424" s="92"/>
      <c r="AC424" s="92"/>
      <c r="AD424" s="93">
        <v>1.55</v>
      </c>
      <c r="AE424" s="92"/>
      <c r="AF424" s="92"/>
      <c r="AG424" s="93">
        <v>27.42</v>
      </c>
      <c r="AH424" s="93">
        <v>0</v>
      </c>
    </row>
    <row r="425" spans="1:34" ht="15.75" thickBot="1" x14ac:dyDescent="0.3">
      <c r="A425" s="90" t="s">
        <v>885</v>
      </c>
      <c r="B425" s="90" t="s">
        <v>707</v>
      </c>
      <c r="C425" s="90" t="s">
        <v>876</v>
      </c>
      <c r="D425" s="90" t="s">
        <v>17</v>
      </c>
      <c r="E425" s="90" t="s">
        <v>673</v>
      </c>
      <c r="F425" s="90" t="s">
        <v>697</v>
      </c>
      <c r="G425" s="95">
        <v>25.87</v>
      </c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5">
        <v>25.87</v>
      </c>
      <c r="Y425" s="94"/>
      <c r="Z425" s="94"/>
      <c r="AA425" s="94"/>
      <c r="AB425" s="94"/>
      <c r="AC425" s="94"/>
      <c r="AD425" s="95">
        <v>1.55</v>
      </c>
      <c r="AE425" s="94"/>
      <c r="AF425" s="94"/>
      <c r="AG425" s="95">
        <v>27.42</v>
      </c>
      <c r="AH425" s="95">
        <v>0</v>
      </c>
    </row>
    <row r="426" spans="1:34" ht="15.75" thickBot="1" x14ac:dyDescent="0.3">
      <c r="A426" s="90" t="s">
        <v>885</v>
      </c>
      <c r="B426" s="90" t="s">
        <v>707</v>
      </c>
      <c r="C426" s="90" t="s">
        <v>876</v>
      </c>
      <c r="D426" s="90" t="s">
        <v>17</v>
      </c>
      <c r="E426" s="90" t="s">
        <v>196</v>
      </c>
      <c r="F426" s="90" t="s">
        <v>686</v>
      </c>
      <c r="G426" s="93">
        <v>95.74</v>
      </c>
      <c r="H426" s="92"/>
      <c r="I426" s="92"/>
      <c r="J426" s="92"/>
      <c r="K426" s="92"/>
      <c r="L426" s="92"/>
      <c r="M426" s="92"/>
      <c r="N426" s="92"/>
      <c r="O426" s="92"/>
      <c r="P426" s="93">
        <v>95.74</v>
      </c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3">
        <v>5.74</v>
      </c>
      <c r="AE426" s="92"/>
      <c r="AF426" s="92"/>
      <c r="AG426" s="93">
        <v>101.48</v>
      </c>
      <c r="AH426" s="93">
        <v>0</v>
      </c>
    </row>
    <row r="427" spans="1:34" ht="15.75" thickBot="1" x14ac:dyDescent="0.3">
      <c r="A427" s="90" t="s">
        <v>885</v>
      </c>
      <c r="B427" s="90" t="s">
        <v>707</v>
      </c>
      <c r="C427" s="90" t="s">
        <v>876</v>
      </c>
      <c r="D427" s="90" t="s">
        <v>17</v>
      </c>
      <c r="E427" s="90" t="s">
        <v>196</v>
      </c>
      <c r="F427" s="90" t="s">
        <v>697</v>
      </c>
      <c r="G427" s="95">
        <v>95.74</v>
      </c>
      <c r="H427" s="94"/>
      <c r="I427" s="94"/>
      <c r="J427" s="94"/>
      <c r="K427" s="94"/>
      <c r="L427" s="94"/>
      <c r="M427" s="94"/>
      <c r="N427" s="94"/>
      <c r="O427" s="94"/>
      <c r="P427" s="95">
        <v>95.74</v>
      </c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  <c r="AC427" s="94"/>
      <c r="AD427" s="95">
        <v>5.74</v>
      </c>
      <c r="AE427" s="94"/>
      <c r="AF427" s="94"/>
      <c r="AG427" s="95">
        <v>101.48</v>
      </c>
      <c r="AH427" s="95">
        <v>0</v>
      </c>
    </row>
    <row r="428" spans="1:34" ht="15.75" thickBot="1" x14ac:dyDescent="0.3">
      <c r="A428" s="90" t="s">
        <v>885</v>
      </c>
      <c r="B428" s="90" t="s">
        <v>707</v>
      </c>
      <c r="C428" s="90" t="s">
        <v>876</v>
      </c>
      <c r="D428" s="90" t="s">
        <v>17</v>
      </c>
      <c r="E428" s="90" t="s">
        <v>674</v>
      </c>
      <c r="F428" s="90" t="s">
        <v>686</v>
      </c>
      <c r="G428" s="93">
        <v>0.13</v>
      </c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3">
        <v>0.13</v>
      </c>
      <c r="Z428" s="92"/>
      <c r="AA428" s="92"/>
      <c r="AB428" s="92"/>
      <c r="AC428" s="92"/>
      <c r="AD428" s="93">
        <v>0.01</v>
      </c>
      <c r="AE428" s="92"/>
      <c r="AF428" s="92"/>
      <c r="AG428" s="93">
        <v>0.14000000000000001</v>
      </c>
      <c r="AH428" s="93">
        <v>0</v>
      </c>
    </row>
    <row r="429" spans="1:34" ht="15.75" thickBot="1" x14ac:dyDescent="0.3">
      <c r="A429" s="90" t="s">
        <v>885</v>
      </c>
      <c r="B429" s="90" t="s">
        <v>707</v>
      </c>
      <c r="C429" s="90" t="s">
        <v>876</v>
      </c>
      <c r="D429" s="90" t="s">
        <v>17</v>
      </c>
      <c r="E429" s="90" t="s">
        <v>674</v>
      </c>
      <c r="F429" s="90" t="s">
        <v>697</v>
      </c>
      <c r="G429" s="95">
        <v>0.13</v>
      </c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5">
        <v>0.13</v>
      </c>
      <c r="Z429" s="94"/>
      <c r="AA429" s="94"/>
      <c r="AB429" s="94"/>
      <c r="AC429" s="94"/>
      <c r="AD429" s="95">
        <v>0.01</v>
      </c>
      <c r="AE429" s="94"/>
      <c r="AF429" s="94"/>
      <c r="AG429" s="95">
        <v>0.14000000000000001</v>
      </c>
      <c r="AH429" s="95">
        <v>0</v>
      </c>
    </row>
    <row r="430" spans="1:34" ht="15.75" thickBot="1" x14ac:dyDescent="0.3">
      <c r="A430" s="90" t="s">
        <v>885</v>
      </c>
      <c r="B430" s="90" t="s">
        <v>18</v>
      </c>
      <c r="C430" s="90" t="s">
        <v>453</v>
      </c>
      <c r="D430" s="90" t="s">
        <v>17</v>
      </c>
      <c r="E430" s="90" t="s">
        <v>528</v>
      </c>
      <c r="F430" s="90" t="s">
        <v>686</v>
      </c>
      <c r="G430" s="93">
        <v>400</v>
      </c>
      <c r="H430" s="92"/>
      <c r="I430" s="93">
        <v>400</v>
      </c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3">
        <v>24</v>
      </c>
      <c r="AE430" s="92"/>
      <c r="AF430" s="92"/>
      <c r="AG430" s="93">
        <v>424</v>
      </c>
      <c r="AH430" s="93">
        <v>0</v>
      </c>
    </row>
    <row r="431" spans="1:34" ht="15.75" thickBot="1" x14ac:dyDescent="0.3">
      <c r="A431" s="90" t="s">
        <v>885</v>
      </c>
      <c r="B431" s="90" t="s">
        <v>18</v>
      </c>
      <c r="C431" s="90" t="s">
        <v>453</v>
      </c>
      <c r="D431" s="90" t="s">
        <v>17</v>
      </c>
      <c r="E431" s="90" t="s">
        <v>528</v>
      </c>
      <c r="F431" s="90" t="s">
        <v>697</v>
      </c>
      <c r="G431" s="95">
        <v>400</v>
      </c>
      <c r="H431" s="94"/>
      <c r="I431" s="95">
        <v>400</v>
      </c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  <c r="AC431" s="94"/>
      <c r="AD431" s="95">
        <v>24</v>
      </c>
      <c r="AE431" s="94"/>
      <c r="AF431" s="94"/>
      <c r="AG431" s="95">
        <v>424</v>
      </c>
      <c r="AH431" s="95">
        <v>0</v>
      </c>
    </row>
    <row r="432" spans="1:34" ht="15.75" thickBot="1" x14ac:dyDescent="0.3">
      <c r="A432" s="90" t="s">
        <v>885</v>
      </c>
      <c r="B432" s="90" t="s">
        <v>18</v>
      </c>
      <c r="C432" s="90" t="s">
        <v>453</v>
      </c>
      <c r="D432" s="90" t="s">
        <v>17</v>
      </c>
      <c r="E432" s="90" t="s">
        <v>518</v>
      </c>
      <c r="F432" s="90" t="s">
        <v>686</v>
      </c>
      <c r="G432" s="93">
        <v>1369</v>
      </c>
      <c r="H432" s="93">
        <v>19532</v>
      </c>
      <c r="I432" s="92"/>
      <c r="J432" s="92"/>
      <c r="K432" s="93">
        <v>1369</v>
      </c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3">
        <v>82.14</v>
      </c>
      <c r="AE432" s="92"/>
      <c r="AF432" s="92"/>
      <c r="AG432" s="93">
        <v>1451.14</v>
      </c>
      <c r="AH432" s="93">
        <v>0</v>
      </c>
    </row>
    <row r="433" spans="1:34" ht="15.75" thickBot="1" x14ac:dyDescent="0.3">
      <c r="A433" s="90" t="s">
        <v>885</v>
      </c>
      <c r="B433" s="90" t="s">
        <v>18</v>
      </c>
      <c r="C433" s="90" t="s">
        <v>453</v>
      </c>
      <c r="D433" s="90" t="s">
        <v>17</v>
      </c>
      <c r="E433" s="90" t="s">
        <v>518</v>
      </c>
      <c r="F433" s="90" t="s">
        <v>697</v>
      </c>
      <c r="G433" s="95">
        <v>1369</v>
      </c>
      <c r="H433" s="305">
        <v>19532</v>
      </c>
      <c r="I433" s="94"/>
      <c r="J433" s="94"/>
      <c r="K433" s="95">
        <v>1369</v>
      </c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5">
        <v>82.14</v>
      </c>
      <c r="AE433" s="94"/>
      <c r="AF433" s="94"/>
      <c r="AG433" s="95">
        <v>1451.14</v>
      </c>
      <c r="AH433" s="95">
        <v>0</v>
      </c>
    </row>
    <row r="434" spans="1:34" ht="15.75" thickBot="1" x14ac:dyDescent="0.3">
      <c r="A434" s="90" t="s">
        <v>885</v>
      </c>
      <c r="B434" s="90" t="s">
        <v>18</v>
      </c>
      <c r="C434" s="90" t="s">
        <v>453</v>
      </c>
      <c r="D434" s="90" t="s">
        <v>17</v>
      </c>
      <c r="E434" s="90" t="s">
        <v>727</v>
      </c>
      <c r="F434" s="90" t="s">
        <v>686</v>
      </c>
      <c r="G434" s="93">
        <v>11.13</v>
      </c>
      <c r="H434" s="92"/>
      <c r="I434" s="92"/>
      <c r="J434" s="92"/>
      <c r="K434" s="92"/>
      <c r="L434" s="92"/>
      <c r="M434" s="92"/>
      <c r="N434" s="92"/>
      <c r="O434" s="93">
        <v>11.13</v>
      </c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3">
        <v>0.67</v>
      </c>
      <c r="AE434" s="92"/>
      <c r="AF434" s="92"/>
      <c r="AG434" s="93">
        <v>11.8</v>
      </c>
      <c r="AH434" s="93">
        <v>0</v>
      </c>
    </row>
    <row r="435" spans="1:34" ht="15.75" thickBot="1" x14ac:dyDescent="0.3">
      <c r="A435" s="90" t="s">
        <v>885</v>
      </c>
      <c r="B435" s="90" t="s">
        <v>18</v>
      </c>
      <c r="C435" s="90" t="s">
        <v>453</v>
      </c>
      <c r="D435" s="90" t="s">
        <v>17</v>
      </c>
      <c r="E435" s="90" t="s">
        <v>727</v>
      </c>
      <c r="F435" s="90" t="s">
        <v>697</v>
      </c>
      <c r="G435" s="95">
        <v>11.13</v>
      </c>
      <c r="H435" s="94"/>
      <c r="I435" s="94"/>
      <c r="J435" s="94"/>
      <c r="K435" s="94"/>
      <c r="L435" s="94"/>
      <c r="M435" s="94"/>
      <c r="N435" s="94"/>
      <c r="O435" s="95">
        <v>11.13</v>
      </c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  <c r="AC435" s="94"/>
      <c r="AD435" s="95">
        <v>0.67</v>
      </c>
      <c r="AE435" s="94"/>
      <c r="AF435" s="94"/>
      <c r="AG435" s="95">
        <v>11.8</v>
      </c>
      <c r="AH435" s="95">
        <v>0</v>
      </c>
    </row>
    <row r="436" spans="1:34" ht="15.75" thickBot="1" x14ac:dyDescent="0.3">
      <c r="A436" s="90" t="s">
        <v>885</v>
      </c>
      <c r="B436" s="90" t="s">
        <v>18</v>
      </c>
      <c r="C436" s="90" t="s">
        <v>453</v>
      </c>
      <c r="D436" s="90" t="s">
        <v>17</v>
      </c>
      <c r="E436" s="90" t="s">
        <v>673</v>
      </c>
      <c r="F436" s="90" t="s">
        <v>686</v>
      </c>
      <c r="G436" s="93">
        <v>2688.31</v>
      </c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3">
        <v>2688.31</v>
      </c>
      <c r="Y436" s="92"/>
      <c r="Z436" s="92"/>
      <c r="AA436" s="92"/>
      <c r="AB436" s="92"/>
      <c r="AC436" s="92"/>
      <c r="AD436" s="93">
        <v>161.30000000000001</v>
      </c>
      <c r="AE436" s="92"/>
      <c r="AF436" s="92"/>
      <c r="AG436" s="93">
        <v>2849.61</v>
      </c>
      <c r="AH436" s="93">
        <v>0</v>
      </c>
    </row>
    <row r="437" spans="1:34" ht="15.75" thickBot="1" x14ac:dyDescent="0.3">
      <c r="A437" s="90" t="s">
        <v>885</v>
      </c>
      <c r="B437" s="90" t="s">
        <v>18</v>
      </c>
      <c r="C437" s="90" t="s">
        <v>453</v>
      </c>
      <c r="D437" s="90" t="s">
        <v>17</v>
      </c>
      <c r="E437" s="90" t="s">
        <v>673</v>
      </c>
      <c r="F437" s="90" t="s">
        <v>697</v>
      </c>
      <c r="G437" s="95">
        <v>2688.31</v>
      </c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5">
        <v>2688.31</v>
      </c>
      <c r="Y437" s="94"/>
      <c r="Z437" s="94"/>
      <c r="AA437" s="94"/>
      <c r="AB437" s="94"/>
      <c r="AC437" s="94"/>
      <c r="AD437" s="95">
        <v>161.30000000000001</v>
      </c>
      <c r="AE437" s="94"/>
      <c r="AF437" s="94"/>
      <c r="AG437" s="95">
        <v>2849.61</v>
      </c>
      <c r="AH437" s="95">
        <v>0</v>
      </c>
    </row>
    <row r="438" spans="1:34" ht="15.75" thickBot="1" x14ac:dyDescent="0.3">
      <c r="A438" s="90" t="s">
        <v>885</v>
      </c>
      <c r="B438" s="90" t="s">
        <v>18</v>
      </c>
      <c r="C438" s="90" t="s">
        <v>453</v>
      </c>
      <c r="D438" s="90" t="s">
        <v>17</v>
      </c>
      <c r="E438" s="90" t="s">
        <v>196</v>
      </c>
      <c r="F438" s="90" t="s">
        <v>686</v>
      </c>
      <c r="G438" s="93">
        <v>6317.23</v>
      </c>
      <c r="H438" s="92"/>
      <c r="I438" s="92"/>
      <c r="J438" s="92"/>
      <c r="K438" s="92"/>
      <c r="L438" s="92"/>
      <c r="M438" s="92"/>
      <c r="N438" s="92"/>
      <c r="O438" s="92"/>
      <c r="P438" s="93">
        <v>6317.23</v>
      </c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3">
        <v>379.03</v>
      </c>
      <c r="AE438" s="92"/>
      <c r="AF438" s="92"/>
      <c r="AG438" s="93">
        <v>6696.26</v>
      </c>
      <c r="AH438" s="93">
        <v>0</v>
      </c>
    </row>
    <row r="439" spans="1:34" ht="15.75" thickBot="1" x14ac:dyDescent="0.3">
      <c r="A439" s="90" t="s">
        <v>885</v>
      </c>
      <c r="B439" s="90" t="s">
        <v>18</v>
      </c>
      <c r="C439" s="90" t="s">
        <v>453</v>
      </c>
      <c r="D439" s="90" t="s">
        <v>17</v>
      </c>
      <c r="E439" s="90" t="s">
        <v>196</v>
      </c>
      <c r="F439" s="90" t="s">
        <v>697</v>
      </c>
      <c r="G439" s="95">
        <v>6317.23</v>
      </c>
      <c r="H439" s="94"/>
      <c r="I439" s="94"/>
      <c r="J439" s="94"/>
      <c r="K439" s="94"/>
      <c r="L439" s="94"/>
      <c r="M439" s="94"/>
      <c r="N439" s="94"/>
      <c r="O439" s="94"/>
      <c r="P439" s="95">
        <v>6317.23</v>
      </c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  <c r="AC439" s="94"/>
      <c r="AD439" s="95">
        <v>379.03</v>
      </c>
      <c r="AE439" s="94"/>
      <c r="AF439" s="94"/>
      <c r="AG439" s="95">
        <v>6696.26</v>
      </c>
      <c r="AH439" s="95">
        <v>0</v>
      </c>
    </row>
    <row r="440" spans="1:34" ht="15.75" thickBot="1" x14ac:dyDescent="0.3">
      <c r="A440" s="90" t="s">
        <v>885</v>
      </c>
      <c r="B440" s="90" t="s">
        <v>18</v>
      </c>
      <c r="C440" s="90" t="s">
        <v>453</v>
      </c>
      <c r="D440" s="90" t="s">
        <v>20</v>
      </c>
      <c r="E440" s="90" t="s">
        <v>528</v>
      </c>
      <c r="F440" s="90" t="s">
        <v>686</v>
      </c>
      <c r="G440" s="93">
        <v>400</v>
      </c>
      <c r="H440" s="92"/>
      <c r="I440" s="93">
        <v>400</v>
      </c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3">
        <v>0</v>
      </c>
      <c r="AE440" s="92"/>
      <c r="AF440" s="92"/>
      <c r="AG440" s="93">
        <v>400</v>
      </c>
      <c r="AH440" s="93">
        <v>0</v>
      </c>
    </row>
    <row r="441" spans="1:34" ht="15.75" thickBot="1" x14ac:dyDescent="0.3">
      <c r="A441" s="90" t="s">
        <v>885</v>
      </c>
      <c r="B441" s="90" t="s">
        <v>18</v>
      </c>
      <c r="C441" s="90" t="s">
        <v>453</v>
      </c>
      <c r="D441" s="90" t="s">
        <v>20</v>
      </c>
      <c r="E441" s="90" t="s">
        <v>528</v>
      </c>
      <c r="F441" s="90" t="s">
        <v>697</v>
      </c>
      <c r="G441" s="95">
        <v>400</v>
      </c>
      <c r="H441" s="94"/>
      <c r="I441" s="95">
        <v>400</v>
      </c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  <c r="AC441" s="94"/>
      <c r="AD441" s="95">
        <v>0</v>
      </c>
      <c r="AE441" s="94"/>
      <c r="AF441" s="94"/>
      <c r="AG441" s="95">
        <v>400</v>
      </c>
      <c r="AH441" s="95">
        <v>0</v>
      </c>
    </row>
    <row r="442" spans="1:34" ht="15.75" thickBot="1" x14ac:dyDescent="0.3">
      <c r="A442" s="90" t="s">
        <v>885</v>
      </c>
      <c r="B442" s="90" t="s">
        <v>18</v>
      </c>
      <c r="C442" s="90" t="s">
        <v>453</v>
      </c>
      <c r="D442" s="90" t="s">
        <v>20</v>
      </c>
      <c r="E442" s="90" t="s">
        <v>518</v>
      </c>
      <c r="F442" s="90" t="s">
        <v>686</v>
      </c>
      <c r="G442" s="93">
        <v>1725.55</v>
      </c>
      <c r="H442" s="93">
        <v>24619</v>
      </c>
      <c r="I442" s="92"/>
      <c r="J442" s="92"/>
      <c r="K442" s="93">
        <v>1725.55</v>
      </c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3">
        <v>0</v>
      </c>
      <c r="AE442" s="92"/>
      <c r="AF442" s="92"/>
      <c r="AG442" s="93">
        <v>1725.55</v>
      </c>
      <c r="AH442" s="93">
        <v>0</v>
      </c>
    </row>
    <row r="443" spans="1:34" ht="15.75" thickBot="1" x14ac:dyDescent="0.3">
      <c r="A443" s="90" t="s">
        <v>885</v>
      </c>
      <c r="B443" s="90" t="s">
        <v>18</v>
      </c>
      <c r="C443" s="90" t="s">
        <v>453</v>
      </c>
      <c r="D443" s="90" t="s">
        <v>20</v>
      </c>
      <c r="E443" s="90" t="s">
        <v>518</v>
      </c>
      <c r="F443" s="90" t="s">
        <v>697</v>
      </c>
      <c r="G443" s="95">
        <v>1725.55</v>
      </c>
      <c r="H443" s="305">
        <v>24619</v>
      </c>
      <c r="I443" s="94"/>
      <c r="J443" s="94"/>
      <c r="K443" s="95">
        <v>1725.55</v>
      </c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  <c r="AC443" s="94"/>
      <c r="AD443" s="95">
        <v>0</v>
      </c>
      <c r="AE443" s="94"/>
      <c r="AF443" s="94"/>
      <c r="AG443" s="95">
        <v>1725.55</v>
      </c>
      <c r="AH443" s="95">
        <v>0</v>
      </c>
    </row>
    <row r="444" spans="1:34" ht="15.75" thickBot="1" x14ac:dyDescent="0.3">
      <c r="A444" s="90" t="s">
        <v>885</v>
      </c>
      <c r="B444" s="90" t="s">
        <v>18</v>
      </c>
      <c r="C444" s="90" t="s">
        <v>453</v>
      </c>
      <c r="D444" s="90" t="s">
        <v>20</v>
      </c>
      <c r="E444" s="90" t="s">
        <v>727</v>
      </c>
      <c r="F444" s="90" t="s">
        <v>686</v>
      </c>
      <c r="G444" s="93">
        <v>14.03</v>
      </c>
      <c r="H444" s="92"/>
      <c r="I444" s="92"/>
      <c r="J444" s="92"/>
      <c r="K444" s="92"/>
      <c r="L444" s="92"/>
      <c r="M444" s="92"/>
      <c r="N444" s="92"/>
      <c r="O444" s="93">
        <v>14.03</v>
      </c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3">
        <v>0</v>
      </c>
      <c r="AE444" s="92"/>
      <c r="AF444" s="92"/>
      <c r="AG444" s="93">
        <v>14.03</v>
      </c>
      <c r="AH444" s="93">
        <v>0</v>
      </c>
    </row>
    <row r="445" spans="1:34" ht="15.75" thickBot="1" x14ac:dyDescent="0.3">
      <c r="A445" s="90" t="s">
        <v>885</v>
      </c>
      <c r="B445" s="90" t="s">
        <v>18</v>
      </c>
      <c r="C445" s="90" t="s">
        <v>453</v>
      </c>
      <c r="D445" s="90" t="s">
        <v>20</v>
      </c>
      <c r="E445" s="90" t="s">
        <v>727</v>
      </c>
      <c r="F445" s="90" t="s">
        <v>697</v>
      </c>
      <c r="G445" s="95">
        <v>14.03</v>
      </c>
      <c r="H445" s="94"/>
      <c r="I445" s="94"/>
      <c r="J445" s="94"/>
      <c r="K445" s="94"/>
      <c r="L445" s="94"/>
      <c r="M445" s="94"/>
      <c r="N445" s="94"/>
      <c r="O445" s="95">
        <v>14.03</v>
      </c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  <c r="AC445" s="94"/>
      <c r="AD445" s="95">
        <v>0</v>
      </c>
      <c r="AE445" s="94"/>
      <c r="AF445" s="94"/>
      <c r="AG445" s="95">
        <v>14.03</v>
      </c>
      <c r="AH445" s="95">
        <v>0</v>
      </c>
    </row>
    <row r="446" spans="1:34" ht="15.75" thickBot="1" x14ac:dyDescent="0.3">
      <c r="A446" s="90" t="s">
        <v>885</v>
      </c>
      <c r="B446" s="90" t="s">
        <v>18</v>
      </c>
      <c r="C446" s="90" t="s">
        <v>453</v>
      </c>
      <c r="D446" s="90" t="s">
        <v>20</v>
      </c>
      <c r="E446" s="90" t="s">
        <v>673</v>
      </c>
      <c r="F446" s="90" t="s">
        <v>686</v>
      </c>
      <c r="G446" s="93">
        <v>2688.31</v>
      </c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3">
        <v>2688.31</v>
      </c>
      <c r="Y446" s="92"/>
      <c r="Z446" s="92"/>
      <c r="AA446" s="92"/>
      <c r="AB446" s="92"/>
      <c r="AC446" s="92"/>
      <c r="AD446" s="93">
        <v>0</v>
      </c>
      <c r="AE446" s="92"/>
      <c r="AF446" s="92"/>
      <c r="AG446" s="93">
        <v>2688.31</v>
      </c>
      <c r="AH446" s="93">
        <v>0</v>
      </c>
    </row>
    <row r="447" spans="1:34" ht="15.75" thickBot="1" x14ac:dyDescent="0.3">
      <c r="A447" s="90" t="s">
        <v>885</v>
      </c>
      <c r="B447" s="90" t="s">
        <v>18</v>
      </c>
      <c r="C447" s="90" t="s">
        <v>453</v>
      </c>
      <c r="D447" s="90" t="s">
        <v>20</v>
      </c>
      <c r="E447" s="90" t="s">
        <v>673</v>
      </c>
      <c r="F447" s="90" t="s">
        <v>697</v>
      </c>
      <c r="G447" s="95">
        <v>2688.31</v>
      </c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5">
        <v>2688.31</v>
      </c>
      <c r="Y447" s="94"/>
      <c r="Z447" s="94"/>
      <c r="AA447" s="94"/>
      <c r="AB447" s="94"/>
      <c r="AC447" s="94"/>
      <c r="AD447" s="95">
        <v>0</v>
      </c>
      <c r="AE447" s="94"/>
      <c r="AF447" s="94"/>
      <c r="AG447" s="95">
        <v>2688.31</v>
      </c>
      <c r="AH447" s="95">
        <v>0</v>
      </c>
    </row>
    <row r="448" spans="1:34" ht="15.75" thickBot="1" x14ac:dyDescent="0.3">
      <c r="A448" s="90" t="s">
        <v>885</v>
      </c>
      <c r="B448" s="90" t="s">
        <v>18</v>
      </c>
      <c r="C448" s="90" t="s">
        <v>453</v>
      </c>
      <c r="D448" s="90" t="s">
        <v>20</v>
      </c>
      <c r="E448" s="90" t="s">
        <v>196</v>
      </c>
      <c r="F448" s="90" t="s">
        <v>686</v>
      </c>
      <c r="G448" s="93">
        <v>7962.52</v>
      </c>
      <c r="H448" s="92"/>
      <c r="I448" s="92"/>
      <c r="J448" s="92"/>
      <c r="K448" s="92"/>
      <c r="L448" s="92"/>
      <c r="M448" s="92"/>
      <c r="N448" s="92"/>
      <c r="O448" s="92"/>
      <c r="P448" s="93">
        <v>7962.52</v>
      </c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3">
        <v>0</v>
      </c>
      <c r="AE448" s="92"/>
      <c r="AF448" s="92"/>
      <c r="AG448" s="93">
        <v>7962.52</v>
      </c>
      <c r="AH448" s="93">
        <v>0</v>
      </c>
    </row>
    <row r="449" spans="1:34" ht="15.75" thickBot="1" x14ac:dyDescent="0.3">
      <c r="A449" s="90" t="s">
        <v>885</v>
      </c>
      <c r="B449" s="90" t="s">
        <v>18</v>
      </c>
      <c r="C449" s="90" t="s">
        <v>453</v>
      </c>
      <c r="D449" s="90" t="s">
        <v>20</v>
      </c>
      <c r="E449" s="90" t="s">
        <v>196</v>
      </c>
      <c r="F449" s="90" t="s">
        <v>697</v>
      </c>
      <c r="G449" s="95">
        <v>7962.52</v>
      </c>
      <c r="H449" s="94"/>
      <c r="I449" s="94"/>
      <c r="J449" s="94"/>
      <c r="K449" s="94"/>
      <c r="L449" s="94"/>
      <c r="M449" s="94"/>
      <c r="N449" s="94"/>
      <c r="O449" s="94"/>
      <c r="P449" s="95">
        <v>7962.52</v>
      </c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  <c r="AC449" s="94"/>
      <c r="AD449" s="95">
        <v>0</v>
      </c>
      <c r="AE449" s="94"/>
      <c r="AF449" s="94"/>
      <c r="AG449" s="95">
        <v>7962.52</v>
      </c>
      <c r="AH449" s="95">
        <v>0</v>
      </c>
    </row>
    <row r="450" spans="1:34" ht="15.75" thickBot="1" x14ac:dyDescent="0.3">
      <c r="A450" s="90" t="s">
        <v>885</v>
      </c>
      <c r="B450" s="90" t="s">
        <v>68</v>
      </c>
      <c r="C450" s="90" t="s">
        <v>877</v>
      </c>
      <c r="D450" s="90" t="s">
        <v>17</v>
      </c>
      <c r="E450" s="90" t="s">
        <v>528</v>
      </c>
      <c r="F450" s="90" t="s">
        <v>686</v>
      </c>
      <c r="G450" s="93">
        <v>40</v>
      </c>
      <c r="H450" s="92"/>
      <c r="I450" s="93">
        <v>40</v>
      </c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3">
        <v>2.4</v>
      </c>
      <c r="AE450" s="92"/>
      <c r="AF450" s="92"/>
      <c r="AG450" s="93">
        <v>42.4</v>
      </c>
      <c r="AH450" s="93">
        <v>0</v>
      </c>
    </row>
    <row r="451" spans="1:34" ht="15.75" thickBot="1" x14ac:dyDescent="0.3">
      <c r="A451" s="90" t="s">
        <v>885</v>
      </c>
      <c r="B451" s="90" t="s">
        <v>68</v>
      </c>
      <c r="C451" s="90" t="s">
        <v>877</v>
      </c>
      <c r="D451" s="90" t="s">
        <v>17</v>
      </c>
      <c r="E451" s="90" t="s">
        <v>528</v>
      </c>
      <c r="F451" s="90" t="s">
        <v>697</v>
      </c>
      <c r="G451" s="95">
        <v>40</v>
      </c>
      <c r="H451" s="94"/>
      <c r="I451" s="95">
        <v>40</v>
      </c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  <c r="AC451" s="94"/>
      <c r="AD451" s="95">
        <v>2.4</v>
      </c>
      <c r="AE451" s="94"/>
      <c r="AF451" s="94"/>
      <c r="AG451" s="95">
        <v>42.4</v>
      </c>
      <c r="AH451" s="95">
        <v>0</v>
      </c>
    </row>
    <row r="452" spans="1:34" ht="15.75" thickBot="1" x14ac:dyDescent="0.3">
      <c r="A452" s="90" t="s">
        <v>885</v>
      </c>
      <c r="B452" s="90" t="s">
        <v>68</v>
      </c>
      <c r="C452" s="90" t="s">
        <v>877</v>
      </c>
      <c r="D452" s="90" t="s">
        <v>17</v>
      </c>
      <c r="E452" s="90" t="s">
        <v>547</v>
      </c>
      <c r="F452" s="90" t="s">
        <v>686</v>
      </c>
      <c r="G452" s="93">
        <v>544</v>
      </c>
      <c r="H452" s="92"/>
      <c r="I452" s="92"/>
      <c r="J452" s="93">
        <v>544</v>
      </c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3">
        <v>32.64</v>
      </c>
      <c r="AE452" s="92"/>
      <c r="AF452" s="92"/>
      <c r="AG452" s="93">
        <v>576.64</v>
      </c>
      <c r="AH452" s="93">
        <v>0</v>
      </c>
    </row>
    <row r="453" spans="1:34" ht="15.75" thickBot="1" x14ac:dyDescent="0.3">
      <c r="A453" s="90" t="s">
        <v>885</v>
      </c>
      <c r="B453" s="90" t="s">
        <v>68</v>
      </c>
      <c r="C453" s="90" t="s">
        <v>877</v>
      </c>
      <c r="D453" s="90" t="s">
        <v>17</v>
      </c>
      <c r="E453" s="90" t="s">
        <v>547</v>
      </c>
      <c r="F453" s="90" t="s">
        <v>697</v>
      </c>
      <c r="G453" s="95">
        <v>544</v>
      </c>
      <c r="H453" s="94"/>
      <c r="I453" s="94"/>
      <c r="J453" s="95">
        <v>544</v>
      </c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  <c r="AC453" s="94"/>
      <c r="AD453" s="95">
        <v>32.64</v>
      </c>
      <c r="AE453" s="94"/>
      <c r="AF453" s="94"/>
      <c r="AG453" s="95">
        <v>576.64</v>
      </c>
      <c r="AH453" s="95">
        <v>0</v>
      </c>
    </row>
    <row r="454" spans="1:34" ht="15.75" thickBot="1" x14ac:dyDescent="0.3">
      <c r="A454" s="90" t="s">
        <v>885</v>
      </c>
      <c r="B454" s="90" t="s">
        <v>68</v>
      </c>
      <c r="C454" s="90" t="s">
        <v>877</v>
      </c>
      <c r="D454" s="90" t="s">
        <v>17</v>
      </c>
      <c r="E454" s="90" t="s">
        <v>518</v>
      </c>
      <c r="F454" s="90" t="s">
        <v>686</v>
      </c>
      <c r="G454" s="93">
        <v>0.2</v>
      </c>
      <c r="H454" s="93">
        <v>6</v>
      </c>
      <c r="I454" s="92"/>
      <c r="J454" s="92"/>
      <c r="K454" s="93">
        <v>0.2</v>
      </c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3">
        <v>0.01</v>
      </c>
      <c r="AE454" s="92"/>
      <c r="AF454" s="92"/>
      <c r="AG454" s="93">
        <v>0.21</v>
      </c>
      <c r="AH454" s="93">
        <v>0</v>
      </c>
    </row>
    <row r="455" spans="1:34" ht="15.75" thickBot="1" x14ac:dyDescent="0.3">
      <c r="A455" s="90" t="s">
        <v>885</v>
      </c>
      <c r="B455" s="90" t="s">
        <v>68</v>
      </c>
      <c r="C455" s="90" t="s">
        <v>877</v>
      </c>
      <c r="D455" s="90" t="s">
        <v>17</v>
      </c>
      <c r="E455" s="90" t="s">
        <v>518</v>
      </c>
      <c r="F455" s="90" t="s">
        <v>697</v>
      </c>
      <c r="G455" s="95">
        <v>0.2</v>
      </c>
      <c r="H455" s="305">
        <v>6</v>
      </c>
      <c r="I455" s="94"/>
      <c r="J455" s="94"/>
      <c r="K455" s="95">
        <v>0.2</v>
      </c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  <c r="AC455" s="94"/>
      <c r="AD455" s="95">
        <v>0.01</v>
      </c>
      <c r="AE455" s="94"/>
      <c r="AF455" s="94"/>
      <c r="AG455" s="95">
        <v>0.21</v>
      </c>
      <c r="AH455" s="95">
        <v>0</v>
      </c>
    </row>
    <row r="456" spans="1:34" ht="15.75" thickBot="1" x14ac:dyDescent="0.3">
      <c r="A456" s="90" t="s">
        <v>885</v>
      </c>
      <c r="B456" s="90" t="s">
        <v>68</v>
      </c>
      <c r="C456" s="90" t="s">
        <v>877</v>
      </c>
      <c r="D456" s="90" t="s">
        <v>17</v>
      </c>
      <c r="E456" s="90" t="s">
        <v>196</v>
      </c>
      <c r="F456" s="90" t="s">
        <v>686</v>
      </c>
      <c r="G456" s="93">
        <v>1.94</v>
      </c>
      <c r="H456" s="92"/>
      <c r="I456" s="92"/>
      <c r="J456" s="92"/>
      <c r="K456" s="92"/>
      <c r="L456" s="92"/>
      <c r="M456" s="92"/>
      <c r="N456" s="92"/>
      <c r="O456" s="92"/>
      <c r="P456" s="93">
        <v>1.94</v>
      </c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3">
        <v>0.12</v>
      </c>
      <c r="AE456" s="92"/>
      <c r="AF456" s="92"/>
      <c r="AG456" s="93">
        <v>2.06</v>
      </c>
      <c r="AH456" s="93">
        <v>0</v>
      </c>
    </row>
    <row r="457" spans="1:34" ht="15.75" thickBot="1" x14ac:dyDescent="0.3">
      <c r="A457" s="90" t="s">
        <v>885</v>
      </c>
      <c r="B457" s="90" t="s">
        <v>68</v>
      </c>
      <c r="C457" s="90" t="s">
        <v>877</v>
      </c>
      <c r="D457" s="90" t="s">
        <v>17</v>
      </c>
      <c r="E457" s="90" t="s">
        <v>196</v>
      </c>
      <c r="F457" s="90" t="s">
        <v>697</v>
      </c>
      <c r="G457" s="95">
        <v>1.94</v>
      </c>
      <c r="H457" s="94"/>
      <c r="I457" s="94"/>
      <c r="J457" s="94"/>
      <c r="K457" s="94"/>
      <c r="L457" s="94"/>
      <c r="M457" s="94"/>
      <c r="N457" s="94"/>
      <c r="O457" s="94"/>
      <c r="P457" s="95">
        <v>1.94</v>
      </c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  <c r="AC457" s="94"/>
      <c r="AD457" s="95">
        <v>0.12</v>
      </c>
      <c r="AE457" s="94"/>
      <c r="AF457" s="94"/>
      <c r="AG457" s="95">
        <v>2.06</v>
      </c>
      <c r="AH457" s="95">
        <v>0</v>
      </c>
    </row>
    <row r="458" spans="1:34" ht="15.75" thickBot="1" x14ac:dyDescent="0.3">
      <c r="A458" s="90" t="s">
        <v>885</v>
      </c>
      <c r="B458" s="90" t="s">
        <v>50</v>
      </c>
      <c r="C458" s="90" t="s">
        <v>881</v>
      </c>
      <c r="D458" s="90" t="s">
        <v>661</v>
      </c>
      <c r="E458" s="90" t="s">
        <v>198</v>
      </c>
      <c r="F458" s="90" t="s">
        <v>522</v>
      </c>
      <c r="G458" s="93">
        <v>260.39999999999998</v>
      </c>
      <c r="H458" s="92"/>
      <c r="I458" s="92"/>
      <c r="J458" s="92"/>
      <c r="K458" s="92"/>
      <c r="L458" s="92"/>
      <c r="M458" s="92"/>
      <c r="N458" s="92"/>
      <c r="O458" s="93">
        <v>260.39999999999998</v>
      </c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3">
        <v>4.6100000000000003</v>
      </c>
      <c r="AE458" s="92"/>
      <c r="AF458" s="92"/>
      <c r="AG458" s="93">
        <v>265.01</v>
      </c>
      <c r="AH458" s="93">
        <v>0</v>
      </c>
    </row>
    <row r="459" spans="1:34" ht="15.75" thickBot="1" x14ac:dyDescent="0.3">
      <c r="A459" s="90" t="s">
        <v>885</v>
      </c>
      <c r="B459" s="90" t="s">
        <v>50</v>
      </c>
      <c r="C459" s="90" t="s">
        <v>881</v>
      </c>
      <c r="D459" s="90" t="s">
        <v>661</v>
      </c>
      <c r="E459" s="90" t="s">
        <v>198</v>
      </c>
      <c r="F459" s="90" t="s">
        <v>697</v>
      </c>
      <c r="G459" s="95">
        <v>260.39999999999998</v>
      </c>
      <c r="H459" s="94"/>
      <c r="I459" s="94"/>
      <c r="J459" s="94"/>
      <c r="K459" s="94"/>
      <c r="L459" s="94"/>
      <c r="M459" s="94"/>
      <c r="N459" s="94"/>
      <c r="O459" s="95">
        <v>260.39999999999998</v>
      </c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  <c r="AC459" s="94"/>
      <c r="AD459" s="95">
        <v>4.6100000000000003</v>
      </c>
      <c r="AE459" s="94"/>
      <c r="AF459" s="94"/>
      <c r="AG459" s="95">
        <v>265.01</v>
      </c>
      <c r="AH459" s="95">
        <v>0</v>
      </c>
    </row>
    <row r="460" spans="1:34" ht="15.75" thickBot="1" x14ac:dyDescent="0.3">
      <c r="A460" s="90" t="s">
        <v>885</v>
      </c>
      <c r="B460" s="90" t="s">
        <v>50</v>
      </c>
      <c r="C460" s="90" t="s">
        <v>881</v>
      </c>
      <c r="D460" s="90" t="s">
        <v>661</v>
      </c>
      <c r="E460" s="90" t="s">
        <v>726</v>
      </c>
      <c r="F460" s="90" t="s">
        <v>522</v>
      </c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3">
        <v>289.89</v>
      </c>
      <c r="AD460" s="93">
        <v>8.77</v>
      </c>
      <c r="AE460" s="92"/>
      <c r="AF460" s="92"/>
      <c r="AG460" s="93">
        <v>298.66000000000003</v>
      </c>
      <c r="AH460" s="93">
        <v>0</v>
      </c>
    </row>
    <row r="461" spans="1:34" ht="15.75" thickBot="1" x14ac:dyDescent="0.3">
      <c r="A461" s="90" t="s">
        <v>885</v>
      </c>
      <c r="B461" s="90" t="s">
        <v>50</v>
      </c>
      <c r="C461" s="90" t="s">
        <v>881</v>
      </c>
      <c r="D461" s="90" t="s">
        <v>661</v>
      </c>
      <c r="E461" s="90" t="s">
        <v>726</v>
      </c>
      <c r="F461" s="90" t="s">
        <v>697</v>
      </c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  <c r="AC461" s="95">
        <v>289.89</v>
      </c>
      <c r="AD461" s="95">
        <v>8.77</v>
      </c>
      <c r="AE461" s="94"/>
      <c r="AF461" s="94"/>
      <c r="AG461" s="95">
        <v>298.66000000000003</v>
      </c>
      <c r="AH461" s="95">
        <v>0</v>
      </c>
    </row>
    <row r="462" spans="1:34" ht="15.75" thickBot="1" x14ac:dyDescent="0.3">
      <c r="A462" s="90" t="s">
        <v>885</v>
      </c>
      <c r="B462" s="90" t="s">
        <v>50</v>
      </c>
      <c r="C462" s="90" t="s">
        <v>881</v>
      </c>
      <c r="D462" s="90" t="s">
        <v>661</v>
      </c>
      <c r="E462" s="90" t="s">
        <v>518</v>
      </c>
      <c r="F462" s="90" t="s">
        <v>522</v>
      </c>
      <c r="G462" s="93">
        <v>20746.259999999998</v>
      </c>
      <c r="H462" s="93">
        <v>482247</v>
      </c>
      <c r="I462" s="92"/>
      <c r="J462" s="92"/>
      <c r="K462" s="93">
        <v>20746.259999999998</v>
      </c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3">
        <v>367.67</v>
      </c>
      <c r="AE462" s="92"/>
      <c r="AF462" s="92"/>
      <c r="AG462" s="93">
        <v>21113.93</v>
      </c>
      <c r="AH462" s="93">
        <v>0</v>
      </c>
    </row>
    <row r="463" spans="1:34" ht="15.75" thickBot="1" x14ac:dyDescent="0.3">
      <c r="A463" s="90" t="s">
        <v>885</v>
      </c>
      <c r="B463" s="90" t="s">
        <v>50</v>
      </c>
      <c r="C463" s="90" t="s">
        <v>881</v>
      </c>
      <c r="D463" s="90" t="s">
        <v>661</v>
      </c>
      <c r="E463" s="90" t="s">
        <v>518</v>
      </c>
      <c r="F463" s="90" t="s">
        <v>697</v>
      </c>
      <c r="G463" s="95">
        <v>20746.259999999998</v>
      </c>
      <c r="H463" s="305">
        <v>482247</v>
      </c>
      <c r="I463" s="94"/>
      <c r="J463" s="94"/>
      <c r="K463" s="95">
        <v>20746.259999999998</v>
      </c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95">
        <v>367.67</v>
      </c>
      <c r="AE463" s="94"/>
      <c r="AF463" s="94"/>
      <c r="AG463" s="95">
        <v>21113.93</v>
      </c>
      <c r="AH463" s="95">
        <v>0</v>
      </c>
    </row>
    <row r="464" spans="1:34" ht="15.75" thickBot="1" x14ac:dyDescent="0.3">
      <c r="A464" s="90" t="s">
        <v>885</v>
      </c>
      <c r="B464" s="90" t="s">
        <v>50</v>
      </c>
      <c r="C464" s="90" t="s">
        <v>881</v>
      </c>
      <c r="D464" s="90" t="s">
        <v>661</v>
      </c>
      <c r="E464" s="90" t="s">
        <v>524</v>
      </c>
      <c r="F464" s="90" t="s">
        <v>522</v>
      </c>
      <c r="G464" s="93">
        <v>4400</v>
      </c>
      <c r="H464" s="92"/>
      <c r="I464" s="93">
        <v>4400</v>
      </c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3">
        <v>66</v>
      </c>
      <c r="AE464" s="92"/>
      <c r="AF464" s="92"/>
      <c r="AG464" s="93">
        <v>4466</v>
      </c>
      <c r="AH464" s="93">
        <v>0</v>
      </c>
    </row>
    <row r="465" spans="1:34" ht="15.75" thickBot="1" x14ac:dyDescent="0.3">
      <c r="A465" s="90" t="s">
        <v>885</v>
      </c>
      <c r="B465" s="90" t="s">
        <v>50</v>
      </c>
      <c r="C465" s="90" t="s">
        <v>881</v>
      </c>
      <c r="D465" s="90" t="s">
        <v>661</v>
      </c>
      <c r="E465" s="90" t="s">
        <v>524</v>
      </c>
      <c r="F465" s="90" t="s">
        <v>697</v>
      </c>
      <c r="G465" s="95">
        <v>4400</v>
      </c>
      <c r="H465" s="94"/>
      <c r="I465" s="95">
        <v>4400</v>
      </c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5">
        <v>66</v>
      </c>
      <c r="AE465" s="94"/>
      <c r="AF465" s="94"/>
      <c r="AG465" s="95">
        <v>4466</v>
      </c>
      <c r="AH465" s="95">
        <v>0</v>
      </c>
    </row>
    <row r="466" spans="1:34" ht="15.75" thickBot="1" x14ac:dyDescent="0.3">
      <c r="A466" s="90" t="s">
        <v>885</v>
      </c>
      <c r="B466" s="90" t="s">
        <v>50</v>
      </c>
      <c r="C466" s="90" t="s">
        <v>881</v>
      </c>
      <c r="D466" s="90" t="s">
        <v>662</v>
      </c>
      <c r="E466" s="90" t="s">
        <v>198</v>
      </c>
      <c r="F466" s="90" t="s">
        <v>522</v>
      </c>
      <c r="G466" s="93">
        <v>96.52</v>
      </c>
      <c r="H466" s="92"/>
      <c r="I466" s="92"/>
      <c r="J466" s="92"/>
      <c r="K466" s="92"/>
      <c r="L466" s="92"/>
      <c r="M466" s="92"/>
      <c r="N466" s="92"/>
      <c r="O466" s="93">
        <v>96.52</v>
      </c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3">
        <v>2.2400000000000002</v>
      </c>
      <c r="AE466" s="92"/>
      <c r="AF466" s="92"/>
      <c r="AG466" s="93">
        <v>98.76</v>
      </c>
      <c r="AH466" s="93">
        <v>0</v>
      </c>
    </row>
    <row r="467" spans="1:34" ht="15.75" thickBot="1" x14ac:dyDescent="0.3">
      <c r="A467" s="90" t="s">
        <v>885</v>
      </c>
      <c r="B467" s="90" t="s">
        <v>50</v>
      </c>
      <c r="C467" s="90" t="s">
        <v>881</v>
      </c>
      <c r="D467" s="90" t="s">
        <v>662</v>
      </c>
      <c r="E467" s="90" t="s">
        <v>198</v>
      </c>
      <c r="F467" s="90" t="s">
        <v>697</v>
      </c>
      <c r="G467" s="95">
        <v>96.52</v>
      </c>
      <c r="H467" s="94"/>
      <c r="I467" s="94"/>
      <c r="J467" s="94"/>
      <c r="K467" s="94"/>
      <c r="L467" s="94"/>
      <c r="M467" s="94"/>
      <c r="N467" s="94"/>
      <c r="O467" s="95">
        <v>96.52</v>
      </c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  <c r="AC467" s="94"/>
      <c r="AD467" s="95">
        <v>2.2400000000000002</v>
      </c>
      <c r="AE467" s="94"/>
      <c r="AF467" s="94"/>
      <c r="AG467" s="95">
        <v>98.76</v>
      </c>
      <c r="AH467" s="95">
        <v>0</v>
      </c>
    </row>
    <row r="468" spans="1:34" ht="15.75" thickBot="1" x14ac:dyDescent="0.3">
      <c r="A468" s="90" t="s">
        <v>885</v>
      </c>
      <c r="B468" s="90" t="s">
        <v>50</v>
      </c>
      <c r="C468" s="90" t="s">
        <v>881</v>
      </c>
      <c r="D468" s="90" t="s">
        <v>662</v>
      </c>
      <c r="E468" s="90" t="s">
        <v>726</v>
      </c>
      <c r="F468" s="90" t="s">
        <v>522</v>
      </c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3">
        <v>46.89</v>
      </c>
      <c r="AD468" s="93">
        <v>0</v>
      </c>
      <c r="AE468" s="92"/>
      <c r="AF468" s="92"/>
      <c r="AG468" s="93">
        <v>46.89</v>
      </c>
      <c r="AH468" s="93">
        <v>0</v>
      </c>
    </row>
    <row r="469" spans="1:34" ht="15.75" thickBot="1" x14ac:dyDescent="0.3">
      <c r="A469" s="90" t="s">
        <v>885</v>
      </c>
      <c r="B469" s="90" t="s">
        <v>50</v>
      </c>
      <c r="C469" s="90" t="s">
        <v>881</v>
      </c>
      <c r="D469" s="90" t="s">
        <v>662</v>
      </c>
      <c r="E469" s="90" t="s">
        <v>726</v>
      </c>
      <c r="F469" s="90" t="s">
        <v>697</v>
      </c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  <c r="AC469" s="95">
        <v>46.89</v>
      </c>
      <c r="AD469" s="95">
        <v>0</v>
      </c>
      <c r="AE469" s="94"/>
      <c r="AF469" s="94"/>
      <c r="AG469" s="95">
        <v>46.89</v>
      </c>
      <c r="AH469" s="95">
        <v>0</v>
      </c>
    </row>
    <row r="470" spans="1:34" ht="15.75" thickBot="1" x14ac:dyDescent="0.3">
      <c r="A470" s="90" t="s">
        <v>885</v>
      </c>
      <c r="B470" s="90" t="s">
        <v>50</v>
      </c>
      <c r="C470" s="90" t="s">
        <v>881</v>
      </c>
      <c r="D470" s="90" t="s">
        <v>662</v>
      </c>
      <c r="E470" s="90" t="s">
        <v>525</v>
      </c>
      <c r="F470" s="90" t="s">
        <v>690</v>
      </c>
      <c r="G470" s="93">
        <v>-1225.42</v>
      </c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3">
        <v>-1225.42</v>
      </c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3">
        <v>-36.76</v>
      </c>
      <c r="AE470" s="92"/>
      <c r="AF470" s="92"/>
      <c r="AG470" s="93">
        <v>-1262.18</v>
      </c>
      <c r="AH470" s="93">
        <v>0</v>
      </c>
    </row>
    <row r="471" spans="1:34" ht="15.75" thickBot="1" x14ac:dyDescent="0.3">
      <c r="A471" s="90" t="s">
        <v>885</v>
      </c>
      <c r="B471" s="90" t="s">
        <v>50</v>
      </c>
      <c r="C471" s="90" t="s">
        <v>881</v>
      </c>
      <c r="D471" s="90" t="s">
        <v>662</v>
      </c>
      <c r="E471" s="90" t="s">
        <v>525</v>
      </c>
      <c r="F471" s="90" t="s">
        <v>697</v>
      </c>
      <c r="G471" s="95">
        <v>-1225.42</v>
      </c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5">
        <v>-1225.42</v>
      </c>
      <c r="S471" s="94"/>
      <c r="T471" s="94"/>
      <c r="U471" s="94"/>
      <c r="V471" s="94"/>
      <c r="W471" s="94"/>
      <c r="X471" s="94"/>
      <c r="Y471" s="94"/>
      <c r="Z471" s="94"/>
      <c r="AA471" s="94"/>
      <c r="AB471" s="94"/>
      <c r="AC471" s="94"/>
      <c r="AD471" s="95">
        <v>-36.76</v>
      </c>
      <c r="AE471" s="94"/>
      <c r="AF471" s="94"/>
      <c r="AG471" s="95">
        <v>-1262.18</v>
      </c>
      <c r="AH471" s="95">
        <v>0</v>
      </c>
    </row>
    <row r="472" spans="1:34" ht="15.75" thickBot="1" x14ac:dyDescent="0.3">
      <c r="A472" s="90" t="s">
        <v>885</v>
      </c>
      <c r="B472" s="90" t="s">
        <v>50</v>
      </c>
      <c r="C472" s="90" t="s">
        <v>881</v>
      </c>
      <c r="D472" s="90" t="s">
        <v>662</v>
      </c>
      <c r="E472" s="90" t="s">
        <v>518</v>
      </c>
      <c r="F472" s="90" t="s">
        <v>522</v>
      </c>
      <c r="G472" s="93">
        <v>7689.39</v>
      </c>
      <c r="H472" s="93">
        <v>178740</v>
      </c>
      <c r="I472" s="92"/>
      <c r="J472" s="92"/>
      <c r="K472" s="93">
        <v>7689.39</v>
      </c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3">
        <v>178.61</v>
      </c>
      <c r="AE472" s="92"/>
      <c r="AF472" s="92"/>
      <c r="AG472" s="93">
        <v>7868</v>
      </c>
      <c r="AH472" s="93">
        <v>0</v>
      </c>
    </row>
    <row r="473" spans="1:34" ht="15.75" thickBot="1" x14ac:dyDescent="0.3">
      <c r="A473" s="90" t="s">
        <v>885</v>
      </c>
      <c r="B473" s="90" t="s">
        <v>50</v>
      </c>
      <c r="C473" s="90" t="s">
        <v>881</v>
      </c>
      <c r="D473" s="90" t="s">
        <v>662</v>
      </c>
      <c r="E473" s="90" t="s">
        <v>518</v>
      </c>
      <c r="F473" s="90" t="s">
        <v>697</v>
      </c>
      <c r="G473" s="95">
        <v>7689.39</v>
      </c>
      <c r="H473" s="305">
        <v>178740</v>
      </c>
      <c r="I473" s="94"/>
      <c r="J473" s="94"/>
      <c r="K473" s="95">
        <v>7689.39</v>
      </c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  <c r="AC473" s="94"/>
      <c r="AD473" s="95">
        <v>178.61</v>
      </c>
      <c r="AE473" s="94"/>
      <c r="AF473" s="94"/>
      <c r="AG473" s="95">
        <v>7868</v>
      </c>
      <c r="AH473" s="95">
        <v>0</v>
      </c>
    </row>
    <row r="474" spans="1:34" ht="15.75" thickBot="1" x14ac:dyDescent="0.3">
      <c r="A474" s="90" t="s">
        <v>885</v>
      </c>
      <c r="B474" s="90" t="s">
        <v>50</v>
      </c>
      <c r="C474" s="90" t="s">
        <v>881</v>
      </c>
      <c r="D474" s="90" t="s">
        <v>662</v>
      </c>
      <c r="E474" s="90" t="s">
        <v>527</v>
      </c>
      <c r="F474" s="90" t="s">
        <v>690</v>
      </c>
      <c r="G474" s="93">
        <v>-131.13999999999999</v>
      </c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3">
        <v>-131.13999999999999</v>
      </c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3">
        <v>-3.93</v>
      </c>
      <c r="AE474" s="92"/>
      <c r="AF474" s="92"/>
      <c r="AG474" s="93">
        <v>-135.07</v>
      </c>
      <c r="AH474" s="93">
        <v>0</v>
      </c>
    </row>
    <row r="475" spans="1:34" ht="15.75" thickBot="1" x14ac:dyDescent="0.3">
      <c r="A475" s="90" t="s">
        <v>885</v>
      </c>
      <c r="B475" s="90" t="s">
        <v>50</v>
      </c>
      <c r="C475" s="90" t="s">
        <v>881</v>
      </c>
      <c r="D475" s="90" t="s">
        <v>662</v>
      </c>
      <c r="E475" s="90" t="s">
        <v>527</v>
      </c>
      <c r="F475" s="90" t="s">
        <v>697</v>
      </c>
      <c r="G475" s="95">
        <v>-131.13999999999999</v>
      </c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5">
        <v>-131.13999999999999</v>
      </c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5">
        <v>-3.93</v>
      </c>
      <c r="AE475" s="94"/>
      <c r="AF475" s="94"/>
      <c r="AG475" s="95">
        <v>-135.07</v>
      </c>
      <c r="AH475" s="95">
        <v>0</v>
      </c>
    </row>
    <row r="476" spans="1:34" ht="15.75" thickBot="1" x14ac:dyDescent="0.3">
      <c r="A476" s="90" t="s">
        <v>885</v>
      </c>
      <c r="B476" s="90" t="s">
        <v>50</v>
      </c>
      <c r="C476" s="90" t="s">
        <v>881</v>
      </c>
      <c r="D476" s="90" t="s">
        <v>662</v>
      </c>
      <c r="E476" s="90" t="s">
        <v>671</v>
      </c>
      <c r="F476" s="90" t="s">
        <v>522</v>
      </c>
      <c r="G476" s="93">
        <v>37.08</v>
      </c>
      <c r="H476" s="92"/>
      <c r="I476" s="92"/>
      <c r="J476" s="92"/>
      <c r="K476" s="92"/>
      <c r="L476" s="93">
        <v>37.08</v>
      </c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3">
        <v>0</v>
      </c>
      <c r="AE476" s="92"/>
      <c r="AF476" s="92"/>
      <c r="AG476" s="93">
        <v>37.08</v>
      </c>
      <c r="AH476" s="93">
        <v>0</v>
      </c>
    </row>
    <row r="477" spans="1:34" ht="15.75" thickBot="1" x14ac:dyDescent="0.3">
      <c r="A477" s="90" t="s">
        <v>885</v>
      </c>
      <c r="B477" s="90" t="s">
        <v>50</v>
      </c>
      <c r="C477" s="90" t="s">
        <v>881</v>
      </c>
      <c r="D477" s="90" t="s">
        <v>662</v>
      </c>
      <c r="E477" s="90" t="s">
        <v>671</v>
      </c>
      <c r="F477" s="90" t="s">
        <v>697</v>
      </c>
      <c r="G477" s="95">
        <v>37.08</v>
      </c>
      <c r="H477" s="94"/>
      <c r="I477" s="94"/>
      <c r="J477" s="94"/>
      <c r="K477" s="94"/>
      <c r="L477" s="95">
        <v>37.08</v>
      </c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  <c r="AC477" s="94"/>
      <c r="AD477" s="95">
        <v>0</v>
      </c>
      <c r="AE477" s="94"/>
      <c r="AF477" s="94"/>
      <c r="AG477" s="95">
        <v>37.08</v>
      </c>
      <c r="AH477" s="95">
        <v>0</v>
      </c>
    </row>
    <row r="478" spans="1:34" ht="15.75" thickBot="1" x14ac:dyDescent="0.3">
      <c r="A478" s="90" t="s">
        <v>885</v>
      </c>
      <c r="B478" s="90" t="s">
        <v>50</v>
      </c>
      <c r="C478" s="90" t="s">
        <v>881</v>
      </c>
      <c r="D478" s="90" t="s">
        <v>662</v>
      </c>
      <c r="E478" s="90" t="s">
        <v>524</v>
      </c>
      <c r="F478" s="90" t="s">
        <v>522</v>
      </c>
      <c r="G478" s="93">
        <v>1100</v>
      </c>
      <c r="H478" s="92"/>
      <c r="I478" s="93">
        <v>1100</v>
      </c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3">
        <v>16.489999999999998</v>
      </c>
      <c r="AE478" s="92"/>
      <c r="AF478" s="92"/>
      <c r="AG478" s="93">
        <v>1116.49</v>
      </c>
      <c r="AH478" s="93">
        <v>0</v>
      </c>
    </row>
    <row r="479" spans="1:34" ht="15.75" thickBot="1" x14ac:dyDescent="0.3">
      <c r="A479" s="90" t="s">
        <v>885</v>
      </c>
      <c r="B479" s="90" t="s">
        <v>50</v>
      </c>
      <c r="C479" s="90" t="s">
        <v>881</v>
      </c>
      <c r="D479" s="90" t="s">
        <v>662</v>
      </c>
      <c r="E479" s="90" t="s">
        <v>524</v>
      </c>
      <c r="F479" s="90" t="s">
        <v>697</v>
      </c>
      <c r="G479" s="95">
        <v>1100</v>
      </c>
      <c r="H479" s="94"/>
      <c r="I479" s="95">
        <v>1100</v>
      </c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  <c r="AC479" s="94"/>
      <c r="AD479" s="95">
        <v>16.489999999999998</v>
      </c>
      <c r="AE479" s="94"/>
      <c r="AF479" s="94"/>
      <c r="AG479" s="95">
        <v>1116.49</v>
      </c>
      <c r="AH479" s="95">
        <v>0</v>
      </c>
    </row>
    <row r="480" spans="1:34" ht="15.75" thickBot="1" x14ac:dyDescent="0.3">
      <c r="A480" s="90" t="s">
        <v>885</v>
      </c>
      <c r="B480" s="90" t="s">
        <v>50</v>
      </c>
      <c r="C480" s="90" t="s">
        <v>881</v>
      </c>
      <c r="D480" s="90" t="s">
        <v>662</v>
      </c>
      <c r="E480" s="90" t="s">
        <v>676</v>
      </c>
      <c r="F480" s="90" t="s">
        <v>522</v>
      </c>
      <c r="G480" s="93">
        <v>90.58</v>
      </c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3">
        <v>90.58</v>
      </c>
      <c r="V480" s="92"/>
      <c r="W480" s="92"/>
      <c r="X480" s="92"/>
      <c r="Y480" s="92"/>
      <c r="Z480" s="92"/>
      <c r="AA480" s="92"/>
      <c r="AB480" s="92"/>
      <c r="AC480" s="92"/>
      <c r="AD480" s="93">
        <v>2.72</v>
      </c>
      <c r="AE480" s="92"/>
      <c r="AF480" s="92"/>
      <c r="AG480" s="93">
        <v>93.3</v>
      </c>
      <c r="AH480" s="93">
        <v>0</v>
      </c>
    </row>
    <row r="481" spans="1:34" ht="15.75" thickBot="1" x14ac:dyDescent="0.3">
      <c r="A481" s="90" t="s">
        <v>885</v>
      </c>
      <c r="B481" s="90" t="s">
        <v>50</v>
      </c>
      <c r="C481" s="90" t="s">
        <v>881</v>
      </c>
      <c r="D481" s="90" t="s">
        <v>662</v>
      </c>
      <c r="E481" s="90" t="s">
        <v>676</v>
      </c>
      <c r="F481" s="90" t="s">
        <v>697</v>
      </c>
      <c r="G481" s="95">
        <v>90.58</v>
      </c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5">
        <v>90.58</v>
      </c>
      <c r="V481" s="94"/>
      <c r="W481" s="94"/>
      <c r="X481" s="94"/>
      <c r="Y481" s="94"/>
      <c r="Z481" s="94"/>
      <c r="AA481" s="94"/>
      <c r="AB481" s="94"/>
      <c r="AC481" s="94"/>
      <c r="AD481" s="95">
        <v>2.72</v>
      </c>
      <c r="AE481" s="94"/>
      <c r="AF481" s="94"/>
      <c r="AG481" s="95">
        <v>93.3</v>
      </c>
      <c r="AH481" s="95">
        <v>0</v>
      </c>
    </row>
    <row r="482" spans="1:34" ht="15.75" thickBot="1" x14ac:dyDescent="0.3">
      <c r="A482" s="90" t="s">
        <v>885</v>
      </c>
      <c r="B482" s="90" t="s">
        <v>50</v>
      </c>
      <c r="C482" s="90" t="s">
        <v>881</v>
      </c>
      <c r="D482" s="90" t="s">
        <v>662</v>
      </c>
      <c r="E482" s="90" t="s">
        <v>677</v>
      </c>
      <c r="F482" s="90" t="s">
        <v>522</v>
      </c>
      <c r="G482" s="93">
        <v>99.9</v>
      </c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3">
        <v>99.9</v>
      </c>
      <c r="W482" s="92"/>
      <c r="X482" s="92"/>
      <c r="Y482" s="92"/>
      <c r="Z482" s="92"/>
      <c r="AA482" s="92"/>
      <c r="AB482" s="92"/>
      <c r="AC482" s="92"/>
      <c r="AD482" s="93">
        <v>3</v>
      </c>
      <c r="AE482" s="92"/>
      <c r="AF482" s="92"/>
      <c r="AG482" s="93">
        <v>102.9</v>
      </c>
      <c r="AH482" s="93">
        <v>0</v>
      </c>
    </row>
    <row r="483" spans="1:34" ht="15.75" thickBot="1" x14ac:dyDescent="0.3">
      <c r="A483" s="90" t="s">
        <v>885</v>
      </c>
      <c r="B483" s="90" t="s">
        <v>50</v>
      </c>
      <c r="C483" s="90" t="s">
        <v>881</v>
      </c>
      <c r="D483" s="90" t="s">
        <v>662</v>
      </c>
      <c r="E483" s="90" t="s">
        <v>677</v>
      </c>
      <c r="F483" s="90" t="s">
        <v>697</v>
      </c>
      <c r="G483" s="95">
        <v>99.9</v>
      </c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5">
        <v>99.9</v>
      </c>
      <c r="W483" s="94"/>
      <c r="X483" s="94"/>
      <c r="Y483" s="94"/>
      <c r="Z483" s="94"/>
      <c r="AA483" s="94"/>
      <c r="AB483" s="94"/>
      <c r="AC483" s="94"/>
      <c r="AD483" s="95">
        <v>3</v>
      </c>
      <c r="AE483" s="94"/>
      <c r="AF483" s="94"/>
      <c r="AG483" s="95">
        <v>102.9</v>
      </c>
      <c r="AH483" s="95">
        <v>0</v>
      </c>
    </row>
    <row r="484" spans="1:34" ht="15.75" thickBot="1" x14ac:dyDescent="0.3">
      <c r="A484" s="90" t="s">
        <v>885</v>
      </c>
      <c r="B484" s="90" t="s">
        <v>31</v>
      </c>
      <c r="C484" s="90" t="s">
        <v>880</v>
      </c>
      <c r="D484" s="90" t="s">
        <v>21</v>
      </c>
      <c r="E484" s="90" t="s">
        <v>726</v>
      </c>
      <c r="F484" s="90" t="s">
        <v>686</v>
      </c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3">
        <v>248.25</v>
      </c>
      <c r="AD484" s="93">
        <v>0.51</v>
      </c>
      <c r="AE484" s="92"/>
      <c r="AF484" s="92"/>
      <c r="AG484" s="93">
        <v>248.76</v>
      </c>
      <c r="AH484" s="93">
        <v>0</v>
      </c>
    </row>
    <row r="485" spans="1:34" ht="15.75" thickBot="1" x14ac:dyDescent="0.3">
      <c r="A485" s="90" t="s">
        <v>885</v>
      </c>
      <c r="B485" s="90" t="s">
        <v>31</v>
      </c>
      <c r="C485" s="90" t="s">
        <v>880</v>
      </c>
      <c r="D485" s="90" t="s">
        <v>21</v>
      </c>
      <c r="E485" s="90" t="s">
        <v>726</v>
      </c>
      <c r="F485" s="90" t="s">
        <v>697</v>
      </c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  <c r="AC485" s="95">
        <v>248.25</v>
      </c>
      <c r="AD485" s="95">
        <v>0.51</v>
      </c>
      <c r="AE485" s="94"/>
      <c r="AF485" s="94"/>
      <c r="AG485" s="95">
        <v>248.76</v>
      </c>
      <c r="AH485" s="95">
        <v>0</v>
      </c>
    </row>
    <row r="486" spans="1:34" ht="15.75" thickBot="1" x14ac:dyDescent="0.3">
      <c r="A486" s="90" t="s">
        <v>885</v>
      </c>
      <c r="B486" s="90" t="s">
        <v>31</v>
      </c>
      <c r="C486" s="90" t="s">
        <v>880</v>
      </c>
      <c r="D486" s="90" t="s">
        <v>21</v>
      </c>
      <c r="E486" s="90" t="s">
        <v>528</v>
      </c>
      <c r="F486" s="90" t="s">
        <v>686</v>
      </c>
      <c r="G486" s="93">
        <v>24510.78</v>
      </c>
      <c r="H486" s="92"/>
      <c r="I486" s="93">
        <v>24510.78</v>
      </c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3">
        <v>1371.31</v>
      </c>
      <c r="AE486" s="92"/>
      <c r="AF486" s="92"/>
      <c r="AG486" s="93">
        <v>25882.09</v>
      </c>
      <c r="AH486" s="93">
        <v>0</v>
      </c>
    </row>
    <row r="487" spans="1:34" ht="15.75" thickBot="1" x14ac:dyDescent="0.3">
      <c r="A487" s="90" t="s">
        <v>885</v>
      </c>
      <c r="B487" s="90" t="s">
        <v>31</v>
      </c>
      <c r="C487" s="90" t="s">
        <v>880</v>
      </c>
      <c r="D487" s="90" t="s">
        <v>21</v>
      </c>
      <c r="E487" s="90" t="s">
        <v>528</v>
      </c>
      <c r="F487" s="90" t="s">
        <v>697</v>
      </c>
      <c r="G487" s="95">
        <v>24510.78</v>
      </c>
      <c r="H487" s="94"/>
      <c r="I487" s="95">
        <v>24510.78</v>
      </c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  <c r="AC487" s="94"/>
      <c r="AD487" s="95">
        <v>1371.31</v>
      </c>
      <c r="AE487" s="94"/>
      <c r="AF487" s="94"/>
      <c r="AG487" s="95">
        <v>25882.09</v>
      </c>
      <c r="AH487" s="95">
        <v>0</v>
      </c>
    </row>
    <row r="488" spans="1:34" ht="15.75" thickBot="1" x14ac:dyDescent="0.3">
      <c r="A488" s="90" t="s">
        <v>885</v>
      </c>
      <c r="B488" s="90" t="s">
        <v>31</v>
      </c>
      <c r="C488" s="90" t="s">
        <v>880</v>
      </c>
      <c r="D488" s="90" t="s">
        <v>21</v>
      </c>
      <c r="E488" s="90" t="s">
        <v>518</v>
      </c>
      <c r="F488" s="90" t="s">
        <v>686</v>
      </c>
      <c r="G488" s="93">
        <v>166732.29999999999</v>
      </c>
      <c r="H488" s="93">
        <v>892260</v>
      </c>
      <c r="I488" s="92"/>
      <c r="J488" s="92"/>
      <c r="K488" s="93">
        <v>166732.29999999999</v>
      </c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3">
        <v>9270.9699999999993</v>
      </c>
      <c r="AE488" s="92"/>
      <c r="AF488" s="92"/>
      <c r="AG488" s="93">
        <v>176003.27</v>
      </c>
      <c r="AH488" s="93">
        <v>0</v>
      </c>
    </row>
    <row r="489" spans="1:34" ht="15.75" thickBot="1" x14ac:dyDescent="0.3">
      <c r="A489" s="90" t="s">
        <v>885</v>
      </c>
      <c r="B489" s="90" t="s">
        <v>31</v>
      </c>
      <c r="C489" s="90" t="s">
        <v>880</v>
      </c>
      <c r="D489" s="90" t="s">
        <v>21</v>
      </c>
      <c r="E489" s="90" t="s">
        <v>518</v>
      </c>
      <c r="F489" s="90" t="s">
        <v>697</v>
      </c>
      <c r="G489" s="95">
        <v>166732.29999999999</v>
      </c>
      <c r="H489" s="305">
        <v>892260</v>
      </c>
      <c r="I489" s="94"/>
      <c r="J489" s="94"/>
      <c r="K489" s="95">
        <v>166732.29999999999</v>
      </c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  <c r="AC489" s="94"/>
      <c r="AD489" s="95">
        <v>9270.9699999999993</v>
      </c>
      <c r="AE489" s="94"/>
      <c r="AF489" s="94"/>
      <c r="AG489" s="95">
        <v>176003.27</v>
      </c>
      <c r="AH489" s="95">
        <v>0</v>
      </c>
    </row>
    <row r="490" spans="1:34" ht="15.75" thickBot="1" x14ac:dyDescent="0.3">
      <c r="A490" s="90" t="s">
        <v>885</v>
      </c>
      <c r="B490" s="90" t="s">
        <v>31</v>
      </c>
      <c r="C490" s="90" t="s">
        <v>880</v>
      </c>
      <c r="D490" s="90" t="s">
        <v>21</v>
      </c>
      <c r="E490" s="90" t="s">
        <v>673</v>
      </c>
      <c r="F490" s="90" t="s">
        <v>686</v>
      </c>
      <c r="G490" s="93">
        <v>54964.76</v>
      </c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3">
        <v>54964.76</v>
      </c>
      <c r="Y490" s="92"/>
      <c r="Z490" s="92"/>
      <c r="AA490" s="92"/>
      <c r="AB490" s="92"/>
      <c r="AC490" s="92"/>
      <c r="AD490" s="93">
        <v>3135.58</v>
      </c>
      <c r="AE490" s="92"/>
      <c r="AF490" s="92"/>
      <c r="AG490" s="93">
        <v>58100.34</v>
      </c>
      <c r="AH490" s="93">
        <v>0</v>
      </c>
    </row>
    <row r="491" spans="1:34" ht="15.75" thickBot="1" x14ac:dyDescent="0.3">
      <c r="A491" s="90" t="s">
        <v>885</v>
      </c>
      <c r="B491" s="90" t="s">
        <v>31</v>
      </c>
      <c r="C491" s="90" t="s">
        <v>880</v>
      </c>
      <c r="D491" s="90" t="s">
        <v>21</v>
      </c>
      <c r="E491" s="90" t="s">
        <v>673</v>
      </c>
      <c r="F491" s="90" t="s">
        <v>697</v>
      </c>
      <c r="G491" s="95">
        <v>54964.76</v>
      </c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5">
        <v>54964.76</v>
      </c>
      <c r="Y491" s="94"/>
      <c r="Z491" s="94"/>
      <c r="AA491" s="94"/>
      <c r="AB491" s="94"/>
      <c r="AC491" s="94"/>
      <c r="AD491" s="95">
        <v>3135.58</v>
      </c>
      <c r="AE491" s="94"/>
      <c r="AF491" s="94"/>
      <c r="AG491" s="95">
        <v>58100.34</v>
      </c>
      <c r="AH491" s="95">
        <v>0</v>
      </c>
    </row>
    <row r="492" spans="1:34" ht="15.75" thickBot="1" x14ac:dyDescent="0.3">
      <c r="A492" s="90" t="s">
        <v>885</v>
      </c>
      <c r="B492" s="90" t="s">
        <v>31</v>
      </c>
      <c r="C492" s="90" t="s">
        <v>880</v>
      </c>
      <c r="D492" s="90" t="s">
        <v>21</v>
      </c>
      <c r="E492" s="90" t="s">
        <v>196</v>
      </c>
      <c r="F492" s="90" t="s">
        <v>686</v>
      </c>
      <c r="G492" s="93">
        <v>288583.67999999999</v>
      </c>
      <c r="H492" s="92"/>
      <c r="I492" s="92"/>
      <c r="J492" s="92"/>
      <c r="K492" s="92"/>
      <c r="L492" s="92"/>
      <c r="M492" s="92"/>
      <c r="N492" s="92"/>
      <c r="O492" s="92"/>
      <c r="P492" s="93">
        <v>288583.67999999999</v>
      </c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3">
        <v>16120.32</v>
      </c>
      <c r="AE492" s="92"/>
      <c r="AF492" s="92"/>
      <c r="AG492" s="93">
        <v>304704</v>
      </c>
      <c r="AH492" s="93">
        <v>0</v>
      </c>
    </row>
    <row r="493" spans="1:34" ht="15.75" thickBot="1" x14ac:dyDescent="0.3">
      <c r="A493" s="90" t="s">
        <v>885</v>
      </c>
      <c r="B493" s="90" t="s">
        <v>31</v>
      </c>
      <c r="C493" s="90" t="s">
        <v>880</v>
      </c>
      <c r="D493" s="90" t="s">
        <v>21</v>
      </c>
      <c r="E493" s="90" t="s">
        <v>196</v>
      </c>
      <c r="F493" s="90" t="s">
        <v>697</v>
      </c>
      <c r="G493" s="95">
        <v>288583.67999999999</v>
      </c>
      <c r="H493" s="94"/>
      <c r="I493" s="94"/>
      <c r="J493" s="94"/>
      <c r="K493" s="94"/>
      <c r="L493" s="94"/>
      <c r="M493" s="94"/>
      <c r="N493" s="94"/>
      <c r="O493" s="94"/>
      <c r="P493" s="95">
        <v>288583.67999999999</v>
      </c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  <c r="AC493" s="94"/>
      <c r="AD493" s="95">
        <v>16120.32</v>
      </c>
      <c r="AE493" s="94"/>
      <c r="AF493" s="94"/>
      <c r="AG493" s="95">
        <v>304704</v>
      </c>
      <c r="AH493" s="95">
        <v>0</v>
      </c>
    </row>
    <row r="494" spans="1:34" ht="15.75" thickBot="1" x14ac:dyDescent="0.3">
      <c r="A494" s="90" t="s">
        <v>885</v>
      </c>
      <c r="B494" s="90" t="s">
        <v>31</v>
      </c>
      <c r="C494" s="90" t="s">
        <v>880</v>
      </c>
      <c r="D494" s="90" t="s">
        <v>17</v>
      </c>
      <c r="E494" s="90" t="s">
        <v>726</v>
      </c>
      <c r="F494" s="90" t="s">
        <v>686</v>
      </c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3">
        <v>-3.78</v>
      </c>
      <c r="AD494" s="93">
        <v>-0.22</v>
      </c>
      <c r="AE494" s="92"/>
      <c r="AF494" s="92"/>
      <c r="AG494" s="93">
        <v>-4</v>
      </c>
      <c r="AH494" s="93">
        <v>0</v>
      </c>
    </row>
    <row r="495" spans="1:34" ht="15.75" thickBot="1" x14ac:dyDescent="0.3">
      <c r="A495" s="90" t="s">
        <v>885</v>
      </c>
      <c r="B495" s="90" t="s">
        <v>31</v>
      </c>
      <c r="C495" s="90" t="s">
        <v>880</v>
      </c>
      <c r="D495" s="90" t="s">
        <v>17</v>
      </c>
      <c r="E495" s="90" t="s">
        <v>726</v>
      </c>
      <c r="F495" s="90" t="s">
        <v>697</v>
      </c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  <c r="AC495" s="95">
        <v>-3.78</v>
      </c>
      <c r="AD495" s="95">
        <v>-0.22</v>
      </c>
      <c r="AE495" s="94"/>
      <c r="AF495" s="94"/>
      <c r="AG495" s="95">
        <v>-4</v>
      </c>
      <c r="AH495" s="95">
        <v>0</v>
      </c>
    </row>
    <row r="496" spans="1:34" ht="15.75" thickBot="1" x14ac:dyDescent="0.3">
      <c r="A496" s="90" t="s">
        <v>885</v>
      </c>
      <c r="B496" s="90" t="s">
        <v>31</v>
      </c>
      <c r="C496" s="90" t="s">
        <v>880</v>
      </c>
      <c r="D496" s="90" t="s">
        <v>17</v>
      </c>
      <c r="E496" s="90" t="s">
        <v>528</v>
      </c>
      <c r="F496" s="90" t="s">
        <v>686</v>
      </c>
      <c r="G496" s="93">
        <v>1540.01</v>
      </c>
      <c r="H496" s="92"/>
      <c r="I496" s="93">
        <v>1540.01</v>
      </c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3">
        <v>87.35</v>
      </c>
      <c r="AE496" s="92"/>
      <c r="AF496" s="92"/>
      <c r="AG496" s="93">
        <v>1627.36</v>
      </c>
      <c r="AH496" s="93">
        <v>0</v>
      </c>
    </row>
    <row r="497" spans="1:34" ht="15.75" thickBot="1" x14ac:dyDescent="0.3">
      <c r="A497" s="90" t="s">
        <v>885</v>
      </c>
      <c r="B497" s="90" t="s">
        <v>31</v>
      </c>
      <c r="C497" s="90" t="s">
        <v>880</v>
      </c>
      <c r="D497" s="90" t="s">
        <v>17</v>
      </c>
      <c r="E497" s="90" t="s">
        <v>528</v>
      </c>
      <c r="F497" s="90" t="s">
        <v>697</v>
      </c>
      <c r="G497" s="95">
        <v>1540.01</v>
      </c>
      <c r="H497" s="94"/>
      <c r="I497" s="95">
        <v>1540.01</v>
      </c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  <c r="AC497" s="94"/>
      <c r="AD497" s="95">
        <v>87.35</v>
      </c>
      <c r="AE497" s="94"/>
      <c r="AF497" s="94"/>
      <c r="AG497" s="95">
        <v>1627.36</v>
      </c>
      <c r="AH497" s="95">
        <v>0</v>
      </c>
    </row>
    <row r="498" spans="1:34" ht="15.75" thickBot="1" x14ac:dyDescent="0.3">
      <c r="A498" s="90" t="s">
        <v>885</v>
      </c>
      <c r="B498" s="90" t="s">
        <v>31</v>
      </c>
      <c r="C498" s="90" t="s">
        <v>880</v>
      </c>
      <c r="D498" s="90" t="s">
        <v>17</v>
      </c>
      <c r="E498" s="90" t="s">
        <v>518</v>
      </c>
      <c r="F498" s="90" t="s">
        <v>686</v>
      </c>
      <c r="G498" s="93">
        <v>6281.93</v>
      </c>
      <c r="H498" s="93">
        <v>32247</v>
      </c>
      <c r="I498" s="92"/>
      <c r="J498" s="92"/>
      <c r="K498" s="93">
        <v>6281.93</v>
      </c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3">
        <v>324.57</v>
      </c>
      <c r="AE498" s="92"/>
      <c r="AF498" s="92"/>
      <c r="AG498" s="93">
        <v>6606.5</v>
      </c>
      <c r="AH498" s="93">
        <v>0</v>
      </c>
    </row>
    <row r="499" spans="1:34" ht="15.75" thickBot="1" x14ac:dyDescent="0.3">
      <c r="A499" s="90" t="s">
        <v>885</v>
      </c>
      <c r="B499" s="90" t="s">
        <v>31</v>
      </c>
      <c r="C499" s="90" t="s">
        <v>880</v>
      </c>
      <c r="D499" s="90" t="s">
        <v>17</v>
      </c>
      <c r="E499" s="90" t="s">
        <v>518</v>
      </c>
      <c r="F499" s="90" t="s">
        <v>697</v>
      </c>
      <c r="G499" s="95">
        <v>6281.93</v>
      </c>
      <c r="H499" s="305">
        <v>32247</v>
      </c>
      <c r="I499" s="94"/>
      <c r="J499" s="94"/>
      <c r="K499" s="95">
        <v>6281.93</v>
      </c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  <c r="AC499" s="94"/>
      <c r="AD499" s="95">
        <v>324.57</v>
      </c>
      <c r="AE499" s="94"/>
      <c r="AF499" s="94"/>
      <c r="AG499" s="95">
        <v>6606.5</v>
      </c>
      <c r="AH499" s="95">
        <v>0</v>
      </c>
    </row>
    <row r="500" spans="1:34" ht="15.75" thickBot="1" x14ac:dyDescent="0.3">
      <c r="A500" s="90" t="s">
        <v>885</v>
      </c>
      <c r="B500" s="90" t="s">
        <v>31</v>
      </c>
      <c r="C500" s="90" t="s">
        <v>880</v>
      </c>
      <c r="D500" s="90" t="s">
        <v>17</v>
      </c>
      <c r="E500" s="90" t="s">
        <v>673</v>
      </c>
      <c r="F500" s="90" t="s">
        <v>686</v>
      </c>
      <c r="G500" s="93">
        <v>5146.68</v>
      </c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3">
        <v>5146.68</v>
      </c>
      <c r="Y500" s="92"/>
      <c r="Z500" s="92"/>
      <c r="AA500" s="92"/>
      <c r="AB500" s="92"/>
      <c r="AC500" s="92"/>
      <c r="AD500" s="93">
        <v>301.86</v>
      </c>
      <c r="AE500" s="92"/>
      <c r="AF500" s="92"/>
      <c r="AG500" s="93">
        <v>5448.54</v>
      </c>
      <c r="AH500" s="93">
        <v>0</v>
      </c>
    </row>
    <row r="501" spans="1:34" ht="15.75" thickBot="1" x14ac:dyDescent="0.3">
      <c r="A501" s="90" t="s">
        <v>885</v>
      </c>
      <c r="B501" s="90" t="s">
        <v>31</v>
      </c>
      <c r="C501" s="90" t="s">
        <v>880</v>
      </c>
      <c r="D501" s="90" t="s">
        <v>17</v>
      </c>
      <c r="E501" s="90" t="s">
        <v>673</v>
      </c>
      <c r="F501" s="90" t="s">
        <v>697</v>
      </c>
      <c r="G501" s="95">
        <v>5146.68</v>
      </c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5">
        <v>5146.68</v>
      </c>
      <c r="Y501" s="94"/>
      <c r="Z501" s="94"/>
      <c r="AA501" s="94"/>
      <c r="AB501" s="94"/>
      <c r="AC501" s="94"/>
      <c r="AD501" s="95">
        <v>301.86</v>
      </c>
      <c r="AE501" s="94"/>
      <c r="AF501" s="94"/>
      <c r="AG501" s="95">
        <v>5448.54</v>
      </c>
      <c r="AH501" s="95">
        <v>0</v>
      </c>
    </row>
    <row r="502" spans="1:34" ht="15.75" thickBot="1" x14ac:dyDescent="0.3">
      <c r="A502" s="90" t="s">
        <v>885</v>
      </c>
      <c r="B502" s="90" t="s">
        <v>31</v>
      </c>
      <c r="C502" s="90" t="s">
        <v>880</v>
      </c>
      <c r="D502" s="90" t="s">
        <v>17</v>
      </c>
      <c r="E502" s="90" t="s">
        <v>196</v>
      </c>
      <c r="F502" s="90" t="s">
        <v>686</v>
      </c>
      <c r="G502" s="93">
        <v>10429.67</v>
      </c>
      <c r="H502" s="92"/>
      <c r="I502" s="92"/>
      <c r="J502" s="92"/>
      <c r="K502" s="92"/>
      <c r="L502" s="92"/>
      <c r="M502" s="92"/>
      <c r="N502" s="92"/>
      <c r="O502" s="92"/>
      <c r="P502" s="93">
        <v>10429.67</v>
      </c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3">
        <v>533.08000000000004</v>
      </c>
      <c r="AE502" s="92"/>
      <c r="AF502" s="92"/>
      <c r="AG502" s="93">
        <v>10962.75</v>
      </c>
      <c r="AH502" s="93">
        <v>0</v>
      </c>
    </row>
    <row r="503" spans="1:34" ht="15.75" thickBot="1" x14ac:dyDescent="0.3">
      <c r="A503" s="90" t="s">
        <v>885</v>
      </c>
      <c r="B503" s="90" t="s">
        <v>31</v>
      </c>
      <c r="C503" s="90" t="s">
        <v>880</v>
      </c>
      <c r="D503" s="90" t="s">
        <v>17</v>
      </c>
      <c r="E503" s="90" t="s">
        <v>196</v>
      </c>
      <c r="F503" s="90" t="s">
        <v>697</v>
      </c>
      <c r="G503" s="95">
        <v>10429.67</v>
      </c>
      <c r="H503" s="94"/>
      <c r="I503" s="94"/>
      <c r="J503" s="94"/>
      <c r="K503" s="94"/>
      <c r="L503" s="94"/>
      <c r="M503" s="94"/>
      <c r="N503" s="94"/>
      <c r="O503" s="94"/>
      <c r="P503" s="95">
        <v>10429.67</v>
      </c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  <c r="AC503" s="94"/>
      <c r="AD503" s="95">
        <v>533.08000000000004</v>
      </c>
      <c r="AE503" s="94"/>
      <c r="AF503" s="94"/>
      <c r="AG503" s="95">
        <v>10962.75</v>
      </c>
      <c r="AH503" s="95">
        <v>0</v>
      </c>
    </row>
    <row r="504" spans="1:34" ht="15.75" thickBot="1" x14ac:dyDescent="0.3">
      <c r="A504" s="90" t="s">
        <v>885</v>
      </c>
      <c r="B504" s="90" t="s">
        <v>22</v>
      </c>
      <c r="C504" s="90" t="s">
        <v>874</v>
      </c>
      <c r="D504" s="90" t="s">
        <v>21</v>
      </c>
      <c r="E504" s="90" t="s">
        <v>528</v>
      </c>
      <c r="F504" s="90" t="s">
        <v>686</v>
      </c>
      <c r="G504" s="93">
        <v>800</v>
      </c>
      <c r="H504" s="92"/>
      <c r="I504" s="93">
        <v>800</v>
      </c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3">
        <v>0</v>
      </c>
      <c r="AE504" s="92"/>
      <c r="AF504" s="92"/>
      <c r="AG504" s="93">
        <v>800</v>
      </c>
      <c r="AH504" s="93">
        <v>0</v>
      </c>
    </row>
    <row r="505" spans="1:34" ht="15.75" thickBot="1" x14ac:dyDescent="0.3">
      <c r="A505" s="90" t="s">
        <v>885</v>
      </c>
      <c r="B505" s="90" t="s">
        <v>22</v>
      </c>
      <c r="C505" s="90" t="s">
        <v>874</v>
      </c>
      <c r="D505" s="90" t="s">
        <v>21</v>
      </c>
      <c r="E505" s="90" t="s">
        <v>528</v>
      </c>
      <c r="F505" s="90" t="s">
        <v>697</v>
      </c>
      <c r="G505" s="95">
        <v>800</v>
      </c>
      <c r="H505" s="94"/>
      <c r="I505" s="95">
        <v>800</v>
      </c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  <c r="AC505" s="94"/>
      <c r="AD505" s="95">
        <v>0</v>
      </c>
      <c r="AE505" s="94"/>
      <c r="AF505" s="94"/>
      <c r="AG505" s="95">
        <v>800</v>
      </c>
      <c r="AH505" s="95">
        <v>0</v>
      </c>
    </row>
    <row r="506" spans="1:34" ht="15.75" thickBot="1" x14ac:dyDescent="0.3">
      <c r="A506" s="90" t="s">
        <v>885</v>
      </c>
      <c r="B506" s="90" t="s">
        <v>22</v>
      </c>
      <c r="C506" s="90" t="s">
        <v>874</v>
      </c>
      <c r="D506" s="90" t="s">
        <v>21</v>
      </c>
      <c r="E506" s="90" t="s">
        <v>518</v>
      </c>
      <c r="F506" s="90" t="s">
        <v>686</v>
      </c>
      <c r="G506" s="93">
        <v>3415.77</v>
      </c>
      <c r="H506" s="93">
        <v>48734</v>
      </c>
      <c r="I506" s="92"/>
      <c r="J506" s="92"/>
      <c r="K506" s="93">
        <v>3415.77</v>
      </c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3">
        <v>0</v>
      </c>
      <c r="AE506" s="92"/>
      <c r="AF506" s="92"/>
      <c r="AG506" s="93">
        <v>3415.77</v>
      </c>
      <c r="AH506" s="93">
        <v>0</v>
      </c>
    </row>
    <row r="507" spans="1:34" ht="15.75" thickBot="1" x14ac:dyDescent="0.3">
      <c r="A507" s="90" t="s">
        <v>885</v>
      </c>
      <c r="B507" s="90" t="s">
        <v>22</v>
      </c>
      <c r="C507" s="90" t="s">
        <v>874</v>
      </c>
      <c r="D507" s="90" t="s">
        <v>21</v>
      </c>
      <c r="E507" s="90" t="s">
        <v>518</v>
      </c>
      <c r="F507" s="90" t="s">
        <v>697</v>
      </c>
      <c r="G507" s="95">
        <v>3415.77</v>
      </c>
      <c r="H507" s="305">
        <v>48734</v>
      </c>
      <c r="I507" s="94"/>
      <c r="J507" s="94"/>
      <c r="K507" s="95">
        <v>3415.77</v>
      </c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  <c r="AC507" s="94"/>
      <c r="AD507" s="95">
        <v>0</v>
      </c>
      <c r="AE507" s="94"/>
      <c r="AF507" s="94"/>
      <c r="AG507" s="95">
        <v>3415.77</v>
      </c>
      <c r="AH507" s="95">
        <v>0</v>
      </c>
    </row>
    <row r="508" spans="1:34" ht="15.75" thickBot="1" x14ac:dyDescent="0.3">
      <c r="A508" s="90" t="s">
        <v>885</v>
      </c>
      <c r="B508" s="90" t="s">
        <v>22</v>
      </c>
      <c r="C508" s="90" t="s">
        <v>874</v>
      </c>
      <c r="D508" s="90" t="s">
        <v>21</v>
      </c>
      <c r="E508" s="90" t="s">
        <v>673</v>
      </c>
      <c r="F508" s="90" t="s">
        <v>686</v>
      </c>
      <c r="G508" s="93">
        <v>5376.62</v>
      </c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3">
        <v>5376.62</v>
      </c>
      <c r="Y508" s="92"/>
      <c r="Z508" s="92"/>
      <c r="AA508" s="92"/>
      <c r="AB508" s="92"/>
      <c r="AC508" s="92"/>
      <c r="AD508" s="93">
        <v>0</v>
      </c>
      <c r="AE508" s="92"/>
      <c r="AF508" s="92"/>
      <c r="AG508" s="93">
        <v>5376.62</v>
      </c>
      <c r="AH508" s="93">
        <v>0</v>
      </c>
    </row>
    <row r="509" spans="1:34" ht="15.75" thickBot="1" x14ac:dyDescent="0.3">
      <c r="A509" s="90" t="s">
        <v>885</v>
      </c>
      <c r="B509" s="90" t="s">
        <v>22</v>
      </c>
      <c r="C509" s="90" t="s">
        <v>874</v>
      </c>
      <c r="D509" s="90" t="s">
        <v>21</v>
      </c>
      <c r="E509" s="90" t="s">
        <v>673</v>
      </c>
      <c r="F509" s="90" t="s">
        <v>697</v>
      </c>
      <c r="G509" s="95">
        <v>5376.62</v>
      </c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5">
        <v>5376.62</v>
      </c>
      <c r="Y509" s="94"/>
      <c r="Z509" s="94"/>
      <c r="AA509" s="94"/>
      <c r="AB509" s="94"/>
      <c r="AC509" s="94"/>
      <c r="AD509" s="95">
        <v>0</v>
      </c>
      <c r="AE509" s="94"/>
      <c r="AF509" s="94"/>
      <c r="AG509" s="95">
        <v>5376.62</v>
      </c>
      <c r="AH509" s="95">
        <v>0</v>
      </c>
    </row>
    <row r="510" spans="1:34" ht="15.75" thickBot="1" x14ac:dyDescent="0.3">
      <c r="A510" s="90" t="s">
        <v>885</v>
      </c>
      <c r="B510" s="90" t="s">
        <v>22</v>
      </c>
      <c r="C510" s="90" t="s">
        <v>874</v>
      </c>
      <c r="D510" s="90" t="s">
        <v>21</v>
      </c>
      <c r="E510" s="90" t="s">
        <v>196</v>
      </c>
      <c r="F510" s="90" t="s">
        <v>686</v>
      </c>
      <c r="G510" s="93">
        <v>15762.04</v>
      </c>
      <c r="H510" s="92"/>
      <c r="I510" s="92"/>
      <c r="J510" s="92"/>
      <c r="K510" s="92"/>
      <c r="L510" s="92"/>
      <c r="M510" s="92"/>
      <c r="N510" s="92"/>
      <c r="O510" s="92"/>
      <c r="P510" s="93">
        <v>15762.04</v>
      </c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3">
        <v>0</v>
      </c>
      <c r="AE510" s="92"/>
      <c r="AF510" s="92"/>
      <c r="AG510" s="93">
        <v>15762.04</v>
      </c>
      <c r="AH510" s="93">
        <v>0</v>
      </c>
    </row>
    <row r="511" spans="1:34" ht="15.75" thickBot="1" x14ac:dyDescent="0.3">
      <c r="A511" s="90" t="s">
        <v>885</v>
      </c>
      <c r="B511" s="90" t="s">
        <v>22</v>
      </c>
      <c r="C511" s="90" t="s">
        <v>874</v>
      </c>
      <c r="D511" s="90" t="s">
        <v>21</v>
      </c>
      <c r="E511" s="90" t="s">
        <v>196</v>
      </c>
      <c r="F511" s="90" t="s">
        <v>697</v>
      </c>
      <c r="G511" s="95">
        <v>15762.04</v>
      </c>
      <c r="H511" s="94"/>
      <c r="I511" s="94"/>
      <c r="J511" s="94"/>
      <c r="K511" s="94"/>
      <c r="L511" s="94"/>
      <c r="M511" s="94"/>
      <c r="N511" s="94"/>
      <c r="O511" s="94"/>
      <c r="P511" s="95">
        <v>15762.04</v>
      </c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  <c r="AC511" s="94"/>
      <c r="AD511" s="95">
        <v>0</v>
      </c>
      <c r="AE511" s="94"/>
      <c r="AF511" s="94"/>
      <c r="AG511" s="95">
        <v>15762.04</v>
      </c>
      <c r="AH511" s="95">
        <v>0</v>
      </c>
    </row>
    <row r="512" spans="1:34" ht="15.75" thickBot="1" x14ac:dyDescent="0.3">
      <c r="A512" s="90" t="s">
        <v>885</v>
      </c>
      <c r="B512" s="90" t="s">
        <v>42</v>
      </c>
      <c r="C512" s="90" t="s">
        <v>884</v>
      </c>
      <c r="D512" s="90" t="s">
        <v>663</v>
      </c>
      <c r="E512" s="90" t="s">
        <v>726</v>
      </c>
      <c r="F512" s="90" t="s">
        <v>522</v>
      </c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3">
        <v>361.65</v>
      </c>
      <c r="AD512" s="93">
        <v>8.65</v>
      </c>
      <c r="AE512" s="92"/>
      <c r="AF512" s="92"/>
      <c r="AG512" s="93">
        <v>370.3</v>
      </c>
      <c r="AH512" s="93">
        <v>0</v>
      </c>
    </row>
    <row r="513" spans="1:34" ht="15.75" thickBot="1" x14ac:dyDescent="0.3">
      <c r="A513" s="90" t="s">
        <v>885</v>
      </c>
      <c r="B513" s="90" t="s">
        <v>42</v>
      </c>
      <c r="C513" s="90" t="s">
        <v>884</v>
      </c>
      <c r="D513" s="90" t="s">
        <v>663</v>
      </c>
      <c r="E513" s="90" t="s">
        <v>726</v>
      </c>
      <c r="F513" s="90" t="s">
        <v>697</v>
      </c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  <c r="AC513" s="95">
        <v>361.65</v>
      </c>
      <c r="AD513" s="95">
        <v>8.65</v>
      </c>
      <c r="AE513" s="94"/>
      <c r="AF513" s="94"/>
      <c r="AG513" s="95">
        <v>370.3</v>
      </c>
      <c r="AH513" s="95">
        <v>0</v>
      </c>
    </row>
    <row r="514" spans="1:34" ht="15.75" thickBot="1" x14ac:dyDescent="0.3">
      <c r="A514" s="90" t="s">
        <v>885</v>
      </c>
      <c r="B514" s="90" t="s">
        <v>42</v>
      </c>
      <c r="C514" s="90" t="s">
        <v>884</v>
      </c>
      <c r="D514" s="90" t="s">
        <v>663</v>
      </c>
      <c r="E514" s="90" t="s">
        <v>729</v>
      </c>
      <c r="F514" s="90" t="s">
        <v>522</v>
      </c>
      <c r="G514" s="93">
        <v>-904.59</v>
      </c>
      <c r="H514" s="92"/>
      <c r="I514" s="92"/>
      <c r="J514" s="92"/>
      <c r="K514" s="92"/>
      <c r="L514" s="92"/>
      <c r="M514" s="92"/>
      <c r="N514" s="92"/>
      <c r="O514" s="92"/>
      <c r="P514" s="92"/>
      <c r="Q514" s="93">
        <v>-904.59</v>
      </c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3">
        <v>-22.31</v>
      </c>
      <c r="AE514" s="92"/>
      <c r="AF514" s="92"/>
      <c r="AG514" s="93">
        <v>-926.9</v>
      </c>
      <c r="AH514" s="93">
        <v>0</v>
      </c>
    </row>
    <row r="515" spans="1:34" ht="15.75" thickBot="1" x14ac:dyDescent="0.3">
      <c r="A515" s="90" t="s">
        <v>885</v>
      </c>
      <c r="B515" s="90" t="s">
        <v>42</v>
      </c>
      <c r="C515" s="90" t="s">
        <v>884</v>
      </c>
      <c r="D515" s="90" t="s">
        <v>663</v>
      </c>
      <c r="E515" s="90" t="s">
        <v>729</v>
      </c>
      <c r="F515" s="90" t="s">
        <v>697</v>
      </c>
      <c r="G515" s="95">
        <v>-904.59</v>
      </c>
      <c r="H515" s="94"/>
      <c r="I515" s="94"/>
      <c r="J515" s="94"/>
      <c r="K515" s="94"/>
      <c r="L515" s="94"/>
      <c r="M515" s="94"/>
      <c r="N515" s="94"/>
      <c r="O515" s="94"/>
      <c r="P515" s="94"/>
      <c r="Q515" s="95">
        <v>-904.59</v>
      </c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  <c r="AC515" s="94"/>
      <c r="AD515" s="95">
        <v>-22.31</v>
      </c>
      <c r="AE515" s="94"/>
      <c r="AF515" s="94"/>
      <c r="AG515" s="95">
        <v>-926.9</v>
      </c>
      <c r="AH515" s="95">
        <v>0</v>
      </c>
    </row>
    <row r="516" spans="1:34" ht="15.75" thickBot="1" x14ac:dyDescent="0.3">
      <c r="A516" s="90" t="s">
        <v>885</v>
      </c>
      <c r="B516" s="90" t="s">
        <v>42</v>
      </c>
      <c r="C516" s="90" t="s">
        <v>884</v>
      </c>
      <c r="D516" s="90" t="s">
        <v>663</v>
      </c>
      <c r="E516" s="90" t="s">
        <v>528</v>
      </c>
      <c r="F516" s="90" t="s">
        <v>690</v>
      </c>
      <c r="G516" s="93">
        <v>720</v>
      </c>
      <c r="H516" s="92"/>
      <c r="I516" s="93">
        <v>720</v>
      </c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3">
        <v>16.2</v>
      </c>
      <c r="AE516" s="92"/>
      <c r="AF516" s="92"/>
      <c r="AG516" s="93">
        <v>736.2</v>
      </c>
      <c r="AH516" s="93">
        <v>0</v>
      </c>
    </row>
    <row r="517" spans="1:34" ht="15.75" thickBot="1" x14ac:dyDescent="0.3">
      <c r="A517" s="90" t="s">
        <v>885</v>
      </c>
      <c r="B517" s="90" t="s">
        <v>42</v>
      </c>
      <c r="C517" s="90" t="s">
        <v>884</v>
      </c>
      <c r="D517" s="90" t="s">
        <v>663</v>
      </c>
      <c r="E517" s="90" t="s">
        <v>528</v>
      </c>
      <c r="F517" s="90" t="s">
        <v>697</v>
      </c>
      <c r="G517" s="95">
        <v>720</v>
      </c>
      <c r="H517" s="94"/>
      <c r="I517" s="95">
        <v>720</v>
      </c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  <c r="AC517" s="94"/>
      <c r="AD517" s="95">
        <v>16.2</v>
      </c>
      <c r="AE517" s="94"/>
      <c r="AF517" s="94"/>
      <c r="AG517" s="95">
        <v>736.2</v>
      </c>
      <c r="AH517" s="95">
        <v>0</v>
      </c>
    </row>
    <row r="518" spans="1:34" ht="15.75" thickBot="1" x14ac:dyDescent="0.3">
      <c r="A518" s="90" t="s">
        <v>885</v>
      </c>
      <c r="B518" s="90" t="s">
        <v>42</v>
      </c>
      <c r="C518" s="90" t="s">
        <v>884</v>
      </c>
      <c r="D518" s="90" t="s">
        <v>663</v>
      </c>
      <c r="E518" s="90" t="s">
        <v>518</v>
      </c>
      <c r="F518" s="90" t="s">
        <v>522</v>
      </c>
      <c r="G518" s="93">
        <v>37907.21</v>
      </c>
      <c r="H518" s="93">
        <v>166413</v>
      </c>
      <c r="I518" s="92"/>
      <c r="J518" s="92"/>
      <c r="K518" s="93">
        <v>37907.21</v>
      </c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3">
        <v>1074.47</v>
      </c>
      <c r="AE518" s="92"/>
      <c r="AF518" s="92"/>
      <c r="AG518" s="93">
        <v>38981.68</v>
      </c>
      <c r="AH518" s="93">
        <v>0</v>
      </c>
    </row>
    <row r="519" spans="1:34" ht="15.75" thickBot="1" x14ac:dyDescent="0.3">
      <c r="A519" s="90" t="s">
        <v>885</v>
      </c>
      <c r="B519" s="90" t="s">
        <v>42</v>
      </c>
      <c r="C519" s="90" t="s">
        <v>884</v>
      </c>
      <c r="D519" s="90" t="s">
        <v>663</v>
      </c>
      <c r="E519" s="90" t="s">
        <v>518</v>
      </c>
      <c r="F519" s="90" t="s">
        <v>697</v>
      </c>
      <c r="G519" s="95">
        <v>37907.21</v>
      </c>
      <c r="H519" s="305">
        <v>166413</v>
      </c>
      <c r="I519" s="94"/>
      <c r="J519" s="94"/>
      <c r="K519" s="95">
        <v>37907.21</v>
      </c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  <c r="AC519" s="94"/>
      <c r="AD519" s="95">
        <v>1074.47</v>
      </c>
      <c r="AE519" s="94"/>
      <c r="AF519" s="94"/>
      <c r="AG519" s="95">
        <v>38981.68</v>
      </c>
      <c r="AH519" s="95">
        <v>0</v>
      </c>
    </row>
    <row r="520" spans="1:34" ht="15.75" thickBot="1" x14ac:dyDescent="0.3">
      <c r="A520" s="90" t="s">
        <v>885</v>
      </c>
      <c r="B520" s="90" t="s">
        <v>42</v>
      </c>
      <c r="C520" s="90" t="s">
        <v>884</v>
      </c>
      <c r="D520" s="90" t="s">
        <v>663</v>
      </c>
      <c r="E520" s="90" t="s">
        <v>673</v>
      </c>
      <c r="F520" s="90" t="s">
        <v>522</v>
      </c>
      <c r="G520" s="93">
        <v>980.32</v>
      </c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3">
        <v>980.32</v>
      </c>
      <c r="Y520" s="92"/>
      <c r="Z520" s="92"/>
      <c r="AA520" s="92"/>
      <c r="AB520" s="92"/>
      <c r="AC520" s="92"/>
      <c r="AD520" s="93">
        <v>22.05</v>
      </c>
      <c r="AE520" s="92"/>
      <c r="AF520" s="92"/>
      <c r="AG520" s="93">
        <v>1002.37</v>
      </c>
      <c r="AH520" s="93">
        <v>0</v>
      </c>
    </row>
    <row r="521" spans="1:34" ht="15.75" thickBot="1" x14ac:dyDescent="0.3">
      <c r="A521" s="90" t="s">
        <v>885</v>
      </c>
      <c r="B521" s="90" t="s">
        <v>42</v>
      </c>
      <c r="C521" s="90" t="s">
        <v>884</v>
      </c>
      <c r="D521" s="90" t="s">
        <v>663</v>
      </c>
      <c r="E521" s="90" t="s">
        <v>673</v>
      </c>
      <c r="F521" s="90" t="s">
        <v>697</v>
      </c>
      <c r="G521" s="95">
        <v>980.32</v>
      </c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5">
        <v>980.32</v>
      </c>
      <c r="Y521" s="94"/>
      <c r="Z521" s="94"/>
      <c r="AA521" s="94"/>
      <c r="AB521" s="94"/>
      <c r="AC521" s="94"/>
      <c r="AD521" s="95">
        <v>22.05</v>
      </c>
      <c r="AE521" s="94"/>
      <c r="AF521" s="94"/>
      <c r="AG521" s="95">
        <v>1002.37</v>
      </c>
      <c r="AH521" s="95">
        <v>0</v>
      </c>
    </row>
    <row r="522" spans="1:34" ht="15.75" thickBot="1" x14ac:dyDescent="0.3">
      <c r="A522" s="90" t="s">
        <v>885</v>
      </c>
      <c r="B522" s="90" t="s">
        <v>42</v>
      </c>
      <c r="C522" s="90" t="s">
        <v>884</v>
      </c>
      <c r="D522" s="90" t="s">
        <v>663</v>
      </c>
      <c r="E522" s="90" t="s">
        <v>530</v>
      </c>
      <c r="F522" s="90" t="s">
        <v>522</v>
      </c>
      <c r="G522" s="93">
        <v>13920.45</v>
      </c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3">
        <v>13920.45</v>
      </c>
      <c r="X522" s="92"/>
      <c r="Y522" s="92"/>
      <c r="Z522" s="92"/>
      <c r="AA522" s="92"/>
      <c r="AB522" s="92"/>
      <c r="AC522" s="92"/>
      <c r="AD522" s="93">
        <v>394.57</v>
      </c>
      <c r="AE522" s="92"/>
      <c r="AF522" s="92"/>
      <c r="AG522" s="93">
        <v>14315.02</v>
      </c>
      <c r="AH522" s="93">
        <v>0</v>
      </c>
    </row>
    <row r="523" spans="1:34" ht="15.75" thickBot="1" x14ac:dyDescent="0.3">
      <c r="A523" s="90" t="s">
        <v>885</v>
      </c>
      <c r="B523" s="90" t="s">
        <v>42</v>
      </c>
      <c r="C523" s="90" t="s">
        <v>884</v>
      </c>
      <c r="D523" s="90" t="s">
        <v>663</v>
      </c>
      <c r="E523" s="90" t="s">
        <v>530</v>
      </c>
      <c r="F523" s="90" t="s">
        <v>697</v>
      </c>
      <c r="G523" s="95">
        <v>13920.45</v>
      </c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5">
        <v>13920.45</v>
      </c>
      <c r="X523" s="94"/>
      <c r="Y523" s="94"/>
      <c r="Z523" s="94"/>
      <c r="AA523" s="94"/>
      <c r="AB523" s="94"/>
      <c r="AC523" s="94"/>
      <c r="AD523" s="95">
        <v>394.57</v>
      </c>
      <c r="AE523" s="94"/>
      <c r="AF523" s="94"/>
      <c r="AG523" s="95">
        <v>14315.02</v>
      </c>
      <c r="AH523" s="95">
        <v>0</v>
      </c>
    </row>
    <row r="524" spans="1:34" ht="15.75" thickBot="1" x14ac:dyDescent="0.3">
      <c r="A524" s="90" t="s">
        <v>885</v>
      </c>
      <c r="B524" s="90" t="s">
        <v>42</v>
      </c>
      <c r="C524" s="90" t="s">
        <v>884</v>
      </c>
      <c r="D524" s="90" t="s">
        <v>663</v>
      </c>
      <c r="E524" s="90" t="s">
        <v>524</v>
      </c>
      <c r="F524" s="90" t="s">
        <v>522</v>
      </c>
      <c r="G524" s="93">
        <v>2200</v>
      </c>
      <c r="H524" s="92"/>
      <c r="I524" s="93">
        <v>2200</v>
      </c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3">
        <v>49.5</v>
      </c>
      <c r="AE524" s="92"/>
      <c r="AF524" s="92"/>
      <c r="AG524" s="93">
        <v>2249.5</v>
      </c>
      <c r="AH524" s="93">
        <v>0</v>
      </c>
    </row>
    <row r="525" spans="1:34" ht="15.75" thickBot="1" x14ac:dyDescent="0.3">
      <c r="A525" s="90" t="s">
        <v>885</v>
      </c>
      <c r="B525" s="90" t="s">
        <v>42</v>
      </c>
      <c r="C525" s="90" t="s">
        <v>884</v>
      </c>
      <c r="D525" s="90" t="s">
        <v>663</v>
      </c>
      <c r="E525" s="90" t="s">
        <v>524</v>
      </c>
      <c r="F525" s="90" t="s">
        <v>697</v>
      </c>
      <c r="G525" s="95">
        <v>2200</v>
      </c>
      <c r="H525" s="94"/>
      <c r="I525" s="95">
        <v>2200</v>
      </c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  <c r="AC525" s="94"/>
      <c r="AD525" s="95">
        <v>49.5</v>
      </c>
      <c r="AE525" s="94"/>
      <c r="AF525" s="94"/>
      <c r="AG525" s="95">
        <v>2249.5</v>
      </c>
      <c r="AH525" s="95">
        <v>0</v>
      </c>
    </row>
    <row r="526" spans="1:34" ht="15.75" thickBot="1" x14ac:dyDescent="0.3">
      <c r="A526" s="90" t="s">
        <v>885</v>
      </c>
      <c r="B526" s="90" t="s">
        <v>42</v>
      </c>
      <c r="C526" s="90" t="s">
        <v>884</v>
      </c>
      <c r="D526" s="90" t="s">
        <v>662</v>
      </c>
      <c r="E526" s="90" t="s">
        <v>726</v>
      </c>
      <c r="F526" s="90" t="s">
        <v>522</v>
      </c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  <c r="AC526" s="95">
        <v>1031.25</v>
      </c>
      <c r="AD526" s="95">
        <v>0</v>
      </c>
      <c r="AE526" s="94"/>
      <c r="AF526" s="94"/>
      <c r="AG526" s="95">
        <v>1031.25</v>
      </c>
      <c r="AH526" s="95">
        <v>0</v>
      </c>
    </row>
    <row r="527" spans="1:34" ht="15.75" thickBot="1" x14ac:dyDescent="0.3">
      <c r="A527" s="90" t="s">
        <v>885</v>
      </c>
      <c r="B527" s="90" t="s">
        <v>42</v>
      </c>
      <c r="C527" s="90" t="s">
        <v>884</v>
      </c>
      <c r="D527" s="90" t="s">
        <v>662</v>
      </c>
      <c r="E527" s="90" t="s">
        <v>726</v>
      </c>
      <c r="F527" s="90" t="s">
        <v>697</v>
      </c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3">
        <v>1031.25</v>
      </c>
      <c r="AD527" s="93">
        <v>0</v>
      </c>
      <c r="AE527" s="92"/>
      <c r="AF527" s="92"/>
      <c r="AG527" s="93">
        <v>1031.25</v>
      </c>
      <c r="AH527" s="93">
        <v>0</v>
      </c>
    </row>
    <row r="528" spans="1:34" ht="15.75" thickBot="1" x14ac:dyDescent="0.3">
      <c r="A528" s="90" t="s">
        <v>885</v>
      </c>
      <c r="B528" s="90" t="s">
        <v>42</v>
      </c>
      <c r="C528" s="90" t="s">
        <v>884</v>
      </c>
      <c r="D528" s="90" t="s">
        <v>662</v>
      </c>
      <c r="E528" s="90" t="s">
        <v>729</v>
      </c>
      <c r="F528" s="90" t="s">
        <v>522</v>
      </c>
      <c r="G528" s="95">
        <v>-3019.07</v>
      </c>
      <c r="H528" s="94"/>
      <c r="I528" s="94"/>
      <c r="J528" s="94"/>
      <c r="K528" s="94"/>
      <c r="L528" s="94"/>
      <c r="M528" s="94"/>
      <c r="N528" s="94"/>
      <c r="O528" s="94"/>
      <c r="P528" s="94"/>
      <c r="Q528" s="95">
        <v>-3019.07</v>
      </c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  <c r="AC528" s="94"/>
      <c r="AD528" s="95">
        <v>0</v>
      </c>
      <c r="AE528" s="94"/>
      <c r="AF528" s="94"/>
      <c r="AG528" s="95">
        <v>-3019.07</v>
      </c>
      <c r="AH528" s="95">
        <v>0</v>
      </c>
    </row>
    <row r="529" spans="1:34" ht="15.75" thickBot="1" x14ac:dyDescent="0.3">
      <c r="A529" s="90" t="s">
        <v>885</v>
      </c>
      <c r="B529" s="90" t="s">
        <v>42</v>
      </c>
      <c r="C529" s="90" t="s">
        <v>884</v>
      </c>
      <c r="D529" s="90" t="s">
        <v>662</v>
      </c>
      <c r="E529" s="90" t="s">
        <v>729</v>
      </c>
      <c r="F529" s="90" t="s">
        <v>697</v>
      </c>
      <c r="G529" s="93">
        <v>-3019.07</v>
      </c>
      <c r="H529" s="92"/>
      <c r="I529" s="92"/>
      <c r="J529" s="92"/>
      <c r="K529" s="92"/>
      <c r="L529" s="92"/>
      <c r="M529" s="92"/>
      <c r="N529" s="92"/>
      <c r="O529" s="92"/>
      <c r="P529" s="92"/>
      <c r="Q529" s="93">
        <v>-3019.07</v>
      </c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3">
        <v>0</v>
      </c>
      <c r="AE529" s="92"/>
      <c r="AF529" s="92"/>
      <c r="AG529" s="93">
        <v>-3019.07</v>
      </c>
      <c r="AH529" s="93">
        <v>0</v>
      </c>
    </row>
    <row r="530" spans="1:34" ht="15.75" thickBot="1" x14ac:dyDescent="0.3">
      <c r="A530" s="90" t="s">
        <v>885</v>
      </c>
      <c r="B530" s="90" t="s">
        <v>42</v>
      </c>
      <c r="C530" s="90" t="s">
        <v>884</v>
      </c>
      <c r="D530" s="90" t="s">
        <v>662</v>
      </c>
      <c r="E530" s="90" t="s">
        <v>528</v>
      </c>
      <c r="F530" s="90" t="s">
        <v>690</v>
      </c>
      <c r="G530" s="95">
        <v>180</v>
      </c>
      <c r="H530" s="94"/>
      <c r="I530" s="95">
        <v>180</v>
      </c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  <c r="AC530" s="94"/>
      <c r="AD530" s="95">
        <v>0</v>
      </c>
      <c r="AE530" s="94"/>
      <c r="AF530" s="94"/>
      <c r="AG530" s="95">
        <v>180</v>
      </c>
      <c r="AH530" s="95">
        <v>0</v>
      </c>
    </row>
    <row r="531" spans="1:34" ht="15.75" thickBot="1" x14ac:dyDescent="0.3">
      <c r="A531" s="90" t="s">
        <v>885</v>
      </c>
      <c r="B531" s="90" t="s">
        <v>42</v>
      </c>
      <c r="C531" s="90" t="s">
        <v>884</v>
      </c>
      <c r="D531" s="90" t="s">
        <v>662</v>
      </c>
      <c r="E531" s="90" t="s">
        <v>528</v>
      </c>
      <c r="F531" s="90" t="s">
        <v>697</v>
      </c>
      <c r="G531" s="93">
        <v>180</v>
      </c>
      <c r="H531" s="92"/>
      <c r="I531" s="93">
        <v>180</v>
      </c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3">
        <v>0</v>
      </c>
      <c r="AE531" s="92"/>
      <c r="AF531" s="92"/>
      <c r="AG531" s="93">
        <v>180</v>
      </c>
      <c r="AH531" s="93">
        <v>0</v>
      </c>
    </row>
    <row r="532" spans="1:34" ht="15.75" thickBot="1" x14ac:dyDescent="0.3">
      <c r="A532" s="90" t="s">
        <v>885</v>
      </c>
      <c r="B532" s="90" t="s">
        <v>42</v>
      </c>
      <c r="C532" s="90" t="s">
        <v>884</v>
      </c>
      <c r="D532" s="90" t="s">
        <v>662</v>
      </c>
      <c r="E532" s="90" t="s">
        <v>518</v>
      </c>
      <c r="F532" s="90" t="s">
        <v>522</v>
      </c>
      <c r="G532" s="95">
        <v>39208.35</v>
      </c>
      <c r="H532" s="95">
        <v>172125</v>
      </c>
      <c r="I532" s="94"/>
      <c r="J532" s="94"/>
      <c r="K532" s="95">
        <v>39208.35</v>
      </c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  <c r="AC532" s="94"/>
      <c r="AD532" s="95">
        <v>0</v>
      </c>
      <c r="AE532" s="94"/>
      <c r="AF532" s="94"/>
      <c r="AG532" s="95">
        <v>39208.35</v>
      </c>
      <c r="AH532" s="95">
        <v>0</v>
      </c>
    </row>
    <row r="533" spans="1:34" ht="15.75" thickBot="1" x14ac:dyDescent="0.3">
      <c r="A533" s="90" t="s">
        <v>885</v>
      </c>
      <c r="B533" s="90" t="s">
        <v>42</v>
      </c>
      <c r="C533" s="90" t="s">
        <v>884</v>
      </c>
      <c r="D533" s="90" t="s">
        <v>662</v>
      </c>
      <c r="E533" s="90" t="s">
        <v>518</v>
      </c>
      <c r="F533" s="90" t="s">
        <v>697</v>
      </c>
      <c r="G533" s="93">
        <v>39208.35</v>
      </c>
      <c r="H533" s="304">
        <v>172125</v>
      </c>
      <c r="I533" s="92"/>
      <c r="J533" s="92"/>
      <c r="K533" s="93">
        <v>39208.35</v>
      </c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3">
        <v>0</v>
      </c>
      <c r="AE533" s="92"/>
      <c r="AF533" s="92"/>
      <c r="AG533" s="93">
        <v>39208.35</v>
      </c>
      <c r="AH533" s="93">
        <v>0</v>
      </c>
    </row>
    <row r="534" spans="1:34" ht="15.75" thickBot="1" x14ac:dyDescent="0.3">
      <c r="A534" s="90" t="s">
        <v>885</v>
      </c>
      <c r="B534" s="90" t="s">
        <v>42</v>
      </c>
      <c r="C534" s="90" t="s">
        <v>884</v>
      </c>
      <c r="D534" s="90" t="s">
        <v>662</v>
      </c>
      <c r="E534" s="90" t="s">
        <v>673</v>
      </c>
      <c r="F534" s="90" t="s">
        <v>522</v>
      </c>
      <c r="G534" s="95">
        <v>245.08</v>
      </c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5">
        <v>245.08</v>
      </c>
      <c r="Y534" s="94"/>
      <c r="Z534" s="94"/>
      <c r="AA534" s="94"/>
      <c r="AB534" s="94"/>
      <c r="AC534" s="94"/>
      <c r="AD534" s="95">
        <v>0</v>
      </c>
      <c r="AE534" s="94"/>
      <c r="AF534" s="94"/>
      <c r="AG534" s="95">
        <v>245.08</v>
      </c>
      <c r="AH534" s="95">
        <v>0</v>
      </c>
    </row>
    <row r="535" spans="1:34" ht="15.75" thickBot="1" x14ac:dyDescent="0.3">
      <c r="A535" s="90" t="s">
        <v>885</v>
      </c>
      <c r="B535" s="90" t="s">
        <v>42</v>
      </c>
      <c r="C535" s="90" t="s">
        <v>884</v>
      </c>
      <c r="D535" s="90" t="s">
        <v>662</v>
      </c>
      <c r="E535" s="90" t="s">
        <v>673</v>
      </c>
      <c r="F535" s="90" t="s">
        <v>697</v>
      </c>
      <c r="G535" s="93">
        <v>245.08</v>
      </c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3">
        <v>245.08</v>
      </c>
      <c r="Y535" s="92"/>
      <c r="Z535" s="92"/>
      <c r="AA535" s="92"/>
      <c r="AB535" s="92"/>
      <c r="AC535" s="92"/>
      <c r="AD535" s="93">
        <v>0</v>
      </c>
      <c r="AE535" s="92"/>
      <c r="AF535" s="92"/>
      <c r="AG535" s="93">
        <v>245.08</v>
      </c>
      <c r="AH535" s="93">
        <v>0</v>
      </c>
    </row>
    <row r="536" spans="1:34" ht="15.75" thickBot="1" x14ac:dyDescent="0.3">
      <c r="A536" s="90" t="s">
        <v>885</v>
      </c>
      <c r="B536" s="90" t="s">
        <v>42</v>
      </c>
      <c r="C536" s="90" t="s">
        <v>884</v>
      </c>
      <c r="D536" s="90" t="s">
        <v>662</v>
      </c>
      <c r="E536" s="90" t="s">
        <v>530</v>
      </c>
      <c r="F536" s="90" t="s">
        <v>522</v>
      </c>
      <c r="G536" s="95">
        <v>14398.26</v>
      </c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5">
        <v>14398.26</v>
      </c>
      <c r="X536" s="94"/>
      <c r="Y536" s="94"/>
      <c r="Z536" s="94"/>
      <c r="AA536" s="94"/>
      <c r="AB536" s="94"/>
      <c r="AC536" s="94"/>
      <c r="AD536" s="95">
        <v>0</v>
      </c>
      <c r="AE536" s="94"/>
      <c r="AF536" s="94"/>
      <c r="AG536" s="95">
        <v>14398.26</v>
      </c>
      <c r="AH536" s="95">
        <v>0</v>
      </c>
    </row>
    <row r="537" spans="1:34" ht="15.75" thickBot="1" x14ac:dyDescent="0.3">
      <c r="A537" s="90" t="s">
        <v>885</v>
      </c>
      <c r="B537" s="90" t="s">
        <v>42</v>
      </c>
      <c r="C537" s="90" t="s">
        <v>884</v>
      </c>
      <c r="D537" s="90" t="s">
        <v>662</v>
      </c>
      <c r="E537" s="90" t="s">
        <v>530</v>
      </c>
      <c r="F537" s="90" t="s">
        <v>697</v>
      </c>
      <c r="G537" s="93">
        <v>14398.26</v>
      </c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3">
        <v>14398.26</v>
      </c>
      <c r="X537" s="92"/>
      <c r="Y537" s="92"/>
      <c r="Z537" s="92"/>
      <c r="AA537" s="92"/>
      <c r="AB537" s="92"/>
      <c r="AC537" s="92"/>
      <c r="AD537" s="93">
        <v>0</v>
      </c>
      <c r="AE537" s="92"/>
      <c r="AF537" s="92"/>
      <c r="AG537" s="93">
        <v>14398.26</v>
      </c>
      <c r="AH537" s="93">
        <v>0</v>
      </c>
    </row>
    <row r="538" spans="1:34" ht="15.75" thickBot="1" x14ac:dyDescent="0.3">
      <c r="A538" s="90" t="s">
        <v>885</v>
      </c>
      <c r="B538" s="90" t="s">
        <v>42</v>
      </c>
      <c r="C538" s="90" t="s">
        <v>884</v>
      </c>
      <c r="D538" s="90" t="s">
        <v>662</v>
      </c>
      <c r="E538" s="90" t="s">
        <v>524</v>
      </c>
      <c r="F538" s="90" t="s">
        <v>522</v>
      </c>
      <c r="G538" s="95">
        <v>550</v>
      </c>
      <c r="H538" s="94"/>
      <c r="I538" s="95">
        <v>550</v>
      </c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  <c r="AC538" s="94"/>
      <c r="AD538" s="95">
        <v>0</v>
      </c>
      <c r="AE538" s="94"/>
      <c r="AF538" s="94"/>
      <c r="AG538" s="95">
        <v>550</v>
      </c>
      <c r="AH538" s="95">
        <v>0</v>
      </c>
    </row>
    <row r="539" spans="1:34" ht="15.75" thickBot="1" x14ac:dyDescent="0.3">
      <c r="A539" s="90" t="s">
        <v>885</v>
      </c>
      <c r="B539" s="90" t="s">
        <v>42</v>
      </c>
      <c r="C539" s="90" t="s">
        <v>884</v>
      </c>
      <c r="D539" s="90" t="s">
        <v>662</v>
      </c>
      <c r="E539" s="90" t="s">
        <v>524</v>
      </c>
      <c r="F539" s="90" t="s">
        <v>697</v>
      </c>
      <c r="G539" s="93">
        <v>550</v>
      </c>
      <c r="H539" s="92"/>
      <c r="I539" s="93">
        <v>550</v>
      </c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3">
        <v>0</v>
      </c>
      <c r="AE539" s="92"/>
      <c r="AF539" s="92"/>
      <c r="AG539" s="93">
        <v>550</v>
      </c>
      <c r="AH539" s="93">
        <v>0</v>
      </c>
    </row>
    <row r="540" spans="1:34" ht="15.75" thickBot="1" x14ac:dyDescent="0.3">
      <c r="A540" s="90" t="s">
        <v>885</v>
      </c>
      <c r="B540" s="90" t="s">
        <v>93</v>
      </c>
      <c r="C540" s="90" t="s">
        <v>719</v>
      </c>
      <c r="D540" s="90" t="s">
        <v>663</v>
      </c>
      <c r="E540" s="90" t="s">
        <v>525</v>
      </c>
      <c r="F540" s="90" t="s">
        <v>690</v>
      </c>
      <c r="G540" s="95">
        <v>1539.58</v>
      </c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5">
        <v>1539.58</v>
      </c>
      <c r="S540" s="94"/>
      <c r="T540" s="94"/>
      <c r="U540" s="94"/>
      <c r="V540" s="94"/>
      <c r="W540" s="94"/>
      <c r="X540" s="94"/>
      <c r="Y540" s="94"/>
      <c r="Z540" s="94"/>
      <c r="AA540" s="94"/>
      <c r="AB540" s="94"/>
      <c r="AC540" s="94"/>
      <c r="AD540" s="95">
        <v>0</v>
      </c>
      <c r="AE540" s="94"/>
      <c r="AF540" s="94"/>
      <c r="AG540" s="95">
        <v>1539.58</v>
      </c>
      <c r="AH540" s="95">
        <v>0</v>
      </c>
    </row>
    <row r="541" spans="1:34" ht="15.75" thickBot="1" x14ac:dyDescent="0.3">
      <c r="A541" s="90" t="s">
        <v>885</v>
      </c>
      <c r="B541" s="90" t="s">
        <v>93</v>
      </c>
      <c r="C541" s="90" t="s">
        <v>719</v>
      </c>
      <c r="D541" s="90" t="s">
        <v>663</v>
      </c>
      <c r="E541" s="90" t="s">
        <v>525</v>
      </c>
      <c r="F541" s="90" t="s">
        <v>697</v>
      </c>
      <c r="G541" s="93">
        <v>1539.58</v>
      </c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3">
        <v>1539.58</v>
      </c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3">
        <v>0</v>
      </c>
      <c r="AE541" s="92"/>
      <c r="AF541" s="92"/>
      <c r="AG541" s="93">
        <v>1539.58</v>
      </c>
      <c r="AH541" s="93">
        <v>0</v>
      </c>
    </row>
    <row r="542" spans="1:34" ht="15.75" thickBot="1" x14ac:dyDescent="0.3">
      <c r="A542" s="90" t="s">
        <v>885</v>
      </c>
      <c r="B542" s="90" t="s">
        <v>93</v>
      </c>
      <c r="C542" s="90" t="s">
        <v>719</v>
      </c>
      <c r="D542" s="90" t="s">
        <v>663</v>
      </c>
      <c r="E542" s="90" t="s">
        <v>527</v>
      </c>
      <c r="F542" s="90" t="s">
        <v>690</v>
      </c>
      <c r="G542" s="95">
        <v>-435.08</v>
      </c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5">
        <v>-435.08</v>
      </c>
      <c r="T542" s="94"/>
      <c r="U542" s="94"/>
      <c r="V542" s="94"/>
      <c r="W542" s="94"/>
      <c r="X542" s="94"/>
      <c r="Y542" s="94"/>
      <c r="Z542" s="94"/>
      <c r="AA542" s="94"/>
      <c r="AB542" s="94"/>
      <c r="AC542" s="94"/>
      <c r="AD542" s="95">
        <v>0</v>
      </c>
      <c r="AE542" s="94"/>
      <c r="AF542" s="94"/>
      <c r="AG542" s="95">
        <v>-435.08</v>
      </c>
      <c r="AH542" s="95">
        <v>0</v>
      </c>
    </row>
    <row r="543" spans="1:34" ht="15.75" thickBot="1" x14ac:dyDescent="0.3">
      <c r="A543" s="90" t="s">
        <v>885</v>
      </c>
      <c r="B543" s="90" t="s">
        <v>93</v>
      </c>
      <c r="C543" s="90" t="s">
        <v>719</v>
      </c>
      <c r="D543" s="90" t="s">
        <v>663</v>
      </c>
      <c r="E543" s="90" t="s">
        <v>527</v>
      </c>
      <c r="F543" s="90" t="s">
        <v>697</v>
      </c>
      <c r="G543" s="93">
        <v>-435.08</v>
      </c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3">
        <v>-435.08</v>
      </c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3">
        <v>0</v>
      </c>
      <c r="AE543" s="92"/>
      <c r="AF543" s="92"/>
      <c r="AG543" s="93">
        <v>-435.08</v>
      </c>
      <c r="AH543" s="93">
        <v>0</v>
      </c>
    </row>
    <row r="544" spans="1:34" ht="15.75" thickBot="1" x14ac:dyDescent="0.3">
      <c r="A544" s="90" t="s">
        <v>885</v>
      </c>
      <c r="B544" s="90" t="s">
        <v>93</v>
      </c>
      <c r="C544" s="90" t="s">
        <v>719</v>
      </c>
      <c r="D544" s="90" t="s">
        <v>663</v>
      </c>
      <c r="E544" s="90" t="s">
        <v>524</v>
      </c>
      <c r="F544" s="90" t="s">
        <v>522</v>
      </c>
      <c r="G544" s="95">
        <v>525</v>
      </c>
      <c r="H544" s="94"/>
      <c r="I544" s="95">
        <v>525</v>
      </c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  <c r="AC544" s="94"/>
      <c r="AD544" s="95">
        <v>0</v>
      </c>
      <c r="AE544" s="94"/>
      <c r="AF544" s="94"/>
      <c r="AG544" s="95">
        <v>525</v>
      </c>
      <c r="AH544" s="95">
        <v>0</v>
      </c>
    </row>
    <row r="545" spans="1:34" ht="15.75" thickBot="1" x14ac:dyDescent="0.3">
      <c r="A545" s="90" t="s">
        <v>885</v>
      </c>
      <c r="B545" s="90" t="s">
        <v>93</v>
      </c>
      <c r="C545" s="90" t="s">
        <v>719</v>
      </c>
      <c r="D545" s="90" t="s">
        <v>663</v>
      </c>
      <c r="E545" s="90" t="s">
        <v>524</v>
      </c>
      <c r="F545" s="90" t="s">
        <v>697</v>
      </c>
      <c r="G545" s="93">
        <v>525</v>
      </c>
      <c r="H545" s="92"/>
      <c r="I545" s="93">
        <v>525</v>
      </c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3">
        <v>0</v>
      </c>
      <c r="AE545" s="92"/>
      <c r="AF545" s="92"/>
      <c r="AG545" s="93">
        <v>525</v>
      </c>
      <c r="AH545" s="93">
        <v>0</v>
      </c>
    </row>
    <row r="546" spans="1:34" ht="15.75" thickBot="1" x14ac:dyDescent="0.3">
      <c r="A546" s="90" t="s">
        <v>885</v>
      </c>
      <c r="B546" s="90" t="s">
        <v>96</v>
      </c>
      <c r="C546" s="90" t="s">
        <v>883</v>
      </c>
      <c r="D546" s="90" t="s">
        <v>663</v>
      </c>
      <c r="E546" s="90" t="s">
        <v>729</v>
      </c>
      <c r="F546" s="90" t="s">
        <v>522</v>
      </c>
      <c r="G546" s="93">
        <v>-105.71</v>
      </c>
      <c r="H546" s="92"/>
      <c r="I546" s="92"/>
      <c r="J546" s="92"/>
      <c r="K546" s="92"/>
      <c r="L546" s="92"/>
      <c r="M546" s="92"/>
      <c r="N546" s="92"/>
      <c r="O546" s="92"/>
      <c r="P546" s="92"/>
      <c r="Q546" s="93">
        <v>-105.71</v>
      </c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3">
        <v>0</v>
      </c>
      <c r="AE546" s="92"/>
      <c r="AF546" s="92"/>
      <c r="AG546" s="93">
        <v>-105.71</v>
      </c>
      <c r="AH546" s="93">
        <v>0</v>
      </c>
    </row>
    <row r="547" spans="1:34" ht="15.75" thickBot="1" x14ac:dyDescent="0.3">
      <c r="A547" s="90" t="s">
        <v>885</v>
      </c>
      <c r="B547" s="90" t="s">
        <v>96</v>
      </c>
      <c r="C547" s="90" t="s">
        <v>883</v>
      </c>
      <c r="D547" s="90" t="s">
        <v>663</v>
      </c>
      <c r="E547" s="90" t="s">
        <v>729</v>
      </c>
      <c r="F547" s="90" t="s">
        <v>697</v>
      </c>
      <c r="G547" s="95">
        <v>-105.71</v>
      </c>
      <c r="H547" s="94"/>
      <c r="I547" s="94"/>
      <c r="J547" s="94"/>
      <c r="K547" s="94"/>
      <c r="L547" s="94"/>
      <c r="M547" s="94"/>
      <c r="N547" s="94"/>
      <c r="O547" s="94"/>
      <c r="P547" s="94"/>
      <c r="Q547" s="95">
        <v>-105.71</v>
      </c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  <c r="AC547" s="94"/>
      <c r="AD547" s="95">
        <v>0</v>
      </c>
      <c r="AE547" s="94"/>
      <c r="AF547" s="94"/>
      <c r="AG547" s="95">
        <v>-105.71</v>
      </c>
      <c r="AH547" s="95">
        <v>0</v>
      </c>
    </row>
    <row r="548" spans="1:34" ht="15.75" thickBot="1" x14ac:dyDescent="0.3">
      <c r="A548" s="90" t="s">
        <v>885</v>
      </c>
      <c r="B548" s="90" t="s">
        <v>96</v>
      </c>
      <c r="C548" s="90" t="s">
        <v>883</v>
      </c>
      <c r="D548" s="90" t="s">
        <v>663</v>
      </c>
      <c r="E548" s="90" t="s">
        <v>528</v>
      </c>
      <c r="F548" s="90" t="s">
        <v>690</v>
      </c>
      <c r="G548" s="93">
        <v>400</v>
      </c>
      <c r="H548" s="92"/>
      <c r="I548" s="93">
        <v>400</v>
      </c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3">
        <v>0</v>
      </c>
      <c r="AE548" s="92"/>
      <c r="AF548" s="92"/>
      <c r="AG548" s="93">
        <v>400</v>
      </c>
      <c r="AH548" s="93">
        <v>0</v>
      </c>
    </row>
    <row r="549" spans="1:34" ht="15.75" thickBot="1" x14ac:dyDescent="0.3">
      <c r="A549" s="90" t="s">
        <v>885</v>
      </c>
      <c r="B549" s="90" t="s">
        <v>96</v>
      </c>
      <c r="C549" s="90" t="s">
        <v>883</v>
      </c>
      <c r="D549" s="90" t="s">
        <v>663</v>
      </c>
      <c r="E549" s="90" t="s">
        <v>528</v>
      </c>
      <c r="F549" s="90" t="s">
        <v>697</v>
      </c>
      <c r="G549" s="95">
        <v>400</v>
      </c>
      <c r="H549" s="94"/>
      <c r="I549" s="95">
        <v>400</v>
      </c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  <c r="AC549" s="94"/>
      <c r="AD549" s="95">
        <v>0</v>
      </c>
      <c r="AE549" s="94"/>
      <c r="AF549" s="94"/>
      <c r="AG549" s="95">
        <v>400</v>
      </c>
      <c r="AH549" s="95">
        <v>0</v>
      </c>
    </row>
    <row r="550" spans="1:34" ht="15.75" thickBot="1" x14ac:dyDescent="0.3">
      <c r="A550" s="90" t="s">
        <v>885</v>
      </c>
      <c r="B550" s="90" t="s">
        <v>96</v>
      </c>
      <c r="C550" s="90" t="s">
        <v>883</v>
      </c>
      <c r="D550" s="90" t="s">
        <v>663</v>
      </c>
      <c r="E550" s="90" t="s">
        <v>518</v>
      </c>
      <c r="F550" s="90" t="s">
        <v>522</v>
      </c>
      <c r="G550" s="93">
        <v>8141.86</v>
      </c>
      <c r="H550" s="93">
        <v>116163</v>
      </c>
      <c r="I550" s="92"/>
      <c r="J550" s="92"/>
      <c r="K550" s="93">
        <v>8141.86</v>
      </c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3">
        <v>0</v>
      </c>
      <c r="AE550" s="92"/>
      <c r="AF550" s="92"/>
      <c r="AG550" s="93">
        <v>8141.86</v>
      </c>
      <c r="AH550" s="93">
        <v>0</v>
      </c>
    </row>
    <row r="551" spans="1:34" ht="15.75" thickBot="1" x14ac:dyDescent="0.3">
      <c r="A551" s="90" t="s">
        <v>885</v>
      </c>
      <c r="B551" s="90" t="s">
        <v>96</v>
      </c>
      <c r="C551" s="90" t="s">
        <v>883</v>
      </c>
      <c r="D551" s="90" t="s">
        <v>663</v>
      </c>
      <c r="E551" s="90" t="s">
        <v>518</v>
      </c>
      <c r="F551" s="90" t="s">
        <v>697</v>
      </c>
      <c r="G551" s="95">
        <v>8141.86</v>
      </c>
      <c r="H551" s="305">
        <v>116163</v>
      </c>
      <c r="I551" s="94"/>
      <c r="J551" s="94"/>
      <c r="K551" s="95">
        <v>8141.86</v>
      </c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  <c r="AC551" s="94"/>
      <c r="AD551" s="95">
        <v>0</v>
      </c>
      <c r="AE551" s="94"/>
      <c r="AF551" s="94"/>
      <c r="AG551" s="95">
        <v>8141.86</v>
      </c>
      <c r="AH551" s="95">
        <v>0</v>
      </c>
    </row>
    <row r="552" spans="1:34" ht="15.75" thickBot="1" x14ac:dyDescent="0.3">
      <c r="A552" s="90" t="s">
        <v>885</v>
      </c>
      <c r="B552" s="90" t="s">
        <v>96</v>
      </c>
      <c r="C552" s="90" t="s">
        <v>883</v>
      </c>
      <c r="D552" s="90" t="s">
        <v>663</v>
      </c>
      <c r="E552" s="90" t="s">
        <v>673</v>
      </c>
      <c r="F552" s="90" t="s">
        <v>522</v>
      </c>
      <c r="G552" s="93">
        <v>2688.31</v>
      </c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3">
        <v>2688.31</v>
      </c>
      <c r="Y552" s="92"/>
      <c r="Z552" s="92"/>
      <c r="AA552" s="92"/>
      <c r="AB552" s="92"/>
      <c r="AC552" s="92"/>
      <c r="AD552" s="93">
        <v>0</v>
      </c>
      <c r="AE552" s="92"/>
      <c r="AF552" s="92"/>
      <c r="AG552" s="93">
        <v>2688.31</v>
      </c>
      <c r="AH552" s="93">
        <v>0</v>
      </c>
    </row>
    <row r="553" spans="1:34" ht="15.75" thickBot="1" x14ac:dyDescent="0.3">
      <c r="A553" s="90" t="s">
        <v>885</v>
      </c>
      <c r="B553" s="90" t="s">
        <v>96</v>
      </c>
      <c r="C553" s="90" t="s">
        <v>883</v>
      </c>
      <c r="D553" s="90" t="s">
        <v>663</v>
      </c>
      <c r="E553" s="90" t="s">
        <v>673</v>
      </c>
      <c r="F553" s="90" t="s">
        <v>697</v>
      </c>
      <c r="G553" s="95">
        <v>2688.31</v>
      </c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5">
        <v>2688.31</v>
      </c>
      <c r="Y553" s="94"/>
      <c r="Z553" s="94"/>
      <c r="AA553" s="94"/>
      <c r="AB553" s="94"/>
      <c r="AC553" s="94"/>
      <c r="AD553" s="95">
        <v>0</v>
      </c>
      <c r="AE553" s="94"/>
      <c r="AF553" s="94"/>
      <c r="AG553" s="95">
        <v>2688.31</v>
      </c>
      <c r="AH553" s="95">
        <v>0</v>
      </c>
    </row>
    <row r="554" spans="1:34" ht="15.75" thickBot="1" x14ac:dyDescent="0.3">
      <c r="A554" s="90" t="s">
        <v>885</v>
      </c>
      <c r="B554" s="90" t="s">
        <v>96</v>
      </c>
      <c r="C554" s="90" t="s">
        <v>883</v>
      </c>
      <c r="D554" s="90" t="s">
        <v>663</v>
      </c>
      <c r="E554" s="90" t="s">
        <v>530</v>
      </c>
      <c r="F554" s="90" t="s">
        <v>522</v>
      </c>
      <c r="G554" s="93">
        <v>9717.0300000000007</v>
      </c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3">
        <v>9717.0300000000007</v>
      </c>
      <c r="X554" s="92"/>
      <c r="Y554" s="92"/>
      <c r="Z554" s="92"/>
      <c r="AA554" s="92"/>
      <c r="AB554" s="92"/>
      <c r="AC554" s="92"/>
      <c r="AD554" s="93">
        <v>0</v>
      </c>
      <c r="AE554" s="92"/>
      <c r="AF554" s="92"/>
      <c r="AG554" s="93">
        <v>9717.0300000000007</v>
      </c>
      <c r="AH554" s="93">
        <v>0</v>
      </c>
    </row>
    <row r="555" spans="1:34" ht="15.75" thickBot="1" x14ac:dyDescent="0.3">
      <c r="A555" s="90" t="s">
        <v>885</v>
      </c>
      <c r="B555" s="90" t="s">
        <v>96</v>
      </c>
      <c r="C555" s="90" t="s">
        <v>883</v>
      </c>
      <c r="D555" s="90" t="s">
        <v>663</v>
      </c>
      <c r="E555" s="90" t="s">
        <v>530</v>
      </c>
      <c r="F555" s="90" t="s">
        <v>697</v>
      </c>
      <c r="G555" s="95">
        <v>9717.0300000000007</v>
      </c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5">
        <v>9717.0300000000007</v>
      </c>
      <c r="X555" s="94"/>
      <c r="Y555" s="94"/>
      <c r="Z555" s="94"/>
      <c r="AA555" s="94"/>
      <c r="AB555" s="94"/>
      <c r="AC555" s="94"/>
      <c r="AD555" s="95">
        <v>0</v>
      </c>
      <c r="AE555" s="94"/>
      <c r="AF555" s="94"/>
      <c r="AG555" s="95">
        <v>9717.0300000000007</v>
      </c>
      <c r="AH555" s="95">
        <v>0</v>
      </c>
    </row>
    <row r="556" spans="1:34" ht="15.75" thickBot="1" x14ac:dyDescent="0.3">
      <c r="A556" s="90" t="s">
        <v>885</v>
      </c>
      <c r="B556" s="90" t="s">
        <v>96</v>
      </c>
      <c r="C556" s="90" t="s">
        <v>883</v>
      </c>
      <c r="D556" s="90" t="s">
        <v>663</v>
      </c>
      <c r="E556" s="90" t="s">
        <v>524</v>
      </c>
      <c r="F556" s="90" t="s">
        <v>522</v>
      </c>
      <c r="G556" s="93">
        <v>550</v>
      </c>
      <c r="H556" s="92"/>
      <c r="I556" s="93">
        <v>550</v>
      </c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3">
        <v>0</v>
      </c>
      <c r="AE556" s="92"/>
      <c r="AF556" s="92"/>
      <c r="AG556" s="93">
        <v>550</v>
      </c>
      <c r="AH556" s="93">
        <v>0</v>
      </c>
    </row>
    <row r="557" spans="1:34" ht="15.75" thickBot="1" x14ac:dyDescent="0.3">
      <c r="A557" s="90" t="s">
        <v>885</v>
      </c>
      <c r="B557" s="90" t="s">
        <v>96</v>
      </c>
      <c r="C557" s="90" t="s">
        <v>883</v>
      </c>
      <c r="D557" s="90" t="s">
        <v>663</v>
      </c>
      <c r="E557" s="90" t="s">
        <v>524</v>
      </c>
      <c r="F557" s="90" t="s">
        <v>697</v>
      </c>
      <c r="G557" s="95">
        <v>550</v>
      </c>
      <c r="H557" s="94"/>
      <c r="I557" s="95">
        <v>550</v>
      </c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5">
        <v>0</v>
      </c>
      <c r="AE557" s="94"/>
      <c r="AF557" s="94"/>
      <c r="AG557" s="95">
        <v>550</v>
      </c>
      <c r="AH557" s="95">
        <v>0</v>
      </c>
    </row>
    <row r="558" spans="1:34" ht="15.75" thickBot="1" x14ac:dyDescent="0.3">
      <c r="A558" s="90" t="s">
        <v>885</v>
      </c>
      <c r="B558" s="90" t="s">
        <v>96</v>
      </c>
      <c r="C558" s="90" t="s">
        <v>883</v>
      </c>
      <c r="D558" s="90" t="s">
        <v>662</v>
      </c>
      <c r="E558" s="90" t="s">
        <v>726</v>
      </c>
      <c r="F558" s="90" t="s">
        <v>522</v>
      </c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  <c r="AC558" s="95">
        <v>507.97</v>
      </c>
      <c r="AD558" s="95">
        <v>0</v>
      </c>
      <c r="AE558" s="94"/>
      <c r="AF558" s="94"/>
      <c r="AG558" s="95">
        <v>507.97</v>
      </c>
      <c r="AH558" s="95">
        <v>0</v>
      </c>
    </row>
    <row r="559" spans="1:34" ht="15.75" thickBot="1" x14ac:dyDescent="0.3">
      <c r="A559" s="90" t="s">
        <v>885</v>
      </c>
      <c r="B559" s="90" t="s">
        <v>96</v>
      </c>
      <c r="C559" s="90" t="s">
        <v>883</v>
      </c>
      <c r="D559" s="90" t="s">
        <v>662</v>
      </c>
      <c r="E559" s="90" t="s">
        <v>726</v>
      </c>
      <c r="F559" s="90" t="s">
        <v>697</v>
      </c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3">
        <v>507.97</v>
      </c>
      <c r="AD559" s="93">
        <v>0</v>
      </c>
      <c r="AE559" s="92"/>
      <c r="AF559" s="92"/>
      <c r="AG559" s="93">
        <v>507.97</v>
      </c>
      <c r="AH559" s="93">
        <v>0</v>
      </c>
    </row>
    <row r="560" spans="1:34" ht="15.75" thickBot="1" x14ac:dyDescent="0.3">
      <c r="A560" s="90" t="s">
        <v>885</v>
      </c>
      <c r="B560" s="90" t="s">
        <v>96</v>
      </c>
      <c r="C560" s="90" t="s">
        <v>883</v>
      </c>
      <c r="D560" s="90" t="s">
        <v>662</v>
      </c>
      <c r="E560" s="90" t="s">
        <v>729</v>
      </c>
      <c r="F560" s="90" t="s">
        <v>522</v>
      </c>
      <c r="G560" s="95">
        <v>-2802.3</v>
      </c>
      <c r="H560" s="94"/>
      <c r="I560" s="94"/>
      <c r="J560" s="94"/>
      <c r="K560" s="94"/>
      <c r="L560" s="94"/>
      <c r="M560" s="94"/>
      <c r="N560" s="94"/>
      <c r="O560" s="94"/>
      <c r="P560" s="94"/>
      <c r="Q560" s="95">
        <v>-2802.3</v>
      </c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  <c r="AC560" s="94"/>
      <c r="AD560" s="95">
        <v>0</v>
      </c>
      <c r="AE560" s="94"/>
      <c r="AF560" s="94"/>
      <c r="AG560" s="95">
        <v>-2802.3</v>
      </c>
      <c r="AH560" s="95">
        <v>0</v>
      </c>
    </row>
    <row r="561" spans="1:34" ht="15.75" thickBot="1" x14ac:dyDescent="0.3">
      <c r="A561" s="90" t="s">
        <v>885</v>
      </c>
      <c r="B561" s="90" t="s">
        <v>96</v>
      </c>
      <c r="C561" s="90" t="s">
        <v>883</v>
      </c>
      <c r="D561" s="90" t="s">
        <v>662</v>
      </c>
      <c r="E561" s="90" t="s">
        <v>729</v>
      </c>
      <c r="F561" s="90" t="s">
        <v>697</v>
      </c>
      <c r="G561" s="93">
        <v>-2802.3</v>
      </c>
      <c r="H561" s="92"/>
      <c r="I561" s="92"/>
      <c r="J561" s="92"/>
      <c r="K561" s="92"/>
      <c r="L561" s="92"/>
      <c r="M561" s="92"/>
      <c r="N561" s="92"/>
      <c r="O561" s="92"/>
      <c r="P561" s="92"/>
      <c r="Q561" s="93">
        <v>-2802.3</v>
      </c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3">
        <v>0</v>
      </c>
      <c r="AE561" s="92"/>
      <c r="AF561" s="92"/>
      <c r="AG561" s="93">
        <v>-2802.3</v>
      </c>
      <c r="AH561" s="93">
        <v>0</v>
      </c>
    </row>
    <row r="562" spans="1:34" ht="15.75" thickBot="1" x14ac:dyDescent="0.3">
      <c r="A562" s="90" t="s">
        <v>885</v>
      </c>
      <c r="B562" s="90" t="s">
        <v>96</v>
      </c>
      <c r="C562" s="90" t="s">
        <v>883</v>
      </c>
      <c r="D562" s="90" t="s">
        <v>662</v>
      </c>
      <c r="E562" s="90" t="s">
        <v>528</v>
      </c>
      <c r="F562" s="90" t="s">
        <v>690</v>
      </c>
      <c r="G562" s="95">
        <v>400</v>
      </c>
      <c r="H562" s="94"/>
      <c r="I562" s="95">
        <v>400</v>
      </c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  <c r="AC562" s="94"/>
      <c r="AD562" s="95">
        <v>0</v>
      </c>
      <c r="AE562" s="94"/>
      <c r="AF562" s="94"/>
      <c r="AG562" s="95">
        <v>400</v>
      </c>
      <c r="AH562" s="95">
        <v>0</v>
      </c>
    </row>
    <row r="563" spans="1:34" ht="15.75" thickBot="1" x14ac:dyDescent="0.3">
      <c r="A563" s="90" t="s">
        <v>885</v>
      </c>
      <c r="B563" s="90" t="s">
        <v>96</v>
      </c>
      <c r="C563" s="90" t="s">
        <v>883</v>
      </c>
      <c r="D563" s="90" t="s">
        <v>662</v>
      </c>
      <c r="E563" s="90" t="s">
        <v>528</v>
      </c>
      <c r="F563" s="90" t="s">
        <v>697</v>
      </c>
      <c r="G563" s="93">
        <v>400</v>
      </c>
      <c r="H563" s="92"/>
      <c r="I563" s="93">
        <v>400</v>
      </c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3">
        <v>0</v>
      </c>
      <c r="AE563" s="92"/>
      <c r="AF563" s="92"/>
      <c r="AG563" s="93">
        <v>400</v>
      </c>
      <c r="AH563" s="93">
        <v>0</v>
      </c>
    </row>
    <row r="564" spans="1:34" ht="15.75" thickBot="1" x14ac:dyDescent="0.3">
      <c r="A564" s="90" t="s">
        <v>885</v>
      </c>
      <c r="B564" s="90" t="s">
        <v>96</v>
      </c>
      <c r="C564" s="90" t="s">
        <v>883</v>
      </c>
      <c r="D564" s="90" t="s">
        <v>662</v>
      </c>
      <c r="E564" s="90" t="s">
        <v>518</v>
      </c>
      <c r="F564" s="90" t="s">
        <v>522</v>
      </c>
      <c r="G564" s="95">
        <v>11198</v>
      </c>
      <c r="H564" s="95">
        <v>159766</v>
      </c>
      <c r="I564" s="94"/>
      <c r="J564" s="94"/>
      <c r="K564" s="95">
        <v>11198</v>
      </c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  <c r="AC564" s="94"/>
      <c r="AD564" s="95">
        <v>0</v>
      </c>
      <c r="AE564" s="94"/>
      <c r="AF564" s="94"/>
      <c r="AG564" s="95">
        <v>11198</v>
      </c>
      <c r="AH564" s="95">
        <v>0</v>
      </c>
    </row>
    <row r="565" spans="1:34" ht="15.75" thickBot="1" x14ac:dyDescent="0.3">
      <c r="A565" s="90" t="s">
        <v>885</v>
      </c>
      <c r="B565" s="90" t="s">
        <v>96</v>
      </c>
      <c r="C565" s="90" t="s">
        <v>883</v>
      </c>
      <c r="D565" s="90" t="s">
        <v>662</v>
      </c>
      <c r="E565" s="90" t="s">
        <v>518</v>
      </c>
      <c r="F565" s="90" t="s">
        <v>697</v>
      </c>
      <c r="G565" s="93">
        <v>11198</v>
      </c>
      <c r="H565" s="304">
        <v>159766</v>
      </c>
      <c r="I565" s="92"/>
      <c r="J565" s="92"/>
      <c r="K565" s="93">
        <v>11198</v>
      </c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3">
        <v>0</v>
      </c>
      <c r="AE565" s="92"/>
      <c r="AF565" s="92"/>
      <c r="AG565" s="93">
        <v>11198</v>
      </c>
      <c r="AH565" s="93">
        <v>0</v>
      </c>
    </row>
    <row r="566" spans="1:34" ht="15.75" thickBot="1" x14ac:dyDescent="0.3">
      <c r="A566" s="90" t="s">
        <v>885</v>
      </c>
      <c r="B566" s="90" t="s">
        <v>96</v>
      </c>
      <c r="C566" s="90" t="s">
        <v>883</v>
      </c>
      <c r="D566" s="90" t="s">
        <v>662</v>
      </c>
      <c r="E566" s="90" t="s">
        <v>673</v>
      </c>
      <c r="F566" s="90" t="s">
        <v>522</v>
      </c>
      <c r="G566" s="95">
        <v>2688.31</v>
      </c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5">
        <v>2688.31</v>
      </c>
      <c r="Y566" s="94"/>
      <c r="Z566" s="94"/>
      <c r="AA566" s="94"/>
      <c r="AB566" s="94"/>
      <c r="AC566" s="94"/>
      <c r="AD566" s="95">
        <v>0</v>
      </c>
      <c r="AE566" s="94"/>
      <c r="AF566" s="94"/>
      <c r="AG566" s="95">
        <v>2688.31</v>
      </c>
      <c r="AH566" s="95">
        <v>0</v>
      </c>
    </row>
    <row r="567" spans="1:34" ht="15.75" thickBot="1" x14ac:dyDescent="0.3">
      <c r="A567" s="90" t="s">
        <v>885</v>
      </c>
      <c r="B567" s="90" t="s">
        <v>96</v>
      </c>
      <c r="C567" s="90" t="s">
        <v>883</v>
      </c>
      <c r="D567" s="90" t="s">
        <v>662</v>
      </c>
      <c r="E567" s="90" t="s">
        <v>673</v>
      </c>
      <c r="F567" s="90" t="s">
        <v>697</v>
      </c>
      <c r="G567" s="93">
        <v>2688.31</v>
      </c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3">
        <v>2688.31</v>
      </c>
      <c r="Y567" s="92"/>
      <c r="Z567" s="92"/>
      <c r="AA567" s="92"/>
      <c r="AB567" s="92"/>
      <c r="AC567" s="92"/>
      <c r="AD567" s="93">
        <v>0</v>
      </c>
      <c r="AE567" s="92"/>
      <c r="AF567" s="92"/>
      <c r="AG567" s="93">
        <v>2688.31</v>
      </c>
      <c r="AH567" s="93">
        <v>0</v>
      </c>
    </row>
    <row r="568" spans="1:34" ht="15.75" thickBot="1" x14ac:dyDescent="0.3">
      <c r="A568" s="90" t="s">
        <v>885</v>
      </c>
      <c r="B568" s="90" t="s">
        <v>96</v>
      </c>
      <c r="C568" s="90" t="s">
        <v>883</v>
      </c>
      <c r="D568" s="90" t="s">
        <v>662</v>
      </c>
      <c r="E568" s="90" t="s">
        <v>530</v>
      </c>
      <c r="F568" s="90" t="s">
        <v>522</v>
      </c>
      <c r="G568" s="95">
        <v>13364.43</v>
      </c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5">
        <v>13364.43</v>
      </c>
      <c r="X568" s="94"/>
      <c r="Y568" s="94"/>
      <c r="Z568" s="94"/>
      <c r="AA568" s="94"/>
      <c r="AB568" s="94"/>
      <c r="AC568" s="94"/>
      <c r="AD568" s="95">
        <v>0</v>
      </c>
      <c r="AE568" s="94"/>
      <c r="AF568" s="94"/>
      <c r="AG568" s="95">
        <v>13364.43</v>
      </c>
      <c r="AH568" s="95">
        <v>0</v>
      </c>
    </row>
    <row r="569" spans="1:34" ht="15.75" thickBot="1" x14ac:dyDescent="0.3">
      <c r="A569" s="90" t="s">
        <v>885</v>
      </c>
      <c r="B569" s="90" t="s">
        <v>96</v>
      </c>
      <c r="C569" s="90" t="s">
        <v>883</v>
      </c>
      <c r="D569" s="90" t="s">
        <v>662</v>
      </c>
      <c r="E569" s="90" t="s">
        <v>530</v>
      </c>
      <c r="F569" s="90" t="s">
        <v>697</v>
      </c>
      <c r="G569" s="93">
        <v>13364.43</v>
      </c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3">
        <v>13364.43</v>
      </c>
      <c r="X569" s="92"/>
      <c r="Y569" s="92"/>
      <c r="Z569" s="92"/>
      <c r="AA569" s="92"/>
      <c r="AB569" s="92"/>
      <c r="AC569" s="92"/>
      <c r="AD569" s="93">
        <v>0</v>
      </c>
      <c r="AE569" s="92"/>
      <c r="AF569" s="92"/>
      <c r="AG569" s="93">
        <v>13364.43</v>
      </c>
      <c r="AH569" s="93">
        <v>0</v>
      </c>
    </row>
    <row r="570" spans="1:34" ht="15.75" thickBot="1" x14ac:dyDescent="0.3">
      <c r="A570" s="90" t="s">
        <v>885</v>
      </c>
      <c r="B570" s="90" t="s">
        <v>96</v>
      </c>
      <c r="C570" s="90" t="s">
        <v>883</v>
      </c>
      <c r="D570" s="90" t="s">
        <v>662</v>
      </c>
      <c r="E570" s="90" t="s">
        <v>524</v>
      </c>
      <c r="F570" s="90" t="s">
        <v>522</v>
      </c>
      <c r="G570" s="95">
        <v>550</v>
      </c>
      <c r="H570" s="94"/>
      <c r="I570" s="95">
        <v>550</v>
      </c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  <c r="AC570" s="94"/>
      <c r="AD570" s="95">
        <v>0</v>
      </c>
      <c r="AE570" s="94"/>
      <c r="AF570" s="94"/>
      <c r="AG570" s="95">
        <v>550</v>
      </c>
      <c r="AH570" s="95">
        <v>0</v>
      </c>
    </row>
    <row r="571" spans="1:34" ht="15.75" thickBot="1" x14ac:dyDescent="0.3">
      <c r="A571" s="90" t="s">
        <v>885</v>
      </c>
      <c r="B571" s="90" t="s">
        <v>96</v>
      </c>
      <c r="C571" s="90" t="s">
        <v>883</v>
      </c>
      <c r="D571" s="90" t="s">
        <v>662</v>
      </c>
      <c r="E571" s="90" t="s">
        <v>524</v>
      </c>
      <c r="F571" s="90" t="s">
        <v>697</v>
      </c>
      <c r="G571" s="93">
        <v>550</v>
      </c>
      <c r="H571" s="92"/>
      <c r="I571" s="93">
        <v>550</v>
      </c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3">
        <v>0</v>
      </c>
      <c r="AE571" s="92"/>
      <c r="AF571" s="92"/>
      <c r="AG571" s="93">
        <v>550</v>
      </c>
      <c r="AH571" s="93">
        <v>0</v>
      </c>
    </row>
    <row r="572" spans="1:34" ht="15.75" thickBot="1" x14ac:dyDescent="0.3">
      <c r="A572" s="90" t="s">
        <v>885</v>
      </c>
      <c r="B572" s="90" t="s">
        <v>52</v>
      </c>
      <c r="C572" s="90" t="s">
        <v>882</v>
      </c>
      <c r="D572" s="90" t="s">
        <v>663</v>
      </c>
      <c r="E572" s="90" t="s">
        <v>726</v>
      </c>
      <c r="F572" s="90" t="s">
        <v>522</v>
      </c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  <c r="AC572" s="95">
        <v>7713.94</v>
      </c>
      <c r="AD572" s="95">
        <v>385.87</v>
      </c>
      <c r="AE572" s="94"/>
      <c r="AF572" s="94"/>
      <c r="AG572" s="95">
        <v>8099.81</v>
      </c>
      <c r="AH572" s="95">
        <v>0</v>
      </c>
    </row>
    <row r="573" spans="1:34" ht="15.75" thickBot="1" x14ac:dyDescent="0.3">
      <c r="A573" s="90" t="s">
        <v>885</v>
      </c>
      <c r="B573" s="90" t="s">
        <v>52</v>
      </c>
      <c r="C573" s="90" t="s">
        <v>882</v>
      </c>
      <c r="D573" s="90" t="s">
        <v>663</v>
      </c>
      <c r="E573" s="90" t="s">
        <v>726</v>
      </c>
      <c r="F573" s="90" t="s">
        <v>697</v>
      </c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3">
        <v>7713.94</v>
      </c>
      <c r="AD573" s="93">
        <v>385.87</v>
      </c>
      <c r="AE573" s="92"/>
      <c r="AF573" s="92"/>
      <c r="AG573" s="93">
        <v>8099.81</v>
      </c>
      <c r="AH573" s="93">
        <v>0</v>
      </c>
    </row>
    <row r="574" spans="1:34" ht="15.75" thickBot="1" x14ac:dyDescent="0.3">
      <c r="A574" s="90" t="s">
        <v>885</v>
      </c>
      <c r="B574" s="90" t="s">
        <v>52</v>
      </c>
      <c r="C574" s="90" t="s">
        <v>882</v>
      </c>
      <c r="D574" s="90" t="s">
        <v>663</v>
      </c>
      <c r="E574" s="90" t="s">
        <v>729</v>
      </c>
      <c r="F574" s="90" t="s">
        <v>522</v>
      </c>
      <c r="G574" s="95">
        <v>-122.82</v>
      </c>
      <c r="H574" s="94"/>
      <c r="I574" s="94"/>
      <c r="J574" s="94"/>
      <c r="K574" s="94"/>
      <c r="L574" s="94"/>
      <c r="M574" s="94"/>
      <c r="N574" s="94"/>
      <c r="O574" s="94"/>
      <c r="P574" s="94"/>
      <c r="Q574" s="95">
        <v>-122.82</v>
      </c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  <c r="AC574" s="94"/>
      <c r="AD574" s="95">
        <v>-1.55</v>
      </c>
      <c r="AE574" s="94"/>
      <c r="AF574" s="94"/>
      <c r="AG574" s="95">
        <v>-124.37</v>
      </c>
      <c r="AH574" s="95">
        <v>0</v>
      </c>
    </row>
    <row r="575" spans="1:34" ht="15.75" thickBot="1" x14ac:dyDescent="0.3">
      <c r="A575" s="90" t="s">
        <v>885</v>
      </c>
      <c r="B575" s="90" t="s">
        <v>52</v>
      </c>
      <c r="C575" s="90" t="s">
        <v>882</v>
      </c>
      <c r="D575" s="90" t="s">
        <v>663</v>
      </c>
      <c r="E575" s="90" t="s">
        <v>729</v>
      </c>
      <c r="F575" s="90" t="s">
        <v>697</v>
      </c>
      <c r="G575" s="93">
        <v>-122.82</v>
      </c>
      <c r="H575" s="92"/>
      <c r="I575" s="92"/>
      <c r="J575" s="92"/>
      <c r="K575" s="92"/>
      <c r="L575" s="92"/>
      <c r="M575" s="92"/>
      <c r="N575" s="92"/>
      <c r="O575" s="92"/>
      <c r="P575" s="92"/>
      <c r="Q575" s="93">
        <v>-122.82</v>
      </c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3">
        <v>-1.55</v>
      </c>
      <c r="AE575" s="92"/>
      <c r="AF575" s="92"/>
      <c r="AG575" s="93">
        <v>-124.37</v>
      </c>
      <c r="AH575" s="93">
        <v>0</v>
      </c>
    </row>
    <row r="576" spans="1:34" ht="15.75" thickBot="1" x14ac:dyDescent="0.3">
      <c r="A576" s="90" t="s">
        <v>885</v>
      </c>
      <c r="B576" s="90" t="s">
        <v>52</v>
      </c>
      <c r="C576" s="90" t="s">
        <v>882</v>
      </c>
      <c r="D576" s="90" t="s">
        <v>663</v>
      </c>
      <c r="E576" s="90" t="s">
        <v>525</v>
      </c>
      <c r="F576" s="90" t="s">
        <v>690</v>
      </c>
      <c r="G576" s="95">
        <v>-1353.2</v>
      </c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5">
        <v>-1353.2</v>
      </c>
      <c r="S576" s="94"/>
      <c r="T576" s="94"/>
      <c r="U576" s="94"/>
      <c r="V576" s="94"/>
      <c r="W576" s="94"/>
      <c r="X576" s="94"/>
      <c r="Y576" s="94"/>
      <c r="Z576" s="94"/>
      <c r="AA576" s="94"/>
      <c r="AB576" s="94"/>
      <c r="AC576" s="94"/>
      <c r="AD576" s="95">
        <v>-81.19</v>
      </c>
      <c r="AE576" s="94"/>
      <c r="AF576" s="94"/>
      <c r="AG576" s="95">
        <v>-1434.39</v>
      </c>
      <c r="AH576" s="95">
        <v>0</v>
      </c>
    </row>
    <row r="577" spans="1:34" ht="15.75" thickBot="1" x14ac:dyDescent="0.3">
      <c r="A577" s="90" t="s">
        <v>885</v>
      </c>
      <c r="B577" s="90" t="s">
        <v>52</v>
      </c>
      <c r="C577" s="90" t="s">
        <v>882</v>
      </c>
      <c r="D577" s="90" t="s">
        <v>663</v>
      </c>
      <c r="E577" s="90" t="s">
        <v>525</v>
      </c>
      <c r="F577" s="90" t="s">
        <v>697</v>
      </c>
      <c r="G577" s="93">
        <v>-1353.2</v>
      </c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3">
        <v>-1353.2</v>
      </c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3">
        <v>-81.19</v>
      </c>
      <c r="AE577" s="92"/>
      <c r="AF577" s="92"/>
      <c r="AG577" s="93">
        <v>-1434.39</v>
      </c>
      <c r="AH577" s="93">
        <v>0</v>
      </c>
    </row>
    <row r="578" spans="1:34" ht="15.75" thickBot="1" x14ac:dyDescent="0.3">
      <c r="A578" s="90" t="s">
        <v>885</v>
      </c>
      <c r="B578" s="90" t="s">
        <v>52</v>
      </c>
      <c r="C578" s="90" t="s">
        <v>882</v>
      </c>
      <c r="D578" s="90" t="s">
        <v>663</v>
      </c>
      <c r="E578" s="90" t="s">
        <v>518</v>
      </c>
      <c r="F578" s="90" t="s">
        <v>522</v>
      </c>
      <c r="G578" s="95">
        <v>455271.5</v>
      </c>
      <c r="H578" s="95">
        <v>10582787</v>
      </c>
      <c r="I578" s="94"/>
      <c r="J578" s="94"/>
      <c r="K578" s="95">
        <v>455271.5</v>
      </c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5">
        <v>21296.28</v>
      </c>
      <c r="AE578" s="94"/>
      <c r="AF578" s="94"/>
      <c r="AG578" s="95">
        <v>476567.78</v>
      </c>
      <c r="AH578" s="95">
        <v>0</v>
      </c>
    </row>
    <row r="579" spans="1:34" ht="15.75" thickBot="1" x14ac:dyDescent="0.3">
      <c r="A579" s="90" t="s">
        <v>885</v>
      </c>
      <c r="B579" s="90" t="s">
        <v>52</v>
      </c>
      <c r="C579" s="90" t="s">
        <v>882</v>
      </c>
      <c r="D579" s="90" t="s">
        <v>663</v>
      </c>
      <c r="E579" s="90" t="s">
        <v>518</v>
      </c>
      <c r="F579" s="90" t="s">
        <v>690</v>
      </c>
      <c r="G579" s="93">
        <v>18.84</v>
      </c>
      <c r="H579" s="93">
        <v>438</v>
      </c>
      <c r="I579" s="92"/>
      <c r="J579" s="92"/>
      <c r="K579" s="93">
        <v>18.84</v>
      </c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3">
        <v>1.1299999999999999</v>
      </c>
      <c r="AE579" s="92"/>
      <c r="AF579" s="92"/>
      <c r="AG579" s="93">
        <v>19.97</v>
      </c>
      <c r="AH579" s="93">
        <v>0</v>
      </c>
    </row>
    <row r="580" spans="1:34" ht="15.75" thickBot="1" x14ac:dyDescent="0.3">
      <c r="A580" s="90" t="s">
        <v>885</v>
      </c>
      <c r="B580" s="90" t="s">
        <v>52</v>
      </c>
      <c r="C580" s="90" t="s">
        <v>882</v>
      </c>
      <c r="D580" s="90" t="s">
        <v>663</v>
      </c>
      <c r="E580" s="90" t="s">
        <v>518</v>
      </c>
      <c r="F580" s="90" t="s">
        <v>697</v>
      </c>
      <c r="G580" s="95">
        <v>455290.34</v>
      </c>
      <c r="H580" s="305">
        <v>10583225</v>
      </c>
      <c r="I580" s="94"/>
      <c r="J580" s="94"/>
      <c r="K580" s="95">
        <v>455290.34</v>
      </c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  <c r="AC580" s="94"/>
      <c r="AD580" s="95">
        <v>21297.41</v>
      </c>
      <c r="AE580" s="94"/>
      <c r="AF580" s="94"/>
      <c r="AG580" s="95">
        <v>476587.75</v>
      </c>
      <c r="AH580" s="95">
        <v>0</v>
      </c>
    </row>
    <row r="581" spans="1:34" ht="15.75" thickBot="1" x14ac:dyDescent="0.3">
      <c r="A581" s="90" t="s">
        <v>885</v>
      </c>
      <c r="B581" s="90" t="s">
        <v>52</v>
      </c>
      <c r="C581" s="90" t="s">
        <v>882</v>
      </c>
      <c r="D581" s="90" t="s">
        <v>663</v>
      </c>
      <c r="E581" s="90" t="s">
        <v>527</v>
      </c>
      <c r="F581" s="90" t="s">
        <v>690</v>
      </c>
      <c r="G581" s="93">
        <v>-239.97</v>
      </c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3">
        <v>-239.97</v>
      </c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3">
        <v>-14.4</v>
      </c>
      <c r="AE581" s="92"/>
      <c r="AF581" s="92"/>
      <c r="AG581" s="93">
        <v>-254.37</v>
      </c>
      <c r="AH581" s="93">
        <v>0</v>
      </c>
    </row>
    <row r="582" spans="1:34" ht="15.75" thickBot="1" x14ac:dyDescent="0.3">
      <c r="A582" s="90" t="s">
        <v>885</v>
      </c>
      <c r="B582" s="90" t="s">
        <v>52</v>
      </c>
      <c r="C582" s="90" t="s">
        <v>882</v>
      </c>
      <c r="D582" s="90" t="s">
        <v>663</v>
      </c>
      <c r="E582" s="90" t="s">
        <v>527</v>
      </c>
      <c r="F582" s="90" t="s">
        <v>697</v>
      </c>
      <c r="G582" s="95">
        <v>-239.97</v>
      </c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5">
        <v>-239.97</v>
      </c>
      <c r="T582" s="94"/>
      <c r="U582" s="94"/>
      <c r="V582" s="94"/>
      <c r="W582" s="94"/>
      <c r="X582" s="94"/>
      <c r="Y582" s="94"/>
      <c r="Z582" s="94"/>
      <c r="AA582" s="94"/>
      <c r="AB582" s="94"/>
      <c r="AC582" s="94"/>
      <c r="AD582" s="95">
        <v>-14.4</v>
      </c>
      <c r="AE582" s="94"/>
      <c r="AF582" s="94"/>
      <c r="AG582" s="95">
        <v>-254.37</v>
      </c>
      <c r="AH582" s="95">
        <v>0</v>
      </c>
    </row>
    <row r="583" spans="1:34" ht="15.75" thickBot="1" x14ac:dyDescent="0.3">
      <c r="A583" s="90" t="s">
        <v>885</v>
      </c>
      <c r="B583" s="90" t="s">
        <v>52</v>
      </c>
      <c r="C583" s="90" t="s">
        <v>882</v>
      </c>
      <c r="D583" s="90" t="s">
        <v>663</v>
      </c>
      <c r="E583" s="90" t="s">
        <v>671</v>
      </c>
      <c r="F583" s="90" t="s">
        <v>522</v>
      </c>
      <c r="G583" s="93">
        <v>1442.35</v>
      </c>
      <c r="H583" s="92"/>
      <c r="I583" s="92"/>
      <c r="J583" s="92"/>
      <c r="K583" s="92"/>
      <c r="L583" s="93">
        <v>1442.35</v>
      </c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3">
        <v>83.42</v>
      </c>
      <c r="AE583" s="92"/>
      <c r="AF583" s="92"/>
      <c r="AG583" s="93">
        <v>1525.77</v>
      </c>
      <c r="AH583" s="93">
        <v>0</v>
      </c>
    </row>
    <row r="584" spans="1:34" ht="15.75" thickBot="1" x14ac:dyDescent="0.3">
      <c r="A584" s="90" t="s">
        <v>885</v>
      </c>
      <c r="B584" s="90" t="s">
        <v>52</v>
      </c>
      <c r="C584" s="90" t="s">
        <v>882</v>
      </c>
      <c r="D584" s="90" t="s">
        <v>663</v>
      </c>
      <c r="E584" s="90" t="s">
        <v>671</v>
      </c>
      <c r="F584" s="90" t="s">
        <v>697</v>
      </c>
      <c r="G584" s="95">
        <v>1442.35</v>
      </c>
      <c r="H584" s="94"/>
      <c r="I584" s="94"/>
      <c r="J584" s="94"/>
      <c r="K584" s="94"/>
      <c r="L584" s="95">
        <v>1442.35</v>
      </c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  <c r="AC584" s="94"/>
      <c r="AD584" s="95">
        <v>83.42</v>
      </c>
      <c r="AE584" s="94"/>
      <c r="AF584" s="94"/>
      <c r="AG584" s="95">
        <v>1525.77</v>
      </c>
      <c r="AH584" s="95">
        <v>0</v>
      </c>
    </row>
    <row r="585" spans="1:34" ht="15.75" thickBot="1" x14ac:dyDescent="0.3">
      <c r="A585" s="90" t="s">
        <v>885</v>
      </c>
      <c r="B585" s="90" t="s">
        <v>52</v>
      </c>
      <c r="C585" s="90" t="s">
        <v>882</v>
      </c>
      <c r="D585" s="90" t="s">
        <v>663</v>
      </c>
      <c r="E585" s="90" t="s">
        <v>524</v>
      </c>
      <c r="F585" s="90" t="s">
        <v>522</v>
      </c>
      <c r="G585" s="93">
        <v>34650</v>
      </c>
      <c r="H585" s="92"/>
      <c r="I585" s="93">
        <v>34650</v>
      </c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3">
        <v>1707.43</v>
      </c>
      <c r="AE585" s="92"/>
      <c r="AF585" s="92"/>
      <c r="AG585" s="93">
        <v>36357.43</v>
      </c>
      <c r="AH585" s="93">
        <v>0</v>
      </c>
    </row>
    <row r="586" spans="1:34" ht="15.75" thickBot="1" x14ac:dyDescent="0.3">
      <c r="A586" s="90" t="s">
        <v>885</v>
      </c>
      <c r="B586" s="90" t="s">
        <v>52</v>
      </c>
      <c r="C586" s="90" t="s">
        <v>882</v>
      </c>
      <c r="D586" s="90" t="s">
        <v>663</v>
      </c>
      <c r="E586" s="90" t="s">
        <v>524</v>
      </c>
      <c r="F586" s="90" t="s">
        <v>697</v>
      </c>
      <c r="G586" s="95">
        <v>34650</v>
      </c>
      <c r="H586" s="94"/>
      <c r="I586" s="95">
        <v>34650</v>
      </c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  <c r="AC586" s="94"/>
      <c r="AD586" s="95">
        <v>1707.43</v>
      </c>
      <c r="AE586" s="94"/>
      <c r="AF586" s="94"/>
      <c r="AG586" s="95">
        <v>36357.43</v>
      </c>
      <c r="AH586" s="95">
        <v>0</v>
      </c>
    </row>
    <row r="587" spans="1:34" ht="15.75" thickBot="1" x14ac:dyDescent="0.3">
      <c r="A587" s="90" t="s">
        <v>885</v>
      </c>
      <c r="B587" s="90" t="s">
        <v>52</v>
      </c>
      <c r="C587" s="90" t="s">
        <v>882</v>
      </c>
      <c r="D587" s="90" t="s">
        <v>663</v>
      </c>
      <c r="E587" s="90" t="s">
        <v>676</v>
      </c>
      <c r="F587" s="90" t="s">
        <v>522</v>
      </c>
      <c r="G587" s="93">
        <v>595.96</v>
      </c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3">
        <v>595.96</v>
      </c>
      <c r="V587" s="92"/>
      <c r="W587" s="92"/>
      <c r="X587" s="92"/>
      <c r="Y587" s="92"/>
      <c r="Z587" s="92"/>
      <c r="AA587" s="92"/>
      <c r="AB587" s="92"/>
      <c r="AC587" s="92"/>
      <c r="AD587" s="93">
        <v>35.76</v>
      </c>
      <c r="AE587" s="92"/>
      <c r="AF587" s="92"/>
      <c r="AG587" s="93">
        <v>631.72</v>
      </c>
      <c r="AH587" s="93">
        <v>0</v>
      </c>
    </row>
    <row r="588" spans="1:34" ht="15.75" thickBot="1" x14ac:dyDescent="0.3">
      <c r="A588" s="90" t="s">
        <v>885</v>
      </c>
      <c r="B588" s="90" t="s">
        <v>52</v>
      </c>
      <c r="C588" s="90" t="s">
        <v>882</v>
      </c>
      <c r="D588" s="90" t="s">
        <v>663</v>
      </c>
      <c r="E588" s="90" t="s">
        <v>676</v>
      </c>
      <c r="F588" s="90" t="s">
        <v>697</v>
      </c>
      <c r="G588" s="95">
        <v>595.96</v>
      </c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5">
        <v>595.96</v>
      </c>
      <c r="V588" s="94"/>
      <c r="W588" s="94"/>
      <c r="X588" s="94"/>
      <c r="Y588" s="94"/>
      <c r="Z588" s="94"/>
      <c r="AA588" s="94"/>
      <c r="AB588" s="94"/>
      <c r="AC588" s="94"/>
      <c r="AD588" s="95">
        <v>35.76</v>
      </c>
      <c r="AE588" s="94"/>
      <c r="AF588" s="94"/>
      <c r="AG588" s="95">
        <v>631.72</v>
      </c>
      <c r="AH588" s="95">
        <v>0</v>
      </c>
    </row>
    <row r="589" spans="1:34" ht="15.75" thickBot="1" x14ac:dyDescent="0.3">
      <c r="A589" s="90" t="s">
        <v>885</v>
      </c>
      <c r="B589" s="90" t="s">
        <v>52</v>
      </c>
      <c r="C589" s="90" t="s">
        <v>882</v>
      </c>
      <c r="D589" s="90" t="s">
        <v>663</v>
      </c>
      <c r="E589" s="90" t="s">
        <v>677</v>
      </c>
      <c r="F589" s="90" t="s">
        <v>522</v>
      </c>
      <c r="G589" s="93">
        <v>657.28</v>
      </c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3">
        <v>657.28</v>
      </c>
      <c r="W589" s="92"/>
      <c r="X589" s="92"/>
      <c r="Y589" s="92"/>
      <c r="Z589" s="92"/>
      <c r="AA589" s="92"/>
      <c r="AB589" s="92"/>
      <c r="AC589" s="92"/>
      <c r="AD589" s="93">
        <v>39.43</v>
      </c>
      <c r="AE589" s="92"/>
      <c r="AF589" s="92"/>
      <c r="AG589" s="93">
        <v>696.71</v>
      </c>
      <c r="AH589" s="93">
        <v>0</v>
      </c>
    </row>
    <row r="590" spans="1:34" ht="15.75" thickBot="1" x14ac:dyDescent="0.3">
      <c r="A590" s="90" t="s">
        <v>885</v>
      </c>
      <c r="B590" s="90" t="s">
        <v>52</v>
      </c>
      <c r="C590" s="90" t="s">
        <v>882</v>
      </c>
      <c r="D590" s="90" t="s">
        <v>663</v>
      </c>
      <c r="E590" s="90" t="s">
        <v>677</v>
      </c>
      <c r="F590" s="90" t="s">
        <v>697</v>
      </c>
      <c r="G590" s="95">
        <v>657.28</v>
      </c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5">
        <v>657.28</v>
      </c>
      <c r="W590" s="94"/>
      <c r="X590" s="94"/>
      <c r="Y590" s="94"/>
      <c r="Z590" s="94"/>
      <c r="AA590" s="94"/>
      <c r="AB590" s="94"/>
      <c r="AC590" s="94"/>
      <c r="AD590" s="95">
        <v>39.43</v>
      </c>
      <c r="AE590" s="94"/>
      <c r="AF590" s="94"/>
      <c r="AG590" s="95">
        <v>696.71</v>
      </c>
      <c r="AH590" s="95">
        <v>0</v>
      </c>
    </row>
    <row r="591" spans="1:34" ht="15.75" thickBot="1" x14ac:dyDescent="0.3">
      <c r="A591" s="90" t="s">
        <v>885</v>
      </c>
      <c r="B591" s="90" t="s">
        <v>52</v>
      </c>
      <c r="C591" s="90" t="s">
        <v>882</v>
      </c>
      <c r="D591" s="90" t="s">
        <v>662</v>
      </c>
      <c r="E591" s="90" t="s">
        <v>726</v>
      </c>
      <c r="F591" s="90" t="s">
        <v>522</v>
      </c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  <c r="AC591" s="95">
        <v>221.5</v>
      </c>
      <c r="AD591" s="95">
        <v>0</v>
      </c>
      <c r="AE591" s="94"/>
      <c r="AF591" s="94"/>
      <c r="AG591" s="95">
        <v>221.5</v>
      </c>
      <c r="AH591" s="95">
        <v>0</v>
      </c>
    </row>
    <row r="592" spans="1:34" ht="15.75" thickBot="1" x14ac:dyDescent="0.3">
      <c r="A592" s="90" t="s">
        <v>885</v>
      </c>
      <c r="B592" s="90" t="s">
        <v>52</v>
      </c>
      <c r="C592" s="90" t="s">
        <v>882</v>
      </c>
      <c r="D592" s="90" t="s">
        <v>662</v>
      </c>
      <c r="E592" s="90" t="s">
        <v>726</v>
      </c>
      <c r="F592" s="90" t="s">
        <v>697</v>
      </c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3">
        <v>221.5</v>
      </c>
      <c r="AD592" s="93">
        <v>0</v>
      </c>
      <c r="AE592" s="92"/>
      <c r="AF592" s="92"/>
      <c r="AG592" s="93">
        <v>221.5</v>
      </c>
      <c r="AH592" s="93">
        <v>0</v>
      </c>
    </row>
    <row r="593" spans="1:34" ht="15.75" thickBot="1" x14ac:dyDescent="0.3">
      <c r="A593" s="90" t="s">
        <v>885</v>
      </c>
      <c r="B593" s="90" t="s">
        <v>52</v>
      </c>
      <c r="C593" s="90" t="s">
        <v>882</v>
      </c>
      <c r="D593" s="90" t="s">
        <v>662</v>
      </c>
      <c r="E593" s="90" t="s">
        <v>518</v>
      </c>
      <c r="F593" s="90" t="s">
        <v>522</v>
      </c>
      <c r="G593" s="95">
        <v>10525.19</v>
      </c>
      <c r="H593" s="95">
        <v>244658</v>
      </c>
      <c r="I593" s="94"/>
      <c r="J593" s="94"/>
      <c r="K593" s="95">
        <v>10525.19</v>
      </c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  <c r="AC593" s="94"/>
      <c r="AD593" s="95">
        <v>0</v>
      </c>
      <c r="AE593" s="94"/>
      <c r="AF593" s="94"/>
      <c r="AG593" s="95">
        <v>10525.19</v>
      </c>
      <c r="AH593" s="95">
        <v>0</v>
      </c>
    </row>
    <row r="594" spans="1:34" ht="15.75" thickBot="1" x14ac:dyDescent="0.3">
      <c r="A594" s="90" t="s">
        <v>885</v>
      </c>
      <c r="B594" s="90" t="s">
        <v>52</v>
      </c>
      <c r="C594" s="90" t="s">
        <v>882</v>
      </c>
      <c r="D594" s="90" t="s">
        <v>662</v>
      </c>
      <c r="E594" s="90" t="s">
        <v>518</v>
      </c>
      <c r="F594" s="90" t="s">
        <v>697</v>
      </c>
      <c r="G594" s="93">
        <v>10525.19</v>
      </c>
      <c r="H594" s="304">
        <v>244658</v>
      </c>
      <c r="I594" s="92"/>
      <c r="J594" s="92"/>
      <c r="K594" s="93">
        <v>10525.19</v>
      </c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3">
        <v>0</v>
      </c>
      <c r="AE594" s="92"/>
      <c r="AF594" s="92"/>
      <c r="AG594" s="93">
        <v>10525.19</v>
      </c>
      <c r="AH594" s="93">
        <v>0</v>
      </c>
    </row>
    <row r="595" spans="1:34" ht="15.75" thickBot="1" x14ac:dyDescent="0.3">
      <c r="A595" s="90" t="s">
        <v>885</v>
      </c>
      <c r="B595" s="90" t="s">
        <v>52</v>
      </c>
      <c r="C595" s="90" t="s">
        <v>882</v>
      </c>
      <c r="D595" s="90" t="s">
        <v>662</v>
      </c>
      <c r="E595" s="90" t="s">
        <v>524</v>
      </c>
      <c r="F595" s="90" t="s">
        <v>522</v>
      </c>
      <c r="G595" s="95">
        <v>550</v>
      </c>
      <c r="H595" s="94"/>
      <c r="I595" s="95">
        <v>550</v>
      </c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  <c r="AC595" s="94"/>
      <c r="AD595" s="95">
        <v>0</v>
      </c>
      <c r="AE595" s="94"/>
      <c r="AF595" s="94"/>
      <c r="AG595" s="95">
        <v>550</v>
      </c>
      <c r="AH595" s="95">
        <v>0</v>
      </c>
    </row>
    <row r="596" spans="1:34" ht="15.75" thickBot="1" x14ac:dyDescent="0.3">
      <c r="A596" s="90" t="s">
        <v>885</v>
      </c>
      <c r="B596" s="90" t="s">
        <v>52</v>
      </c>
      <c r="C596" s="90" t="s">
        <v>882</v>
      </c>
      <c r="D596" s="90" t="s">
        <v>662</v>
      </c>
      <c r="E596" s="90" t="s">
        <v>524</v>
      </c>
      <c r="F596" s="90" t="s">
        <v>697</v>
      </c>
      <c r="G596" s="93">
        <v>550</v>
      </c>
      <c r="H596" s="92"/>
      <c r="I596" s="93">
        <v>550</v>
      </c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3">
        <v>0</v>
      </c>
      <c r="AE596" s="92"/>
      <c r="AF596" s="92"/>
      <c r="AG596" s="93">
        <v>550</v>
      </c>
      <c r="AH596" s="93">
        <v>0</v>
      </c>
    </row>
    <row r="597" spans="1:34" ht="15.75" thickBot="1" x14ac:dyDescent="0.3">
      <c r="A597" s="90" t="s">
        <v>885</v>
      </c>
      <c r="B597" s="90" t="s">
        <v>54</v>
      </c>
      <c r="C597" s="90" t="s">
        <v>55</v>
      </c>
      <c r="D597" s="90" t="s">
        <v>663</v>
      </c>
      <c r="E597" s="90" t="s">
        <v>525</v>
      </c>
      <c r="F597" s="90" t="s">
        <v>690</v>
      </c>
      <c r="G597" s="93">
        <v>-21782.59</v>
      </c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3">
        <v>-21782.59</v>
      </c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3">
        <v>-339.62</v>
      </c>
      <c r="AE597" s="92"/>
      <c r="AF597" s="92"/>
      <c r="AG597" s="93">
        <v>-22122.21</v>
      </c>
      <c r="AH597" s="93">
        <v>0</v>
      </c>
    </row>
    <row r="598" spans="1:34" ht="15.75" thickBot="1" x14ac:dyDescent="0.3">
      <c r="A598" s="90" t="s">
        <v>885</v>
      </c>
      <c r="B598" s="90" t="s">
        <v>54</v>
      </c>
      <c r="C598" s="90" t="s">
        <v>55</v>
      </c>
      <c r="D598" s="90" t="s">
        <v>663</v>
      </c>
      <c r="E598" s="90" t="s">
        <v>525</v>
      </c>
      <c r="F598" s="90" t="s">
        <v>697</v>
      </c>
      <c r="G598" s="95">
        <v>-21782.59</v>
      </c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5">
        <v>-21782.59</v>
      </c>
      <c r="S598" s="94"/>
      <c r="T598" s="94"/>
      <c r="U598" s="94"/>
      <c r="V598" s="94"/>
      <c r="W598" s="94"/>
      <c r="X598" s="94"/>
      <c r="Y598" s="94"/>
      <c r="Z598" s="94"/>
      <c r="AA598" s="94"/>
      <c r="AB598" s="94"/>
      <c r="AC598" s="94"/>
      <c r="AD598" s="95">
        <v>-339.62</v>
      </c>
      <c r="AE598" s="94"/>
      <c r="AF598" s="94"/>
      <c r="AG598" s="95">
        <v>-22122.21</v>
      </c>
      <c r="AH598" s="95">
        <v>0</v>
      </c>
    </row>
    <row r="599" spans="1:34" ht="15.75" thickBot="1" x14ac:dyDescent="0.3">
      <c r="A599" s="90" t="s">
        <v>885</v>
      </c>
      <c r="B599" s="90" t="s">
        <v>54</v>
      </c>
      <c r="C599" s="90" t="s">
        <v>55</v>
      </c>
      <c r="D599" s="90" t="s">
        <v>663</v>
      </c>
      <c r="E599" s="90" t="s">
        <v>527</v>
      </c>
      <c r="F599" s="90" t="s">
        <v>690</v>
      </c>
      <c r="G599" s="93">
        <v>-10315.94</v>
      </c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3">
        <v>-10315.94</v>
      </c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3">
        <v>-191.86</v>
      </c>
      <c r="AE599" s="92"/>
      <c r="AF599" s="92"/>
      <c r="AG599" s="93">
        <v>-10507.8</v>
      </c>
      <c r="AH599" s="93">
        <v>0</v>
      </c>
    </row>
    <row r="600" spans="1:34" ht="15.75" thickBot="1" x14ac:dyDescent="0.3">
      <c r="A600" s="90" t="s">
        <v>885</v>
      </c>
      <c r="B600" s="90" t="s">
        <v>54</v>
      </c>
      <c r="C600" s="90" t="s">
        <v>55</v>
      </c>
      <c r="D600" s="90" t="s">
        <v>663</v>
      </c>
      <c r="E600" s="90" t="s">
        <v>527</v>
      </c>
      <c r="F600" s="90" t="s">
        <v>697</v>
      </c>
      <c r="G600" s="95">
        <v>-10315.94</v>
      </c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5">
        <v>-10315.94</v>
      </c>
      <c r="T600" s="94"/>
      <c r="U600" s="94"/>
      <c r="V600" s="94"/>
      <c r="W600" s="94"/>
      <c r="X600" s="94"/>
      <c r="Y600" s="94"/>
      <c r="Z600" s="94"/>
      <c r="AA600" s="94"/>
      <c r="AB600" s="94"/>
      <c r="AC600" s="94"/>
      <c r="AD600" s="95">
        <v>-191.86</v>
      </c>
      <c r="AE600" s="94"/>
      <c r="AF600" s="94"/>
      <c r="AG600" s="95">
        <v>-10507.8</v>
      </c>
      <c r="AH600" s="95">
        <v>0</v>
      </c>
    </row>
    <row r="601" spans="1:34" ht="15.75" thickBot="1" x14ac:dyDescent="0.3">
      <c r="A601" s="90" t="s">
        <v>885</v>
      </c>
      <c r="B601" s="90" t="s">
        <v>54</v>
      </c>
      <c r="C601" s="90" t="s">
        <v>55</v>
      </c>
      <c r="D601" s="90" t="s">
        <v>663</v>
      </c>
      <c r="E601" s="90" t="s">
        <v>524</v>
      </c>
      <c r="F601" s="90" t="s">
        <v>522</v>
      </c>
      <c r="G601" s="93">
        <v>5325</v>
      </c>
      <c r="H601" s="92"/>
      <c r="I601" s="93">
        <v>5325</v>
      </c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3">
        <v>9</v>
      </c>
      <c r="AE601" s="92"/>
      <c r="AF601" s="92"/>
      <c r="AG601" s="93">
        <v>5334</v>
      </c>
      <c r="AH601" s="93">
        <v>0</v>
      </c>
    </row>
    <row r="602" spans="1:34" ht="15.75" thickBot="1" x14ac:dyDescent="0.3">
      <c r="A602" s="90" t="s">
        <v>885</v>
      </c>
      <c r="B602" s="90" t="s">
        <v>54</v>
      </c>
      <c r="C602" s="90" t="s">
        <v>55</v>
      </c>
      <c r="D602" s="90" t="s">
        <v>663</v>
      </c>
      <c r="E602" s="90" t="s">
        <v>524</v>
      </c>
      <c r="F602" s="90" t="s">
        <v>697</v>
      </c>
      <c r="G602" s="95">
        <v>5325</v>
      </c>
      <c r="H602" s="94"/>
      <c r="I602" s="95">
        <v>5325</v>
      </c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  <c r="AC602" s="94"/>
      <c r="AD602" s="95">
        <v>9</v>
      </c>
      <c r="AE602" s="94"/>
      <c r="AF602" s="94"/>
      <c r="AG602" s="95">
        <v>5334</v>
      </c>
      <c r="AH602" s="95">
        <v>0</v>
      </c>
    </row>
    <row r="603" spans="1:34" ht="15.75" thickBot="1" x14ac:dyDescent="0.3">
      <c r="A603" s="90" t="s">
        <v>885</v>
      </c>
      <c r="B603" s="90" t="s">
        <v>54</v>
      </c>
      <c r="C603" s="90" t="s">
        <v>55</v>
      </c>
      <c r="D603" s="90" t="s">
        <v>663</v>
      </c>
      <c r="E603" s="90" t="s">
        <v>676</v>
      </c>
      <c r="F603" s="90" t="s">
        <v>522</v>
      </c>
      <c r="G603" s="93">
        <v>13950.59</v>
      </c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3">
        <v>13950.59</v>
      </c>
      <c r="V603" s="92"/>
      <c r="W603" s="92"/>
      <c r="X603" s="92"/>
      <c r="Y603" s="92"/>
      <c r="Z603" s="92"/>
      <c r="AA603" s="92"/>
      <c r="AB603" s="92"/>
      <c r="AC603" s="92"/>
      <c r="AD603" s="93">
        <v>533.72</v>
      </c>
      <c r="AE603" s="92"/>
      <c r="AF603" s="92"/>
      <c r="AG603" s="93">
        <v>14484.31</v>
      </c>
      <c r="AH603" s="93">
        <v>0</v>
      </c>
    </row>
    <row r="604" spans="1:34" ht="15.75" thickBot="1" x14ac:dyDescent="0.3">
      <c r="A604" s="90" t="s">
        <v>885</v>
      </c>
      <c r="B604" s="90" t="s">
        <v>54</v>
      </c>
      <c r="C604" s="90" t="s">
        <v>55</v>
      </c>
      <c r="D604" s="90" t="s">
        <v>663</v>
      </c>
      <c r="E604" s="90" t="s">
        <v>676</v>
      </c>
      <c r="F604" s="90" t="s">
        <v>697</v>
      </c>
      <c r="G604" s="95">
        <v>13950.59</v>
      </c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5">
        <v>13950.59</v>
      </c>
      <c r="V604" s="94"/>
      <c r="W604" s="94"/>
      <c r="X604" s="94"/>
      <c r="Y604" s="94"/>
      <c r="Z604" s="94"/>
      <c r="AA604" s="94"/>
      <c r="AB604" s="94"/>
      <c r="AC604" s="94"/>
      <c r="AD604" s="95">
        <v>533.72</v>
      </c>
      <c r="AE604" s="94"/>
      <c r="AF604" s="94"/>
      <c r="AG604" s="95">
        <v>14484.31</v>
      </c>
      <c r="AH604" s="95">
        <v>0</v>
      </c>
    </row>
    <row r="605" spans="1:34" ht="15.75" thickBot="1" x14ac:dyDescent="0.3">
      <c r="A605" s="90" t="s">
        <v>885</v>
      </c>
      <c r="B605" s="90" t="s">
        <v>54</v>
      </c>
      <c r="C605" s="90" t="s">
        <v>55</v>
      </c>
      <c r="D605" s="90" t="s">
        <v>663</v>
      </c>
      <c r="E605" s="90" t="s">
        <v>677</v>
      </c>
      <c r="F605" s="90" t="s">
        <v>522</v>
      </c>
      <c r="G605" s="93">
        <v>15385.96</v>
      </c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3">
        <v>15385.96</v>
      </c>
      <c r="W605" s="92"/>
      <c r="X605" s="92"/>
      <c r="Y605" s="92"/>
      <c r="Z605" s="92"/>
      <c r="AA605" s="92"/>
      <c r="AB605" s="92"/>
      <c r="AC605" s="92"/>
      <c r="AD605" s="93">
        <v>588.64</v>
      </c>
      <c r="AE605" s="92"/>
      <c r="AF605" s="92"/>
      <c r="AG605" s="93">
        <v>15974.6</v>
      </c>
      <c r="AH605" s="93">
        <v>0</v>
      </c>
    </row>
    <row r="606" spans="1:34" ht="15.75" thickBot="1" x14ac:dyDescent="0.3">
      <c r="A606" s="90" t="s">
        <v>885</v>
      </c>
      <c r="B606" s="90" t="s">
        <v>54</v>
      </c>
      <c r="C606" s="90" t="s">
        <v>55</v>
      </c>
      <c r="D606" s="90" t="s">
        <v>663</v>
      </c>
      <c r="E606" s="90" t="s">
        <v>677</v>
      </c>
      <c r="F606" s="90" t="s">
        <v>697</v>
      </c>
      <c r="G606" s="95">
        <v>15385.96</v>
      </c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5">
        <v>15385.96</v>
      </c>
      <c r="W606" s="94"/>
      <c r="X606" s="94"/>
      <c r="Y606" s="94"/>
      <c r="Z606" s="94"/>
      <c r="AA606" s="94"/>
      <c r="AB606" s="94"/>
      <c r="AC606" s="94"/>
      <c r="AD606" s="95">
        <v>588.64</v>
      </c>
      <c r="AE606" s="94"/>
      <c r="AF606" s="94"/>
      <c r="AG606" s="95">
        <v>15974.6</v>
      </c>
      <c r="AH606" s="95">
        <v>0</v>
      </c>
    </row>
    <row r="607" spans="1:34" ht="15.75" thickBot="1" x14ac:dyDescent="0.3">
      <c r="A607" s="90" t="s">
        <v>885</v>
      </c>
      <c r="B607" s="90" t="s">
        <v>45</v>
      </c>
      <c r="C607" s="90" t="s">
        <v>46</v>
      </c>
      <c r="D607" s="90" t="s">
        <v>165</v>
      </c>
      <c r="E607" s="90" t="s">
        <v>528</v>
      </c>
      <c r="F607" s="90" t="s">
        <v>698</v>
      </c>
      <c r="G607" s="95">
        <v>180</v>
      </c>
      <c r="H607" s="94"/>
      <c r="I607" s="95">
        <v>180</v>
      </c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  <c r="AC607" s="94"/>
      <c r="AD607" s="95">
        <v>0</v>
      </c>
      <c r="AE607" s="94"/>
      <c r="AF607" s="94"/>
      <c r="AG607" s="95">
        <v>180</v>
      </c>
      <c r="AH607" s="95">
        <v>0</v>
      </c>
    </row>
    <row r="608" spans="1:34" ht="15.75" thickBot="1" x14ac:dyDescent="0.3">
      <c r="A608" s="90" t="s">
        <v>885</v>
      </c>
      <c r="B608" s="90" t="s">
        <v>45</v>
      </c>
      <c r="C608" s="90" t="s">
        <v>46</v>
      </c>
      <c r="D608" s="90" t="s">
        <v>165</v>
      </c>
      <c r="E608" s="90" t="s">
        <v>528</v>
      </c>
      <c r="F608" s="90" t="s">
        <v>697</v>
      </c>
      <c r="G608" s="93">
        <v>180</v>
      </c>
      <c r="H608" s="92"/>
      <c r="I608" s="93">
        <v>180</v>
      </c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3">
        <v>0</v>
      </c>
      <c r="AE608" s="92"/>
      <c r="AF608" s="92"/>
      <c r="AG608" s="93">
        <v>180</v>
      </c>
      <c r="AH608" s="93">
        <v>0</v>
      </c>
    </row>
    <row r="609" spans="1:34" ht="15.75" thickBot="1" x14ac:dyDescent="0.3">
      <c r="A609" s="90" t="s">
        <v>885</v>
      </c>
      <c r="B609" s="90" t="s">
        <v>45</v>
      </c>
      <c r="C609" s="90" t="s">
        <v>46</v>
      </c>
      <c r="D609" s="90" t="s">
        <v>165</v>
      </c>
      <c r="E609" s="90" t="s">
        <v>547</v>
      </c>
      <c r="F609" s="90" t="s">
        <v>698</v>
      </c>
      <c r="G609" s="95">
        <v>186513.62</v>
      </c>
      <c r="H609" s="94"/>
      <c r="I609" s="94"/>
      <c r="J609" s="95">
        <v>186513.62</v>
      </c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  <c r="AC609" s="94"/>
      <c r="AD609" s="95">
        <v>0</v>
      </c>
      <c r="AE609" s="94"/>
      <c r="AF609" s="94"/>
      <c r="AG609" s="95">
        <v>186513.62</v>
      </c>
      <c r="AH609" s="95">
        <v>0</v>
      </c>
    </row>
    <row r="610" spans="1:34" ht="15.75" thickBot="1" x14ac:dyDescent="0.3">
      <c r="A610" s="90" t="s">
        <v>885</v>
      </c>
      <c r="B610" s="90" t="s">
        <v>45</v>
      </c>
      <c r="C610" s="90" t="s">
        <v>46</v>
      </c>
      <c r="D610" s="90" t="s">
        <v>165</v>
      </c>
      <c r="E610" s="90" t="s">
        <v>547</v>
      </c>
      <c r="F610" s="90" t="s">
        <v>697</v>
      </c>
      <c r="G610" s="93">
        <v>186513.62</v>
      </c>
      <c r="H610" s="92"/>
      <c r="I610" s="92"/>
      <c r="J610" s="93">
        <v>186513.62</v>
      </c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3">
        <v>0</v>
      </c>
      <c r="AE610" s="92"/>
      <c r="AF610" s="92"/>
      <c r="AG610" s="93">
        <v>186513.62</v>
      </c>
      <c r="AH610" s="93">
        <v>0</v>
      </c>
    </row>
    <row r="611" spans="1:34" ht="15.75" thickBot="1" x14ac:dyDescent="0.3">
      <c r="A611" s="90" t="s">
        <v>885</v>
      </c>
      <c r="B611" s="90" t="s">
        <v>45</v>
      </c>
      <c r="C611" s="90" t="s">
        <v>46</v>
      </c>
      <c r="D611" s="90" t="s">
        <v>165</v>
      </c>
      <c r="E611" s="90" t="s">
        <v>518</v>
      </c>
      <c r="F611" s="90" t="s">
        <v>698</v>
      </c>
      <c r="G611" s="95">
        <v>4919.33</v>
      </c>
      <c r="H611" s="95">
        <v>147772</v>
      </c>
      <c r="I611" s="94"/>
      <c r="J611" s="94"/>
      <c r="K611" s="95">
        <v>4919.33</v>
      </c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  <c r="AC611" s="94"/>
      <c r="AD611" s="95">
        <v>0</v>
      </c>
      <c r="AE611" s="94"/>
      <c r="AF611" s="94"/>
      <c r="AG611" s="95">
        <v>4919.33</v>
      </c>
      <c r="AH611" s="95">
        <v>0</v>
      </c>
    </row>
    <row r="612" spans="1:34" ht="15.75" thickBot="1" x14ac:dyDescent="0.3">
      <c r="A612" s="90" t="s">
        <v>885</v>
      </c>
      <c r="B612" s="90" t="s">
        <v>45</v>
      </c>
      <c r="C612" s="90" t="s">
        <v>46</v>
      </c>
      <c r="D612" s="90" t="s">
        <v>165</v>
      </c>
      <c r="E612" s="90" t="s">
        <v>518</v>
      </c>
      <c r="F612" s="90" t="s">
        <v>697</v>
      </c>
      <c r="G612" s="93">
        <v>4919.33</v>
      </c>
      <c r="H612" s="304">
        <v>147772</v>
      </c>
      <c r="I612" s="92"/>
      <c r="J612" s="92"/>
      <c r="K612" s="93">
        <v>4919.33</v>
      </c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3">
        <v>0</v>
      </c>
      <c r="AE612" s="92"/>
      <c r="AF612" s="92"/>
      <c r="AG612" s="93">
        <v>4919.33</v>
      </c>
      <c r="AH612" s="93">
        <v>0</v>
      </c>
    </row>
    <row r="613" spans="1:34" ht="15.75" thickBot="1" x14ac:dyDescent="0.3">
      <c r="A613" s="90" t="s">
        <v>885</v>
      </c>
      <c r="B613" s="90" t="s">
        <v>45</v>
      </c>
      <c r="C613" s="90" t="s">
        <v>46</v>
      </c>
      <c r="D613" s="90" t="s">
        <v>165</v>
      </c>
      <c r="E613" s="90" t="s">
        <v>673</v>
      </c>
      <c r="F613" s="90" t="s">
        <v>511</v>
      </c>
      <c r="G613" s="95">
        <v>246.04</v>
      </c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5">
        <v>246.04</v>
      </c>
      <c r="Y613" s="94"/>
      <c r="Z613" s="94"/>
      <c r="AA613" s="94"/>
      <c r="AB613" s="94"/>
      <c r="AC613" s="94"/>
      <c r="AD613" s="95">
        <v>0</v>
      </c>
      <c r="AE613" s="94"/>
      <c r="AF613" s="94"/>
      <c r="AG613" s="95">
        <v>246.04</v>
      </c>
      <c r="AH613" s="95">
        <v>0</v>
      </c>
    </row>
    <row r="614" spans="1:34" ht="15.75" thickBot="1" x14ac:dyDescent="0.3">
      <c r="A614" s="90" t="s">
        <v>885</v>
      </c>
      <c r="B614" s="90" t="s">
        <v>45</v>
      </c>
      <c r="C614" s="90" t="s">
        <v>46</v>
      </c>
      <c r="D614" s="90" t="s">
        <v>165</v>
      </c>
      <c r="E614" s="90" t="s">
        <v>673</v>
      </c>
      <c r="F614" s="90" t="s">
        <v>697</v>
      </c>
      <c r="G614" s="93">
        <v>246.04</v>
      </c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3">
        <v>246.04</v>
      </c>
      <c r="Y614" s="92"/>
      <c r="Z614" s="92"/>
      <c r="AA614" s="92"/>
      <c r="AB614" s="92"/>
      <c r="AC614" s="92"/>
      <c r="AD614" s="93">
        <v>0</v>
      </c>
      <c r="AE614" s="92"/>
      <c r="AF614" s="92"/>
      <c r="AG614" s="93">
        <v>246.04</v>
      </c>
      <c r="AH614" s="93">
        <v>0</v>
      </c>
    </row>
    <row r="615" spans="1:34" ht="15.75" thickBot="1" x14ac:dyDescent="0.3">
      <c r="A615" s="90" t="s">
        <v>885</v>
      </c>
      <c r="B615" s="90" t="s">
        <v>45</v>
      </c>
      <c r="C615" s="90" t="s">
        <v>46</v>
      </c>
      <c r="D615" s="90" t="s">
        <v>165</v>
      </c>
      <c r="E615" s="90" t="s">
        <v>196</v>
      </c>
      <c r="F615" s="90" t="s">
        <v>511</v>
      </c>
      <c r="G615" s="95">
        <v>47793.9</v>
      </c>
      <c r="H615" s="94"/>
      <c r="I615" s="94"/>
      <c r="J615" s="94"/>
      <c r="K615" s="94"/>
      <c r="L615" s="94"/>
      <c r="M615" s="94"/>
      <c r="N615" s="94"/>
      <c r="O615" s="94"/>
      <c r="P615" s="95">
        <v>47793.9</v>
      </c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  <c r="AC615" s="94"/>
      <c r="AD615" s="95">
        <v>0</v>
      </c>
      <c r="AE615" s="94"/>
      <c r="AF615" s="94"/>
      <c r="AG615" s="95">
        <v>47793.9</v>
      </c>
      <c r="AH615" s="95">
        <v>0</v>
      </c>
    </row>
    <row r="616" spans="1:34" ht="15.75" thickBot="1" x14ac:dyDescent="0.3">
      <c r="A616" s="90" t="s">
        <v>885</v>
      </c>
      <c r="B616" s="90" t="s">
        <v>45</v>
      </c>
      <c r="C616" s="90" t="s">
        <v>46</v>
      </c>
      <c r="D616" s="90" t="s">
        <v>165</v>
      </c>
      <c r="E616" s="90" t="s">
        <v>196</v>
      </c>
      <c r="F616" s="90" t="s">
        <v>697</v>
      </c>
      <c r="G616" s="93">
        <v>47793.9</v>
      </c>
      <c r="H616" s="92"/>
      <c r="I616" s="92"/>
      <c r="J616" s="92"/>
      <c r="K616" s="92"/>
      <c r="L616" s="92"/>
      <c r="M616" s="92"/>
      <c r="N616" s="92"/>
      <c r="O616" s="92"/>
      <c r="P616" s="93">
        <v>47793.9</v>
      </c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3">
        <v>0</v>
      </c>
      <c r="AE616" s="92"/>
      <c r="AF616" s="92"/>
      <c r="AG616" s="93">
        <v>47793.9</v>
      </c>
      <c r="AH616" s="93">
        <v>0</v>
      </c>
    </row>
    <row r="617" spans="1:34" ht="15.75" thickBot="1" x14ac:dyDescent="0.3">
      <c r="A617" s="90" t="s">
        <v>885</v>
      </c>
      <c r="B617" s="90" t="s">
        <v>57</v>
      </c>
      <c r="C617" s="90" t="s">
        <v>58</v>
      </c>
      <c r="D617" s="90" t="s">
        <v>664</v>
      </c>
      <c r="E617" s="90" t="s">
        <v>726</v>
      </c>
      <c r="F617" s="90" t="s">
        <v>511</v>
      </c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3">
        <v>2018.15</v>
      </c>
      <c r="AD617" s="93">
        <v>0</v>
      </c>
      <c r="AE617" s="92"/>
      <c r="AF617" s="92"/>
      <c r="AG617" s="93">
        <v>2018.15</v>
      </c>
      <c r="AH617" s="93">
        <v>0</v>
      </c>
    </row>
    <row r="618" spans="1:34" ht="15.75" thickBot="1" x14ac:dyDescent="0.3">
      <c r="A618" s="90" t="s">
        <v>885</v>
      </c>
      <c r="B618" s="90" t="s">
        <v>57</v>
      </c>
      <c r="C618" s="90" t="s">
        <v>58</v>
      </c>
      <c r="D618" s="90" t="s">
        <v>664</v>
      </c>
      <c r="E618" s="90" t="s">
        <v>726</v>
      </c>
      <c r="F618" s="90" t="s">
        <v>697</v>
      </c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  <c r="AC618" s="95">
        <v>2018.15</v>
      </c>
      <c r="AD618" s="95">
        <v>0</v>
      </c>
      <c r="AE618" s="94"/>
      <c r="AF618" s="94"/>
      <c r="AG618" s="95">
        <v>2018.15</v>
      </c>
      <c r="AH618" s="95">
        <v>0</v>
      </c>
    </row>
    <row r="619" spans="1:34" ht="15.75" thickBot="1" x14ac:dyDescent="0.3">
      <c r="A619" s="90" t="s">
        <v>885</v>
      </c>
      <c r="B619" s="90" t="s">
        <v>57</v>
      </c>
      <c r="C619" s="90" t="s">
        <v>58</v>
      </c>
      <c r="D619" s="90" t="s">
        <v>664</v>
      </c>
      <c r="E619" s="90" t="s">
        <v>525</v>
      </c>
      <c r="F619" s="90" t="s">
        <v>698</v>
      </c>
      <c r="G619" s="93">
        <v>-10755.22</v>
      </c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3">
        <v>-10755.22</v>
      </c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3">
        <v>0</v>
      </c>
      <c r="AE619" s="92"/>
      <c r="AF619" s="92"/>
      <c r="AG619" s="93">
        <v>-10755.22</v>
      </c>
      <c r="AH619" s="93">
        <v>0</v>
      </c>
    </row>
    <row r="620" spans="1:34" ht="15.75" thickBot="1" x14ac:dyDescent="0.3">
      <c r="A620" s="90" t="s">
        <v>885</v>
      </c>
      <c r="B620" s="90" t="s">
        <v>57</v>
      </c>
      <c r="C620" s="90" t="s">
        <v>58</v>
      </c>
      <c r="D620" s="90" t="s">
        <v>664</v>
      </c>
      <c r="E620" s="90" t="s">
        <v>525</v>
      </c>
      <c r="F620" s="90" t="s">
        <v>697</v>
      </c>
      <c r="G620" s="95">
        <v>-10755.22</v>
      </c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5">
        <v>-10755.22</v>
      </c>
      <c r="S620" s="94"/>
      <c r="T620" s="94"/>
      <c r="U620" s="94"/>
      <c r="V620" s="94"/>
      <c r="W620" s="94"/>
      <c r="X620" s="94"/>
      <c r="Y620" s="94"/>
      <c r="Z620" s="94"/>
      <c r="AA620" s="94"/>
      <c r="AB620" s="94"/>
      <c r="AC620" s="94"/>
      <c r="AD620" s="95">
        <v>0</v>
      </c>
      <c r="AE620" s="94"/>
      <c r="AF620" s="94"/>
      <c r="AG620" s="95">
        <v>-10755.22</v>
      </c>
      <c r="AH620" s="95">
        <v>0</v>
      </c>
    </row>
    <row r="621" spans="1:34" ht="15.75" thickBot="1" x14ac:dyDescent="0.3">
      <c r="A621" s="90" t="s">
        <v>885</v>
      </c>
      <c r="B621" s="90" t="s">
        <v>57</v>
      </c>
      <c r="C621" s="90" t="s">
        <v>58</v>
      </c>
      <c r="D621" s="90" t="s">
        <v>664</v>
      </c>
      <c r="E621" s="90" t="s">
        <v>528</v>
      </c>
      <c r="F621" s="90" t="s">
        <v>698</v>
      </c>
      <c r="G621" s="93">
        <v>800</v>
      </c>
      <c r="H621" s="92"/>
      <c r="I621" s="93">
        <v>800</v>
      </c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3">
        <v>0</v>
      </c>
      <c r="AE621" s="92"/>
      <c r="AF621" s="92"/>
      <c r="AG621" s="93">
        <v>800</v>
      </c>
      <c r="AH621" s="93">
        <v>0</v>
      </c>
    </row>
    <row r="622" spans="1:34" ht="15.75" thickBot="1" x14ac:dyDescent="0.3">
      <c r="A622" s="90" t="s">
        <v>885</v>
      </c>
      <c r="B622" s="90" t="s">
        <v>57</v>
      </c>
      <c r="C622" s="90" t="s">
        <v>58</v>
      </c>
      <c r="D622" s="90" t="s">
        <v>664</v>
      </c>
      <c r="E622" s="90" t="s">
        <v>528</v>
      </c>
      <c r="F622" s="90" t="s">
        <v>697</v>
      </c>
      <c r="G622" s="95">
        <v>800</v>
      </c>
      <c r="H622" s="94"/>
      <c r="I622" s="95">
        <v>800</v>
      </c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  <c r="AC622" s="94"/>
      <c r="AD622" s="95">
        <v>0</v>
      </c>
      <c r="AE622" s="94"/>
      <c r="AF622" s="94"/>
      <c r="AG622" s="95">
        <v>800</v>
      </c>
      <c r="AH622" s="95">
        <v>0</v>
      </c>
    </row>
    <row r="623" spans="1:34" ht="15.75" thickBot="1" x14ac:dyDescent="0.3">
      <c r="A623" s="90" t="s">
        <v>885</v>
      </c>
      <c r="B623" s="90" t="s">
        <v>57</v>
      </c>
      <c r="C623" s="90" t="s">
        <v>58</v>
      </c>
      <c r="D623" s="90" t="s">
        <v>664</v>
      </c>
      <c r="E623" s="90" t="s">
        <v>518</v>
      </c>
      <c r="F623" s="90" t="s">
        <v>511</v>
      </c>
      <c r="G623" s="93">
        <v>14.97</v>
      </c>
      <c r="H623" s="93">
        <v>3013</v>
      </c>
      <c r="I623" s="92"/>
      <c r="J623" s="92"/>
      <c r="K623" s="93">
        <v>14.97</v>
      </c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3">
        <v>0</v>
      </c>
      <c r="AE623" s="92"/>
      <c r="AF623" s="92"/>
      <c r="AG623" s="93">
        <v>14.97</v>
      </c>
      <c r="AH623" s="93">
        <v>0</v>
      </c>
    </row>
    <row r="624" spans="1:34" ht="15.75" thickBot="1" x14ac:dyDescent="0.3">
      <c r="A624" s="90" t="s">
        <v>885</v>
      </c>
      <c r="B624" s="90" t="s">
        <v>57</v>
      </c>
      <c r="C624" s="90" t="s">
        <v>58</v>
      </c>
      <c r="D624" s="90" t="s">
        <v>664</v>
      </c>
      <c r="E624" s="90" t="s">
        <v>518</v>
      </c>
      <c r="F624" s="90" t="s">
        <v>697</v>
      </c>
      <c r="G624" s="95">
        <v>14.97</v>
      </c>
      <c r="H624" s="305">
        <v>3013</v>
      </c>
      <c r="I624" s="94"/>
      <c r="J624" s="94"/>
      <c r="K624" s="95">
        <v>14.97</v>
      </c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  <c r="AC624" s="94"/>
      <c r="AD624" s="95">
        <v>0</v>
      </c>
      <c r="AE624" s="94"/>
      <c r="AF624" s="94"/>
      <c r="AG624" s="95">
        <v>14.97</v>
      </c>
      <c r="AH624" s="95">
        <v>0</v>
      </c>
    </row>
    <row r="625" spans="1:34" ht="15.75" thickBot="1" x14ac:dyDescent="0.3">
      <c r="A625" s="90" t="s">
        <v>885</v>
      </c>
      <c r="B625" s="90" t="s">
        <v>57</v>
      </c>
      <c r="C625" s="90" t="s">
        <v>58</v>
      </c>
      <c r="D625" s="90" t="s">
        <v>664</v>
      </c>
      <c r="E625" s="90" t="s">
        <v>527</v>
      </c>
      <c r="F625" s="90" t="s">
        <v>698</v>
      </c>
      <c r="G625" s="93">
        <v>-79.290000000000006</v>
      </c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3">
        <v>-79.290000000000006</v>
      </c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3">
        <v>0</v>
      </c>
      <c r="AE625" s="92"/>
      <c r="AF625" s="92"/>
      <c r="AG625" s="93">
        <v>-79.290000000000006</v>
      </c>
      <c r="AH625" s="93">
        <v>0</v>
      </c>
    </row>
    <row r="626" spans="1:34" ht="15.75" thickBot="1" x14ac:dyDescent="0.3">
      <c r="A626" s="90" t="s">
        <v>885</v>
      </c>
      <c r="B626" s="90" t="s">
        <v>57</v>
      </c>
      <c r="C626" s="90" t="s">
        <v>58</v>
      </c>
      <c r="D626" s="90" t="s">
        <v>664</v>
      </c>
      <c r="E626" s="90" t="s">
        <v>527</v>
      </c>
      <c r="F626" s="90" t="s">
        <v>697</v>
      </c>
      <c r="G626" s="95">
        <v>-79.290000000000006</v>
      </c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5">
        <v>-79.290000000000006</v>
      </c>
      <c r="T626" s="94"/>
      <c r="U626" s="94"/>
      <c r="V626" s="94"/>
      <c r="W626" s="94"/>
      <c r="X626" s="94"/>
      <c r="Y626" s="94"/>
      <c r="Z626" s="94"/>
      <c r="AA626" s="94"/>
      <c r="AB626" s="94"/>
      <c r="AC626" s="94"/>
      <c r="AD626" s="95">
        <v>0</v>
      </c>
      <c r="AE626" s="94"/>
      <c r="AF626" s="94"/>
      <c r="AG626" s="95">
        <v>-79.290000000000006</v>
      </c>
      <c r="AH626" s="95">
        <v>0</v>
      </c>
    </row>
    <row r="627" spans="1:34" ht="15.75" thickBot="1" x14ac:dyDescent="0.3">
      <c r="A627" s="90" t="s">
        <v>885</v>
      </c>
      <c r="B627" s="90" t="s">
        <v>57</v>
      </c>
      <c r="C627" s="90" t="s">
        <v>58</v>
      </c>
      <c r="D627" s="90" t="s">
        <v>664</v>
      </c>
      <c r="E627" s="90" t="s">
        <v>529</v>
      </c>
      <c r="F627" s="90" t="s">
        <v>511</v>
      </c>
      <c r="G627" s="93">
        <v>107140.32</v>
      </c>
      <c r="H627" s="92"/>
      <c r="I627" s="92"/>
      <c r="J627" s="93">
        <v>107140.32</v>
      </c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3">
        <v>0</v>
      </c>
      <c r="AE627" s="92"/>
      <c r="AF627" s="92"/>
      <c r="AG627" s="93">
        <v>107140.32</v>
      </c>
      <c r="AH627" s="93">
        <v>0</v>
      </c>
    </row>
    <row r="628" spans="1:34" ht="15.75" thickBot="1" x14ac:dyDescent="0.3">
      <c r="A628" s="90" t="s">
        <v>885</v>
      </c>
      <c r="B628" s="90" t="s">
        <v>57</v>
      </c>
      <c r="C628" s="90" t="s">
        <v>58</v>
      </c>
      <c r="D628" s="90" t="s">
        <v>664</v>
      </c>
      <c r="E628" s="90" t="s">
        <v>529</v>
      </c>
      <c r="F628" s="90" t="s">
        <v>697</v>
      </c>
      <c r="G628" s="95">
        <v>107140.32</v>
      </c>
      <c r="H628" s="94"/>
      <c r="I628" s="94"/>
      <c r="J628" s="95">
        <v>107140.32</v>
      </c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  <c r="AC628" s="94"/>
      <c r="AD628" s="95">
        <v>0</v>
      </c>
      <c r="AE628" s="94"/>
      <c r="AF628" s="94"/>
      <c r="AG628" s="95">
        <v>107140.32</v>
      </c>
      <c r="AH628" s="95">
        <v>0</v>
      </c>
    </row>
    <row r="629" spans="1:34" ht="15.75" thickBot="1" x14ac:dyDescent="0.3">
      <c r="A629" s="90" t="s">
        <v>885</v>
      </c>
      <c r="B629" s="90" t="s">
        <v>57</v>
      </c>
      <c r="C629" s="90" t="s">
        <v>58</v>
      </c>
      <c r="D629" s="90" t="s">
        <v>664</v>
      </c>
      <c r="E629" s="90" t="s">
        <v>676</v>
      </c>
      <c r="F629" s="90" t="s">
        <v>511</v>
      </c>
      <c r="G629" s="93">
        <v>1800.79</v>
      </c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3">
        <v>1800.79</v>
      </c>
      <c r="V629" s="92"/>
      <c r="W629" s="92"/>
      <c r="X629" s="92"/>
      <c r="Y629" s="92"/>
      <c r="Z629" s="92"/>
      <c r="AA629" s="92"/>
      <c r="AB629" s="92"/>
      <c r="AC629" s="92"/>
      <c r="AD629" s="93">
        <v>0</v>
      </c>
      <c r="AE629" s="92"/>
      <c r="AF629" s="92"/>
      <c r="AG629" s="93">
        <v>1800.79</v>
      </c>
      <c r="AH629" s="93">
        <v>0</v>
      </c>
    </row>
    <row r="630" spans="1:34" ht="15.75" thickBot="1" x14ac:dyDescent="0.3">
      <c r="A630" s="90" t="s">
        <v>885</v>
      </c>
      <c r="B630" s="90" t="s">
        <v>57</v>
      </c>
      <c r="C630" s="90" t="s">
        <v>58</v>
      </c>
      <c r="D630" s="90" t="s">
        <v>664</v>
      </c>
      <c r="E630" s="90" t="s">
        <v>676</v>
      </c>
      <c r="F630" s="90" t="s">
        <v>697</v>
      </c>
      <c r="G630" s="95">
        <v>1800.79</v>
      </c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5">
        <v>1800.79</v>
      </c>
      <c r="V630" s="94"/>
      <c r="W630" s="94"/>
      <c r="X630" s="94"/>
      <c r="Y630" s="94"/>
      <c r="Z630" s="94"/>
      <c r="AA630" s="94"/>
      <c r="AB630" s="94"/>
      <c r="AC630" s="94"/>
      <c r="AD630" s="95">
        <v>0</v>
      </c>
      <c r="AE630" s="94"/>
      <c r="AF630" s="94"/>
      <c r="AG630" s="95">
        <v>1800.79</v>
      </c>
      <c r="AH630" s="95">
        <v>0</v>
      </c>
    </row>
    <row r="631" spans="1:34" ht="15.75" thickBot="1" x14ac:dyDescent="0.3">
      <c r="A631" s="90" t="s">
        <v>885</v>
      </c>
      <c r="B631" s="90" t="s">
        <v>57</v>
      </c>
      <c r="C631" s="90" t="s">
        <v>58</v>
      </c>
      <c r="D631" s="90" t="s">
        <v>664</v>
      </c>
      <c r="E631" s="90" t="s">
        <v>677</v>
      </c>
      <c r="F631" s="90" t="s">
        <v>511</v>
      </c>
      <c r="G631" s="93">
        <v>1986.08</v>
      </c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3">
        <v>1986.08</v>
      </c>
      <c r="W631" s="92"/>
      <c r="X631" s="92"/>
      <c r="Y631" s="92"/>
      <c r="Z631" s="92"/>
      <c r="AA631" s="92"/>
      <c r="AB631" s="92"/>
      <c r="AC631" s="92"/>
      <c r="AD631" s="93">
        <v>0</v>
      </c>
      <c r="AE631" s="92"/>
      <c r="AF631" s="92"/>
      <c r="AG631" s="93">
        <v>1986.08</v>
      </c>
      <c r="AH631" s="93">
        <v>0</v>
      </c>
    </row>
    <row r="632" spans="1:34" ht="15.75" thickBot="1" x14ac:dyDescent="0.3">
      <c r="A632" s="90" t="s">
        <v>885</v>
      </c>
      <c r="B632" s="90" t="s">
        <v>57</v>
      </c>
      <c r="C632" s="90" t="s">
        <v>58</v>
      </c>
      <c r="D632" s="90" t="s">
        <v>664</v>
      </c>
      <c r="E632" s="90" t="s">
        <v>677</v>
      </c>
      <c r="F632" s="90" t="s">
        <v>697</v>
      </c>
      <c r="G632" s="95">
        <v>1986.08</v>
      </c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5">
        <v>1986.08</v>
      </c>
      <c r="W632" s="94"/>
      <c r="X632" s="94"/>
      <c r="Y632" s="94"/>
      <c r="Z632" s="94"/>
      <c r="AA632" s="94"/>
      <c r="AB632" s="94"/>
      <c r="AC632" s="94"/>
      <c r="AD632" s="95">
        <v>0</v>
      </c>
      <c r="AE632" s="94"/>
      <c r="AF632" s="94"/>
      <c r="AG632" s="95">
        <v>1986.08</v>
      </c>
      <c r="AH632" s="95">
        <v>0</v>
      </c>
    </row>
    <row r="633" spans="1:34" ht="15.75" thickBot="1" x14ac:dyDescent="0.3">
      <c r="A633" s="90" t="s">
        <v>885</v>
      </c>
      <c r="B633" s="90" t="s">
        <v>35</v>
      </c>
      <c r="C633" s="90" t="s">
        <v>36</v>
      </c>
      <c r="D633" s="90" t="s">
        <v>17</v>
      </c>
      <c r="E633" s="90" t="s">
        <v>528</v>
      </c>
      <c r="F633" s="90" t="s">
        <v>686</v>
      </c>
      <c r="G633" s="95">
        <v>148.5</v>
      </c>
      <c r="H633" s="94"/>
      <c r="I633" s="95">
        <v>148.5</v>
      </c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  <c r="AC633" s="94"/>
      <c r="AD633" s="95">
        <v>8.11</v>
      </c>
      <c r="AE633" s="94"/>
      <c r="AF633" s="94"/>
      <c r="AG633" s="95">
        <v>156.61000000000001</v>
      </c>
      <c r="AH633" s="95">
        <v>0</v>
      </c>
    </row>
    <row r="634" spans="1:34" ht="15.75" thickBot="1" x14ac:dyDescent="0.3">
      <c r="A634" s="90" t="s">
        <v>885</v>
      </c>
      <c r="B634" s="90" t="s">
        <v>35</v>
      </c>
      <c r="C634" s="90" t="s">
        <v>36</v>
      </c>
      <c r="D634" s="90" t="s">
        <v>17</v>
      </c>
      <c r="E634" s="90" t="s">
        <v>528</v>
      </c>
      <c r="F634" s="90" t="s">
        <v>697</v>
      </c>
      <c r="G634" s="93">
        <v>148.5</v>
      </c>
      <c r="H634" s="92"/>
      <c r="I634" s="93">
        <v>148.5</v>
      </c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3">
        <v>8.11</v>
      </c>
      <c r="AE634" s="92"/>
      <c r="AF634" s="92"/>
      <c r="AG634" s="93">
        <v>156.61000000000001</v>
      </c>
      <c r="AH634" s="93">
        <v>0</v>
      </c>
    </row>
    <row r="635" spans="1:34" ht="15.75" thickBot="1" x14ac:dyDescent="0.3">
      <c r="A635" s="90" t="s">
        <v>885</v>
      </c>
      <c r="B635" s="90" t="s">
        <v>35</v>
      </c>
      <c r="C635" s="90" t="s">
        <v>36</v>
      </c>
      <c r="D635" s="90" t="s">
        <v>17</v>
      </c>
      <c r="E635" s="90" t="s">
        <v>518</v>
      </c>
      <c r="F635" s="90" t="s">
        <v>686</v>
      </c>
      <c r="G635" s="95">
        <v>144.62</v>
      </c>
      <c r="H635" s="95">
        <v>504</v>
      </c>
      <c r="I635" s="94"/>
      <c r="J635" s="94"/>
      <c r="K635" s="95">
        <v>144.62</v>
      </c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  <c r="AC635" s="94"/>
      <c r="AD635" s="95">
        <v>8.16</v>
      </c>
      <c r="AE635" s="94"/>
      <c r="AF635" s="94"/>
      <c r="AG635" s="95">
        <v>152.78</v>
      </c>
      <c r="AH635" s="95">
        <v>0</v>
      </c>
    </row>
    <row r="636" spans="1:34" ht="15.75" thickBot="1" x14ac:dyDescent="0.3">
      <c r="A636" s="90" t="s">
        <v>885</v>
      </c>
      <c r="B636" s="90" t="s">
        <v>35</v>
      </c>
      <c r="C636" s="90" t="s">
        <v>36</v>
      </c>
      <c r="D636" s="90" t="s">
        <v>17</v>
      </c>
      <c r="E636" s="90" t="s">
        <v>518</v>
      </c>
      <c r="F636" s="90" t="s">
        <v>697</v>
      </c>
      <c r="G636" s="93">
        <v>144.62</v>
      </c>
      <c r="H636" s="304">
        <v>504</v>
      </c>
      <c r="I636" s="92"/>
      <c r="J636" s="92"/>
      <c r="K636" s="93">
        <v>144.62</v>
      </c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3">
        <v>8.16</v>
      </c>
      <c r="AE636" s="92"/>
      <c r="AF636" s="92"/>
      <c r="AG636" s="93">
        <v>152.78</v>
      </c>
      <c r="AH636" s="93">
        <v>0</v>
      </c>
    </row>
    <row r="637" spans="1:34" ht="15.75" thickBot="1" x14ac:dyDescent="0.3">
      <c r="A637" s="90" t="s">
        <v>885</v>
      </c>
      <c r="B637" s="90" t="s">
        <v>35</v>
      </c>
      <c r="C637" s="90" t="s">
        <v>36</v>
      </c>
      <c r="D637" s="90" t="s">
        <v>17</v>
      </c>
      <c r="E637" s="90" t="s">
        <v>727</v>
      </c>
      <c r="F637" s="90" t="s">
        <v>686</v>
      </c>
      <c r="G637" s="95">
        <v>5.47</v>
      </c>
      <c r="H637" s="94"/>
      <c r="I637" s="94"/>
      <c r="J637" s="94"/>
      <c r="K637" s="94"/>
      <c r="L637" s="94"/>
      <c r="M637" s="94"/>
      <c r="N637" s="94"/>
      <c r="O637" s="95">
        <v>5.47</v>
      </c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  <c r="AC637" s="94"/>
      <c r="AD637" s="95">
        <v>0.3</v>
      </c>
      <c r="AE637" s="94"/>
      <c r="AF637" s="94"/>
      <c r="AG637" s="95">
        <v>5.77</v>
      </c>
      <c r="AH637" s="95">
        <v>0</v>
      </c>
    </row>
    <row r="638" spans="1:34" ht="15.75" thickBot="1" x14ac:dyDescent="0.3">
      <c r="A638" s="90" t="s">
        <v>885</v>
      </c>
      <c r="B638" s="90" t="s">
        <v>35</v>
      </c>
      <c r="C638" s="90" t="s">
        <v>36</v>
      </c>
      <c r="D638" s="90" t="s">
        <v>17</v>
      </c>
      <c r="E638" s="90" t="s">
        <v>727</v>
      </c>
      <c r="F638" s="90" t="s">
        <v>697</v>
      </c>
      <c r="G638" s="93">
        <v>5.47</v>
      </c>
      <c r="H638" s="92"/>
      <c r="I638" s="92"/>
      <c r="J638" s="92"/>
      <c r="K638" s="92"/>
      <c r="L638" s="92"/>
      <c r="M638" s="92"/>
      <c r="N638" s="92"/>
      <c r="O638" s="93">
        <v>5.47</v>
      </c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3">
        <v>0.3</v>
      </c>
      <c r="AE638" s="92"/>
      <c r="AF638" s="92"/>
      <c r="AG638" s="93">
        <v>5.77</v>
      </c>
      <c r="AH638" s="93">
        <v>0</v>
      </c>
    </row>
    <row r="639" spans="1:34" ht="15.75" thickBot="1" x14ac:dyDescent="0.3">
      <c r="A639" s="90" t="s">
        <v>885</v>
      </c>
      <c r="B639" s="90" t="s">
        <v>35</v>
      </c>
      <c r="C639" s="90" t="s">
        <v>36</v>
      </c>
      <c r="D639" s="90" t="s">
        <v>17</v>
      </c>
      <c r="E639" s="90" t="s">
        <v>728</v>
      </c>
      <c r="F639" s="90" t="s">
        <v>686</v>
      </c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5">
        <v>2.75</v>
      </c>
      <c r="AC639" s="94"/>
      <c r="AD639" s="95">
        <v>0</v>
      </c>
      <c r="AE639" s="94"/>
      <c r="AF639" s="94"/>
      <c r="AG639" s="95">
        <v>2.75</v>
      </c>
      <c r="AH639" s="95">
        <v>0</v>
      </c>
    </row>
    <row r="640" spans="1:34" ht="15.75" thickBot="1" x14ac:dyDescent="0.3">
      <c r="A640" s="90" t="s">
        <v>885</v>
      </c>
      <c r="B640" s="90" t="s">
        <v>35</v>
      </c>
      <c r="C640" s="90" t="s">
        <v>36</v>
      </c>
      <c r="D640" s="90" t="s">
        <v>17</v>
      </c>
      <c r="E640" s="90" t="s">
        <v>728</v>
      </c>
      <c r="F640" s="90" t="s">
        <v>697</v>
      </c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3">
        <v>2.75</v>
      </c>
      <c r="AC640" s="92"/>
      <c r="AD640" s="93">
        <v>0</v>
      </c>
      <c r="AE640" s="92"/>
      <c r="AF640" s="92"/>
      <c r="AG640" s="93">
        <v>2.75</v>
      </c>
      <c r="AH640" s="93">
        <v>0</v>
      </c>
    </row>
    <row r="641" spans="1:34" ht="15.75" thickBot="1" x14ac:dyDescent="0.3">
      <c r="A641" s="90" t="s">
        <v>885</v>
      </c>
      <c r="B641" s="90" t="s">
        <v>35</v>
      </c>
      <c r="C641" s="90" t="s">
        <v>36</v>
      </c>
      <c r="D641" s="90" t="s">
        <v>17</v>
      </c>
      <c r="E641" s="90" t="s">
        <v>673</v>
      </c>
      <c r="F641" s="90" t="s">
        <v>686</v>
      </c>
      <c r="G641" s="95">
        <v>53.36</v>
      </c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5">
        <v>53.36</v>
      </c>
      <c r="Y641" s="94"/>
      <c r="Z641" s="94"/>
      <c r="AA641" s="94"/>
      <c r="AB641" s="94"/>
      <c r="AC641" s="94"/>
      <c r="AD641" s="95">
        <v>2.92</v>
      </c>
      <c r="AE641" s="94"/>
      <c r="AF641" s="94"/>
      <c r="AG641" s="95">
        <v>56.28</v>
      </c>
      <c r="AH641" s="95">
        <v>0</v>
      </c>
    </row>
    <row r="642" spans="1:34" ht="15.75" thickBot="1" x14ac:dyDescent="0.3">
      <c r="A642" s="90" t="s">
        <v>885</v>
      </c>
      <c r="B642" s="90" t="s">
        <v>35</v>
      </c>
      <c r="C642" s="90" t="s">
        <v>36</v>
      </c>
      <c r="D642" s="90" t="s">
        <v>17</v>
      </c>
      <c r="E642" s="90" t="s">
        <v>673</v>
      </c>
      <c r="F642" s="90" t="s">
        <v>697</v>
      </c>
      <c r="G642" s="93">
        <v>53.36</v>
      </c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3">
        <v>53.36</v>
      </c>
      <c r="Y642" s="92"/>
      <c r="Z642" s="92"/>
      <c r="AA642" s="92"/>
      <c r="AB642" s="92"/>
      <c r="AC642" s="92"/>
      <c r="AD642" s="93">
        <v>2.92</v>
      </c>
      <c r="AE642" s="92"/>
      <c r="AF642" s="92"/>
      <c r="AG642" s="93">
        <v>56.28</v>
      </c>
      <c r="AH642" s="93">
        <v>0</v>
      </c>
    </row>
    <row r="643" spans="1:34" ht="15.75" thickBot="1" x14ac:dyDescent="0.3">
      <c r="A643" s="90" t="s">
        <v>885</v>
      </c>
      <c r="B643" s="90" t="s">
        <v>35</v>
      </c>
      <c r="C643" s="90" t="s">
        <v>36</v>
      </c>
      <c r="D643" s="90" t="s">
        <v>17</v>
      </c>
      <c r="E643" s="90" t="s">
        <v>196</v>
      </c>
      <c r="F643" s="90" t="s">
        <v>686</v>
      </c>
      <c r="G643" s="95">
        <v>163.01</v>
      </c>
      <c r="H643" s="94"/>
      <c r="I643" s="94"/>
      <c r="J643" s="94"/>
      <c r="K643" s="94"/>
      <c r="L643" s="94"/>
      <c r="M643" s="94"/>
      <c r="N643" s="94"/>
      <c r="O643" s="94"/>
      <c r="P643" s="95">
        <v>163.01</v>
      </c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  <c r="AC643" s="94"/>
      <c r="AD643" s="95">
        <v>9.2100000000000009</v>
      </c>
      <c r="AE643" s="94"/>
      <c r="AF643" s="94"/>
      <c r="AG643" s="95">
        <v>172.22</v>
      </c>
      <c r="AH643" s="95">
        <v>0</v>
      </c>
    </row>
    <row r="644" spans="1:34" ht="15.75" thickBot="1" x14ac:dyDescent="0.3">
      <c r="A644" s="90" t="s">
        <v>885</v>
      </c>
      <c r="B644" s="90" t="s">
        <v>35</v>
      </c>
      <c r="C644" s="90" t="s">
        <v>36</v>
      </c>
      <c r="D644" s="90" t="s">
        <v>17</v>
      </c>
      <c r="E644" s="90" t="s">
        <v>196</v>
      </c>
      <c r="F644" s="90" t="s">
        <v>697</v>
      </c>
      <c r="G644" s="93">
        <v>163.01</v>
      </c>
      <c r="H644" s="92"/>
      <c r="I644" s="92"/>
      <c r="J644" s="92"/>
      <c r="K644" s="92"/>
      <c r="L644" s="92"/>
      <c r="M644" s="92"/>
      <c r="N644" s="92"/>
      <c r="O644" s="92"/>
      <c r="P644" s="93">
        <v>163.01</v>
      </c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3">
        <v>9.2100000000000009</v>
      </c>
      <c r="AE644" s="92"/>
      <c r="AF644" s="92"/>
      <c r="AG644" s="93">
        <v>172.22</v>
      </c>
      <c r="AH644" s="93">
        <v>0</v>
      </c>
    </row>
    <row r="645" spans="1:34" ht="15.75" thickBot="1" x14ac:dyDescent="0.3">
      <c r="A645" s="90" t="s">
        <v>885</v>
      </c>
      <c r="B645" s="90" t="s">
        <v>35</v>
      </c>
      <c r="C645" s="90" t="s">
        <v>36</v>
      </c>
      <c r="D645" s="90" t="s">
        <v>17</v>
      </c>
      <c r="E645" s="90" t="s">
        <v>674</v>
      </c>
      <c r="F645" s="90" t="s">
        <v>686</v>
      </c>
      <c r="G645" s="95">
        <v>-10.45</v>
      </c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5">
        <v>-10.45</v>
      </c>
      <c r="Z645" s="94"/>
      <c r="AA645" s="94"/>
      <c r="AB645" s="94"/>
      <c r="AC645" s="94"/>
      <c r="AD645" s="95">
        <v>-0.53</v>
      </c>
      <c r="AE645" s="94"/>
      <c r="AF645" s="94"/>
      <c r="AG645" s="95">
        <v>-10.98</v>
      </c>
      <c r="AH645" s="95">
        <v>0</v>
      </c>
    </row>
    <row r="646" spans="1:34" ht="15.75" thickBot="1" x14ac:dyDescent="0.3">
      <c r="A646" s="90" t="s">
        <v>885</v>
      </c>
      <c r="B646" s="90" t="s">
        <v>35</v>
      </c>
      <c r="C646" s="90" t="s">
        <v>36</v>
      </c>
      <c r="D646" s="90" t="s">
        <v>17</v>
      </c>
      <c r="E646" s="90" t="s">
        <v>674</v>
      </c>
      <c r="F646" s="90" t="s">
        <v>697</v>
      </c>
      <c r="G646" s="93">
        <v>-10.45</v>
      </c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3">
        <v>-10.45</v>
      </c>
      <c r="Z646" s="92"/>
      <c r="AA646" s="92"/>
      <c r="AB646" s="92"/>
      <c r="AC646" s="92"/>
      <c r="AD646" s="93">
        <v>-0.53</v>
      </c>
      <c r="AE646" s="92"/>
      <c r="AF646" s="92"/>
      <c r="AG646" s="93">
        <v>-10.98</v>
      </c>
      <c r="AH646" s="93">
        <v>0</v>
      </c>
    </row>
    <row r="647" spans="1:34" ht="15.75" thickBot="1" x14ac:dyDescent="0.3">
      <c r="A647" s="90" t="s">
        <v>885</v>
      </c>
      <c r="B647" s="90" t="s">
        <v>35</v>
      </c>
      <c r="C647" s="90" t="s">
        <v>36</v>
      </c>
      <c r="D647" s="90" t="s">
        <v>20</v>
      </c>
      <c r="E647" s="90" t="s">
        <v>726</v>
      </c>
      <c r="F647" s="90" t="s">
        <v>686</v>
      </c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  <c r="AC647" s="95">
        <v>-3.67</v>
      </c>
      <c r="AD647" s="95">
        <v>0</v>
      </c>
      <c r="AE647" s="94"/>
      <c r="AF647" s="94"/>
      <c r="AG647" s="95">
        <v>-3.67</v>
      </c>
      <c r="AH647" s="95">
        <v>0</v>
      </c>
    </row>
    <row r="648" spans="1:34" ht="15.75" thickBot="1" x14ac:dyDescent="0.3">
      <c r="A648" s="90" t="s">
        <v>885</v>
      </c>
      <c r="B648" s="90" t="s">
        <v>35</v>
      </c>
      <c r="C648" s="90" t="s">
        <v>36</v>
      </c>
      <c r="D648" s="90" t="s">
        <v>20</v>
      </c>
      <c r="E648" s="90" t="s">
        <v>726</v>
      </c>
      <c r="F648" s="90" t="s">
        <v>697</v>
      </c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3">
        <v>-3.67</v>
      </c>
      <c r="AD648" s="93">
        <v>0</v>
      </c>
      <c r="AE648" s="92"/>
      <c r="AF648" s="92"/>
      <c r="AG648" s="93">
        <v>-3.67</v>
      </c>
      <c r="AH648" s="93">
        <v>0</v>
      </c>
    </row>
    <row r="649" spans="1:34" ht="15.75" thickBot="1" x14ac:dyDescent="0.3">
      <c r="A649" s="90" t="s">
        <v>885</v>
      </c>
      <c r="B649" s="90" t="s">
        <v>35</v>
      </c>
      <c r="C649" s="90" t="s">
        <v>36</v>
      </c>
      <c r="D649" s="90" t="s">
        <v>20</v>
      </c>
      <c r="E649" s="90" t="s">
        <v>528</v>
      </c>
      <c r="F649" s="90" t="s">
        <v>686</v>
      </c>
      <c r="G649" s="95">
        <v>823.5</v>
      </c>
      <c r="H649" s="94"/>
      <c r="I649" s="95">
        <v>823.5</v>
      </c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  <c r="AC649" s="94"/>
      <c r="AD649" s="95">
        <v>0.79</v>
      </c>
      <c r="AE649" s="94"/>
      <c r="AF649" s="94"/>
      <c r="AG649" s="95">
        <v>824.29</v>
      </c>
      <c r="AH649" s="95">
        <v>0</v>
      </c>
    </row>
    <row r="650" spans="1:34" ht="15.75" thickBot="1" x14ac:dyDescent="0.3">
      <c r="A650" s="90" t="s">
        <v>885</v>
      </c>
      <c r="B650" s="90" t="s">
        <v>35</v>
      </c>
      <c r="C650" s="90" t="s">
        <v>36</v>
      </c>
      <c r="D650" s="90" t="s">
        <v>20</v>
      </c>
      <c r="E650" s="90" t="s">
        <v>528</v>
      </c>
      <c r="F650" s="90" t="s">
        <v>697</v>
      </c>
      <c r="G650" s="93">
        <v>823.5</v>
      </c>
      <c r="H650" s="92"/>
      <c r="I650" s="93">
        <v>823.5</v>
      </c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3">
        <v>0.79</v>
      </c>
      <c r="AE650" s="92"/>
      <c r="AF650" s="92"/>
      <c r="AG650" s="93">
        <v>824.29</v>
      </c>
      <c r="AH650" s="93">
        <v>0</v>
      </c>
    </row>
    <row r="651" spans="1:34" ht="15.75" thickBot="1" x14ac:dyDescent="0.3">
      <c r="A651" s="90" t="s">
        <v>885</v>
      </c>
      <c r="B651" s="90" t="s">
        <v>35</v>
      </c>
      <c r="C651" s="90" t="s">
        <v>36</v>
      </c>
      <c r="D651" s="90" t="s">
        <v>20</v>
      </c>
      <c r="E651" s="90" t="s">
        <v>518</v>
      </c>
      <c r="F651" s="90" t="s">
        <v>686</v>
      </c>
      <c r="G651" s="95">
        <v>641.01</v>
      </c>
      <c r="H651" s="95">
        <v>2234</v>
      </c>
      <c r="I651" s="94"/>
      <c r="J651" s="94"/>
      <c r="K651" s="95">
        <v>641.01</v>
      </c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  <c r="AC651" s="94"/>
      <c r="AD651" s="95">
        <v>4.82</v>
      </c>
      <c r="AE651" s="94"/>
      <c r="AF651" s="94"/>
      <c r="AG651" s="95">
        <v>645.83000000000004</v>
      </c>
      <c r="AH651" s="95">
        <v>0</v>
      </c>
    </row>
    <row r="652" spans="1:34" ht="15.75" thickBot="1" x14ac:dyDescent="0.3">
      <c r="A652" s="90" t="s">
        <v>885</v>
      </c>
      <c r="B652" s="90" t="s">
        <v>35</v>
      </c>
      <c r="C652" s="90" t="s">
        <v>36</v>
      </c>
      <c r="D652" s="90" t="s">
        <v>20</v>
      </c>
      <c r="E652" s="90" t="s">
        <v>518</v>
      </c>
      <c r="F652" s="90" t="s">
        <v>697</v>
      </c>
      <c r="G652" s="93">
        <v>641.01</v>
      </c>
      <c r="H652" s="304">
        <v>2234</v>
      </c>
      <c r="I652" s="92"/>
      <c r="J652" s="92"/>
      <c r="K652" s="93">
        <v>641.01</v>
      </c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3">
        <v>4.82</v>
      </c>
      <c r="AE652" s="92"/>
      <c r="AF652" s="92"/>
      <c r="AG652" s="93">
        <v>645.83000000000004</v>
      </c>
      <c r="AH652" s="93">
        <v>0</v>
      </c>
    </row>
    <row r="653" spans="1:34" ht="15.75" thickBot="1" x14ac:dyDescent="0.3">
      <c r="A653" s="90" t="s">
        <v>885</v>
      </c>
      <c r="B653" s="90" t="s">
        <v>35</v>
      </c>
      <c r="C653" s="90" t="s">
        <v>36</v>
      </c>
      <c r="D653" s="90" t="s">
        <v>20</v>
      </c>
      <c r="E653" s="90" t="s">
        <v>727</v>
      </c>
      <c r="F653" s="90" t="s">
        <v>686</v>
      </c>
      <c r="G653" s="95">
        <v>24.68</v>
      </c>
      <c r="H653" s="94"/>
      <c r="I653" s="94"/>
      <c r="J653" s="94"/>
      <c r="K653" s="94"/>
      <c r="L653" s="94"/>
      <c r="M653" s="94"/>
      <c r="N653" s="94"/>
      <c r="O653" s="95">
        <v>24.68</v>
      </c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  <c r="AC653" s="94"/>
      <c r="AD653" s="95">
        <v>0.19</v>
      </c>
      <c r="AE653" s="94"/>
      <c r="AF653" s="94"/>
      <c r="AG653" s="95">
        <v>24.87</v>
      </c>
      <c r="AH653" s="95">
        <v>0</v>
      </c>
    </row>
    <row r="654" spans="1:34" ht="15.75" thickBot="1" x14ac:dyDescent="0.3">
      <c r="A654" s="90" t="s">
        <v>885</v>
      </c>
      <c r="B654" s="90" t="s">
        <v>35</v>
      </c>
      <c r="C654" s="90" t="s">
        <v>36</v>
      </c>
      <c r="D654" s="90" t="s">
        <v>20</v>
      </c>
      <c r="E654" s="90" t="s">
        <v>727</v>
      </c>
      <c r="F654" s="90" t="s">
        <v>697</v>
      </c>
      <c r="G654" s="93">
        <v>24.68</v>
      </c>
      <c r="H654" s="92"/>
      <c r="I654" s="92"/>
      <c r="J654" s="92"/>
      <c r="K654" s="92"/>
      <c r="L654" s="92"/>
      <c r="M654" s="92"/>
      <c r="N654" s="92"/>
      <c r="O654" s="93">
        <v>24.68</v>
      </c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3">
        <v>0.19</v>
      </c>
      <c r="AE654" s="92"/>
      <c r="AF654" s="92"/>
      <c r="AG654" s="93">
        <v>24.87</v>
      </c>
      <c r="AH654" s="93">
        <v>0</v>
      </c>
    </row>
    <row r="655" spans="1:34" ht="15.75" thickBot="1" x14ac:dyDescent="0.3">
      <c r="A655" s="90" t="s">
        <v>885</v>
      </c>
      <c r="B655" s="90" t="s">
        <v>35</v>
      </c>
      <c r="C655" s="90" t="s">
        <v>36</v>
      </c>
      <c r="D655" s="90" t="s">
        <v>20</v>
      </c>
      <c r="E655" s="90" t="s">
        <v>728</v>
      </c>
      <c r="F655" s="90" t="s">
        <v>686</v>
      </c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5">
        <v>15.25</v>
      </c>
      <c r="AC655" s="94"/>
      <c r="AD655" s="95">
        <v>0</v>
      </c>
      <c r="AE655" s="94"/>
      <c r="AF655" s="94"/>
      <c r="AG655" s="95">
        <v>15.25</v>
      </c>
      <c r="AH655" s="95">
        <v>0</v>
      </c>
    </row>
    <row r="656" spans="1:34" ht="15.75" thickBot="1" x14ac:dyDescent="0.3">
      <c r="A656" s="90" t="s">
        <v>885</v>
      </c>
      <c r="B656" s="90" t="s">
        <v>35</v>
      </c>
      <c r="C656" s="90" t="s">
        <v>36</v>
      </c>
      <c r="D656" s="90" t="s">
        <v>20</v>
      </c>
      <c r="E656" s="90" t="s">
        <v>728</v>
      </c>
      <c r="F656" s="90" t="s">
        <v>697</v>
      </c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3">
        <v>15.25</v>
      </c>
      <c r="AC656" s="92"/>
      <c r="AD656" s="93">
        <v>0</v>
      </c>
      <c r="AE656" s="92"/>
      <c r="AF656" s="92"/>
      <c r="AG656" s="93">
        <v>15.25</v>
      </c>
      <c r="AH656" s="93">
        <v>0</v>
      </c>
    </row>
    <row r="657" spans="1:34" ht="15.75" thickBot="1" x14ac:dyDescent="0.3">
      <c r="A657" s="90" t="s">
        <v>885</v>
      </c>
      <c r="B657" s="90" t="s">
        <v>35</v>
      </c>
      <c r="C657" s="90" t="s">
        <v>36</v>
      </c>
      <c r="D657" s="90" t="s">
        <v>20</v>
      </c>
      <c r="E657" s="90" t="s">
        <v>673</v>
      </c>
      <c r="F657" s="90" t="s">
        <v>686</v>
      </c>
      <c r="G657" s="95">
        <v>295.86</v>
      </c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5">
        <v>295.86</v>
      </c>
      <c r="Y657" s="94"/>
      <c r="Z657" s="94"/>
      <c r="AA657" s="94"/>
      <c r="AB657" s="94"/>
      <c r="AC657" s="94"/>
      <c r="AD657" s="95">
        <v>0.3</v>
      </c>
      <c r="AE657" s="94"/>
      <c r="AF657" s="94"/>
      <c r="AG657" s="95">
        <v>296.16000000000003</v>
      </c>
      <c r="AH657" s="95">
        <v>0</v>
      </c>
    </row>
    <row r="658" spans="1:34" ht="15.75" thickBot="1" x14ac:dyDescent="0.3">
      <c r="A658" s="90" t="s">
        <v>885</v>
      </c>
      <c r="B658" s="90" t="s">
        <v>35</v>
      </c>
      <c r="C658" s="90" t="s">
        <v>36</v>
      </c>
      <c r="D658" s="90" t="s">
        <v>20</v>
      </c>
      <c r="E658" s="90" t="s">
        <v>673</v>
      </c>
      <c r="F658" s="90" t="s">
        <v>697</v>
      </c>
      <c r="G658" s="93">
        <v>295.86</v>
      </c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3">
        <v>295.86</v>
      </c>
      <c r="Y658" s="92"/>
      <c r="Z658" s="92"/>
      <c r="AA658" s="92"/>
      <c r="AB658" s="92"/>
      <c r="AC658" s="92"/>
      <c r="AD658" s="93">
        <v>0.3</v>
      </c>
      <c r="AE658" s="92"/>
      <c r="AF658" s="92"/>
      <c r="AG658" s="93">
        <v>296.16000000000003</v>
      </c>
      <c r="AH658" s="93">
        <v>0</v>
      </c>
    </row>
    <row r="659" spans="1:34" ht="15.75" thickBot="1" x14ac:dyDescent="0.3">
      <c r="A659" s="90" t="s">
        <v>885</v>
      </c>
      <c r="B659" s="90" t="s">
        <v>35</v>
      </c>
      <c r="C659" s="90" t="s">
        <v>36</v>
      </c>
      <c r="D659" s="90" t="s">
        <v>20</v>
      </c>
      <c r="E659" s="90" t="s">
        <v>196</v>
      </c>
      <c r="F659" s="90" t="s">
        <v>686</v>
      </c>
      <c r="G659" s="95">
        <v>722.49</v>
      </c>
      <c r="H659" s="94"/>
      <c r="I659" s="94"/>
      <c r="J659" s="94"/>
      <c r="K659" s="94"/>
      <c r="L659" s="94"/>
      <c r="M659" s="94"/>
      <c r="N659" s="94"/>
      <c r="O659" s="94"/>
      <c r="P659" s="95">
        <v>722.49</v>
      </c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  <c r="AC659" s="94"/>
      <c r="AD659" s="95">
        <v>5.43</v>
      </c>
      <c r="AE659" s="94"/>
      <c r="AF659" s="94"/>
      <c r="AG659" s="95">
        <v>727.92</v>
      </c>
      <c r="AH659" s="95">
        <v>0</v>
      </c>
    </row>
    <row r="660" spans="1:34" ht="15.75" thickBot="1" x14ac:dyDescent="0.3">
      <c r="A660" s="90" t="s">
        <v>885</v>
      </c>
      <c r="B660" s="90" t="s">
        <v>35</v>
      </c>
      <c r="C660" s="90" t="s">
        <v>36</v>
      </c>
      <c r="D660" s="90" t="s">
        <v>20</v>
      </c>
      <c r="E660" s="90" t="s">
        <v>196</v>
      </c>
      <c r="F660" s="90" t="s">
        <v>697</v>
      </c>
      <c r="G660" s="93">
        <v>722.49</v>
      </c>
      <c r="H660" s="92"/>
      <c r="I660" s="92"/>
      <c r="J660" s="92"/>
      <c r="K660" s="92"/>
      <c r="L660" s="92"/>
      <c r="M660" s="92"/>
      <c r="N660" s="92"/>
      <c r="O660" s="92"/>
      <c r="P660" s="93">
        <v>722.49</v>
      </c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3">
        <v>5.43</v>
      </c>
      <c r="AE660" s="92"/>
      <c r="AF660" s="92"/>
      <c r="AG660" s="93">
        <v>727.92</v>
      </c>
      <c r="AH660" s="93">
        <v>0</v>
      </c>
    </row>
    <row r="661" spans="1:34" ht="15.75" thickBot="1" x14ac:dyDescent="0.3">
      <c r="A661" s="90" t="s">
        <v>885</v>
      </c>
      <c r="B661" s="90" t="s">
        <v>35</v>
      </c>
      <c r="C661" s="90" t="s">
        <v>36</v>
      </c>
      <c r="D661" s="90" t="s">
        <v>20</v>
      </c>
      <c r="E661" s="90" t="s">
        <v>674</v>
      </c>
      <c r="F661" s="90" t="s">
        <v>686</v>
      </c>
      <c r="G661" s="95">
        <v>64.959999999999994</v>
      </c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5">
        <v>64.959999999999994</v>
      </c>
      <c r="Z661" s="94"/>
      <c r="AA661" s="94"/>
      <c r="AB661" s="94"/>
      <c r="AC661" s="94"/>
      <c r="AD661" s="95">
        <v>0.3</v>
      </c>
      <c r="AE661" s="94"/>
      <c r="AF661" s="94"/>
      <c r="AG661" s="95">
        <v>65.260000000000005</v>
      </c>
      <c r="AH661" s="95">
        <v>0</v>
      </c>
    </row>
    <row r="662" spans="1:34" ht="15.75" thickBot="1" x14ac:dyDescent="0.3">
      <c r="A662" s="90" t="s">
        <v>885</v>
      </c>
      <c r="B662" s="90" t="s">
        <v>35</v>
      </c>
      <c r="C662" s="90" t="s">
        <v>36</v>
      </c>
      <c r="D662" s="90" t="s">
        <v>20</v>
      </c>
      <c r="E662" s="90" t="s">
        <v>674</v>
      </c>
      <c r="F662" s="90" t="s">
        <v>697</v>
      </c>
      <c r="G662" s="93">
        <v>64.959999999999994</v>
      </c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3">
        <v>64.959999999999994</v>
      </c>
      <c r="Z662" s="92"/>
      <c r="AA662" s="92"/>
      <c r="AB662" s="92"/>
      <c r="AC662" s="92"/>
      <c r="AD662" s="93">
        <v>0.3</v>
      </c>
      <c r="AE662" s="92"/>
      <c r="AF662" s="92"/>
      <c r="AG662" s="93">
        <v>65.260000000000005</v>
      </c>
      <c r="AH662" s="93">
        <v>0</v>
      </c>
    </row>
    <row r="663" spans="1:34" ht="15.75" thickBot="1" x14ac:dyDescent="0.3">
      <c r="A663" s="90" t="s">
        <v>885</v>
      </c>
      <c r="B663" s="90" t="s">
        <v>35</v>
      </c>
      <c r="C663" s="90" t="s">
        <v>36</v>
      </c>
      <c r="D663" s="90" t="s">
        <v>28</v>
      </c>
      <c r="E663" s="90" t="s">
        <v>919</v>
      </c>
      <c r="F663" s="90" t="s">
        <v>686</v>
      </c>
      <c r="G663" s="95">
        <v>0.91</v>
      </c>
      <c r="H663" s="94"/>
      <c r="I663" s="95">
        <v>0.91</v>
      </c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  <c r="AC663" s="94"/>
      <c r="AD663" s="95">
        <v>0</v>
      </c>
      <c r="AE663" s="94"/>
      <c r="AF663" s="94"/>
      <c r="AG663" s="95">
        <v>0.91</v>
      </c>
      <c r="AH663" s="95">
        <v>0</v>
      </c>
    </row>
    <row r="664" spans="1:34" ht="15.75" thickBot="1" x14ac:dyDescent="0.3">
      <c r="A664" s="90" t="s">
        <v>885</v>
      </c>
      <c r="B664" s="90" t="s">
        <v>35</v>
      </c>
      <c r="C664" s="90" t="s">
        <v>36</v>
      </c>
      <c r="D664" s="90" t="s">
        <v>28</v>
      </c>
      <c r="E664" s="90" t="s">
        <v>919</v>
      </c>
      <c r="F664" s="90" t="s">
        <v>697</v>
      </c>
      <c r="G664" s="93">
        <v>0.91</v>
      </c>
      <c r="H664" s="92"/>
      <c r="I664" s="93">
        <v>0.91</v>
      </c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93">
        <v>0</v>
      </c>
      <c r="AE664" s="92"/>
      <c r="AF664" s="92"/>
      <c r="AG664" s="93">
        <v>0.91</v>
      </c>
      <c r="AH664" s="93">
        <v>0</v>
      </c>
    </row>
    <row r="665" spans="1:34" ht="15.75" thickBot="1" x14ac:dyDescent="0.3">
      <c r="A665" s="90" t="s">
        <v>885</v>
      </c>
      <c r="B665" s="90" t="s">
        <v>35</v>
      </c>
      <c r="C665" s="90" t="s">
        <v>36</v>
      </c>
      <c r="D665" s="90" t="s">
        <v>28</v>
      </c>
      <c r="E665" s="90" t="s">
        <v>726</v>
      </c>
      <c r="F665" s="90" t="s">
        <v>686</v>
      </c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  <c r="AC665" s="95">
        <v>3424.15</v>
      </c>
      <c r="AD665" s="95">
        <v>0</v>
      </c>
      <c r="AE665" s="94"/>
      <c r="AF665" s="94"/>
      <c r="AG665" s="95">
        <v>3424.15</v>
      </c>
      <c r="AH665" s="95">
        <v>0</v>
      </c>
    </row>
    <row r="666" spans="1:34" ht="15.75" thickBot="1" x14ac:dyDescent="0.3">
      <c r="A666" s="90" t="s">
        <v>885</v>
      </c>
      <c r="B666" s="90" t="s">
        <v>35</v>
      </c>
      <c r="C666" s="90" t="s">
        <v>36</v>
      </c>
      <c r="D666" s="90" t="s">
        <v>28</v>
      </c>
      <c r="E666" s="90" t="s">
        <v>726</v>
      </c>
      <c r="F666" s="90" t="s">
        <v>697</v>
      </c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3">
        <v>3424.15</v>
      </c>
      <c r="AD666" s="93">
        <v>0</v>
      </c>
      <c r="AE666" s="92"/>
      <c r="AF666" s="92"/>
      <c r="AG666" s="93">
        <v>3424.15</v>
      </c>
      <c r="AH666" s="93">
        <v>0</v>
      </c>
    </row>
    <row r="667" spans="1:34" ht="15.75" thickBot="1" x14ac:dyDescent="0.3">
      <c r="A667" s="90" t="s">
        <v>885</v>
      </c>
      <c r="B667" s="90" t="s">
        <v>35</v>
      </c>
      <c r="C667" s="90" t="s">
        <v>36</v>
      </c>
      <c r="D667" s="90" t="s">
        <v>28</v>
      </c>
      <c r="E667" s="90" t="s">
        <v>528</v>
      </c>
      <c r="F667" s="90" t="s">
        <v>686</v>
      </c>
      <c r="G667" s="95">
        <v>3988352.26</v>
      </c>
      <c r="H667" s="94"/>
      <c r="I667" s="95">
        <v>3988352.26</v>
      </c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  <c r="AC667" s="94"/>
      <c r="AD667" s="95">
        <v>16799.72</v>
      </c>
      <c r="AE667" s="94"/>
      <c r="AF667" s="94"/>
      <c r="AG667" s="95">
        <v>4005151.98</v>
      </c>
      <c r="AH667" s="95">
        <v>0</v>
      </c>
    </row>
    <row r="668" spans="1:34" ht="15.75" thickBot="1" x14ac:dyDescent="0.3">
      <c r="A668" s="90" t="s">
        <v>885</v>
      </c>
      <c r="B668" s="90" t="s">
        <v>35</v>
      </c>
      <c r="C668" s="90" t="s">
        <v>36</v>
      </c>
      <c r="D668" s="90" t="s">
        <v>28</v>
      </c>
      <c r="E668" s="90" t="s">
        <v>528</v>
      </c>
      <c r="F668" s="90" t="s">
        <v>697</v>
      </c>
      <c r="G668" s="93">
        <v>3988352.26</v>
      </c>
      <c r="H668" s="92"/>
      <c r="I668" s="93">
        <v>3988352.26</v>
      </c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93">
        <v>16799.72</v>
      </c>
      <c r="AE668" s="92"/>
      <c r="AF668" s="92"/>
      <c r="AG668" s="93">
        <v>4005151.98</v>
      </c>
      <c r="AH668" s="93">
        <v>0</v>
      </c>
    </row>
    <row r="669" spans="1:34" ht="15.75" thickBot="1" x14ac:dyDescent="0.3">
      <c r="A669" s="90" t="s">
        <v>885</v>
      </c>
      <c r="B669" s="90" t="s">
        <v>35</v>
      </c>
      <c r="C669" s="90" t="s">
        <v>36</v>
      </c>
      <c r="D669" s="90" t="s">
        <v>28</v>
      </c>
      <c r="E669" s="90" t="s">
        <v>518</v>
      </c>
      <c r="F669" s="90" t="s">
        <v>686</v>
      </c>
      <c r="G669" s="95">
        <v>4083044.52</v>
      </c>
      <c r="H669" s="95">
        <v>14230174</v>
      </c>
      <c r="I669" s="94"/>
      <c r="J669" s="94"/>
      <c r="K669" s="95">
        <v>4083044.52</v>
      </c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  <c r="AC669" s="94"/>
      <c r="AD669" s="95">
        <v>16665.09</v>
      </c>
      <c r="AE669" s="94"/>
      <c r="AF669" s="94"/>
      <c r="AG669" s="95">
        <v>4099709.61</v>
      </c>
      <c r="AH669" s="95">
        <v>0</v>
      </c>
    </row>
    <row r="670" spans="1:34" ht="15.75" thickBot="1" x14ac:dyDescent="0.3">
      <c r="A670" s="90" t="s">
        <v>885</v>
      </c>
      <c r="B670" s="90" t="s">
        <v>35</v>
      </c>
      <c r="C670" s="90" t="s">
        <v>36</v>
      </c>
      <c r="D670" s="90" t="s">
        <v>28</v>
      </c>
      <c r="E670" s="90" t="s">
        <v>518</v>
      </c>
      <c r="F670" s="90" t="s">
        <v>697</v>
      </c>
      <c r="G670" s="93">
        <v>4083044.52</v>
      </c>
      <c r="H670" s="304">
        <v>14230174</v>
      </c>
      <c r="I670" s="92"/>
      <c r="J670" s="92"/>
      <c r="K670" s="93">
        <v>4083044.52</v>
      </c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93">
        <v>16665.09</v>
      </c>
      <c r="AE670" s="92"/>
      <c r="AF670" s="92"/>
      <c r="AG670" s="93">
        <v>4099709.61</v>
      </c>
      <c r="AH670" s="93">
        <v>0</v>
      </c>
    </row>
    <row r="671" spans="1:34" ht="15.75" thickBot="1" x14ac:dyDescent="0.3">
      <c r="A671" s="90" t="s">
        <v>885</v>
      </c>
      <c r="B671" s="90" t="s">
        <v>35</v>
      </c>
      <c r="C671" s="90" t="s">
        <v>36</v>
      </c>
      <c r="D671" s="90" t="s">
        <v>28</v>
      </c>
      <c r="E671" s="90" t="s">
        <v>727</v>
      </c>
      <c r="F671" s="90" t="s">
        <v>686</v>
      </c>
      <c r="G671" s="95">
        <v>154395.54999999999</v>
      </c>
      <c r="H671" s="94"/>
      <c r="I671" s="94"/>
      <c r="J671" s="94"/>
      <c r="K671" s="94"/>
      <c r="L671" s="94"/>
      <c r="M671" s="94"/>
      <c r="N671" s="94"/>
      <c r="O671" s="95">
        <v>154395.54999999999</v>
      </c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  <c r="AC671" s="94"/>
      <c r="AD671" s="95">
        <v>627.46</v>
      </c>
      <c r="AE671" s="94"/>
      <c r="AF671" s="94"/>
      <c r="AG671" s="95">
        <v>155023.01</v>
      </c>
      <c r="AH671" s="95">
        <v>0</v>
      </c>
    </row>
    <row r="672" spans="1:34" ht="15.75" thickBot="1" x14ac:dyDescent="0.3">
      <c r="A672" s="90" t="s">
        <v>885</v>
      </c>
      <c r="B672" s="90" t="s">
        <v>35</v>
      </c>
      <c r="C672" s="90" t="s">
        <v>36</v>
      </c>
      <c r="D672" s="90" t="s">
        <v>28</v>
      </c>
      <c r="E672" s="90" t="s">
        <v>727</v>
      </c>
      <c r="F672" s="90" t="s">
        <v>697</v>
      </c>
      <c r="G672" s="93">
        <v>154395.54999999999</v>
      </c>
      <c r="H672" s="92"/>
      <c r="I672" s="92"/>
      <c r="J672" s="92"/>
      <c r="K672" s="92"/>
      <c r="L672" s="92"/>
      <c r="M672" s="92"/>
      <c r="N672" s="92"/>
      <c r="O672" s="93">
        <v>154395.54999999999</v>
      </c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93">
        <v>627.46</v>
      </c>
      <c r="AE672" s="92"/>
      <c r="AF672" s="92"/>
      <c r="AG672" s="93">
        <v>155023.01</v>
      </c>
      <c r="AH672" s="93">
        <v>0</v>
      </c>
    </row>
    <row r="673" spans="1:34" ht="15.75" thickBot="1" x14ac:dyDescent="0.3">
      <c r="A673" s="90" t="s">
        <v>885</v>
      </c>
      <c r="B673" s="90" t="s">
        <v>35</v>
      </c>
      <c r="C673" s="90" t="s">
        <v>36</v>
      </c>
      <c r="D673" s="90" t="s">
        <v>28</v>
      </c>
      <c r="E673" s="90" t="s">
        <v>728</v>
      </c>
      <c r="F673" s="90" t="s">
        <v>686</v>
      </c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5">
        <v>74574.77</v>
      </c>
      <c r="AC673" s="94"/>
      <c r="AD673" s="95">
        <v>0</v>
      </c>
      <c r="AE673" s="94"/>
      <c r="AF673" s="94"/>
      <c r="AG673" s="95">
        <v>74574.77</v>
      </c>
      <c r="AH673" s="95">
        <v>0</v>
      </c>
    </row>
    <row r="674" spans="1:34" ht="15.75" thickBot="1" x14ac:dyDescent="0.3">
      <c r="A674" s="90" t="s">
        <v>885</v>
      </c>
      <c r="B674" s="90" t="s">
        <v>35</v>
      </c>
      <c r="C674" s="90" t="s">
        <v>36</v>
      </c>
      <c r="D674" s="90" t="s">
        <v>28</v>
      </c>
      <c r="E674" s="90" t="s">
        <v>728</v>
      </c>
      <c r="F674" s="90" t="s">
        <v>697</v>
      </c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3">
        <v>74574.77</v>
      </c>
      <c r="AC674" s="92"/>
      <c r="AD674" s="93">
        <v>0</v>
      </c>
      <c r="AE674" s="92"/>
      <c r="AF674" s="92"/>
      <c r="AG674" s="93">
        <v>74574.77</v>
      </c>
      <c r="AH674" s="93">
        <v>0</v>
      </c>
    </row>
    <row r="675" spans="1:34" ht="15.75" thickBot="1" x14ac:dyDescent="0.3">
      <c r="A675" s="90" t="s">
        <v>885</v>
      </c>
      <c r="B675" s="90" t="s">
        <v>35</v>
      </c>
      <c r="C675" s="90" t="s">
        <v>36</v>
      </c>
      <c r="D675" s="90" t="s">
        <v>28</v>
      </c>
      <c r="E675" s="90" t="s">
        <v>673</v>
      </c>
      <c r="F675" s="90" t="s">
        <v>686</v>
      </c>
      <c r="G675" s="95">
        <v>1433219.26</v>
      </c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5">
        <v>1433219.26</v>
      </c>
      <c r="Y675" s="94"/>
      <c r="Z675" s="94"/>
      <c r="AA675" s="94"/>
      <c r="AB675" s="94"/>
      <c r="AC675" s="94"/>
      <c r="AD675" s="95">
        <v>6258.24</v>
      </c>
      <c r="AE675" s="94"/>
      <c r="AF675" s="94"/>
      <c r="AG675" s="95">
        <v>1439477.5</v>
      </c>
      <c r="AH675" s="95">
        <v>0</v>
      </c>
    </row>
    <row r="676" spans="1:34" ht="15.75" thickBot="1" x14ac:dyDescent="0.3">
      <c r="A676" s="90" t="s">
        <v>885</v>
      </c>
      <c r="B676" s="90" t="s">
        <v>35</v>
      </c>
      <c r="C676" s="90" t="s">
        <v>36</v>
      </c>
      <c r="D676" s="90" t="s">
        <v>28</v>
      </c>
      <c r="E676" s="90" t="s">
        <v>673</v>
      </c>
      <c r="F676" s="90" t="s">
        <v>697</v>
      </c>
      <c r="G676" s="93">
        <v>1433219.26</v>
      </c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3">
        <v>1433219.26</v>
      </c>
      <c r="Y676" s="92"/>
      <c r="Z676" s="92"/>
      <c r="AA676" s="92"/>
      <c r="AB676" s="92"/>
      <c r="AC676" s="92"/>
      <c r="AD676" s="93">
        <v>6258.24</v>
      </c>
      <c r="AE676" s="92"/>
      <c r="AF676" s="92"/>
      <c r="AG676" s="93">
        <v>1439477.5</v>
      </c>
      <c r="AH676" s="93">
        <v>0</v>
      </c>
    </row>
    <row r="677" spans="1:34" ht="15.75" thickBot="1" x14ac:dyDescent="0.3">
      <c r="A677" s="90" t="s">
        <v>885</v>
      </c>
      <c r="B677" s="90" t="s">
        <v>35</v>
      </c>
      <c r="C677" s="90" t="s">
        <v>36</v>
      </c>
      <c r="D677" s="90" t="s">
        <v>28</v>
      </c>
      <c r="E677" s="90" t="s">
        <v>196</v>
      </c>
      <c r="F677" s="90" t="s">
        <v>686</v>
      </c>
      <c r="G677" s="95">
        <v>4602627.7300000004</v>
      </c>
      <c r="H677" s="94"/>
      <c r="I677" s="94"/>
      <c r="J677" s="94"/>
      <c r="K677" s="94"/>
      <c r="L677" s="94"/>
      <c r="M677" s="94"/>
      <c r="N677" s="94"/>
      <c r="O677" s="94"/>
      <c r="P677" s="95">
        <v>4602627.7300000004</v>
      </c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  <c r="AC677" s="94"/>
      <c r="AD677" s="95">
        <v>18785.61</v>
      </c>
      <c r="AE677" s="94"/>
      <c r="AF677" s="94"/>
      <c r="AG677" s="95">
        <v>4621413.34</v>
      </c>
      <c r="AH677" s="95">
        <v>0</v>
      </c>
    </row>
    <row r="678" spans="1:34" ht="15.75" thickBot="1" x14ac:dyDescent="0.3">
      <c r="A678" s="90" t="s">
        <v>885</v>
      </c>
      <c r="B678" s="90" t="s">
        <v>35</v>
      </c>
      <c r="C678" s="90" t="s">
        <v>36</v>
      </c>
      <c r="D678" s="90" t="s">
        <v>28</v>
      </c>
      <c r="E678" s="90" t="s">
        <v>196</v>
      </c>
      <c r="F678" s="90" t="s">
        <v>697</v>
      </c>
      <c r="G678" s="93">
        <v>4602627.7300000004</v>
      </c>
      <c r="H678" s="92"/>
      <c r="I678" s="92"/>
      <c r="J678" s="92"/>
      <c r="K678" s="92"/>
      <c r="L678" s="92"/>
      <c r="M678" s="92"/>
      <c r="N678" s="92"/>
      <c r="O678" s="92"/>
      <c r="P678" s="93">
        <v>4602627.7300000004</v>
      </c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93">
        <v>18785.61</v>
      </c>
      <c r="AE678" s="92"/>
      <c r="AF678" s="92"/>
      <c r="AG678" s="93">
        <v>4621413.34</v>
      </c>
      <c r="AH678" s="93">
        <v>0</v>
      </c>
    </row>
    <row r="679" spans="1:34" ht="15.75" thickBot="1" x14ac:dyDescent="0.3">
      <c r="A679" s="90" t="s">
        <v>885</v>
      </c>
      <c r="B679" s="90" t="s">
        <v>35</v>
      </c>
      <c r="C679" s="90" t="s">
        <v>36</v>
      </c>
      <c r="D679" s="90" t="s">
        <v>28</v>
      </c>
      <c r="E679" s="90" t="s">
        <v>674</v>
      </c>
      <c r="F679" s="90" t="s">
        <v>686</v>
      </c>
      <c r="G679" s="95">
        <v>967403.03</v>
      </c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5">
        <v>967403.03</v>
      </c>
      <c r="Z679" s="94"/>
      <c r="AA679" s="94"/>
      <c r="AB679" s="94"/>
      <c r="AC679" s="94"/>
      <c r="AD679" s="95">
        <v>5056.1899999999996</v>
      </c>
      <c r="AE679" s="94"/>
      <c r="AF679" s="94"/>
      <c r="AG679" s="95">
        <v>972459.22</v>
      </c>
      <c r="AH679" s="95">
        <v>0</v>
      </c>
    </row>
    <row r="680" spans="1:34" ht="15.75" thickBot="1" x14ac:dyDescent="0.3">
      <c r="A680" s="90" t="s">
        <v>885</v>
      </c>
      <c r="B680" s="90" t="s">
        <v>35</v>
      </c>
      <c r="C680" s="90" t="s">
        <v>36</v>
      </c>
      <c r="D680" s="90" t="s">
        <v>28</v>
      </c>
      <c r="E680" s="90" t="s">
        <v>674</v>
      </c>
      <c r="F680" s="90" t="s">
        <v>697</v>
      </c>
      <c r="G680" s="93">
        <v>967403.03</v>
      </c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3">
        <v>967403.03</v>
      </c>
      <c r="Z680" s="92"/>
      <c r="AA680" s="92"/>
      <c r="AB680" s="92"/>
      <c r="AC680" s="92"/>
      <c r="AD680" s="93">
        <v>5056.1899999999996</v>
      </c>
      <c r="AE680" s="92"/>
      <c r="AF680" s="92"/>
      <c r="AG680" s="93">
        <v>972459.22</v>
      </c>
      <c r="AH680" s="93">
        <v>0</v>
      </c>
    </row>
    <row r="681" spans="1:34" ht="15.75" thickBot="1" x14ac:dyDescent="0.3">
      <c r="A681" s="90" t="s">
        <v>885</v>
      </c>
      <c r="B681" s="90" t="s">
        <v>37</v>
      </c>
      <c r="C681" s="90" t="s">
        <v>38</v>
      </c>
      <c r="D681" s="90" t="s">
        <v>20</v>
      </c>
      <c r="E681" s="90" t="s">
        <v>528</v>
      </c>
      <c r="F681" s="90" t="s">
        <v>686</v>
      </c>
      <c r="G681" s="95">
        <v>13.5</v>
      </c>
      <c r="H681" s="94"/>
      <c r="I681" s="95">
        <v>13.5</v>
      </c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  <c r="AC681" s="94"/>
      <c r="AD681" s="95">
        <v>0</v>
      </c>
      <c r="AE681" s="94"/>
      <c r="AF681" s="94"/>
      <c r="AG681" s="95">
        <v>13.5</v>
      </c>
      <c r="AH681" s="95">
        <v>0</v>
      </c>
    </row>
    <row r="682" spans="1:34" ht="15.75" thickBot="1" x14ac:dyDescent="0.3">
      <c r="A682" s="90" t="s">
        <v>885</v>
      </c>
      <c r="B682" s="90" t="s">
        <v>37</v>
      </c>
      <c r="C682" s="90" t="s">
        <v>38</v>
      </c>
      <c r="D682" s="90" t="s">
        <v>20</v>
      </c>
      <c r="E682" s="90" t="s">
        <v>528</v>
      </c>
      <c r="F682" s="90" t="s">
        <v>697</v>
      </c>
      <c r="G682" s="93">
        <v>13.5</v>
      </c>
      <c r="H682" s="92"/>
      <c r="I682" s="93">
        <v>13.5</v>
      </c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3">
        <v>0</v>
      </c>
      <c r="AE682" s="92"/>
      <c r="AF682" s="92"/>
      <c r="AG682" s="93">
        <v>13.5</v>
      </c>
      <c r="AH682" s="93">
        <v>0</v>
      </c>
    </row>
    <row r="683" spans="1:34" ht="15.75" thickBot="1" x14ac:dyDescent="0.3">
      <c r="A683" s="90" t="s">
        <v>885</v>
      </c>
      <c r="B683" s="90" t="s">
        <v>37</v>
      </c>
      <c r="C683" s="90" t="s">
        <v>38</v>
      </c>
      <c r="D683" s="90" t="s">
        <v>20</v>
      </c>
      <c r="E683" s="90" t="s">
        <v>518</v>
      </c>
      <c r="F683" s="90" t="s">
        <v>686</v>
      </c>
      <c r="G683" s="95">
        <v>63.12</v>
      </c>
      <c r="H683" s="95">
        <v>220</v>
      </c>
      <c r="I683" s="94"/>
      <c r="J683" s="94"/>
      <c r="K683" s="95">
        <v>63.12</v>
      </c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  <c r="AC683" s="94"/>
      <c r="AD683" s="95">
        <v>0</v>
      </c>
      <c r="AE683" s="94"/>
      <c r="AF683" s="94"/>
      <c r="AG683" s="95">
        <v>63.12</v>
      </c>
      <c r="AH683" s="95">
        <v>0</v>
      </c>
    </row>
    <row r="684" spans="1:34" ht="15.75" thickBot="1" x14ac:dyDescent="0.3">
      <c r="A684" s="90" t="s">
        <v>885</v>
      </c>
      <c r="B684" s="90" t="s">
        <v>37</v>
      </c>
      <c r="C684" s="90" t="s">
        <v>38</v>
      </c>
      <c r="D684" s="90" t="s">
        <v>20</v>
      </c>
      <c r="E684" s="90" t="s">
        <v>518</v>
      </c>
      <c r="F684" s="90" t="s">
        <v>697</v>
      </c>
      <c r="G684" s="93">
        <v>63.12</v>
      </c>
      <c r="H684" s="304">
        <v>220</v>
      </c>
      <c r="I684" s="92"/>
      <c r="J684" s="92"/>
      <c r="K684" s="93">
        <v>63.12</v>
      </c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3">
        <v>0</v>
      </c>
      <c r="AE684" s="92"/>
      <c r="AF684" s="92"/>
      <c r="AG684" s="93">
        <v>63.12</v>
      </c>
      <c r="AH684" s="93">
        <v>0</v>
      </c>
    </row>
    <row r="685" spans="1:34" ht="15.75" thickBot="1" x14ac:dyDescent="0.3">
      <c r="A685" s="90" t="s">
        <v>885</v>
      </c>
      <c r="B685" s="90" t="s">
        <v>37</v>
      </c>
      <c r="C685" s="90" t="s">
        <v>38</v>
      </c>
      <c r="D685" s="90" t="s">
        <v>20</v>
      </c>
      <c r="E685" s="90" t="s">
        <v>727</v>
      </c>
      <c r="F685" s="90" t="s">
        <v>686</v>
      </c>
      <c r="G685" s="95">
        <v>2.38</v>
      </c>
      <c r="H685" s="94"/>
      <c r="I685" s="94"/>
      <c r="J685" s="94"/>
      <c r="K685" s="94"/>
      <c r="L685" s="94"/>
      <c r="M685" s="94"/>
      <c r="N685" s="94"/>
      <c r="O685" s="95">
        <v>2.38</v>
      </c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  <c r="AC685" s="94"/>
      <c r="AD685" s="95">
        <v>0</v>
      </c>
      <c r="AE685" s="94"/>
      <c r="AF685" s="94"/>
      <c r="AG685" s="95">
        <v>2.38</v>
      </c>
      <c r="AH685" s="95">
        <v>0</v>
      </c>
    </row>
    <row r="686" spans="1:34" ht="15.75" thickBot="1" x14ac:dyDescent="0.3">
      <c r="A686" s="90" t="s">
        <v>885</v>
      </c>
      <c r="B686" s="90" t="s">
        <v>37</v>
      </c>
      <c r="C686" s="90" t="s">
        <v>38</v>
      </c>
      <c r="D686" s="90" t="s">
        <v>20</v>
      </c>
      <c r="E686" s="90" t="s">
        <v>727</v>
      </c>
      <c r="F686" s="90" t="s">
        <v>697</v>
      </c>
      <c r="G686" s="93">
        <v>2.38</v>
      </c>
      <c r="H686" s="92"/>
      <c r="I686" s="92"/>
      <c r="J686" s="92"/>
      <c r="K686" s="92"/>
      <c r="L686" s="92"/>
      <c r="M686" s="92"/>
      <c r="N686" s="92"/>
      <c r="O686" s="93">
        <v>2.38</v>
      </c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3">
        <v>0</v>
      </c>
      <c r="AE686" s="92"/>
      <c r="AF686" s="92"/>
      <c r="AG686" s="93">
        <v>2.38</v>
      </c>
      <c r="AH686" s="93">
        <v>0</v>
      </c>
    </row>
    <row r="687" spans="1:34" ht="15.75" thickBot="1" x14ac:dyDescent="0.3">
      <c r="A687" s="90" t="s">
        <v>885</v>
      </c>
      <c r="B687" s="90" t="s">
        <v>37</v>
      </c>
      <c r="C687" s="90" t="s">
        <v>38</v>
      </c>
      <c r="D687" s="90" t="s">
        <v>20</v>
      </c>
      <c r="E687" s="90" t="s">
        <v>673</v>
      </c>
      <c r="F687" s="90" t="s">
        <v>686</v>
      </c>
      <c r="G687" s="95">
        <v>4.8499999999999996</v>
      </c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5">
        <v>4.8499999999999996</v>
      </c>
      <c r="Y687" s="94"/>
      <c r="Z687" s="94"/>
      <c r="AA687" s="94"/>
      <c r="AB687" s="94"/>
      <c r="AC687" s="94"/>
      <c r="AD687" s="95">
        <v>0</v>
      </c>
      <c r="AE687" s="94"/>
      <c r="AF687" s="94"/>
      <c r="AG687" s="95">
        <v>4.8499999999999996</v>
      </c>
      <c r="AH687" s="95">
        <v>0</v>
      </c>
    </row>
    <row r="688" spans="1:34" ht="15.75" thickBot="1" x14ac:dyDescent="0.3">
      <c r="A688" s="90" t="s">
        <v>885</v>
      </c>
      <c r="B688" s="90" t="s">
        <v>37</v>
      </c>
      <c r="C688" s="90" t="s">
        <v>38</v>
      </c>
      <c r="D688" s="90" t="s">
        <v>20</v>
      </c>
      <c r="E688" s="90" t="s">
        <v>673</v>
      </c>
      <c r="F688" s="90" t="s">
        <v>697</v>
      </c>
      <c r="G688" s="93">
        <v>4.8499999999999996</v>
      </c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3">
        <v>4.8499999999999996</v>
      </c>
      <c r="Y688" s="92"/>
      <c r="Z688" s="92"/>
      <c r="AA688" s="92"/>
      <c r="AB688" s="92"/>
      <c r="AC688" s="92"/>
      <c r="AD688" s="93">
        <v>0</v>
      </c>
      <c r="AE688" s="92"/>
      <c r="AF688" s="92"/>
      <c r="AG688" s="93">
        <v>4.8499999999999996</v>
      </c>
      <c r="AH688" s="93">
        <v>0</v>
      </c>
    </row>
    <row r="689" spans="1:34" ht="15.75" thickBot="1" x14ac:dyDescent="0.3">
      <c r="A689" s="90" t="s">
        <v>885</v>
      </c>
      <c r="B689" s="90" t="s">
        <v>37</v>
      </c>
      <c r="C689" s="90" t="s">
        <v>38</v>
      </c>
      <c r="D689" s="90" t="s">
        <v>20</v>
      </c>
      <c r="E689" s="90" t="s">
        <v>196</v>
      </c>
      <c r="F689" s="90" t="s">
        <v>686</v>
      </c>
      <c r="G689" s="95">
        <v>71.150000000000006</v>
      </c>
      <c r="H689" s="94"/>
      <c r="I689" s="94"/>
      <c r="J689" s="94"/>
      <c r="K689" s="94"/>
      <c r="L689" s="94"/>
      <c r="M689" s="94"/>
      <c r="N689" s="94"/>
      <c r="O689" s="94"/>
      <c r="P689" s="95">
        <v>71.150000000000006</v>
      </c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  <c r="AC689" s="94"/>
      <c r="AD689" s="95">
        <v>0</v>
      </c>
      <c r="AE689" s="94"/>
      <c r="AF689" s="94"/>
      <c r="AG689" s="95">
        <v>71.150000000000006</v>
      </c>
      <c r="AH689" s="95">
        <v>0</v>
      </c>
    </row>
    <row r="690" spans="1:34" ht="15.75" thickBot="1" x14ac:dyDescent="0.3">
      <c r="A690" s="90" t="s">
        <v>885</v>
      </c>
      <c r="B690" s="90" t="s">
        <v>37</v>
      </c>
      <c r="C690" s="90" t="s">
        <v>38</v>
      </c>
      <c r="D690" s="90" t="s">
        <v>20</v>
      </c>
      <c r="E690" s="90" t="s">
        <v>196</v>
      </c>
      <c r="F690" s="90" t="s">
        <v>697</v>
      </c>
      <c r="G690" s="93">
        <v>71.150000000000006</v>
      </c>
      <c r="H690" s="92"/>
      <c r="I690" s="92"/>
      <c r="J690" s="92"/>
      <c r="K690" s="92"/>
      <c r="L690" s="92"/>
      <c r="M690" s="92"/>
      <c r="N690" s="92"/>
      <c r="O690" s="92"/>
      <c r="P690" s="93">
        <v>71.150000000000006</v>
      </c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3">
        <v>0</v>
      </c>
      <c r="AE690" s="92"/>
      <c r="AF690" s="92"/>
      <c r="AG690" s="93">
        <v>71.150000000000006</v>
      </c>
      <c r="AH690" s="93">
        <v>0</v>
      </c>
    </row>
    <row r="691" spans="1:34" ht="15.75" thickBot="1" x14ac:dyDescent="0.3">
      <c r="A691" s="90" t="s">
        <v>885</v>
      </c>
      <c r="B691" s="90" t="s">
        <v>37</v>
      </c>
      <c r="C691" s="90" t="s">
        <v>38</v>
      </c>
      <c r="D691" s="90" t="s">
        <v>20</v>
      </c>
      <c r="E691" s="90" t="s">
        <v>674</v>
      </c>
      <c r="F691" s="90" t="s">
        <v>686</v>
      </c>
      <c r="G691" s="95">
        <v>3.59</v>
      </c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5">
        <v>3.59</v>
      </c>
      <c r="Z691" s="94"/>
      <c r="AA691" s="94"/>
      <c r="AB691" s="94"/>
      <c r="AC691" s="94"/>
      <c r="AD691" s="95">
        <v>0</v>
      </c>
      <c r="AE691" s="94"/>
      <c r="AF691" s="94"/>
      <c r="AG691" s="95">
        <v>3.59</v>
      </c>
      <c r="AH691" s="95">
        <v>0</v>
      </c>
    </row>
    <row r="692" spans="1:34" ht="15.75" thickBot="1" x14ac:dyDescent="0.3">
      <c r="A692" s="90" t="s">
        <v>885</v>
      </c>
      <c r="B692" s="90" t="s">
        <v>37</v>
      </c>
      <c r="C692" s="90" t="s">
        <v>38</v>
      </c>
      <c r="D692" s="90" t="s">
        <v>20</v>
      </c>
      <c r="E692" s="90" t="s">
        <v>674</v>
      </c>
      <c r="F692" s="90" t="s">
        <v>697</v>
      </c>
      <c r="G692" s="93">
        <v>3.59</v>
      </c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3">
        <v>3.59</v>
      </c>
      <c r="Z692" s="92"/>
      <c r="AA692" s="92"/>
      <c r="AB692" s="92"/>
      <c r="AC692" s="92"/>
      <c r="AD692" s="93">
        <v>0</v>
      </c>
      <c r="AE692" s="92"/>
      <c r="AF692" s="92"/>
      <c r="AG692" s="93">
        <v>3.59</v>
      </c>
      <c r="AH692" s="93">
        <v>0</v>
      </c>
    </row>
    <row r="693" spans="1:34" ht="15.75" thickBot="1" x14ac:dyDescent="0.3">
      <c r="A693" s="90" t="s">
        <v>885</v>
      </c>
      <c r="B693" s="90" t="s">
        <v>37</v>
      </c>
      <c r="C693" s="90" t="s">
        <v>38</v>
      </c>
      <c r="D693" s="90" t="s">
        <v>28</v>
      </c>
      <c r="E693" s="90" t="s">
        <v>528</v>
      </c>
      <c r="F693" s="90" t="s">
        <v>686</v>
      </c>
      <c r="G693" s="95">
        <v>27</v>
      </c>
      <c r="H693" s="94"/>
      <c r="I693" s="95">
        <v>27</v>
      </c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  <c r="AC693" s="94"/>
      <c r="AD693" s="95">
        <v>0</v>
      </c>
      <c r="AE693" s="94"/>
      <c r="AF693" s="94"/>
      <c r="AG693" s="95">
        <v>27</v>
      </c>
      <c r="AH693" s="95">
        <v>0</v>
      </c>
    </row>
    <row r="694" spans="1:34" ht="15.75" thickBot="1" x14ac:dyDescent="0.3">
      <c r="A694" s="90" t="s">
        <v>885</v>
      </c>
      <c r="B694" s="90" t="s">
        <v>37</v>
      </c>
      <c r="C694" s="90" t="s">
        <v>38</v>
      </c>
      <c r="D694" s="90" t="s">
        <v>28</v>
      </c>
      <c r="E694" s="90" t="s">
        <v>528</v>
      </c>
      <c r="F694" s="90" t="s">
        <v>697</v>
      </c>
      <c r="G694" s="93">
        <v>27</v>
      </c>
      <c r="H694" s="92"/>
      <c r="I694" s="93">
        <v>27</v>
      </c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93">
        <v>0</v>
      </c>
      <c r="AE694" s="92"/>
      <c r="AF694" s="92"/>
      <c r="AG694" s="93">
        <v>27</v>
      </c>
      <c r="AH694" s="93">
        <v>0</v>
      </c>
    </row>
    <row r="695" spans="1:34" ht="15.75" thickBot="1" x14ac:dyDescent="0.3">
      <c r="A695" s="90" t="s">
        <v>885</v>
      </c>
      <c r="B695" s="90" t="s">
        <v>37</v>
      </c>
      <c r="C695" s="90" t="s">
        <v>38</v>
      </c>
      <c r="D695" s="90" t="s">
        <v>28</v>
      </c>
      <c r="E695" s="90" t="s">
        <v>518</v>
      </c>
      <c r="F695" s="90" t="s">
        <v>686</v>
      </c>
      <c r="G695" s="95">
        <v>154.08000000000001</v>
      </c>
      <c r="H695" s="95">
        <v>537</v>
      </c>
      <c r="I695" s="94"/>
      <c r="J695" s="94"/>
      <c r="K695" s="95">
        <v>154.08000000000001</v>
      </c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  <c r="AC695" s="94"/>
      <c r="AD695" s="95">
        <v>0</v>
      </c>
      <c r="AE695" s="94"/>
      <c r="AF695" s="94"/>
      <c r="AG695" s="95">
        <v>154.08000000000001</v>
      </c>
      <c r="AH695" s="95">
        <v>0</v>
      </c>
    </row>
    <row r="696" spans="1:34" ht="15.75" thickBot="1" x14ac:dyDescent="0.3">
      <c r="A696" s="90" t="s">
        <v>885</v>
      </c>
      <c r="B696" s="90" t="s">
        <v>37</v>
      </c>
      <c r="C696" s="90" t="s">
        <v>38</v>
      </c>
      <c r="D696" s="90" t="s">
        <v>28</v>
      </c>
      <c r="E696" s="90" t="s">
        <v>518</v>
      </c>
      <c r="F696" s="90" t="s">
        <v>697</v>
      </c>
      <c r="G696" s="93">
        <v>154.08000000000001</v>
      </c>
      <c r="H696" s="304">
        <v>537</v>
      </c>
      <c r="I696" s="92"/>
      <c r="J696" s="92"/>
      <c r="K696" s="93">
        <v>154.08000000000001</v>
      </c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93">
        <v>0</v>
      </c>
      <c r="AE696" s="92"/>
      <c r="AF696" s="92"/>
      <c r="AG696" s="93">
        <v>154.08000000000001</v>
      </c>
      <c r="AH696" s="93">
        <v>0</v>
      </c>
    </row>
    <row r="697" spans="1:34" ht="15.75" thickBot="1" x14ac:dyDescent="0.3">
      <c r="A697" s="90" t="s">
        <v>885</v>
      </c>
      <c r="B697" s="90" t="s">
        <v>37</v>
      </c>
      <c r="C697" s="90" t="s">
        <v>38</v>
      </c>
      <c r="D697" s="90" t="s">
        <v>28</v>
      </c>
      <c r="E697" s="90" t="s">
        <v>727</v>
      </c>
      <c r="F697" s="90" t="s">
        <v>686</v>
      </c>
      <c r="G697" s="95">
        <v>5.82</v>
      </c>
      <c r="H697" s="94"/>
      <c r="I697" s="94"/>
      <c r="J697" s="94"/>
      <c r="K697" s="94"/>
      <c r="L697" s="94"/>
      <c r="M697" s="94"/>
      <c r="N697" s="94"/>
      <c r="O697" s="95">
        <v>5.82</v>
      </c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  <c r="AC697" s="94"/>
      <c r="AD697" s="95">
        <v>0</v>
      </c>
      <c r="AE697" s="94"/>
      <c r="AF697" s="94"/>
      <c r="AG697" s="95">
        <v>5.82</v>
      </c>
      <c r="AH697" s="95">
        <v>0</v>
      </c>
    </row>
    <row r="698" spans="1:34" ht="15.75" thickBot="1" x14ac:dyDescent="0.3">
      <c r="A698" s="90" t="s">
        <v>885</v>
      </c>
      <c r="B698" s="90" t="s">
        <v>37</v>
      </c>
      <c r="C698" s="90" t="s">
        <v>38</v>
      </c>
      <c r="D698" s="90" t="s">
        <v>28</v>
      </c>
      <c r="E698" s="90" t="s">
        <v>727</v>
      </c>
      <c r="F698" s="90" t="s">
        <v>697</v>
      </c>
      <c r="G698" s="93">
        <v>5.82</v>
      </c>
      <c r="H698" s="92"/>
      <c r="I698" s="92"/>
      <c r="J698" s="92"/>
      <c r="K698" s="92"/>
      <c r="L698" s="92"/>
      <c r="M698" s="92"/>
      <c r="N698" s="92"/>
      <c r="O698" s="93">
        <v>5.82</v>
      </c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93">
        <v>0</v>
      </c>
      <c r="AE698" s="92"/>
      <c r="AF698" s="92"/>
      <c r="AG698" s="93">
        <v>5.82</v>
      </c>
      <c r="AH698" s="93">
        <v>0</v>
      </c>
    </row>
    <row r="699" spans="1:34" ht="15.75" thickBot="1" x14ac:dyDescent="0.3">
      <c r="A699" s="90" t="s">
        <v>885</v>
      </c>
      <c r="B699" s="90" t="s">
        <v>37</v>
      </c>
      <c r="C699" s="90" t="s">
        <v>38</v>
      </c>
      <c r="D699" s="90" t="s">
        <v>28</v>
      </c>
      <c r="E699" s="90" t="s">
        <v>673</v>
      </c>
      <c r="F699" s="90" t="s">
        <v>686</v>
      </c>
      <c r="G699" s="95">
        <v>9.6999999999999993</v>
      </c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5">
        <v>9.6999999999999993</v>
      </c>
      <c r="Y699" s="94"/>
      <c r="Z699" s="94"/>
      <c r="AA699" s="94"/>
      <c r="AB699" s="94"/>
      <c r="AC699" s="94"/>
      <c r="AD699" s="95">
        <v>0</v>
      </c>
      <c r="AE699" s="94"/>
      <c r="AF699" s="94"/>
      <c r="AG699" s="95">
        <v>9.6999999999999993</v>
      </c>
      <c r="AH699" s="95">
        <v>0</v>
      </c>
    </row>
    <row r="700" spans="1:34" ht="15.75" thickBot="1" x14ac:dyDescent="0.3">
      <c r="A700" s="90" t="s">
        <v>885</v>
      </c>
      <c r="B700" s="90" t="s">
        <v>37</v>
      </c>
      <c r="C700" s="90" t="s">
        <v>38</v>
      </c>
      <c r="D700" s="90" t="s">
        <v>28</v>
      </c>
      <c r="E700" s="90" t="s">
        <v>673</v>
      </c>
      <c r="F700" s="90" t="s">
        <v>697</v>
      </c>
      <c r="G700" s="93">
        <v>9.6999999999999993</v>
      </c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3">
        <v>9.6999999999999993</v>
      </c>
      <c r="Y700" s="92"/>
      <c r="Z700" s="92"/>
      <c r="AA700" s="92"/>
      <c r="AB700" s="92"/>
      <c r="AC700" s="92"/>
      <c r="AD700" s="93">
        <v>0</v>
      </c>
      <c r="AE700" s="92"/>
      <c r="AF700" s="92"/>
      <c r="AG700" s="93">
        <v>9.6999999999999993</v>
      </c>
      <c r="AH700" s="93">
        <v>0</v>
      </c>
    </row>
    <row r="701" spans="1:34" ht="15.75" thickBot="1" x14ac:dyDescent="0.3">
      <c r="A701" s="90" t="s">
        <v>885</v>
      </c>
      <c r="B701" s="90" t="s">
        <v>37</v>
      </c>
      <c r="C701" s="90" t="s">
        <v>38</v>
      </c>
      <c r="D701" s="90" t="s">
        <v>28</v>
      </c>
      <c r="E701" s="90" t="s">
        <v>196</v>
      </c>
      <c r="F701" s="90" t="s">
        <v>686</v>
      </c>
      <c r="G701" s="95">
        <v>173.68</v>
      </c>
      <c r="H701" s="94"/>
      <c r="I701" s="94"/>
      <c r="J701" s="94"/>
      <c r="K701" s="94"/>
      <c r="L701" s="94"/>
      <c r="M701" s="94"/>
      <c r="N701" s="94"/>
      <c r="O701" s="94"/>
      <c r="P701" s="95">
        <v>173.68</v>
      </c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  <c r="AC701" s="94"/>
      <c r="AD701" s="95">
        <v>0</v>
      </c>
      <c r="AE701" s="94"/>
      <c r="AF701" s="94"/>
      <c r="AG701" s="95">
        <v>173.68</v>
      </c>
      <c r="AH701" s="95">
        <v>0</v>
      </c>
    </row>
    <row r="702" spans="1:34" ht="15.75" thickBot="1" x14ac:dyDescent="0.3">
      <c r="A702" s="90" t="s">
        <v>885</v>
      </c>
      <c r="B702" s="90" t="s">
        <v>37</v>
      </c>
      <c r="C702" s="90" t="s">
        <v>38</v>
      </c>
      <c r="D702" s="90" t="s">
        <v>28</v>
      </c>
      <c r="E702" s="90" t="s">
        <v>196</v>
      </c>
      <c r="F702" s="90" t="s">
        <v>697</v>
      </c>
      <c r="G702" s="93">
        <v>173.68</v>
      </c>
      <c r="H702" s="92"/>
      <c r="I702" s="92"/>
      <c r="J702" s="92"/>
      <c r="K702" s="92"/>
      <c r="L702" s="92"/>
      <c r="M702" s="92"/>
      <c r="N702" s="92"/>
      <c r="O702" s="92"/>
      <c r="P702" s="93">
        <v>173.68</v>
      </c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93">
        <v>0</v>
      </c>
      <c r="AE702" s="92"/>
      <c r="AF702" s="92"/>
      <c r="AG702" s="93">
        <v>173.68</v>
      </c>
      <c r="AH702" s="93">
        <v>0</v>
      </c>
    </row>
    <row r="703" spans="1:34" ht="15.75" thickBot="1" x14ac:dyDescent="0.3">
      <c r="A703" s="90" t="s">
        <v>885</v>
      </c>
      <c r="B703" s="90" t="s">
        <v>37</v>
      </c>
      <c r="C703" s="90" t="s">
        <v>38</v>
      </c>
      <c r="D703" s="90" t="s">
        <v>28</v>
      </c>
      <c r="E703" s="90" t="s">
        <v>674</v>
      </c>
      <c r="F703" s="90" t="s">
        <v>686</v>
      </c>
      <c r="G703" s="95">
        <v>11.5</v>
      </c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5">
        <v>11.5</v>
      </c>
      <c r="Z703" s="94"/>
      <c r="AA703" s="94"/>
      <c r="AB703" s="94"/>
      <c r="AC703" s="94"/>
      <c r="AD703" s="95">
        <v>0</v>
      </c>
      <c r="AE703" s="94"/>
      <c r="AF703" s="94"/>
      <c r="AG703" s="95">
        <v>11.5</v>
      </c>
      <c r="AH703" s="95">
        <v>0</v>
      </c>
    </row>
    <row r="704" spans="1:34" ht="15.75" thickBot="1" x14ac:dyDescent="0.3">
      <c r="A704" s="90" t="s">
        <v>885</v>
      </c>
      <c r="B704" s="90" t="s">
        <v>37</v>
      </c>
      <c r="C704" s="90" t="s">
        <v>38</v>
      </c>
      <c r="D704" s="90" t="s">
        <v>28</v>
      </c>
      <c r="E704" s="90" t="s">
        <v>674</v>
      </c>
      <c r="F704" s="90" t="s">
        <v>697</v>
      </c>
      <c r="G704" s="93">
        <v>11.5</v>
      </c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3">
        <v>11.5</v>
      </c>
      <c r="Z704" s="92"/>
      <c r="AA704" s="92"/>
      <c r="AB704" s="92"/>
      <c r="AC704" s="92"/>
      <c r="AD704" s="93">
        <v>0</v>
      </c>
      <c r="AE704" s="92"/>
      <c r="AF704" s="92"/>
      <c r="AG704" s="93">
        <v>11.5</v>
      </c>
      <c r="AH704" s="93">
        <v>0</v>
      </c>
    </row>
    <row r="705" spans="1:34" ht="15.75" thickBot="1" x14ac:dyDescent="0.3">
      <c r="A705" s="90" t="s">
        <v>885</v>
      </c>
      <c r="B705" s="90" t="s">
        <v>29</v>
      </c>
      <c r="C705" s="90" t="s">
        <v>30</v>
      </c>
      <c r="D705" s="90" t="s">
        <v>17</v>
      </c>
      <c r="E705" s="90" t="s">
        <v>726</v>
      </c>
      <c r="F705" s="90" t="s">
        <v>686</v>
      </c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  <c r="AC705" s="95">
        <v>2.44</v>
      </c>
      <c r="AD705" s="95">
        <v>0.14000000000000001</v>
      </c>
      <c r="AE705" s="94"/>
      <c r="AF705" s="94"/>
      <c r="AG705" s="95">
        <v>2.58</v>
      </c>
      <c r="AH705" s="95">
        <v>0</v>
      </c>
    </row>
    <row r="706" spans="1:34" ht="15.75" thickBot="1" x14ac:dyDescent="0.3">
      <c r="A706" s="90" t="s">
        <v>885</v>
      </c>
      <c r="B706" s="90" t="s">
        <v>29</v>
      </c>
      <c r="C706" s="90" t="s">
        <v>30</v>
      </c>
      <c r="D706" s="90" t="s">
        <v>17</v>
      </c>
      <c r="E706" s="90" t="s">
        <v>726</v>
      </c>
      <c r="F706" s="90" t="s">
        <v>697</v>
      </c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3">
        <v>2.44</v>
      </c>
      <c r="AD706" s="93">
        <v>0.14000000000000001</v>
      </c>
      <c r="AE706" s="92"/>
      <c r="AF706" s="92"/>
      <c r="AG706" s="93">
        <v>2.58</v>
      </c>
      <c r="AH706" s="93">
        <v>0</v>
      </c>
    </row>
    <row r="707" spans="1:34" ht="15.75" thickBot="1" x14ac:dyDescent="0.3">
      <c r="A707" s="90" t="s">
        <v>885</v>
      </c>
      <c r="B707" s="90" t="s">
        <v>29</v>
      </c>
      <c r="C707" s="90" t="s">
        <v>30</v>
      </c>
      <c r="D707" s="90" t="s">
        <v>17</v>
      </c>
      <c r="E707" s="90" t="s">
        <v>528</v>
      </c>
      <c r="F707" s="90" t="s">
        <v>686</v>
      </c>
      <c r="G707" s="95">
        <v>24760</v>
      </c>
      <c r="H707" s="94"/>
      <c r="I707" s="95">
        <v>24760</v>
      </c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  <c r="AC707" s="94"/>
      <c r="AD707" s="95">
        <v>1568.7</v>
      </c>
      <c r="AE707" s="94"/>
      <c r="AF707" s="94"/>
      <c r="AG707" s="95">
        <v>26328.7</v>
      </c>
      <c r="AH707" s="95">
        <v>0</v>
      </c>
    </row>
    <row r="708" spans="1:34" ht="15.75" thickBot="1" x14ac:dyDescent="0.3">
      <c r="A708" s="90" t="s">
        <v>885</v>
      </c>
      <c r="B708" s="90" t="s">
        <v>29</v>
      </c>
      <c r="C708" s="90" t="s">
        <v>30</v>
      </c>
      <c r="D708" s="90" t="s">
        <v>17</v>
      </c>
      <c r="E708" s="90" t="s">
        <v>528</v>
      </c>
      <c r="F708" s="90" t="s">
        <v>697</v>
      </c>
      <c r="G708" s="93">
        <v>24760</v>
      </c>
      <c r="H708" s="92"/>
      <c r="I708" s="93">
        <v>24760</v>
      </c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93">
        <v>1568.7</v>
      </c>
      <c r="AE708" s="92"/>
      <c r="AF708" s="92"/>
      <c r="AG708" s="93">
        <v>26328.7</v>
      </c>
      <c r="AH708" s="93">
        <v>0</v>
      </c>
    </row>
    <row r="709" spans="1:34" ht="15.75" thickBot="1" x14ac:dyDescent="0.3">
      <c r="A709" s="90" t="s">
        <v>885</v>
      </c>
      <c r="B709" s="90" t="s">
        <v>29</v>
      </c>
      <c r="C709" s="90" t="s">
        <v>30</v>
      </c>
      <c r="D709" s="90" t="s">
        <v>17</v>
      </c>
      <c r="E709" s="90" t="s">
        <v>518</v>
      </c>
      <c r="F709" s="90" t="s">
        <v>686</v>
      </c>
      <c r="G709" s="95">
        <v>134.55000000000001</v>
      </c>
      <c r="H709" s="95">
        <v>612</v>
      </c>
      <c r="I709" s="94"/>
      <c r="J709" s="94"/>
      <c r="K709" s="95">
        <v>134.55000000000001</v>
      </c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  <c r="AC709" s="94"/>
      <c r="AD709" s="95">
        <v>6.84</v>
      </c>
      <c r="AE709" s="94"/>
      <c r="AF709" s="94"/>
      <c r="AG709" s="95">
        <v>141.38999999999999</v>
      </c>
      <c r="AH709" s="95">
        <v>0</v>
      </c>
    </row>
    <row r="710" spans="1:34" ht="15.75" thickBot="1" x14ac:dyDescent="0.3">
      <c r="A710" s="90" t="s">
        <v>885</v>
      </c>
      <c r="B710" s="90" t="s">
        <v>29</v>
      </c>
      <c r="C710" s="90" t="s">
        <v>30</v>
      </c>
      <c r="D710" s="90" t="s">
        <v>17</v>
      </c>
      <c r="E710" s="90" t="s">
        <v>518</v>
      </c>
      <c r="F710" s="90" t="s">
        <v>697</v>
      </c>
      <c r="G710" s="93">
        <v>134.55000000000001</v>
      </c>
      <c r="H710" s="304">
        <v>612</v>
      </c>
      <c r="I710" s="92"/>
      <c r="J710" s="92"/>
      <c r="K710" s="93">
        <v>134.55000000000001</v>
      </c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93">
        <v>6.84</v>
      </c>
      <c r="AE710" s="92"/>
      <c r="AF710" s="92"/>
      <c r="AG710" s="93">
        <v>141.38999999999999</v>
      </c>
      <c r="AH710" s="93">
        <v>0</v>
      </c>
    </row>
    <row r="711" spans="1:34" ht="15.75" thickBot="1" x14ac:dyDescent="0.3">
      <c r="A711" s="90" t="s">
        <v>885</v>
      </c>
      <c r="B711" s="90" t="s">
        <v>29</v>
      </c>
      <c r="C711" s="90" t="s">
        <v>30</v>
      </c>
      <c r="D711" s="90" t="s">
        <v>17</v>
      </c>
      <c r="E711" s="90" t="s">
        <v>196</v>
      </c>
      <c r="F711" s="90" t="s">
        <v>686</v>
      </c>
      <c r="G711" s="95">
        <v>195.93</v>
      </c>
      <c r="H711" s="94"/>
      <c r="I711" s="94"/>
      <c r="J711" s="94"/>
      <c r="K711" s="94"/>
      <c r="L711" s="94"/>
      <c r="M711" s="94"/>
      <c r="N711" s="94"/>
      <c r="O711" s="94"/>
      <c r="P711" s="95">
        <v>195.93</v>
      </c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  <c r="AC711" s="94"/>
      <c r="AD711" s="95">
        <v>12.87</v>
      </c>
      <c r="AE711" s="94"/>
      <c r="AF711" s="94"/>
      <c r="AG711" s="95">
        <v>208.8</v>
      </c>
      <c r="AH711" s="95">
        <v>0</v>
      </c>
    </row>
    <row r="712" spans="1:34" ht="15.75" thickBot="1" x14ac:dyDescent="0.3">
      <c r="A712" s="90" t="s">
        <v>885</v>
      </c>
      <c r="B712" s="90" t="s">
        <v>29</v>
      </c>
      <c r="C712" s="90" t="s">
        <v>30</v>
      </c>
      <c r="D712" s="90" t="s">
        <v>17</v>
      </c>
      <c r="E712" s="90" t="s">
        <v>196</v>
      </c>
      <c r="F712" s="90" t="s">
        <v>697</v>
      </c>
      <c r="G712" s="93">
        <v>195.93</v>
      </c>
      <c r="H712" s="92"/>
      <c r="I712" s="92"/>
      <c r="J712" s="92"/>
      <c r="K712" s="92"/>
      <c r="L712" s="92"/>
      <c r="M712" s="92"/>
      <c r="N712" s="92"/>
      <c r="O712" s="92"/>
      <c r="P712" s="93">
        <v>195.93</v>
      </c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3">
        <v>12.87</v>
      </c>
      <c r="AE712" s="92"/>
      <c r="AF712" s="92"/>
      <c r="AG712" s="93">
        <v>208.8</v>
      </c>
      <c r="AH712" s="93">
        <v>0</v>
      </c>
    </row>
    <row r="713" spans="1:34" ht="15.75" thickBot="1" x14ac:dyDescent="0.3">
      <c r="A713" s="90" t="s">
        <v>871</v>
      </c>
      <c r="B713" s="90" t="s">
        <v>26</v>
      </c>
      <c r="C713" s="90" t="s">
        <v>875</v>
      </c>
      <c r="D713" s="90" t="s">
        <v>17</v>
      </c>
      <c r="E713" s="90" t="s">
        <v>919</v>
      </c>
      <c r="F713" s="90" t="s">
        <v>686</v>
      </c>
      <c r="G713" s="93">
        <v>-1.82</v>
      </c>
      <c r="H713" s="92"/>
      <c r="I713" s="93">
        <v>-1.82</v>
      </c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93">
        <v>-0.14000000000000001</v>
      </c>
      <c r="AE713" s="92"/>
      <c r="AF713" s="92"/>
      <c r="AG713" s="93">
        <v>-1.96</v>
      </c>
      <c r="AH713" s="93">
        <v>0</v>
      </c>
    </row>
    <row r="714" spans="1:34" ht="15.75" thickBot="1" x14ac:dyDescent="0.3">
      <c r="A714" s="90" t="s">
        <v>871</v>
      </c>
      <c r="B714" s="90" t="s">
        <v>26</v>
      </c>
      <c r="C714" s="90" t="s">
        <v>875</v>
      </c>
      <c r="D714" s="90" t="s">
        <v>17</v>
      </c>
      <c r="E714" s="90" t="s">
        <v>919</v>
      </c>
      <c r="F714" s="90" t="s">
        <v>697</v>
      </c>
      <c r="G714" s="95">
        <v>-1.82</v>
      </c>
      <c r="H714" s="94"/>
      <c r="I714" s="95">
        <v>-1.82</v>
      </c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  <c r="AC714" s="94"/>
      <c r="AD714" s="95">
        <v>-0.14000000000000001</v>
      </c>
      <c r="AE714" s="94"/>
      <c r="AF714" s="94"/>
      <c r="AG714" s="95">
        <v>-1.96</v>
      </c>
      <c r="AH714" s="95">
        <v>0</v>
      </c>
    </row>
    <row r="715" spans="1:34" ht="15.75" thickBot="1" x14ac:dyDescent="0.3">
      <c r="A715" s="90" t="s">
        <v>871</v>
      </c>
      <c r="B715" s="90" t="s">
        <v>26</v>
      </c>
      <c r="C715" s="90" t="s">
        <v>875</v>
      </c>
      <c r="D715" s="90" t="s">
        <v>17</v>
      </c>
      <c r="E715" s="90" t="s">
        <v>726</v>
      </c>
      <c r="F715" s="90" t="s">
        <v>686</v>
      </c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3">
        <v>1451.74</v>
      </c>
      <c r="AD715" s="93">
        <v>80.36</v>
      </c>
      <c r="AE715" s="92"/>
      <c r="AF715" s="92"/>
      <c r="AG715" s="93">
        <v>1532.1</v>
      </c>
      <c r="AH715" s="93">
        <v>0</v>
      </c>
    </row>
    <row r="716" spans="1:34" ht="15.75" thickBot="1" x14ac:dyDescent="0.3">
      <c r="A716" s="90" t="s">
        <v>871</v>
      </c>
      <c r="B716" s="90" t="s">
        <v>26</v>
      </c>
      <c r="C716" s="90" t="s">
        <v>875</v>
      </c>
      <c r="D716" s="90" t="s">
        <v>17</v>
      </c>
      <c r="E716" s="90" t="s">
        <v>726</v>
      </c>
      <c r="F716" s="90" t="s">
        <v>697</v>
      </c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  <c r="AC716" s="95">
        <v>1451.74</v>
      </c>
      <c r="AD716" s="95">
        <v>80.36</v>
      </c>
      <c r="AE716" s="94"/>
      <c r="AF716" s="94"/>
      <c r="AG716" s="95">
        <v>1532.1</v>
      </c>
      <c r="AH716" s="95">
        <v>0</v>
      </c>
    </row>
    <row r="717" spans="1:34" ht="15.75" thickBot="1" x14ac:dyDescent="0.3">
      <c r="A717" s="90" t="s">
        <v>871</v>
      </c>
      <c r="B717" s="90" t="s">
        <v>26</v>
      </c>
      <c r="C717" s="90" t="s">
        <v>875</v>
      </c>
      <c r="D717" s="90" t="s">
        <v>17</v>
      </c>
      <c r="E717" s="90" t="s">
        <v>528</v>
      </c>
      <c r="F717" s="90" t="s">
        <v>686</v>
      </c>
      <c r="G717" s="93">
        <v>1080937.94</v>
      </c>
      <c r="H717" s="92"/>
      <c r="I717" s="93">
        <v>1080937.94</v>
      </c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93">
        <v>63599.88</v>
      </c>
      <c r="AE717" s="92"/>
      <c r="AF717" s="92"/>
      <c r="AG717" s="93">
        <v>1144537.82</v>
      </c>
      <c r="AH717" s="93">
        <v>0</v>
      </c>
    </row>
    <row r="718" spans="1:34" ht="15.75" thickBot="1" x14ac:dyDescent="0.3">
      <c r="A718" s="90" t="s">
        <v>871</v>
      </c>
      <c r="B718" s="90" t="s">
        <v>26</v>
      </c>
      <c r="C718" s="90" t="s">
        <v>875</v>
      </c>
      <c r="D718" s="90" t="s">
        <v>17</v>
      </c>
      <c r="E718" s="90" t="s">
        <v>528</v>
      </c>
      <c r="F718" s="90" t="s">
        <v>697</v>
      </c>
      <c r="G718" s="95">
        <v>1080937.94</v>
      </c>
      <c r="H718" s="94"/>
      <c r="I718" s="95">
        <v>1080937.94</v>
      </c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  <c r="AC718" s="94"/>
      <c r="AD718" s="95">
        <v>63599.88</v>
      </c>
      <c r="AE718" s="94"/>
      <c r="AF718" s="94"/>
      <c r="AG718" s="95">
        <v>1144537.82</v>
      </c>
      <c r="AH718" s="95">
        <v>0</v>
      </c>
    </row>
    <row r="719" spans="1:34" ht="15.75" thickBot="1" x14ac:dyDescent="0.3">
      <c r="A719" s="90" t="s">
        <v>871</v>
      </c>
      <c r="B719" s="90" t="s">
        <v>26</v>
      </c>
      <c r="C719" s="90" t="s">
        <v>875</v>
      </c>
      <c r="D719" s="90" t="s">
        <v>17</v>
      </c>
      <c r="E719" s="90" t="s">
        <v>518</v>
      </c>
      <c r="F719" s="90" t="s">
        <v>686</v>
      </c>
      <c r="G719" s="93">
        <v>786601.91</v>
      </c>
      <c r="H719" s="93">
        <v>3964987</v>
      </c>
      <c r="I719" s="92"/>
      <c r="J719" s="92"/>
      <c r="K719" s="93">
        <v>786601.91</v>
      </c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93">
        <v>42283.28</v>
      </c>
      <c r="AE719" s="92"/>
      <c r="AF719" s="92"/>
      <c r="AG719" s="93">
        <v>828885.19</v>
      </c>
      <c r="AH719" s="93">
        <v>0</v>
      </c>
    </row>
    <row r="720" spans="1:34" ht="15.75" thickBot="1" x14ac:dyDescent="0.3">
      <c r="A720" s="90" t="s">
        <v>871</v>
      </c>
      <c r="B720" s="90" t="s">
        <v>26</v>
      </c>
      <c r="C720" s="90" t="s">
        <v>875</v>
      </c>
      <c r="D720" s="90" t="s">
        <v>17</v>
      </c>
      <c r="E720" s="90" t="s">
        <v>518</v>
      </c>
      <c r="F720" s="90" t="s">
        <v>697</v>
      </c>
      <c r="G720" s="95">
        <v>786601.91</v>
      </c>
      <c r="H720" s="305">
        <v>3964987</v>
      </c>
      <c r="I720" s="94"/>
      <c r="J720" s="94"/>
      <c r="K720" s="95">
        <v>786601.91</v>
      </c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  <c r="AC720" s="94"/>
      <c r="AD720" s="95">
        <v>42283.28</v>
      </c>
      <c r="AE720" s="94"/>
      <c r="AF720" s="94"/>
      <c r="AG720" s="95">
        <v>828885.19</v>
      </c>
      <c r="AH720" s="95">
        <v>0</v>
      </c>
    </row>
    <row r="721" spans="1:34" ht="15.75" thickBot="1" x14ac:dyDescent="0.3">
      <c r="A721" s="90" t="s">
        <v>871</v>
      </c>
      <c r="B721" s="90" t="s">
        <v>26</v>
      </c>
      <c r="C721" s="90" t="s">
        <v>875</v>
      </c>
      <c r="D721" s="90" t="s">
        <v>17</v>
      </c>
      <c r="E721" s="90" t="s">
        <v>727</v>
      </c>
      <c r="F721" s="90" t="s">
        <v>686</v>
      </c>
      <c r="G721" s="93">
        <v>2256.21</v>
      </c>
      <c r="H721" s="92"/>
      <c r="I721" s="92"/>
      <c r="J721" s="92"/>
      <c r="K721" s="92"/>
      <c r="L721" s="92"/>
      <c r="M721" s="92"/>
      <c r="N721" s="92"/>
      <c r="O721" s="93">
        <v>2256.21</v>
      </c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93">
        <v>107.75</v>
      </c>
      <c r="AE721" s="92"/>
      <c r="AF721" s="92"/>
      <c r="AG721" s="93">
        <v>2363.96</v>
      </c>
      <c r="AH721" s="93">
        <v>0</v>
      </c>
    </row>
    <row r="722" spans="1:34" ht="15.75" thickBot="1" x14ac:dyDescent="0.3">
      <c r="A722" s="90" t="s">
        <v>871</v>
      </c>
      <c r="B722" s="90" t="s">
        <v>26</v>
      </c>
      <c r="C722" s="90" t="s">
        <v>875</v>
      </c>
      <c r="D722" s="90" t="s">
        <v>17</v>
      </c>
      <c r="E722" s="90" t="s">
        <v>727</v>
      </c>
      <c r="F722" s="90" t="s">
        <v>697</v>
      </c>
      <c r="G722" s="95">
        <v>2256.21</v>
      </c>
      <c r="H722" s="94"/>
      <c r="I722" s="94"/>
      <c r="J722" s="94"/>
      <c r="K722" s="94"/>
      <c r="L722" s="94"/>
      <c r="M722" s="94"/>
      <c r="N722" s="94"/>
      <c r="O722" s="95">
        <v>2256.21</v>
      </c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  <c r="AC722" s="94"/>
      <c r="AD722" s="95">
        <v>107.75</v>
      </c>
      <c r="AE722" s="94"/>
      <c r="AF722" s="94"/>
      <c r="AG722" s="95">
        <v>2363.96</v>
      </c>
      <c r="AH722" s="95">
        <v>0</v>
      </c>
    </row>
    <row r="723" spans="1:34" ht="15.75" thickBot="1" x14ac:dyDescent="0.3">
      <c r="A723" s="90" t="s">
        <v>871</v>
      </c>
      <c r="B723" s="90" t="s">
        <v>26</v>
      </c>
      <c r="C723" s="90" t="s">
        <v>875</v>
      </c>
      <c r="D723" s="90" t="s">
        <v>17</v>
      </c>
      <c r="E723" s="90" t="s">
        <v>673</v>
      </c>
      <c r="F723" s="90" t="s">
        <v>686</v>
      </c>
      <c r="G723" s="93">
        <v>642766.06999999995</v>
      </c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3">
        <v>642766.06999999995</v>
      </c>
      <c r="Y723" s="92"/>
      <c r="Z723" s="92"/>
      <c r="AA723" s="92"/>
      <c r="AB723" s="92"/>
      <c r="AC723" s="92"/>
      <c r="AD723" s="93">
        <v>38563.440000000002</v>
      </c>
      <c r="AE723" s="92"/>
      <c r="AF723" s="92"/>
      <c r="AG723" s="93">
        <v>681329.51</v>
      </c>
      <c r="AH723" s="93">
        <v>0</v>
      </c>
    </row>
    <row r="724" spans="1:34" ht="15.75" thickBot="1" x14ac:dyDescent="0.3">
      <c r="A724" s="90" t="s">
        <v>871</v>
      </c>
      <c r="B724" s="90" t="s">
        <v>26</v>
      </c>
      <c r="C724" s="90" t="s">
        <v>875</v>
      </c>
      <c r="D724" s="90" t="s">
        <v>17</v>
      </c>
      <c r="E724" s="90" t="s">
        <v>673</v>
      </c>
      <c r="F724" s="90" t="s">
        <v>697</v>
      </c>
      <c r="G724" s="95">
        <v>642766.06999999995</v>
      </c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5">
        <v>642766.06999999995</v>
      </c>
      <c r="Y724" s="94"/>
      <c r="Z724" s="94"/>
      <c r="AA724" s="94"/>
      <c r="AB724" s="94"/>
      <c r="AC724" s="94"/>
      <c r="AD724" s="95">
        <v>38563.440000000002</v>
      </c>
      <c r="AE724" s="94"/>
      <c r="AF724" s="94"/>
      <c r="AG724" s="95">
        <v>681329.51</v>
      </c>
      <c r="AH724" s="95">
        <v>0</v>
      </c>
    </row>
    <row r="725" spans="1:34" ht="15.75" thickBot="1" x14ac:dyDescent="0.3">
      <c r="A725" s="90" t="s">
        <v>871</v>
      </c>
      <c r="B725" s="90" t="s">
        <v>26</v>
      </c>
      <c r="C725" s="90" t="s">
        <v>875</v>
      </c>
      <c r="D725" s="90" t="s">
        <v>17</v>
      </c>
      <c r="E725" s="90" t="s">
        <v>196</v>
      </c>
      <c r="F725" s="90" t="s">
        <v>686</v>
      </c>
      <c r="G725" s="93">
        <v>1333987.1599999999</v>
      </c>
      <c r="H725" s="92"/>
      <c r="I725" s="92"/>
      <c r="J725" s="92"/>
      <c r="K725" s="92"/>
      <c r="L725" s="92"/>
      <c r="M725" s="92"/>
      <c r="N725" s="92"/>
      <c r="O725" s="92"/>
      <c r="P725" s="93">
        <v>1333987.1599999999</v>
      </c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93">
        <v>70950.02</v>
      </c>
      <c r="AE725" s="92"/>
      <c r="AF725" s="92"/>
      <c r="AG725" s="93">
        <v>1404937.18</v>
      </c>
      <c r="AH725" s="93">
        <v>0</v>
      </c>
    </row>
    <row r="726" spans="1:34" ht="15.75" thickBot="1" x14ac:dyDescent="0.3">
      <c r="A726" s="90" t="s">
        <v>871</v>
      </c>
      <c r="B726" s="90" t="s">
        <v>26</v>
      </c>
      <c r="C726" s="90" t="s">
        <v>875</v>
      </c>
      <c r="D726" s="90" t="s">
        <v>17</v>
      </c>
      <c r="E726" s="90" t="s">
        <v>196</v>
      </c>
      <c r="F726" s="90" t="s">
        <v>697</v>
      </c>
      <c r="G726" s="95">
        <v>1333987.1599999999</v>
      </c>
      <c r="H726" s="94"/>
      <c r="I726" s="94"/>
      <c r="J726" s="94"/>
      <c r="K726" s="94"/>
      <c r="L726" s="94"/>
      <c r="M726" s="94"/>
      <c r="N726" s="94"/>
      <c r="O726" s="94"/>
      <c r="P726" s="95">
        <v>1333987.1599999999</v>
      </c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  <c r="AC726" s="94"/>
      <c r="AD726" s="95">
        <v>70950.02</v>
      </c>
      <c r="AE726" s="94"/>
      <c r="AF726" s="94"/>
      <c r="AG726" s="95">
        <v>1404937.18</v>
      </c>
      <c r="AH726" s="95">
        <v>0</v>
      </c>
    </row>
    <row r="727" spans="1:34" ht="15.75" thickBot="1" x14ac:dyDescent="0.3">
      <c r="A727" s="90" t="s">
        <v>871</v>
      </c>
      <c r="B727" s="90" t="s">
        <v>26</v>
      </c>
      <c r="C727" s="90" t="s">
        <v>875</v>
      </c>
      <c r="D727" s="90" t="s">
        <v>17</v>
      </c>
      <c r="E727" s="90" t="s">
        <v>674</v>
      </c>
      <c r="F727" s="90" t="s">
        <v>686</v>
      </c>
      <c r="G727" s="93">
        <v>5607.86</v>
      </c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3">
        <v>5607.86</v>
      </c>
      <c r="Z727" s="92"/>
      <c r="AA727" s="92"/>
      <c r="AB727" s="92"/>
      <c r="AC727" s="92"/>
      <c r="AD727" s="93">
        <v>53.86</v>
      </c>
      <c r="AE727" s="92"/>
      <c r="AF727" s="92"/>
      <c r="AG727" s="93">
        <v>5661.72</v>
      </c>
      <c r="AH727" s="93">
        <v>0</v>
      </c>
    </row>
    <row r="728" spans="1:34" ht="15.75" thickBot="1" x14ac:dyDescent="0.3">
      <c r="A728" s="90" t="s">
        <v>871</v>
      </c>
      <c r="B728" s="90" t="s">
        <v>26</v>
      </c>
      <c r="C728" s="90" t="s">
        <v>875</v>
      </c>
      <c r="D728" s="90" t="s">
        <v>17</v>
      </c>
      <c r="E728" s="90" t="s">
        <v>674</v>
      </c>
      <c r="F728" s="90" t="s">
        <v>697</v>
      </c>
      <c r="G728" s="95">
        <v>5607.86</v>
      </c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5">
        <v>5607.86</v>
      </c>
      <c r="Z728" s="94"/>
      <c r="AA728" s="94"/>
      <c r="AB728" s="94"/>
      <c r="AC728" s="94"/>
      <c r="AD728" s="95">
        <v>53.86</v>
      </c>
      <c r="AE728" s="94"/>
      <c r="AF728" s="94"/>
      <c r="AG728" s="95">
        <v>5661.72</v>
      </c>
      <c r="AH728" s="95">
        <v>0</v>
      </c>
    </row>
    <row r="729" spans="1:34" ht="15.75" thickBot="1" x14ac:dyDescent="0.3">
      <c r="A729" s="90" t="s">
        <v>871</v>
      </c>
      <c r="B729" s="90" t="s">
        <v>26</v>
      </c>
      <c r="C729" s="90" t="s">
        <v>875</v>
      </c>
      <c r="D729" s="90" t="s">
        <v>20</v>
      </c>
      <c r="E729" s="90" t="s">
        <v>726</v>
      </c>
      <c r="F729" s="90" t="s">
        <v>686</v>
      </c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3">
        <v>124.91</v>
      </c>
      <c r="AD729" s="93">
        <v>0</v>
      </c>
      <c r="AE729" s="92"/>
      <c r="AF729" s="92"/>
      <c r="AG729" s="93">
        <v>124.91</v>
      </c>
      <c r="AH729" s="93">
        <v>0</v>
      </c>
    </row>
    <row r="730" spans="1:34" ht="15.75" thickBot="1" x14ac:dyDescent="0.3">
      <c r="A730" s="90" t="s">
        <v>871</v>
      </c>
      <c r="B730" s="90" t="s">
        <v>26</v>
      </c>
      <c r="C730" s="90" t="s">
        <v>875</v>
      </c>
      <c r="D730" s="90" t="s">
        <v>20</v>
      </c>
      <c r="E730" s="90" t="s">
        <v>726</v>
      </c>
      <c r="F730" s="90" t="s">
        <v>697</v>
      </c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  <c r="AC730" s="95">
        <v>124.91</v>
      </c>
      <c r="AD730" s="95">
        <v>0</v>
      </c>
      <c r="AE730" s="94"/>
      <c r="AF730" s="94"/>
      <c r="AG730" s="95">
        <v>124.91</v>
      </c>
      <c r="AH730" s="95">
        <v>0</v>
      </c>
    </row>
    <row r="731" spans="1:34" ht="15.75" thickBot="1" x14ac:dyDescent="0.3">
      <c r="A731" s="90" t="s">
        <v>871</v>
      </c>
      <c r="B731" s="90" t="s">
        <v>26</v>
      </c>
      <c r="C731" s="90" t="s">
        <v>875</v>
      </c>
      <c r="D731" s="90" t="s">
        <v>20</v>
      </c>
      <c r="E731" s="90" t="s">
        <v>528</v>
      </c>
      <c r="F731" s="90" t="s">
        <v>686</v>
      </c>
      <c r="G731" s="93">
        <v>82285.33</v>
      </c>
      <c r="H731" s="92"/>
      <c r="I731" s="93">
        <v>82285.33</v>
      </c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3">
        <v>601.54999999999995</v>
      </c>
      <c r="AE731" s="92"/>
      <c r="AF731" s="92"/>
      <c r="AG731" s="93">
        <v>82886.880000000005</v>
      </c>
      <c r="AH731" s="93">
        <v>0</v>
      </c>
    </row>
    <row r="732" spans="1:34" ht="15.75" thickBot="1" x14ac:dyDescent="0.3">
      <c r="A732" s="90" t="s">
        <v>871</v>
      </c>
      <c r="B732" s="90" t="s">
        <v>26</v>
      </c>
      <c r="C732" s="90" t="s">
        <v>875</v>
      </c>
      <c r="D732" s="90" t="s">
        <v>20</v>
      </c>
      <c r="E732" s="90" t="s">
        <v>528</v>
      </c>
      <c r="F732" s="90" t="s">
        <v>697</v>
      </c>
      <c r="G732" s="95">
        <v>82285.33</v>
      </c>
      <c r="H732" s="94"/>
      <c r="I732" s="95">
        <v>82285.33</v>
      </c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  <c r="AC732" s="94"/>
      <c r="AD732" s="95">
        <v>601.54999999999995</v>
      </c>
      <c r="AE732" s="94"/>
      <c r="AF732" s="94"/>
      <c r="AG732" s="95">
        <v>82886.880000000005</v>
      </c>
      <c r="AH732" s="95">
        <v>0</v>
      </c>
    </row>
    <row r="733" spans="1:34" ht="15.75" thickBot="1" x14ac:dyDescent="0.3">
      <c r="A733" s="90" t="s">
        <v>871</v>
      </c>
      <c r="B733" s="90" t="s">
        <v>26</v>
      </c>
      <c r="C733" s="90" t="s">
        <v>875</v>
      </c>
      <c r="D733" s="90" t="s">
        <v>20</v>
      </c>
      <c r="E733" s="90" t="s">
        <v>518</v>
      </c>
      <c r="F733" s="90" t="s">
        <v>686</v>
      </c>
      <c r="G733" s="93">
        <v>99937.06</v>
      </c>
      <c r="H733" s="93">
        <v>523183</v>
      </c>
      <c r="I733" s="92"/>
      <c r="J733" s="92"/>
      <c r="K733" s="93">
        <v>99937.06</v>
      </c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93">
        <v>536.13</v>
      </c>
      <c r="AE733" s="92"/>
      <c r="AF733" s="92"/>
      <c r="AG733" s="93">
        <v>100473.19</v>
      </c>
      <c r="AH733" s="93">
        <v>0</v>
      </c>
    </row>
    <row r="734" spans="1:34" ht="15.75" thickBot="1" x14ac:dyDescent="0.3">
      <c r="A734" s="90" t="s">
        <v>871</v>
      </c>
      <c r="B734" s="90" t="s">
        <v>26</v>
      </c>
      <c r="C734" s="90" t="s">
        <v>875</v>
      </c>
      <c r="D734" s="90" t="s">
        <v>20</v>
      </c>
      <c r="E734" s="90" t="s">
        <v>518</v>
      </c>
      <c r="F734" s="90" t="s">
        <v>697</v>
      </c>
      <c r="G734" s="95">
        <v>99937.06</v>
      </c>
      <c r="H734" s="305">
        <v>523183</v>
      </c>
      <c r="I734" s="94"/>
      <c r="J734" s="94"/>
      <c r="K734" s="95">
        <v>99937.06</v>
      </c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  <c r="AC734" s="94"/>
      <c r="AD734" s="95">
        <v>536.13</v>
      </c>
      <c r="AE734" s="94"/>
      <c r="AF734" s="94"/>
      <c r="AG734" s="95">
        <v>100473.19</v>
      </c>
      <c r="AH734" s="95">
        <v>0</v>
      </c>
    </row>
    <row r="735" spans="1:34" ht="15.75" thickBot="1" x14ac:dyDescent="0.3">
      <c r="A735" s="90" t="s">
        <v>871</v>
      </c>
      <c r="B735" s="90" t="s">
        <v>26</v>
      </c>
      <c r="C735" s="90" t="s">
        <v>875</v>
      </c>
      <c r="D735" s="90" t="s">
        <v>20</v>
      </c>
      <c r="E735" s="90" t="s">
        <v>727</v>
      </c>
      <c r="F735" s="90" t="s">
        <v>686</v>
      </c>
      <c r="G735" s="93">
        <v>297.95999999999998</v>
      </c>
      <c r="H735" s="92"/>
      <c r="I735" s="92"/>
      <c r="J735" s="92"/>
      <c r="K735" s="92"/>
      <c r="L735" s="92"/>
      <c r="M735" s="92"/>
      <c r="N735" s="92"/>
      <c r="O735" s="93">
        <v>297.95999999999998</v>
      </c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93">
        <v>1.36</v>
      </c>
      <c r="AE735" s="92"/>
      <c r="AF735" s="92"/>
      <c r="AG735" s="93">
        <v>299.32</v>
      </c>
      <c r="AH735" s="93">
        <v>0</v>
      </c>
    </row>
    <row r="736" spans="1:34" ht="15.75" thickBot="1" x14ac:dyDescent="0.3">
      <c r="A736" s="90" t="s">
        <v>871</v>
      </c>
      <c r="B736" s="90" t="s">
        <v>26</v>
      </c>
      <c r="C736" s="90" t="s">
        <v>875</v>
      </c>
      <c r="D736" s="90" t="s">
        <v>20</v>
      </c>
      <c r="E736" s="90" t="s">
        <v>727</v>
      </c>
      <c r="F736" s="90" t="s">
        <v>697</v>
      </c>
      <c r="G736" s="95">
        <v>297.95999999999998</v>
      </c>
      <c r="H736" s="94"/>
      <c r="I736" s="94"/>
      <c r="J736" s="94"/>
      <c r="K736" s="94"/>
      <c r="L736" s="94"/>
      <c r="M736" s="94"/>
      <c r="N736" s="94"/>
      <c r="O736" s="95">
        <v>297.95999999999998</v>
      </c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  <c r="AC736" s="94"/>
      <c r="AD736" s="95">
        <v>1.36</v>
      </c>
      <c r="AE736" s="94"/>
      <c r="AF736" s="94"/>
      <c r="AG736" s="95">
        <v>299.32</v>
      </c>
      <c r="AH736" s="95">
        <v>0</v>
      </c>
    </row>
    <row r="737" spans="1:34" ht="15.75" thickBot="1" x14ac:dyDescent="0.3">
      <c r="A737" s="90" t="s">
        <v>871</v>
      </c>
      <c r="B737" s="90" t="s">
        <v>26</v>
      </c>
      <c r="C737" s="90" t="s">
        <v>875</v>
      </c>
      <c r="D737" s="90" t="s">
        <v>20</v>
      </c>
      <c r="E737" s="90" t="s">
        <v>673</v>
      </c>
      <c r="F737" s="90" t="s">
        <v>686</v>
      </c>
      <c r="G737" s="93">
        <v>29846.73</v>
      </c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3">
        <v>29846.73</v>
      </c>
      <c r="Y737" s="92"/>
      <c r="Z737" s="92"/>
      <c r="AA737" s="92"/>
      <c r="AB737" s="92"/>
      <c r="AC737" s="92"/>
      <c r="AD737" s="93">
        <v>254.73</v>
      </c>
      <c r="AE737" s="92"/>
      <c r="AF737" s="92"/>
      <c r="AG737" s="93">
        <v>30101.46</v>
      </c>
      <c r="AH737" s="93">
        <v>0</v>
      </c>
    </row>
    <row r="738" spans="1:34" ht="15.75" thickBot="1" x14ac:dyDescent="0.3">
      <c r="A738" s="90" t="s">
        <v>871</v>
      </c>
      <c r="B738" s="90" t="s">
        <v>26</v>
      </c>
      <c r="C738" s="90" t="s">
        <v>875</v>
      </c>
      <c r="D738" s="90" t="s">
        <v>20</v>
      </c>
      <c r="E738" s="90" t="s">
        <v>673</v>
      </c>
      <c r="F738" s="90" t="s">
        <v>697</v>
      </c>
      <c r="G738" s="95">
        <v>29846.73</v>
      </c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5">
        <v>29846.73</v>
      </c>
      <c r="Y738" s="94"/>
      <c r="Z738" s="94"/>
      <c r="AA738" s="94"/>
      <c r="AB738" s="94"/>
      <c r="AC738" s="94"/>
      <c r="AD738" s="95">
        <v>254.73</v>
      </c>
      <c r="AE738" s="94"/>
      <c r="AF738" s="94"/>
      <c r="AG738" s="95">
        <v>30101.46</v>
      </c>
      <c r="AH738" s="95">
        <v>0</v>
      </c>
    </row>
    <row r="739" spans="1:34" ht="15.75" thickBot="1" x14ac:dyDescent="0.3">
      <c r="A739" s="90" t="s">
        <v>871</v>
      </c>
      <c r="B739" s="90" t="s">
        <v>26</v>
      </c>
      <c r="C739" s="90" t="s">
        <v>875</v>
      </c>
      <c r="D739" s="90" t="s">
        <v>20</v>
      </c>
      <c r="E739" s="90" t="s">
        <v>196</v>
      </c>
      <c r="F739" s="90" t="s">
        <v>686</v>
      </c>
      <c r="G739" s="93">
        <v>175224.69</v>
      </c>
      <c r="H739" s="92"/>
      <c r="I739" s="92"/>
      <c r="J739" s="92"/>
      <c r="K739" s="92"/>
      <c r="L739" s="92"/>
      <c r="M739" s="92"/>
      <c r="N739" s="92"/>
      <c r="O739" s="92"/>
      <c r="P739" s="93">
        <v>175224.69</v>
      </c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93">
        <v>924.08</v>
      </c>
      <c r="AE739" s="92"/>
      <c r="AF739" s="92"/>
      <c r="AG739" s="93">
        <v>176148.77</v>
      </c>
      <c r="AH739" s="93">
        <v>0</v>
      </c>
    </row>
    <row r="740" spans="1:34" ht="15.75" thickBot="1" x14ac:dyDescent="0.3">
      <c r="A740" s="90" t="s">
        <v>871</v>
      </c>
      <c r="B740" s="90" t="s">
        <v>26</v>
      </c>
      <c r="C740" s="90" t="s">
        <v>875</v>
      </c>
      <c r="D740" s="90" t="s">
        <v>20</v>
      </c>
      <c r="E740" s="90" t="s">
        <v>196</v>
      </c>
      <c r="F740" s="90" t="s">
        <v>697</v>
      </c>
      <c r="G740" s="95">
        <v>175224.69</v>
      </c>
      <c r="H740" s="94"/>
      <c r="I740" s="94"/>
      <c r="J740" s="94"/>
      <c r="K740" s="94"/>
      <c r="L740" s="94"/>
      <c r="M740" s="94"/>
      <c r="N740" s="94"/>
      <c r="O740" s="94"/>
      <c r="P740" s="95">
        <v>175224.69</v>
      </c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  <c r="AC740" s="94"/>
      <c r="AD740" s="95">
        <v>924.08</v>
      </c>
      <c r="AE740" s="94"/>
      <c r="AF740" s="94"/>
      <c r="AG740" s="95">
        <v>176148.77</v>
      </c>
      <c r="AH740" s="95">
        <v>0</v>
      </c>
    </row>
    <row r="741" spans="1:34" ht="15.75" thickBot="1" x14ac:dyDescent="0.3">
      <c r="A741" s="90" t="s">
        <v>871</v>
      </c>
      <c r="B741" s="90" t="s">
        <v>26</v>
      </c>
      <c r="C741" s="90" t="s">
        <v>875</v>
      </c>
      <c r="D741" s="90" t="s">
        <v>20</v>
      </c>
      <c r="E741" s="90" t="s">
        <v>674</v>
      </c>
      <c r="F741" s="90" t="s">
        <v>686</v>
      </c>
      <c r="G741" s="93">
        <v>2263.02</v>
      </c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3">
        <v>2263.02</v>
      </c>
      <c r="Z741" s="92"/>
      <c r="AA741" s="92"/>
      <c r="AB741" s="92"/>
      <c r="AC741" s="92"/>
      <c r="AD741" s="93">
        <v>2.92</v>
      </c>
      <c r="AE741" s="92"/>
      <c r="AF741" s="92"/>
      <c r="AG741" s="93">
        <v>2265.94</v>
      </c>
      <c r="AH741" s="93">
        <v>0</v>
      </c>
    </row>
    <row r="742" spans="1:34" ht="15.75" thickBot="1" x14ac:dyDescent="0.3">
      <c r="A742" s="90" t="s">
        <v>871</v>
      </c>
      <c r="B742" s="90" t="s">
        <v>26</v>
      </c>
      <c r="C742" s="90" t="s">
        <v>875</v>
      </c>
      <c r="D742" s="90" t="s">
        <v>20</v>
      </c>
      <c r="E742" s="90" t="s">
        <v>674</v>
      </c>
      <c r="F742" s="90" t="s">
        <v>697</v>
      </c>
      <c r="G742" s="95">
        <v>2263.02</v>
      </c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5">
        <v>2263.02</v>
      </c>
      <c r="Z742" s="94"/>
      <c r="AA742" s="94"/>
      <c r="AB742" s="94"/>
      <c r="AC742" s="94"/>
      <c r="AD742" s="95">
        <v>2.92</v>
      </c>
      <c r="AE742" s="94"/>
      <c r="AF742" s="94"/>
      <c r="AG742" s="95">
        <v>2265.94</v>
      </c>
      <c r="AH742" s="95">
        <v>0</v>
      </c>
    </row>
    <row r="743" spans="1:34" ht="15.75" thickBot="1" x14ac:dyDescent="0.3">
      <c r="A743" s="90" t="s">
        <v>871</v>
      </c>
      <c r="B743" s="90" t="s">
        <v>26</v>
      </c>
      <c r="C743" s="90" t="s">
        <v>875</v>
      </c>
      <c r="D743" s="90" t="s">
        <v>28</v>
      </c>
      <c r="E743" s="90" t="s">
        <v>528</v>
      </c>
      <c r="F743" s="90" t="s">
        <v>686</v>
      </c>
      <c r="G743" s="93">
        <v>520</v>
      </c>
      <c r="H743" s="92"/>
      <c r="I743" s="93">
        <v>520</v>
      </c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93">
        <v>3.59</v>
      </c>
      <c r="AE743" s="92"/>
      <c r="AF743" s="92"/>
      <c r="AG743" s="93">
        <v>523.59</v>
      </c>
      <c r="AH743" s="93">
        <v>0</v>
      </c>
    </row>
    <row r="744" spans="1:34" ht="15.75" thickBot="1" x14ac:dyDescent="0.3">
      <c r="A744" s="90" t="s">
        <v>871</v>
      </c>
      <c r="B744" s="90" t="s">
        <v>26</v>
      </c>
      <c r="C744" s="90" t="s">
        <v>875</v>
      </c>
      <c r="D744" s="90" t="s">
        <v>28</v>
      </c>
      <c r="E744" s="90" t="s">
        <v>528</v>
      </c>
      <c r="F744" s="90" t="s">
        <v>697</v>
      </c>
      <c r="G744" s="95">
        <v>520</v>
      </c>
      <c r="H744" s="94"/>
      <c r="I744" s="95">
        <v>520</v>
      </c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  <c r="AC744" s="94"/>
      <c r="AD744" s="95">
        <v>3.59</v>
      </c>
      <c r="AE744" s="94"/>
      <c r="AF744" s="94"/>
      <c r="AG744" s="95">
        <v>523.59</v>
      </c>
      <c r="AH744" s="95">
        <v>0</v>
      </c>
    </row>
    <row r="745" spans="1:34" ht="15.75" thickBot="1" x14ac:dyDescent="0.3">
      <c r="A745" s="90" t="s">
        <v>871</v>
      </c>
      <c r="B745" s="90" t="s">
        <v>26</v>
      </c>
      <c r="C745" s="90" t="s">
        <v>875</v>
      </c>
      <c r="D745" s="90" t="s">
        <v>28</v>
      </c>
      <c r="E745" s="90" t="s">
        <v>518</v>
      </c>
      <c r="F745" s="90" t="s">
        <v>686</v>
      </c>
      <c r="G745" s="93">
        <v>316.7</v>
      </c>
      <c r="H745" s="93">
        <v>1491</v>
      </c>
      <c r="I745" s="92"/>
      <c r="J745" s="92"/>
      <c r="K745" s="93">
        <v>316.7</v>
      </c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93">
        <v>1.38</v>
      </c>
      <c r="AE745" s="92"/>
      <c r="AF745" s="92"/>
      <c r="AG745" s="93">
        <v>318.08</v>
      </c>
      <c r="AH745" s="93">
        <v>0</v>
      </c>
    </row>
    <row r="746" spans="1:34" ht="15.75" thickBot="1" x14ac:dyDescent="0.3">
      <c r="A746" s="90" t="s">
        <v>871</v>
      </c>
      <c r="B746" s="90" t="s">
        <v>26</v>
      </c>
      <c r="C746" s="90" t="s">
        <v>875</v>
      </c>
      <c r="D746" s="90" t="s">
        <v>28</v>
      </c>
      <c r="E746" s="90" t="s">
        <v>518</v>
      </c>
      <c r="F746" s="90" t="s">
        <v>697</v>
      </c>
      <c r="G746" s="95">
        <v>316.7</v>
      </c>
      <c r="H746" s="305">
        <v>1491</v>
      </c>
      <c r="I746" s="94"/>
      <c r="J746" s="94"/>
      <c r="K746" s="95">
        <v>316.7</v>
      </c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  <c r="AC746" s="94"/>
      <c r="AD746" s="95">
        <v>1.38</v>
      </c>
      <c r="AE746" s="94"/>
      <c r="AF746" s="94"/>
      <c r="AG746" s="95">
        <v>318.08</v>
      </c>
      <c r="AH746" s="95">
        <v>0</v>
      </c>
    </row>
    <row r="747" spans="1:34" ht="15.75" thickBot="1" x14ac:dyDescent="0.3">
      <c r="A747" s="90" t="s">
        <v>871</v>
      </c>
      <c r="B747" s="90" t="s">
        <v>26</v>
      </c>
      <c r="C747" s="90" t="s">
        <v>875</v>
      </c>
      <c r="D747" s="90" t="s">
        <v>28</v>
      </c>
      <c r="E747" s="90" t="s">
        <v>727</v>
      </c>
      <c r="F747" s="90" t="s">
        <v>686</v>
      </c>
      <c r="G747" s="93">
        <v>0.85</v>
      </c>
      <c r="H747" s="92"/>
      <c r="I747" s="92"/>
      <c r="J747" s="92"/>
      <c r="K747" s="92"/>
      <c r="L747" s="92"/>
      <c r="M747" s="92"/>
      <c r="N747" s="92"/>
      <c r="O747" s="93">
        <v>0.85</v>
      </c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93">
        <v>0</v>
      </c>
      <c r="AE747" s="92"/>
      <c r="AF747" s="92"/>
      <c r="AG747" s="93">
        <v>0.85</v>
      </c>
      <c r="AH747" s="93">
        <v>0</v>
      </c>
    </row>
    <row r="748" spans="1:34" ht="15.75" thickBot="1" x14ac:dyDescent="0.3">
      <c r="A748" s="90" t="s">
        <v>871</v>
      </c>
      <c r="B748" s="90" t="s">
        <v>26</v>
      </c>
      <c r="C748" s="90" t="s">
        <v>875</v>
      </c>
      <c r="D748" s="90" t="s">
        <v>28</v>
      </c>
      <c r="E748" s="90" t="s">
        <v>727</v>
      </c>
      <c r="F748" s="90" t="s">
        <v>697</v>
      </c>
      <c r="G748" s="95">
        <v>0.85</v>
      </c>
      <c r="H748" s="94"/>
      <c r="I748" s="94"/>
      <c r="J748" s="94"/>
      <c r="K748" s="94"/>
      <c r="L748" s="94"/>
      <c r="M748" s="94"/>
      <c r="N748" s="94"/>
      <c r="O748" s="95">
        <v>0.85</v>
      </c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5">
        <v>0</v>
      </c>
      <c r="AE748" s="94"/>
      <c r="AF748" s="94"/>
      <c r="AG748" s="95">
        <v>0.85</v>
      </c>
      <c r="AH748" s="95">
        <v>0</v>
      </c>
    </row>
    <row r="749" spans="1:34" ht="15.75" thickBot="1" x14ac:dyDescent="0.3">
      <c r="A749" s="90" t="s">
        <v>871</v>
      </c>
      <c r="B749" s="90" t="s">
        <v>26</v>
      </c>
      <c r="C749" s="90" t="s">
        <v>875</v>
      </c>
      <c r="D749" s="90" t="s">
        <v>28</v>
      </c>
      <c r="E749" s="90" t="s">
        <v>673</v>
      </c>
      <c r="F749" s="90" t="s">
        <v>686</v>
      </c>
      <c r="G749" s="93">
        <v>346.81</v>
      </c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3">
        <v>346.81</v>
      </c>
      <c r="Y749" s="92"/>
      <c r="Z749" s="92"/>
      <c r="AA749" s="92"/>
      <c r="AB749" s="92"/>
      <c r="AC749" s="92"/>
      <c r="AD749" s="93">
        <v>2.41</v>
      </c>
      <c r="AE749" s="92"/>
      <c r="AF749" s="92"/>
      <c r="AG749" s="93">
        <v>349.22</v>
      </c>
      <c r="AH749" s="93">
        <v>0</v>
      </c>
    </row>
    <row r="750" spans="1:34" ht="15.75" thickBot="1" x14ac:dyDescent="0.3">
      <c r="A750" s="90" t="s">
        <v>871</v>
      </c>
      <c r="B750" s="90" t="s">
        <v>26</v>
      </c>
      <c r="C750" s="90" t="s">
        <v>875</v>
      </c>
      <c r="D750" s="90" t="s">
        <v>28</v>
      </c>
      <c r="E750" s="90" t="s">
        <v>673</v>
      </c>
      <c r="F750" s="90" t="s">
        <v>697</v>
      </c>
      <c r="G750" s="95">
        <v>346.81</v>
      </c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5">
        <v>346.81</v>
      </c>
      <c r="Y750" s="94"/>
      <c r="Z750" s="94"/>
      <c r="AA750" s="94"/>
      <c r="AB750" s="94"/>
      <c r="AC750" s="94"/>
      <c r="AD750" s="95">
        <v>2.41</v>
      </c>
      <c r="AE750" s="94"/>
      <c r="AF750" s="94"/>
      <c r="AG750" s="95">
        <v>349.22</v>
      </c>
      <c r="AH750" s="95">
        <v>0</v>
      </c>
    </row>
    <row r="751" spans="1:34" ht="15.75" thickBot="1" x14ac:dyDescent="0.3">
      <c r="A751" s="90" t="s">
        <v>871</v>
      </c>
      <c r="B751" s="90" t="s">
        <v>26</v>
      </c>
      <c r="C751" s="90" t="s">
        <v>875</v>
      </c>
      <c r="D751" s="90" t="s">
        <v>28</v>
      </c>
      <c r="E751" s="90" t="s">
        <v>196</v>
      </c>
      <c r="F751" s="90" t="s">
        <v>686</v>
      </c>
      <c r="G751" s="93">
        <v>500.36</v>
      </c>
      <c r="H751" s="92"/>
      <c r="I751" s="92"/>
      <c r="J751" s="92"/>
      <c r="K751" s="92"/>
      <c r="L751" s="92"/>
      <c r="M751" s="92"/>
      <c r="N751" s="92"/>
      <c r="O751" s="92"/>
      <c r="P751" s="93">
        <v>500.36</v>
      </c>
      <c r="Q751" s="92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93">
        <v>2.17</v>
      </c>
      <c r="AE751" s="92"/>
      <c r="AF751" s="92"/>
      <c r="AG751" s="93">
        <v>502.53</v>
      </c>
      <c r="AH751" s="93">
        <v>0</v>
      </c>
    </row>
    <row r="752" spans="1:34" ht="15.75" thickBot="1" x14ac:dyDescent="0.3">
      <c r="A752" s="90" t="s">
        <v>871</v>
      </c>
      <c r="B752" s="90" t="s">
        <v>26</v>
      </c>
      <c r="C752" s="90" t="s">
        <v>875</v>
      </c>
      <c r="D752" s="90" t="s">
        <v>28</v>
      </c>
      <c r="E752" s="90" t="s">
        <v>196</v>
      </c>
      <c r="F752" s="90" t="s">
        <v>697</v>
      </c>
      <c r="G752" s="95">
        <v>500.36</v>
      </c>
      <c r="H752" s="94"/>
      <c r="I752" s="94"/>
      <c r="J752" s="94"/>
      <c r="K752" s="94"/>
      <c r="L752" s="94"/>
      <c r="M752" s="94"/>
      <c r="N752" s="94"/>
      <c r="O752" s="94"/>
      <c r="P752" s="95">
        <v>500.36</v>
      </c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5">
        <v>2.17</v>
      </c>
      <c r="AE752" s="94"/>
      <c r="AF752" s="94"/>
      <c r="AG752" s="95">
        <v>502.53</v>
      </c>
      <c r="AH752" s="95">
        <v>0</v>
      </c>
    </row>
    <row r="753" spans="1:34" ht="15.75" thickBot="1" x14ac:dyDescent="0.3">
      <c r="A753" s="90" t="s">
        <v>871</v>
      </c>
      <c r="B753" s="90" t="s">
        <v>707</v>
      </c>
      <c r="C753" s="90" t="s">
        <v>876</v>
      </c>
      <c r="D753" s="90" t="s">
        <v>17</v>
      </c>
      <c r="E753" s="90" t="s">
        <v>528</v>
      </c>
      <c r="F753" s="90" t="s">
        <v>686</v>
      </c>
      <c r="G753" s="93">
        <v>40</v>
      </c>
      <c r="H753" s="92"/>
      <c r="I753" s="93">
        <v>40</v>
      </c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93">
        <v>2.4</v>
      </c>
      <c r="AE753" s="92"/>
      <c r="AF753" s="92"/>
      <c r="AG753" s="93">
        <v>42.4</v>
      </c>
      <c r="AH753" s="93">
        <v>0</v>
      </c>
    </row>
    <row r="754" spans="1:34" ht="15.75" thickBot="1" x14ac:dyDescent="0.3">
      <c r="A754" s="90" t="s">
        <v>871</v>
      </c>
      <c r="B754" s="90" t="s">
        <v>707</v>
      </c>
      <c r="C754" s="90" t="s">
        <v>876</v>
      </c>
      <c r="D754" s="90" t="s">
        <v>17</v>
      </c>
      <c r="E754" s="90" t="s">
        <v>528</v>
      </c>
      <c r="F754" s="90" t="s">
        <v>697</v>
      </c>
      <c r="G754" s="95">
        <v>40</v>
      </c>
      <c r="H754" s="94"/>
      <c r="I754" s="95">
        <v>40</v>
      </c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5">
        <v>2.4</v>
      </c>
      <c r="AE754" s="94"/>
      <c r="AF754" s="94"/>
      <c r="AG754" s="95">
        <v>42.4</v>
      </c>
      <c r="AH754" s="95">
        <v>0</v>
      </c>
    </row>
    <row r="755" spans="1:34" ht="15.75" thickBot="1" x14ac:dyDescent="0.3">
      <c r="A755" s="90" t="s">
        <v>871</v>
      </c>
      <c r="B755" s="90" t="s">
        <v>707</v>
      </c>
      <c r="C755" s="90" t="s">
        <v>876</v>
      </c>
      <c r="D755" s="90" t="s">
        <v>17</v>
      </c>
      <c r="E755" s="90" t="s">
        <v>518</v>
      </c>
      <c r="F755" s="90" t="s">
        <v>686</v>
      </c>
      <c r="G755" s="93">
        <v>57.63</v>
      </c>
      <c r="H755" s="93">
        <v>268</v>
      </c>
      <c r="I755" s="92"/>
      <c r="J755" s="92"/>
      <c r="K755" s="93">
        <v>57.63</v>
      </c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93">
        <v>3.46</v>
      </c>
      <c r="AE755" s="92"/>
      <c r="AF755" s="92"/>
      <c r="AG755" s="93">
        <v>61.09</v>
      </c>
      <c r="AH755" s="93">
        <v>0</v>
      </c>
    </row>
    <row r="756" spans="1:34" ht="15.75" thickBot="1" x14ac:dyDescent="0.3">
      <c r="A756" s="90" t="s">
        <v>871</v>
      </c>
      <c r="B756" s="90" t="s">
        <v>707</v>
      </c>
      <c r="C756" s="90" t="s">
        <v>876</v>
      </c>
      <c r="D756" s="90" t="s">
        <v>17</v>
      </c>
      <c r="E756" s="90" t="s">
        <v>518</v>
      </c>
      <c r="F756" s="90" t="s">
        <v>697</v>
      </c>
      <c r="G756" s="95">
        <v>57.63</v>
      </c>
      <c r="H756" s="305">
        <v>268</v>
      </c>
      <c r="I756" s="94"/>
      <c r="J756" s="94"/>
      <c r="K756" s="95">
        <v>57.63</v>
      </c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5">
        <v>3.46</v>
      </c>
      <c r="AE756" s="94"/>
      <c r="AF756" s="94"/>
      <c r="AG756" s="95">
        <v>61.09</v>
      </c>
      <c r="AH756" s="95">
        <v>0</v>
      </c>
    </row>
    <row r="757" spans="1:34" ht="15.75" thickBot="1" x14ac:dyDescent="0.3">
      <c r="A757" s="90" t="s">
        <v>871</v>
      </c>
      <c r="B757" s="90" t="s">
        <v>707</v>
      </c>
      <c r="C757" s="90" t="s">
        <v>876</v>
      </c>
      <c r="D757" s="90" t="s">
        <v>17</v>
      </c>
      <c r="E757" s="90" t="s">
        <v>727</v>
      </c>
      <c r="F757" s="90" t="s">
        <v>686</v>
      </c>
      <c r="G757" s="93">
        <v>0.15</v>
      </c>
      <c r="H757" s="92"/>
      <c r="I757" s="92"/>
      <c r="J757" s="92"/>
      <c r="K757" s="92"/>
      <c r="L757" s="92"/>
      <c r="M757" s="92"/>
      <c r="N757" s="92"/>
      <c r="O757" s="93">
        <v>0.15</v>
      </c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93">
        <v>0.01</v>
      </c>
      <c r="AE757" s="92"/>
      <c r="AF757" s="92"/>
      <c r="AG757" s="93">
        <v>0.16</v>
      </c>
      <c r="AH757" s="93">
        <v>0</v>
      </c>
    </row>
    <row r="758" spans="1:34" ht="15.75" thickBot="1" x14ac:dyDescent="0.3">
      <c r="A758" s="90" t="s">
        <v>871</v>
      </c>
      <c r="B758" s="90" t="s">
        <v>707</v>
      </c>
      <c r="C758" s="90" t="s">
        <v>876</v>
      </c>
      <c r="D758" s="90" t="s">
        <v>17</v>
      </c>
      <c r="E758" s="90" t="s">
        <v>727</v>
      </c>
      <c r="F758" s="90" t="s">
        <v>697</v>
      </c>
      <c r="G758" s="95">
        <v>0.15</v>
      </c>
      <c r="H758" s="94"/>
      <c r="I758" s="94"/>
      <c r="J758" s="94"/>
      <c r="K758" s="94"/>
      <c r="L758" s="94"/>
      <c r="M758" s="94"/>
      <c r="N758" s="94"/>
      <c r="O758" s="95">
        <v>0.15</v>
      </c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5">
        <v>0.01</v>
      </c>
      <c r="AE758" s="94"/>
      <c r="AF758" s="94"/>
      <c r="AG758" s="95">
        <v>0.16</v>
      </c>
      <c r="AH758" s="95">
        <v>0</v>
      </c>
    </row>
    <row r="759" spans="1:34" ht="15.75" thickBot="1" x14ac:dyDescent="0.3">
      <c r="A759" s="90" t="s">
        <v>871</v>
      </c>
      <c r="B759" s="90" t="s">
        <v>707</v>
      </c>
      <c r="C759" s="90" t="s">
        <v>876</v>
      </c>
      <c r="D759" s="641" t="s">
        <v>17</v>
      </c>
      <c r="E759" s="642" t="s">
        <v>673</v>
      </c>
      <c r="F759" s="90" t="s">
        <v>686</v>
      </c>
      <c r="G759" s="93">
        <v>27.25</v>
      </c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3">
        <v>27.25</v>
      </c>
      <c r="Y759" s="92"/>
      <c r="Z759" s="92"/>
      <c r="AA759" s="92"/>
      <c r="AB759" s="92"/>
      <c r="AC759" s="92"/>
      <c r="AD759" s="93">
        <v>1.63</v>
      </c>
      <c r="AE759" s="92"/>
      <c r="AF759" s="92"/>
      <c r="AG759" s="93">
        <v>28.88</v>
      </c>
      <c r="AH759" s="93">
        <v>0</v>
      </c>
    </row>
    <row r="760" spans="1:34" ht="15.75" thickBot="1" x14ac:dyDescent="0.3">
      <c r="A760" s="90" t="s">
        <v>871</v>
      </c>
      <c r="B760" s="90" t="s">
        <v>707</v>
      </c>
      <c r="C760" s="90" t="s">
        <v>876</v>
      </c>
      <c r="D760" s="641" t="s">
        <v>17</v>
      </c>
      <c r="E760" s="642" t="s">
        <v>673</v>
      </c>
      <c r="F760" s="90" t="s">
        <v>697</v>
      </c>
      <c r="G760" s="95">
        <v>27.25</v>
      </c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5">
        <v>27.25</v>
      </c>
      <c r="Y760" s="94"/>
      <c r="Z760" s="94"/>
      <c r="AA760" s="94"/>
      <c r="AB760" s="94"/>
      <c r="AC760" s="94"/>
      <c r="AD760" s="95">
        <v>1.63</v>
      </c>
      <c r="AE760" s="94"/>
      <c r="AF760" s="94"/>
      <c r="AG760" s="95">
        <v>28.88</v>
      </c>
      <c r="AH760" s="95">
        <v>0</v>
      </c>
    </row>
    <row r="761" spans="1:34" ht="15.75" thickBot="1" x14ac:dyDescent="0.3">
      <c r="A761" s="90" t="s">
        <v>871</v>
      </c>
      <c r="B761" s="90" t="s">
        <v>707</v>
      </c>
      <c r="C761" s="90" t="s">
        <v>876</v>
      </c>
      <c r="D761" s="90" t="s">
        <v>17</v>
      </c>
      <c r="E761" s="90" t="s">
        <v>196</v>
      </c>
      <c r="F761" s="90" t="s">
        <v>686</v>
      </c>
      <c r="G761" s="93">
        <v>93.04</v>
      </c>
      <c r="H761" s="92"/>
      <c r="I761" s="92"/>
      <c r="J761" s="92"/>
      <c r="K761" s="92"/>
      <c r="L761" s="92"/>
      <c r="M761" s="92"/>
      <c r="N761" s="92"/>
      <c r="O761" s="92"/>
      <c r="P761" s="93">
        <v>93.04</v>
      </c>
      <c r="Q761" s="92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2"/>
      <c r="AD761" s="93">
        <v>5.58</v>
      </c>
      <c r="AE761" s="92"/>
      <c r="AF761" s="92"/>
      <c r="AG761" s="93">
        <v>98.62</v>
      </c>
      <c r="AH761" s="93">
        <v>0</v>
      </c>
    </row>
    <row r="762" spans="1:34" ht="15.75" thickBot="1" x14ac:dyDescent="0.3">
      <c r="A762" s="90" t="s">
        <v>871</v>
      </c>
      <c r="B762" s="90" t="s">
        <v>707</v>
      </c>
      <c r="C762" s="90" t="s">
        <v>876</v>
      </c>
      <c r="D762" s="90" t="s">
        <v>17</v>
      </c>
      <c r="E762" s="90" t="s">
        <v>196</v>
      </c>
      <c r="F762" s="90" t="s">
        <v>697</v>
      </c>
      <c r="G762" s="95">
        <v>93.04</v>
      </c>
      <c r="H762" s="94"/>
      <c r="I762" s="94"/>
      <c r="J762" s="94"/>
      <c r="K762" s="94"/>
      <c r="L762" s="94"/>
      <c r="M762" s="94"/>
      <c r="N762" s="94"/>
      <c r="O762" s="94"/>
      <c r="P762" s="95">
        <v>93.04</v>
      </c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5">
        <v>5.58</v>
      </c>
      <c r="AE762" s="94"/>
      <c r="AF762" s="94"/>
      <c r="AG762" s="95">
        <v>98.62</v>
      </c>
      <c r="AH762" s="95">
        <v>0</v>
      </c>
    </row>
    <row r="763" spans="1:34" ht="15.75" thickBot="1" x14ac:dyDescent="0.3">
      <c r="A763" s="90" t="s">
        <v>871</v>
      </c>
      <c r="B763" s="90" t="s">
        <v>18</v>
      </c>
      <c r="C763" s="90" t="s">
        <v>453</v>
      </c>
      <c r="D763" s="90" t="s">
        <v>17</v>
      </c>
      <c r="E763" s="90" t="s">
        <v>528</v>
      </c>
      <c r="F763" s="90" t="s">
        <v>686</v>
      </c>
      <c r="G763" s="93">
        <v>400</v>
      </c>
      <c r="H763" s="92"/>
      <c r="I763" s="93">
        <v>400</v>
      </c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2"/>
      <c r="AD763" s="93">
        <v>24</v>
      </c>
      <c r="AE763" s="92"/>
      <c r="AF763" s="92"/>
      <c r="AG763" s="93">
        <v>424</v>
      </c>
      <c r="AH763" s="93">
        <v>0</v>
      </c>
    </row>
    <row r="764" spans="1:34" ht="15.75" thickBot="1" x14ac:dyDescent="0.3">
      <c r="A764" s="90" t="s">
        <v>871</v>
      </c>
      <c r="B764" s="90" t="s">
        <v>18</v>
      </c>
      <c r="C764" s="90" t="s">
        <v>453</v>
      </c>
      <c r="D764" s="90" t="s">
        <v>17</v>
      </c>
      <c r="E764" s="90" t="s">
        <v>528</v>
      </c>
      <c r="F764" s="90" t="s">
        <v>697</v>
      </c>
      <c r="G764" s="95">
        <v>400</v>
      </c>
      <c r="H764" s="94"/>
      <c r="I764" s="95">
        <v>400</v>
      </c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5">
        <v>24</v>
      </c>
      <c r="AE764" s="94"/>
      <c r="AF764" s="94"/>
      <c r="AG764" s="95">
        <v>424</v>
      </c>
      <c r="AH764" s="95">
        <v>0</v>
      </c>
    </row>
    <row r="765" spans="1:34" ht="15.75" thickBot="1" x14ac:dyDescent="0.3">
      <c r="A765" s="90" t="s">
        <v>871</v>
      </c>
      <c r="B765" s="90" t="s">
        <v>18</v>
      </c>
      <c r="C765" s="90" t="s">
        <v>453</v>
      </c>
      <c r="D765" s="90" t="s">
        <v>17</v>
      </c>
      <c r="E765" s="90" t="s">
        <v>518</v>
      </c>
      <c r="F765" s="90" t="s">
        <v>686</v>
      </c>
      <c r="G765" s="93">
        <v>1058.71</v>
      </c>
      <c r="H765" s="93">
        <v>15105</v>
      </c>
      <c r="I765" s="92"/>
      <c r="J765" s="92"/>
      <c r="K765" s="93">
        <v>1058.71</v>
      </c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2"/>
      <c r="AD765" s="93">
        <v>63.52</v>
      </c>
      <c r="AE765" s="92"/>
      <c r="AF765" s="92"/>
      <c r="AG765" s="93">
        <v>1122.23</v>
      </c>
      <c r="AH765" s="93">
        <v>0</v>
      </c>
    </row>
    <row r="766" spans="1:34" ht="15.75" thickBot="1" x14ac:dyDescent="0.3">
      <c r="A766" s="90" t="s">
        <v>871</v>
      </c>
      <c r="B766" s="90" t="s">
        <v>18</v>
      </c>
      <c r="C766" s="90" t="s">
        <v>453</v>
      </c>
      <c r="D766" s="90" t="s">
        <v>17</v>
      </c>
      <c r="E766" s="90" t="s">
        <v>518</v>
      </c>
      <c r="F766" s="90" t="s">
        <v>697</v>
      </c>
      <c r="G766" s="95">
        <v>1058.71</v>
      </c>
      <c r="H766" s="305">
        <v>15105</v>
      </c>
      <c r="I766" s="94"/>
      <c r="J766" s="94"/>
      <c r="K766" s="95">
        <v>1058.71</v>
      </c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5">
        <v>63.52</v>
      </c>
      <c r="AE766" s="94"/>
      <c r="AF766" s="94"/>
      <c r="AG766" s="95">
        <v>1122.23</v>
      </c>
      <c r="AH766" s="95">
        <v>0</v>
      </c>
    </row>
    <row r="767" spans="1:34" ht="15.75" thickBot="1" x14ac:dyDescent="0.3">
      <c r="A767" s="90" t="s">
        <v>871</v>
      </c>
      <c r="B767" s="90" t="s">
        <v>18</v>
      </c>
      <c r="C767" s="90" t="s">
        <v>453</v>
      </c>
      <c r="D767" s="90" t="s">
        <v>17</v>
      </c>
      <c r="E767" s="90" t="s">
        <v>727</v>
      </c>
      <c r="F767" s="90" t="s">
        <v>686</v>
      </c>
      <c r="G767" s="93">
        <v>8.61</v>
      </c>
      <c r="H767" s="92"/>
      <c r="I767" s="92"/>
      <c r="J767" s="92"/>
      <c r="K767" s="92"/>
      <c r="L767" s="92"/>
      <c r="M767" s="92"/>
      <c r="N767" s="92"/>
      <c r="O767" s="93">
        <v>8.61</v>
      </c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2"/>
      <c r="AD767" s="93">
        <v>0.52</v>
      </c>
      <c r="AE767" s="92"/>
      <c r="AF767" s="92"/>
      <c r="AG767" s="93">
        <v>9.1300000000000008</v>
      </c>
      <c r="AH767" s="93">
        <v>0</v>
      </c>
    </row>
    <row r="768" spans="1:34" ht="15.75" thickBot="1" x14ac:dyDescent="0.3">
      <c r="A768" s="90" t="s">
        <v>871</v>
      </c>
      <c r="B768" s="90" t="s">
        <v>18</v>
      </c>
      <c r="C768" s="90" t="s">
        <v>453</v>
      </c>
      <c r="D768" s="90" t="s">
        <v>17</v>
      </c>
      <c r="E768" s="90" t="s">
        <v>727</v>
      </c>
      <c r="F768" s="90" t="s">
        <v>697</v>
      </c>
      <c r="G768" s="95">
        <v>8.61</v>
      </c>
      <c r="H768" s="94"/>
      <c r="I768" s="94"/>
      <c r="J768" s="94"/>
      <c r="K768" s="94"/>
      <c r="L768" s="94"/>
      <c r="M768" s="94"/>
      <c r="N768" s="94"/>
      <c r="O768" s="95">
        <v>8.61</v>
      </c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5">
        <v>0.52</v>
      </c>
      <c r="AE768" s="94"/>
      <c r="AF768" s="94"/>
      <c r="AG768" s="95">
        <v>9.1300000000000008</v>
      </c>
      <c r="AH768" s="95">
        <v>0</v>
      </c>
    </row>
    <row r="769" spans="1:34" ht="15.75" thickBot="1" x14ac:dyDescent="0.3">
      <c r="A769" s="90" t="s">
        <v>871</v>
      </c>
      <c r="B769" s="90" t="s">
        <v>18</v>
      </c>
      <c r="C769" s="90" t="s">
        <v>453</v>
      </c>
      <c r="D769" s="90" t="s">
        <v>17</v>
      </c>
      <c r="E769" s="90" t="s">
        <v>673</v>
      </c>
      <c r="F769" s="90" t="s">
        <v>686</v>
      </c>
      <c r="G769" s="93">
        <v>2741.73</v>
      </c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3">
        <v>2741.73</v>
      </c>
      <c r="Y769" s="92"/>
      <c r="Z769" s="92"/>
      <c r="AA769" s="92"/>
      <c r="AB769" s="92"/>
      <c r="AC769" s="92"/>
      <c r="AD769" s="93">
        <v>164.5</v>
      </c>
      <c r="AE769" s="92"/>
      <c r="AF769" s="92"/>
      <c r="AG769" s="93">
        <v>2906.23</v>
      </c>
      <c r="AH769" s="93">
        <v>0</v>
      </c>
    </row>
    <row r="770" spans="1:34" ht="15.75" thickBot="1" x14ac:dyDescent="0.3">
      <c r="A770" s="90" t="s">
        <v>871</v>
      </c>
      <c r="B770" s="90" t="s">
        <v>18</v>
      </c>
      <c r="C770" s="90" t="s">
        <v>453</v>
      </c>
      <c r="D770" s="90" t="s">
        <v>17</v>
      </c>
      <c r="E770" s="90" t="s">
        <v>673</v>
      </c>
      <c r="F770" s="90" t="s">
        <v>697</v>
      </c>
      <c r="G770" s="95">
        <v>2741.73</v>
      </c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5">
        <v>2741.73</v>
      </c>
      <c r="Y770" s="94"/>
      <c r="Z770" s="94"/>
      <c r="AA770" s="94"/>
      <c r="AB770" s="94"/>
      <c r="AC770" s="94"/>
      <c r="AD770" s="95">
        <v>164.5</v>
      </c>
      <c r="AE770" s="94"/>
      <c r="AF770" s="94"/>
      <c r="AG770" s="95">
        <v>2906.23</v>
      </c>
      <c r="AH770" s="95">
        <v>0</v>
      </c>
    </row>
    <row r="771" spans="1:34" ht="15.75" thickBot="1" x14ac:dyDescent="0.3">
      <c r="A771" s="90" t="s">
        <v>871</v>
      </c>
      <c r="B771" s="90" t="s">
        <v>18</v>
      </c>
      <c r="C771" s="90" t="s">
        <v>453</v>
      </c>
      <c r="D771" s="90" t="s">
        <v>17</v>
      </c>
      <c r="E771" s="90" t="s">
        <v>196</v>
      </c>
      <c r="F771" s="90" t="s">
        <v>686</v>
      </c>
      <c r="G771" s="93">
        <v>5004.8100000000004</v>
      </c>
      <c r="H771" s="92"/>
      <c r="I771" s="92"/>
      <c r="J771" s="92"/>
      <c r="K771" s="92"/>
      <c r="L771" s="92"/>
      <c r="M771" s="92"/>
      <c r="N771" s="92"/>
      <c r="O771" s="92"/>
      <c r="P771" s="93">
        <v>5004.8100000000004</v>
      </c>
      <c r="Q771" s="92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2"/>
      <c r="AD771" s="93">
        <v>300.29000000000002</v>
      </c>
      <c r="AE771" s="92"/>
      <c r="AF771" s="92"/>
      <c r="AG771" s="93">
        <v>5305.1</v>
      </c>
      <c r="AH771" s="93">
        <v>0</v>
      </c>
    </row>
    <row r="772" spans="1:34" ht="15.75" thickBot="1" x14ac:dyDescent="0.3">
      <c r="A772" s="90" t="s">
        <v>871</v>
      </c>
      <c r="B772" s="90" t="s">
        <v>18</v>
      </c>
      <c r="C772" s="90" t="s">
        <v>453</v>
      </c>
      <c r="D772" s="90" t="s">
        <v>17</v>
      </c>
      <c r="E772" s="90" t="s">
        <v>196</v>
      </c>
      <c r="F772" s="90" t="s">
        <v>697</v>
      </c>
      <c r="G772" s="95">
        <v>5004.8100000000004</v>
      </c>
      <c r="H772" s="94"/>
      <c r="I772" s="94"/>
      <c r="J772" s="94"/>
      <c r="K772" s="94"/>
      <c r="L772" s="94"/>
      <c r="M772" s="94"/>
      <c r="N772" s="94"/>
      <c r="O772" s="94"/>
      <c r="P772" s="95">
        <v>5004.8100000000004</v>
      </c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5">
        <v>300.29000000000002</v>
      </c>
      <c r="AE772" s="94"/>
      <c r="AF772" s="94"/>
      <c r="AG772" s="95">
        <v>5305.1</v>
      </c>
      <c r="AH772" s="95">
        <v>0</v>
      </c>
    </row>
    <row r="773" spans="1:34" ht="15.75" thickBot="1" x14ac:dyDescent="0.3">
      <c r="A773" s="90" t="s">
        <v>871</v>
      </c>
      <c r="B773" s="90" t="s">
        <v>18</v>
      </c>
      <c r="C773" s="90" t="s">
        <v>453</v>
      </c>
      <c r="D773" s="90" t="s">
        <v>20</v>
      </c>
      <c r="E773" s="90" t="s">
        <v>528</v>
      </c>
      <c r="F773" s="90" t="s">
        <v>686</v>
      </c>
      <c r="G773" s="93">
        <v>400</v>
      </c>
      <c r="H773" s="92"/>
      <c r="I773" s="93">
        <v>400</v>
      </c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2"/>
      <c r="AD773" s="93">
        <v>0</v>
      </c>
      <c r="AE773" s="92"/>
      <c r="AF773" s="92"/>
      <c r="AG773" s="93">
        <v>400</v>
      </c>
      <c r="AH773" s="93">
        <v>0</v>
      </c>
    </row>
    <row r="774" spans="1:34" ht="15.75" thickBot="1" x14ac:dyDescent="0.3">
      <c r="A774" s="90" t="s">
        <v>871</v>
      </c>
      <c r="B774" s="90" t="s">
        <v>18</v>
      </c>
      <c r="C774" s="90" t="s">
        <v>453</v>
      </c>
      <c r="D774" s="90" t="s">
        <v>20</v>
      </c>
      <c r="E774" s="90" t="s">
        <v>528</v>
      </c>
      <c r="F774" s="90" t="s">
        <v>697</v>
      </c>
      <c r="G774" s="95">
        <v>400</v>
      </c>
      <c r="H774" s="94"/>
      <c r="I774" s="95">
        <v>400</v>
      </c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5">
        <v>0</v>
      </c>
      <c r="AE774" s="94"/>
      <c r="AF774" s="94"/>
      <c r="AG774" s="95">
        <v>400</v>
      </c>
      <c r="AH774" s="95">
        <v>0</v>
      </c>
    </row>
    <row r="775" spans="1:34" ht="15.75" thickBot="1" x14ac:dyDescent="0.3">
      <c r="A775" s="90" t="s">
        <v>871</v>
      </c>
      <c r="B775" s="90" t="s">
        <v>18</v>
      </c>
      <c r="C775" s="90" t="s">
        <v>453</v>
      </c>
      <c r="D775" s="90" t="s">
        <v>20</v>
      </c>
      <c r="E775" s="90" t="s">
        <v>518</v>
      </c>
      <c r="F775" s="90" t="s">
        <v>686</v>
      </c>
      <c r="G775" s="93">
        <v>1410</v>
      </c>
      <c r="H775" s="93">
        <v>20117</v>
      </c>
      <c r="I775" s="92"/>
      <c r="J775" s="92"/>
      <c r="K775" s="93">
        <v>1410</v>
      </c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2"/>
      <c r="AD775" s="93">
        <v>0</v>
      </c>
      <c r="AE775" s="92"/>
      <c r="AF775" s="92"/>
      <c r="AG775" s="93">
        <v>1410</v>
      </c>
      <c r="AH775" s="93">
        <v>0</v>
      </c>
    </row>
    <row r="776" spans="1:34" ht="15.75" thickBot="1" x14ac:dyDescent="0.3">
      <c r="A776" s="90" t="s">
        <v>871</v>
      </c>
      <c r="B776" s="90" t="s">
        <v>18</v>
      </c>
      <c r="C776" s="90" t="s">
        <v>453</v>
      </c>
      <c r="D776" s="90" t="s">
        <v>20</v>
      </c>
      <c r="E776" s="90" t="s">
        <v>518</v>
      </c>
      <c r="F776" s="90" t="s">
        <v>697</v>
      </c>
      <c r="G776" s="95">
        <v>1410</v>
      </c>
      <c r="H776" s="305">
        <v>20117</v>
      </c>
      <c r="I776" s="94"/>
      <c r="J776" s="94"/>
      <c r="K776" s="95">
        <v>1410</v>
      </c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5">
        <v>0</v>
      </c>
      <c r="AE776" s="94"/>
      <c r="AF776" s="94"/>
      <c r="AG776" s="95">
        <v>1410</v>
      </c>
      <c r="AH776" s="95">
        <v>0</v>
      </c>
    </row>
    <row r="777" spans="1:34" ht="15.75" thickBot="1" x14ac:dyDescent="0.3">
      <c r="A777" s="90" t="s">
        <v>871</v>
      </c>
      <c r="B777" s="90" t="s">
        <v>18</v>
      </c>
      <c r="C777" s="90" t="s">
        <v>453</v>
      </c>
      <c r="D777" s="90" t="s">
        <v>20</v>
      </c>
      <c r="E777" s="90" t="s">
        <v>727</v>
      </c>
      <c r="F777" s="90" t="s">
        <v>686</v>
      </c>
      <c r="G777" s="93">
        <v>11.47</v>
      </c>
      <c r="H777" s="92"/>
      <c r="I777" s="92"/>
      <c r="J777" s="92"/>
      <c r="K777" s="92"/>
      <c r="L777" s="92"/>
      <c r="M777" s="92"/>
      <c r="N777" s="92"/>
      <c r="O777" s="93">
        <v>11.47</v>
      </c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93">
        <v>0</v>
      </c>
      <c r="AE777" s="92"/>
      <c r="AF777" s="92"/>
      <c r="AG777" s="93">
        <v>11.47</v>
      </c>
      <c r="AH777" s="93">
        <v>0</v>
      </c>
    </row>
    <row r="778" spans="1:34" ht="15.75" thickBot="1" x14ac:dyDescent="0.3">
      <c r="A778" s="90" t="s">
        <v>871</v>
      </c>
      <c r="B778" s="90" t="s">
        <v>18</v>
      </c>
      <c r="C778" s="90" t="s">
        <v>453</v>
      </c>
      <c r="D778" s="90" t="s">
        <v>20</v>
      </c>
      <c r="E778" s="90" t="s">
        <v>727</v>
      </c>
      <c r="F778" s="90" t="s">
        <v>697</v>
      </c>
      <c r="G778" s="95">
        <v>11.47</v>
      </c>
      <c r="H778" s="94"/>
      <c r="I778" s="94"/>
      <c r="J778" s="94"/>
      <c r="K778" s="94"/>
      <c r="L778" s="94"/>
      <c r="M778" s="94"/>
      <c r="N778" s="94"/>
      <c r="O778" s="95">
        <v>11.47</v>
      </c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5">
        <v>0</v>
      </c>
      <c r="AE778" s="94"/>
      <c r="AF778" s="94"/>
      <c r="AG778" s="95">
        <v>11.47</v>
      </c>
      <c r="AH778" s="95">
        <v>0</v>
      </c>
    </row>
    <row r="779" spans="1:34" ht="15.75" thickBot="1" x14ac:dyDescent="0.3">
      <c r="A779" s="90" t="s">
        <v>871</v>
      </c>
      <c r="B779" s="90" t="s">
        <v>18</v>
      </c>
      <c r="C779" s="90" t="s">
        <v>453</v>
      </c>
      <c r="D779" s="90" t="s">
        <v>20</v>
      </c>
      <c r="E779" s="90" t="s">
        <v>673</v>
      </c>
      <c r="F779" s="90" t="s">
        <v>686</v>
      </c>
      <c r="G779" s="93">
        <v>2810.64</v>
      </c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3">
        <v>2810.64</v>
      </c>
      <c r="Y779" s="92"/>
      <c r="Z779" s="92"/>
      <c r="AA779" s="92"/>
      <c r="AB779" s="92"/>
      <c r="AC779" s="92"/>
      <c r="AD779" s="93">
        <v>0</v>
      </c>
      <c r="AE779" s="92"/>
      <c r="AF779" s="92"/>
      <c r="AG779" s="93">
        <v>2810.64</v>
      </c>
      <c r="AH779" s="93">
        <v>0</v>
      </c>
    </row>
    <row r="780" spans="1:34" ht="15.75" thickBot="1" x14ac:dyDescent="0.3">
      <c r="A780" s="90" t="s">
        <v>871</v>
      </c>
      <c r="B780" s="90" t="s">
        <v>18</v>
      </c>
      <c r="C780" s="90" t="s">
        <v>453</v>
      </c>
      <c r="D780" s="90" t="s">
        <v>20</v>
      </c>
      <c r="E780" s="90" t="s">
        <v>673</v>
      </c>
      <c r="F780" s="90" t="s">
        <v>697</v>
      </c>
      <c r="G780" s="95">
        <v>2810.64</v>
      </c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5">
        <v>2810.64</v>
      </c>
      <c r="Y780" s="94"/>
      <c r="Z780" s="94"/>
      <c r="AA780" s="94"/>
      <c r="AB780" s="94"/>
      <c r="AC780" s="94"/>
      <c r="AD780" s="95">
        <v>0</v>
      </c>
      <c r="AE780" s="94"/>
      <c r="AF780" s="94"/>
      <c r="AG780" s="95">
        <v>2810.64</v>
      </c>
      <c r="AH780" s="95">
        <v>0</v>
      </c>
    </row>
    <row r="781" spans="1:34" ht="15.75" thickBot="1" x14ac:dyDescent="0.3">
      <c r="A781" s="90" t="s">
        <v>871</v>
      </c>
      <c r="B781" s="90" t="s">
        <v>18</v>
      </c>
      <c r="C781" s="90" t="s">
        <v>453</v>
      </c>
      <c r="D781" s="90" t="s">
        <v>20</v>
      </c>
      <c r="E781" s="90" t="s">
        <v>196</v>
      </c>
      <c r="F781" s="90" t="s">
        <v>686</v>
      </c>
      <c r="G781" s="93">
        <v>6934.44</v>
      </c>
      <c r="H781" s="92"/>
      <c r="I781" s="92"/>
      <c r="J781" s="92"/>
      <c r="K781" s="92"/>
      <c r="L781" s="92"/>
      <c r="M781" s="92"/>
      <c r="N781" s="92"/>
      <c r="O781" s="92"/>
      <c r="P781" s="93">
        <v>6934.44</v>
      </c>
      <c r="Q781" s="92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93">
        <v>0</v>
      </c>
      <c r="AE781" s="92"/>
      <c r="AF781" s="92"/>
      <c r="AG781" s="93">
        <v>6934.44</v>
      </c>
      <c r="AH781" s="93">
        <v>0</v>
      </c>
    </row>
    <row r="782" spans="1:34" ht="15.75" thickBot="1" x14ac:dyDescent="0.3">
      <c r="A782" s="90" t="s">
        <v>871</v>
      </c>
      <c r="B782" s="90" t="s">
        <v>18</v>
      </c>
      <c r="C782" s="90" t="s">
        <v>453</v>
      </c>
      <c r="D782" s="90" t="s">
        <v>20</v>
      </c>
      <c r="E782" s="90" t="s">
        <v>196</v>
      </c>
      <c r="F782" s="90" t="s">
        <v>697</v>
      </c>
      <c r="G782" s="95">
        <v>6934.44</v>
      </c>
      <c r="H782" s="94"/>
      <c r="I782" s="94"/>
      <c r="J782" s="94"/>
      <c r="K782" s="94"/>
      <c r="L782" s="94"/>
      <c r="M782" s="94"/>
      <c r="N782" s="94"/>
      <c r="O782" s="94"/>
      <c r="P782" s="95">
        <v>6934.44</v>
      </c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5">
        <v>0</v>
      </c>
      <c r="AE782" s="94"/>
      <c r="AF782" s="94"/>
      <c r="AG782" s="95">
        <v>6934.44</v>
      </c>
      <c r="AH782" s="95">
        <v>0</v>
      </c>
    </row>
    <row r="783" spans="1:34" ht="15.75" thickBot="1" x14ac:dyDescent="0.3">
      <c r="A783" s="90" t="s">
        <v>871</v>
      </c>
      <c r="B783" s="90" t="s">
        <v>68</v>
      </c>
      <c r="C783" s="90" t="s">
        <v>877</v>
      </c>
      <c r="D783" s="90" t="s">
        <v>17</v>
      </c>
      <c r="E783" s="90" t="s">
        <v>528</v>
      </c>
      <c r="F783" s="90" t="s">
        <v>686</v>
      </c>
      <c r="G783" s="93">
        <v>40</v>
      </c>
      <c r="H783" s="92"/>
      <c r="I783" s="93">
        <v>40</v>
      </c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93">
        <v>2.41</v>
      </c>
      <c r="AE783" s="92"/>
      <c r="AF783" s="92"/>
      <c r="AG783" s="93">
        <v>42.41</v>
      </c>
      <c r="AH783" s="93">
        <v>0</v>
      </c>
    </row>
    <row r="784" spans="1:34" ht="15.75" thickBot="1" x14ac:dyDescent="0.3">
      <c r="A784" s="90" t="s">
        <v>871</v>
      </c>
      <c r="B784" s="90" t="s">
        <v>68</v>
      </c>
      <c r="C784" s="90" t="s">
        <v>877</v>
      </c>
      <c r="D784" s="90" t="s">
        <v>17</v>
      </c>
      <c r="E784" s="90" t="s">
        <v>528</v>
      </c>
      <c r="F784" s="90" t="s">
        <v>697</v>
      </c>
      <c r="G784" s="95">
        <v>40</v>
      </c>
      <c r="H784" s="94"/>
      <c r="I784" s="95">
        <v>40</v>
      </c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5">
        <v>2.41</v>
      </c>
      <c r="AE784" s="94"/>
      <c r="AF784" s="94"/>
      <c r="AG784" s="95">
        <v>42.41</v>
      </c>
      <c r="AH784" s="95">
        <v>0</v>
      </c>
    </row>
    <row r="785" spans="1:34" ht="15.75" thickBot="1" x14ac:dyDescent="0.3">
      <c r="A785" s="90" t="s">
        <v>871</v>
      </c>
      <c r="B785" s="90" t="s">
        <v>68</v>
      </c>
      <c r="C785" s="90" t="s">
        <v>877</v>
      </c>
      <c r="D785" s="90" t="s">
        <v>17</v>
      </c>
      <c r="E785" s="90" t="s">
        <v>547</v>
      </c>
      <c r="F785" s="90" t="s">
        <v>686</v>
      </c>
      <c r="G785" s="93">
        <v>544</v>
      </c>
      <c r="H785" s="92"/>
      <c r="I785" s="92"/>
      <c r="J785" s="93">
        <v>544</v>
      </c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93">
        <v>32.64</v>
      </c>
      <c r="AE785" s="92"/>
      <c r="AF785" s="92"/>
      <c r="AG785" s="93">
        <v>576.64</v>
      </c>
      <c r="AH785" s="93">
        <v>0</v>
      </c>
    </row>
    <row r="786" spans="1:34" ht="15.75" thickBot="1" x14ac:dyDescent="0.3">
      <c r="A786" s="90" t="s">
        <v>871</v>
      </c>
      <c r="B786" s="90" t="s">
        <v>68</v>
      </c>
      <c r="C786" s="90" t="s">
        <v>877</v>
      </c>
      <c r="D786" s="90" t="s">
        <v>17</v>
      </c>
      <c r="E786" s="90" t="s">
        <v>547</v>
      </c>
      <c r="F786" s="90" t="s">
        <v>697</v>
      </c>
      <c r="G786" s="95">
        <v>544</v>
      </c>
      <c r="H786" s="94"/>
      <c r="I786" s="94"/>
      <c r="J786" s="95">
        <v>544</v>
      </c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5">
        <v>32.64</v>
      </c>
      <c r="AE786" s="94"/>
      <c r="AF786" s="94"/>
      <c r="AG786" s="95">
        <v>576.64</v>
      </c>
      <c r="AH786" s="95">
        <v>0</v>
      </c>
    </row>
    <row r="787" spans="1:34" ht="15.75" thickBot="1" x14ac:dyDescent="0.3">
      <c r="A787" s="90" t="s">
        <v>871</v>
      </c>
      <c r="B787" s="90" t="s">
        <v>68</v>
      </c>
      <c r="C787" s="90" t="s">
        <v>877</v>
      </c>
      <c r="D787" s="90" t="s">
        <v>17</v>
      </c>
      <c r="E787" s="90" t="s">
        <v>518</v>
      </c>
      <c r="F787" s="90" t="s">
        <v>686</v>
      </c>
      <c r="G787" s="93">
        <v>0.2</v>
      </c>
      <c r="H787" s="93">
        <v>6</v>
      </c>
      <c r="I787" s="92"/>
      <c r="J787" s="92"/>
      <c r="K787" s="93">
        <v>0.2</v>
      </c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93">
        <v>0.01</v>
      </c>
      <c r="AE787" s="92"/>
      <c r="AF787" s="92"/>
      <c r="AG787" s="93">
        <v>0.21</v>
      </c>
      <c r="AH787" s="93">
        <v>0</v>
      </c>
    </row>
    <row r="788" spans="1:34" ht="15.75" thickBot="1" x14ac:dyDescent="0.3">
      <c r="A788" s="90" t="s">
        <v>871</v>
      </c>
      <c r="B788" s="90" t="s">
        <v>68</v>
      </c>
      <c r="C788" s="90" t="s">
        <v>877</v>
      </c>
      <c r="D788" s="90" t="s">
        <v>17</v>
      </c>
      <c r="E788" s="90" t="s">
        <v>518</v>
      </c>
      <c r="F788" s="90" t="s">
        <v>697</v>
      </c>
      <c r="G788" s="95">
        <v>0.2</v>
      </c>
      <c r="H788" s="305">
        <v>6</v>
      </c>
      <c r="I788" s="94"/>
      <c r="J788" s="94"/>
      <c r="K788" s="95">
        <v>0.2</v>
      </c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5">
        <v>0.01</v>
      </c>
      <c r="AE788" s="94"/>
      <c r="AF788" s="94"/>
      <c r="AG788" s="95">
        <v>0.21</v>
      </c>
      <c r="AH788" s="95">
        <v>0</v>
      </c>
    </row>
    <row r="789" spans="1:34" ht="15.75" thickBot="1" x14ac:dyDescent="0.3">
      <c r="A789" s="90" t="s">
        <v>871</v>
      </c>
      <c r="B789" s="90" t="s">
        <v>68</v>
      </c>
      <c r="C789" s="90" t="s">
        <v>877</v>
      </c>
      <c r="D789" s="90" t="s">
        <v>17</v>
      </c>
      <c r="E789" s="90" t="s">
        <v>196</v>
      </c>
      <c r="F789" s="90" t="s">
        <v>686</v>
      </c>
      <c r="G789" s="93">
        <v>2.06</v>
      </c>
      <c r="H789" s="92"/>
      <c r="I789" s="92"/>
      <c r="J789" s="92"/>
      <c r="K789" s="92"/>
      <c r="L789" s="92"/>
      <c r="M789" s="92"/>
      <c r="N789" s="92"/>
      <c r="O789" s="92"/>
      <c r="P789" s="93">
        <v>2.06</v>
      </c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3">
        <v>0.12</v>
      </c>
      <c r="AE789" s="92"/>
      <c r="AF789" s="92"/>
      <c r="AG789" s="93">
        <v>2.1800000000000002</v>
      </c>
      <c r="AH789" s="93">
        <v>0</v>
      </c>
    </row>
    <row r="790" spans="1:34" ht="15.75" thickBot="1" x14ac:dyDescent="0.3">
      <c r="A790" s="90" t="s">
        <v>871</v>
      </c>
      <c r="B790" s="90" t="s">
        <v>68</v>
      </c>
      <c r="C790" s="90" t="s">
        <v>877</v>
      </c>
      <c r="D790" s="90" t="s">
        <v>17</v>
      </c>
      <c r="E790" s="90" t="s">
        <v>196</v>
      </c>
      <c r="F790" s="90" t="s">
        <v>697</v>
      </c>
      <c r="G790" s="95">
        <v>2.06</v>
      </c>
      <c r="H790" s="94"/>
      <c r="I790" s="94"/>
      <c r="J790" s="94"/>
      <c r="K790" s="94"/>
      <c r="L790" s="94"/>
      <c r="M790" s="94"/>
      <c r="N790" s="94"/>
      <c r="O790" s="94"/>
      <c r="P790" s="95">
        <v>2.06</v>
      </c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5">
        <v>0.12</v>
      </c>
      <c r="AE790" s="94"/>
      <c r="AF790" s="94"/>
      <c r="AG790" s="95">
        <v>2.1800000000000002</v>
      </c>
      <c r="AH790" s="95">
        <v>0</v>
      </c>
    </row>
    <row r="791" spans="1:34" ht="15.75" thickBot="1" x14ac:dyDescent="0.3">
      <c r="A791" s="90" t="s">
        <v>871</v>
      </c>
      <c r="B791" s="90" t="s">
        <v>50</v>
      </c>
      <c r="C791" s="90" t="s">
        <v>881</v>
      </c>
      <c r="D791" s="90" t="s">
        <v>661</v>
      </c>
      <c r="E791" s="90" t="s">
        <v>198</v>
      </c>
      <c r="F791" s="90" t="s">
        <v>522</v>
      </c>
      <c r="G791" s="93">
        <v>238.59</v>
      </c>
      <c r="H791" s="92"/>
      <c r="I791" s="92"/>
      <c r="J791" s="92"/>
      <c r="K791" s="92"/>
      <c r="L791" s="92"/>
      <c r="M791" s="92"/>
      <c r="N791" s="92"/>
      <c r="O791" s="93">
        <v>238.59</v>
      </c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3">
        <v>4.3600000000000003</v>
      </c>
      <c r="AE791" s="92"/>
      <c r="AF791" s="92"/>
      <c r="AG791" s="93">
        <v>242.95</v>
      </c>
      <c r="AH791" s="93">
        <v>0</v>
      </c>
    </row>
    <row r="792" spans="1:34" ht="15.75" thickBot="1" x14ac:dyDescent="0.3">
      <c r="A792" s="90" t="s">
        <v>871</v>
      </c>
      <c r="B792" s="90" t="s">
        <v>50</v>
      </c>
      <c r="C792" s="90" t="s">
        <v>881</v>
      </c>
      <c r="D792" s="90" t="s">
        <v>661</v>
      </c>
      <c r="E792" s="90" t="s">
        <v>198</v>
      </c>
      <c r="F792" s="90" t="s">
        <v>697</v>
      </c>
      <c r="G792" s="95">
        <v>238.59</v>
      </c>
      <c r="H792" s="94"/>
      <c r="I792" s="94"/>
      <c r="J792" s="94"/>
      <c r="K792" s="94"/>
      <c r="L792" s="94"/>
      <c r="M792" s="94"/>
      <c r="N792" s="94"/>
      <c r="O792" s="95">
        <v>238.59</v>
      </c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5">
        <v>4.3600000000000003</v>
      </c>
      <c r="AE792" s="94"/>
      <c r="AF792" s="94"/>
      <c r="AG792" s="95">
        <v>242.95</v>
      </c>
      <c r="AH792" s="95">
        <v>0</v>
      </c>
    </row>
    <row r="793" spans="1:34" ht="15.75" thickBot="1" x14ac:dyDescent="0.3">
      <c r="A793" s="90" t="s">
        <v>871</v>
      </c>
      <c r="B793" s="90" t="s">
        <v>50</v>
      </c>
      <c r="C793" s="90" t="s">
        <v>881</v>
      </c>
      <c r="D793" s="90" t="s">
        <v>661</v>
      </c>
      <c r="E793" s="90" t="s">
        <v>518</v>
      </c>
      <c r="F793" s="90" t="s">
        <v>522</v>
      </c>
      <c r="G793" s="93">
        <v>18006.96</v>
      </c>
      <c r="H793" s="93">
        <v>418572</v>
      </c>
      <c r="I793" s="92"/>
      <c r="J793" s="92"/>
      <c r="K793" s="93">
        <v>18006.96</v>
      </c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3">
        <v>328.53</v>
      </c>
      <c r="AE793" s="92"/>
      <c r="AF793" s="92"/>
      <c r="AG793" s="93">
        <v>18335.490000000002</v>
      </c>
      <c r="AH793" s="93">
        <v>0</v>
      </c>
    </row>
    <row r="794" spans="1:34" ht="15.75" thickBot="1" x14ac:dyDescent="0.3">
      <c r="A794" s="90" t="s">
        <v>871</v>
      </c>
      <c r="B794" s="90" t="s">
        <v>50</v>
      </c>
      <c r="C794" s="90" t="s">
        <v>881</v>
      </c>
      <c r="D794" s="90" t="s">
        <v>661</v>
      </c>
      <c r="E794" s="90" t="s">
        <v>518</v>
      </c>
      <c r="F794" s="90" t="s">
        <v>697</v>
      </c>
      <c r="G794" s="95">
        <v>18006.96</v>
      </c>
      <c r="H794" s="305">
        <v>418572</v>
      </c>
      <c r="I794" s="94"/>
      <c r="J794" s="94"/>
      <c r="K794" s="95">
        <v>18006.96</v>
      </c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5">
        <v>328.53</v>
      </c>
      <c r="AE794" s="94"/>
      <c r="AF794" s="94"/>
      <c r="AG794" s="95">
        <v>18335.490000000002</v>
      </c>
      <c r="AH794" s="95">
        <v>0</v>
      </c>
    </row>
    <row r="795" spans="1:34" ht="15.75" thickBot="1" x14ac:dyDescent="0.3">
      <c r="A795" s="90" t="s">
        <v>871</v>
      </c>
      <c r="B795" s="90" t="s">
        <v>50</v>
      </c>
      <c r="C795" s="90" t="s">
        <v>881</v>
      </c>
      <c r="D795" s="90" t="s">
        <v>661</v>
      </c>
      <c r="E795" s="90" t="s">
        <v>524</v>
      </c>
      <c r="F795" s="90" t="s">
        <v>522</v>
      </c>
      <c r="G795" s="93">
        <v>4400</v>
      </c>
      <c r="H795" s="92"/>
      <c r="I795" s="93">
        <v>4400</v>
      </c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3">
        <v>65.989999999999995</v>
      </c>
      <c r="AE795" s="92"/>
      <c r="AF795" s="92"/>
      <c r="AG795" s="93">
        <v>4465.99</v>
      </c>
      <c r="AH795" s="93">
        <v>0</v>
      </c>
    </row>
    <row r="796" spans="1:34" ht="15.75" thickBot="1" x14ac:dyDescent="0.3">
      <c r="A796" s="90" t="s">
        <v>871</v>
      </c>
      <c r="B796" s="90" t="s">
        <v>50</v>
      </c>
      <c r="C796" s="90" t="s">
        <v>881</v>
      </c>
      <c r="D796" s="90" t="s">
        <v>661</v>
      </c>
      <c r="E796" s="90" t="s">
        <v>524</v>
      </c>
      <c r="F796" s="90" t="s">
        <v>697</v>
      </c>
      <c r="G796" s="95">
        <v>4400</v>
      </c>
      <c r="H796" s="94"/>
      <c r="I796" s="95">
        <v>4400</v>
      </c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5">
        <v>65.989999999999995</v>
      </c>
      <c r="AE796" s="94"/>
      <c r="AF796" s="94"/>
      <c r="AG796" s="95">
        <v>4465.99</v>
      </c>
      <c r="AH796" s="95">
        <v>0</v>
      </c>
    </row>
    <row r="797" spans="1:34" ht="15.75" thickBot="1" x14ac:dyDescent="0.3">
      <c r="A797" s="90" t="s">
        <v>871</v>
      </c>
      <c r="B797" s="90" t="s">
        <v>50</v>
      </c>
      <c r="C797" s="90" t="s">
        <v>881</v>
      </c>
      <c r="D797" s="641" t="s">
        <v>662</v>
      </c>
      <c r="E797" s="642" t="s">
        <v>198</v>
      </c>
      <c r="F797" s="90" t="s">
        <v>522</v>
      </c>
      <c r="G797" s="93">
        <v>68.8</v>
      </c>
      <c r="H797" s="92"/>
      <c r="I797" s="92"/>
      <c r="J797" s="92"/>
      <c r="K797" s="92"/>
      <c r="L797" s="92"/>
      <c r="M797" s="92"/>
      <c r="N797" s="92"/>
      <c r="O797" s="93">
        <v>68.8</v>
      </c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3">
        <v>1.57</v>
      </c>
      <c r="AE797" s="92"/>
      <c r="AF797" s="92"/>
      <c r="AG797" s="93">
        <v>70.37</v>
      </c>
      <c r="AH797" s="93">
        <v>0</v>
      </c>
    </row>
    <row r="798" spans="1:34" ht="15.75" thickBot="1" x14ac:dyDescent="0.3">
      <c r="A798" s="90" t="s">
        <v>871</v>
      </c>
      <c r="B798" s="90" t="s">
        <v>50</v>
      </c>
      <c r="C798" s="90" t="s">
        <v>881</v>
      </c>
      <c r="D798" s="641" t="s">
        <v>662</v>
      </c>
      <c r="E798" s="642" t="s">
        <v>198</v>
      </c>
      <c r="F798" s="90" t="s">
        <v>697</v>
      </c>
      <c r="G798" s="95">
        <v>68.8</v>
      </c>
      <c r="H798" s="94"/>
      <c r="I798" s="94"/>
      <c r="J798" s="94"/>
      <c r="K798" s="94"/>
      <c r="L798" s="94"/>
      <c r="M798" s="94"/>
      <c r="N798" s="94"/>
      <c r="O798" s="95">
        <v>68.8</v>
      </c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5">
        <v>1.57</v>
      </c>
      <c r="AE798" s="94"/>
      <c r="AF798" s="94"/>
      <c r="AG798" s="95">
        <v>70.37</v>
      </c>
      <c r="AH798" s="95">
        <v>0</v>
      </c>
    </row>
    <row r="799" spans="1:34" ht="15.75" thickBot="1" x14ac:dyDescent="0.3">
      <c r="A799" s="90" t="s">
        <v>871</v>
      </c>
      <c r="B799" s="90" t="s">
        <v>50</v>
      </c>
      <c r="C799" s="90" t="s">
        <v>881</v>
      </c>
      <c r="D799" s="90" t="s">
        <v>662</v>
      </c>
      <c r="E799" s="90" t="s">
        <v>525</v>
      </c>
      <c r="F799" s="90" t="s">
        <v>690</v>
      </c>
      <c r="G799" s="93">
        <v>-577.16</v>
      </c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3">
        <v>-577.16</v>
      </c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3">
        <v>-17.32</v>
      </c>
      <c r="AE799" s="92"/>
      <c r="AF799" s="92"/>
      <c r="AG799" s="93">
        <v>-594.48</v>
      </c>
      <c r="AH799" s="93">
        <v>0</v>
      </c>
    </row>
    <row r="800" spans="1:34" ht="15.75" thickBot="1" x14ac:dyDescent="0.3">
      <c r="A800" s="90" t="s">
        <v>871</v>
      </c>
      <c r="B800" s="90" t="s">
        <v>50</v>
      </c>
      <c r="C800" s="90" t="s">
        <v>881</v>
      </c>
      <c r="D800" s="90" t="s">
        <v>662</v>
      </c>
      <c r="E800" s="90" t="s">
        <v>525</v>
      </c>
      <c r="F800" s="90" t="s">
        <v>697</v>
      </c>
      <c r="G800" s="95">
        <v>-577.16</v>
      </c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5">
        <v>-577.16</v>
      </c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5">
        <v>-17.32</v>
      </c>
      <c r="AE800" s="94"/>
      <c r="AF800" s="94"/>
      <c r="AG800" s="95">
        <v>-594.48</v>
      </c>
      <c r="AH800" s="95">
        <v>0</v>
      </c>
    </row>
    <row r="801" spans="1:34" ht="15.75" thickBot="1" x14ac:dyDescent="0.3">
      <c r="A801" s="90" t="s">
        <v>871</v>
      </c>
      <c r="B801" s="90" t="s">
        <v>50</v>
      </c>
      <c r="C801" s="90" t="s">
        <v>881</v>
      </c>
      <c r="D801" s="90" t="s">
        <v>662</v>
      </c>
      <c r="E801" s="90" t="s">
        <v>518</v>
      </c>
      <c r="F801" s="90" t="s">
        <v>522</v>
      </c>
      <c r="G801" s="93">
        <v>5192.6000000000004</v>
      </c>
      <c r="H801" s="93">
        <v>120702</v>
      </c>
      <c r="I801" s="92"/>
      <c r="J801" s="92"/>
      <c r="K801" s="93">
        <v>5192.6000000000004</v>
      </c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3">
        <v>118.82</v>
      </c>
      <c r="AE801" s="92"/>
      <c r="AF801" s="92"/>
      <c r="AG801" s="93">
        <v>5311.42</v>
      </c>
      <c r="AH801" s="93">
        <v>0</v>
      </c>
    </row>
    <row r="802" spans="1:34" ht="15.75" thickBot="1" x14ac:dyDescent="0.3">
      <c r="A802" s="90" t="s">
        <v>871</v>
      </c>
      <c r="B802" s="90" t="s">
        <v>50</v>
      </c>
      <c r="C802" s="90" t="s">
        <v>881</v>
      </c>
      <c r="D802" s="90" t="s">
        <v>662</v>
      </c>
      <c r="E802" s="90" t="s">
        <v>518</v>
      </c>
      <c r="F802" s="90" t="s">
        <v>697</v>
      </c>
      <c r="G802" s="95">
        <v>5192.6000000000004</v>
      </c>
      <c r="H802" s="305">
        <v>120702</v>
      </c>
      <c r="I802" s="94"/>
      <c r="J802" s="94"/>
      <c r="K802" s="95">
        <v>5192.6000000000004</v>
      </c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5">
        <v>118.82</v>
      </c>
      <c r="AE802" s="94"/>
      <c r="AF802" s="94"/>
      <c r="AG802" s="95">
        <v>5311.42</v>
      </c>
      <c r="AH802" s="95">
        <v>0</v>
      </c>
    </row>
    <row r="803" spans="1:34" ht="15.75" thickBot="1" x14ac:dyDescent="0.3">
      <c r="A803" s="90" t="s">
        <v>871</v>
      </c>
      <c r="B803" s="90" t="s">
        <v>50</v>
      </c>
      <c r="C803" s="90" t="s">
        <v>881</v>
      </c>
      <c r="D803" s="90" t="s">
        <v>662</v>
      </c>
      <c r="E803" s="90" t="s">
        <v>527</v>
      </c>
      <c r="F803" s="90" t="s">
        <v>690</v>
      </c>
      <c r="G803" s="93">
        <v>-13.68</v>
      </c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3">
        <v>-13.68</v>
      </c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3">
        <v>-0.41</v>
      </c>
      <c r="AE803" s="92"/>
      <c r="AF803" s="92"/>
      <c r="AG803" s="93">
        <v>-14.09</v>
      </c>
      <c r="AH803" s="93">
        <v>0</v>
      </c>
    </row>
    <row r="804" spans="1:34" ht="15.75" thickBot="1" x14ac:dyDescent="0.3">
      <c r="A804" s="90" t="s">
        <v>871</v>
      </c>
      <c r="B804" s="90" t="s">
        <v>50</v>
      </c>
      <c r="C804" s="90" t="s">
        <v>881</v>
      </c>
      <c r="D804" s="90" t="s">
        <v>662</v>
      </c>
      <c r="E804" s="90" t="s">
        <v>527</v>
      </c>
      <c r="F804" s="90" t="s">
        <v>697</v>
      </c>
      <c r="G804" s="95">
        <v>-13.68</v>
      </c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5">
        <v>-13.68</v>
      </c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5">
        <v>-0.41</v>
      </c>
      <c r="AE804" s="94"/>
      <c r="AF804" s="94"/>
      <c r="AG804" s="95">
        <v>-14.09</v>
      </c>
      <c r="AH804" s="95">
        <v>0</v>
      </c>
    </row>
    <row r="805" spans="1:34" ht="15.75" thickBot="1" x14ac:dyDescent="0.3">
      <c r="A805" s="90" t="s">
        <v>871</v>
      </c>
      <c r="B805" s="90" t="s">
        <v>50</v>
      </c>
      <c r="C805" s="90" t="s">
        <v>881</v>
      </c>
      <c r="D805" s="90" t="s">
        <v>662</v>
      </c>
      <c r="E805" s="90" t="s">
        <v>671</v>
      </c>
      <c r="F805" s="90" t="s">
        <v>522</v>
      </c>
      <c r="G805" s="93">
        <v>107.29</v>
      </c>
      <c r="H805" s="92"/>
      <c r="I805" s="92"/>
      <c r="J805" s="92"/>
      <c r="K805" s="92"/>
      <c r="L805" s="93">
        <v>107.29</v>
      </c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  <c r="AD805" s="93">
        <v>0</v>
      </c>
      <c r="AE805" s="92"/>
      <c r="AF805" s="92"/>
      <c r="AG805" s="93">
        <v>107.29</v>
      </c>
      <c r="AH805" s="93">
        <v>0</v>
      </c>
    </row>
    <row r="806" spans="1:34" ht="15.75" thickBot="1" x14ac:dyDescent="0.3">
      <c r="A806" s="90" t="s">
        <v>871</v>
      </c>
      <c r="B806" s="90" t="s">
        <v>50</v>
      </c>
      <c r="C806" s="90" t="s">
        <v>881</v>
      </c>
      <c r="D806" s="90" t="s">
        <v>662</v>
      </c>
      <c r="E806" s="90" t="s">
        <v>671</v>
      </c>
      <c r="F806" s="90" t="s">
        <v>697</v>
      </c>
      <c r="G806" s="95">
        <v>107.29</v>
      </c>
      <c r="H806" s="94"/>
      <c r="I806" s="94"/>
      <c r="J806" s="94"/>
      <c r="K806" s="94"/>
      <c r="L806" s="95">
        <v>107.29</v>
      </c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  <c r="AC806" s="94"/>
      <c r="AD806" s="95">
        <v>0</v>
      </c>
      <c r="AE806" s="94"/>
      <c r="AF806" s="94"/>
      <c r="AG806" s="95">
        <v>107.29</v>
      </c>
      <c r="AH806" s="95">
        <v>0</v>
      </c>
    </row>
    <row r="807" spans="1:34" ht="15.75" thickBot="1" x14ac:dyDescent="0.3">
      <c r="A807" s="90" t="s">
        <v>871</v>
      </c>
      <c r="B807" s="90" t="s">
        <v>50</v>
      </c>
      <c r="C807" s="90" t="s">
        <v>881</v>
      </c>
      <c r="D807" s="90" t="s">
        <v>662</v>
      </c>
      <c r="E807" s="90" t="s">
        <v>524</v>
      </c>
      <c r="F807" s="90" t="s">
        <v>522</v>
      </c>
      <c r="G807" s="93">
        <v>1100</v>
      </c>
      <c r="H807" s="92"/>
      <c r="I807" s="93">
        <v>1100</v>
      </c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  <c r="AD807" s="93">
        <v>16.52</v>
      </c>
      <c r="AE807" s="92"/>
      <c r="AF807" s="92"/>
      <c r="AG807" s="93">
        <v>1116.52</v>
      </c>
      <c r="AH807" s="93">
        <v>0</v>
      </c>
    </row>
    <row r="808" spans="1:34" ht="15.75" thickBot="1" x14ac:dyDescent="0.3">
      <c r="A808" s="90" t="s">
        <v>871</v>
      </c>
      <c r="B808" s="90" t="s">
        <v>50</v>
      </c>
      <c r="C808" s="90" t="s">
        <v>881</v>
      </c>
      <c r="D808" s="90" t="s">
        <v>662</v>
      </c>
      <c r="E808" s="90" t="s">
        <v>524</v>
      </c>
      <c r="F808" s="90" t="s">
        <v>697</v>
      </c>
      <c r="G808" s="95">
        <v>1100</v>
      </c>
      <c r="H808" s="94"/>
      <c r="I808" s="95">
        <v>1100</v>
      </c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  <c r="AC808" s="94"/>
      <c r="AD808" s="95">
        <v>16.52</v>
      </c>
      <c r="AE808" s="94"/>
      <c r="AF808" s="94"/>
      <c r="AG808" s="95">
        <v>1116.52</v>
      </c>
      <c r="AH808" s="95">
        <v>0</v>
      </c>
    </row>
    <row r="809" spans="1:34" ht="15.75" thickBot="1" x14ac:dyDescent="0.3">
      <c r="A809" s="90" t="s">
        <v>871</v>
      </c>
      <c r="B809" s="90" t="s">
        <v>50</v>
      </c>
      <c r="C809" s="90" t="s">
        <v>881</v>
      </c>
      <c r="D809" s="90" t="s">
        <v>662</v>
      </c>
      <c r="E809" s="90" t="s">
        <v>676</v>
      </c>
      <c r="F809" s="90" t="s">
        <v>522</v>
      </c>
      <c r="G809" s="93">
        <v>174.49</v>
      </c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3">
        <v>174.49</v>
      </c>
      <c r="V809" s="92"/>
      <c r="W809" s="92"/>
      <c r="X809" s="92"/>
      <c r="Y809" s="92"/>
      <c r="Z809" s="92"/>
      <c r="AA809" s="92"/>
      <c r="AB809" s="92"/>
      <c r="AC809" s="92"/>
      <c r="AD809" s="93">
        <v>5.23</v>
      </c>
      <c r="AE809" s="92"/>
      <c r="AF809" s="92"/>
      <c r="AG809" s="93">
        <v>179.72</v>
      </c>
      <c r="AH809" s="93">
        <v>0</v>
      </c>
    </row>
    <row r="810" spans="1:34" ht="15.75" thickBot="1" x14ac:dyDescent="0.3">
      <c r="A810" s="90" t="s">
        <v>871</v>
      </c>
      <c r="B810" s="90" t="s">
        <v>50</v>
      </c>
      <c r="C810" s="90" t="s">
        <v>881</v>
      </c>
      <c r="D810" s="90" t="s">
        <v>662</v>
      </c>
      <c r="E810" s="90" t="s">
        <v>676</v>
      </c>
      <c r="F810" s="90" t="s">
        <v>697</v>
      </c>
      <c r="G810" s="95">
        <v>174.49</v>
      </c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5">
        <v>174.49</v>
      </c>
      <c r="V810" s="94"/>
      <c r="W810" s="94"/>
      <c r="X810" s="94"/>
      <c r="Y810" s="94"/>
      <c r="Z810" s="94"/>
      <c r="AA810" s="94"/>
      <c r="AB810" s="94"/>
      <c r="AC810" s="94"/>
      <c r="AD810" s="95">
        <v>5.23</v>
      </c>
      <c r="AE810" s="94"/>
      <c r="AF810" s="94"/>
      <c r="AG810" s="95">
        <v>179.72</v>
      </c>
      <c r="AH810" s="95">
        <v>0</v>
      </c>
    </row>
    <row r="811" spans="1:34" ht="15.75" thickBot="1" x14ac:dyDescent="0.3">
      <c r="A811" s="90" t="s">
        <v>871</v>
      </c>
      <c r="B811" s="90" t="s">
        <v>50</v>
      </c>
      <c r="C811" s="90" t="s">
        <v>881</v>
      </c>
      <c r="D811" s="90" t="s">
        <v>662</v>
      </c>
      <c r="E811" s="90" t="s">
        <v>677</v>
      </c>
      <c r="F811" s="90" t="s">
        <v>522</v>
      </c>
      <c r="G811" s="93">
        <v>192.45</v>
      </c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3">
        <v>192.45</v>
      </c>
      <c r="W811" s="92"/>
      <c r="X811" s="92"/>
      <c r="Y811" s="92"/>
      <c r="Z811" s="92"/>
      <c r="AA811" s="92"/>
      <c r="AB811" s="92"/>
      <c r="AC811" s="92"/>
      <c r="AD811" s="93">
        <v>5.77</v>
      </c>
      <c r="AE811" s="92"/>
      <c r="AF811" s="92"/>
      <c r="AG811" s="93">
        <v>198.22</v>
      </c>
      <c r="AH811" s="93">
        <v>0</v>
      </c>
    </row>
    <row r="812" spans="1:34" ht="15.75" thickBot="1" x14ac:dyDescent="0.3">
      <c r="A812" s="90" t="s">
        <v>871</v>
      </c>
      <c r="B812" s="90" t="s">
        <v>50</v>
      </c>
      <c r="C812" s="90" t="s">
        <v>881</v>
      </c>
      <c r="D812" s="90" t="s">
        <v>662</v>
      </c>
      <c r="E812" s="90" t="s">
        <v>677</v>
      </c>
      <c r="F812" s="90" t="s">
        <v>697</v>
      </c>
      <c r="G812" s="95">
        <v>192.45</v>
      </c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5">
        <v>192.45</v>
      </c>
      <c r="W812" s="94"/>
      <c r="X812" s="94"/>
      <c r="Y812" s="94"/>
      <c r="Z812" s="94"/>
      <c r="AA812" s="94"/>
      <c r="AB812" s="94"/>
      <c r="AC812" s="94"/>
      <c r="AD812" s="95">
        <v>5.77</v>
      </c>
      <c r="AE812" s="94"/>
      <c r="AF812" s="94"/>
      <c r="AG812" s="95">
        <v>198.22</v>
      </c>
      <c r="AH812" s="95">
        <v>0</v>
      </c>
    </row>
    <row r="813" spans="1:34" ht="15.75" thickBot="1" x14ac:dyDescent="0.3">
      <c r="A813" s="90" t="s">
        <v>871</v>
      </c>
      <c r="B813" s="90" t="s">
        <v>31</v>
      </c>
      <c r="C813" s="90" t="s">
        <v>880</v>
      </c>
      <c r="D813" s="90" t="s">
        <v>21</v>
      </c>
      <c r="E813" s="90" t="s">
        <v>726</v>
      </c>
      <c r="F813" s="90" t="s">
        <v>686</v>
      </c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3">
        <v>-17.66</v>
      </c>
      <c r="AD813" s="93">
        <v>-1.06</v>
      </c>
      <c r="AE813" s="92"/>
      <c r="AF813" s="92"/>
      <c r="AG813" s="93">
        <v>-18.72</v>
      </c>
      <c r="AH813" s="93">
        <v>0</v>
      </c>
    </row>
    <row r="814" spans="1:34" ht="15.75" thickBot="1" x14ac:dyDescent="0.3">
      <c r="A814" s="90" t="s">
        <v>871</v>
      </c>
      <c r="B814" s="90" t="s">
        <v>31</v>
      </c>
      <c r="C814" s="90" t="s">
        <v>880</v>
      </c>
      <c r="D814" s="90" t="s">
        <v>21</v>
      </c>
      <c r="E814" s="90" t="s">
        <v>726</v>
      </c>
      <c r="F814" s="90" t="s">
        <v>697</v>
      </c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  <c r="AC814" s="95">
        <v>-17.66</v>
      </c>
      <c r="AD814" s="95">
        <v>-1.06</v>
      </c>
      <c r="AE814" s="94"/>
      <c r="AF814" s="94"/>
      <c r="AG814" s="95">
        <v>-18.72</v>
      </c>
      <c r="AH814" s="95">
        <v>0</v>
      </c>
    </row>
    <row r="815" spans="1:34" ht="15.75" thickBot="1" x14ac:dyDescent="0.3">
      <c r="A815" s="90" t="s">
        <v>871</v>
      </c>
      <c r="B815" s="90" t="s">
        <v>31</v>
      </c>
      <c r="C815" s="90" t="s">
        <v>880</v>
      </c>
      <c r="D815" s="90" t="s">
        <v>21</v>
      </c>
      <c r="E815" s="90" t="s">
        <v>528</v>
      </c>
      <c r="F815" s="90" t="s">
        <v>686</v>
      </c>
      <c r="G815" s="93">
        <v>22539.73</v>
      </c>
      <c r="H815" s="92"/>
      <c r="I815" s="93">
        <v>22539.73</v>
      </c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  <c r="AD815" s="93">
        <v>1277.4000000000001</v>
      </c>
      <c r="AE815" s="92"/>
      <c r="AF815" s="92"/>
      <c r="AG815" s="93">
        <v>23817.13</v>
      </c>
      <c r="AH815" s="93">
        <v>0</v>
      </c>
    </row>
    <row r="816" spans="1:34" ht="15.75" thickBot="1" x14ac:dyDescent="0.3">
      <c r="A816" s="90" t="s">
        <v>871</v>
      </c>
      <c r="B816" s="90" t="s">
        <v>31</v>
      </c>
      <c r="C816" s="90" t="s">
        <v>880</v>
      </c>
      <c r="D816" s="90" t="s">
        <v>21</v>
      </c>
      <c r="E816" s="90" t="s">
        <v>528</v>
      </c>
      <c r="F816" s="90" t="s">
        <v>697</v>
      </c>
      <c r="G816" s="95">
        <v>22539.73</v>
      </c>
      <c r="H816" s="94"/>
      <c r="I816" s="95">
        <v>22539.73</v>
      </c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  <c r="AC816" s="94"/>
      <c r="AD816" s="95">
        <v>1277.4000000000001</v>
      </c>
      <c r="AE816" s="94"/>
      <c r="AF816" s="94"/>
      <c r="AG816" s="95">
        <v>23817.13</v>
      </c>
      <c r="AH816" s="95">
        <v>0</v>
      </c>
    </row>
    <row r="817" spans="1:34" ht="15.75" thickBot="1" x14ac:dyDescent="0.3">
      <c r="A817" s="90" t="s">
        <v>871</v>
      </c>
      <c r="B817" s="90" t="s">
        <v>31</v>
      </c>
      <c r="C817" s="90" t="s">
        <v>880</v>
      </c>
      <c r="D817" s="90" t="s">
        <v>21</v>
      </c>
      <c r="E817" s="90" t="s">
        <v>518</v>
      </c>
      <c r="F817" s="90" t="s">
        <v>686</v>
      </c>
      <c r="G817" s="93">
        <v>138898.87</v>
      </c>
      <c r="H817" s="93">
        <v>753275</v>
      </c>
      <c r="I817" s="92"/>
      <c r="J817" s="92"/>
      <c r="K817" s="93">
        <v>138898.87</v>
      </c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  <c r="AD817" s="93">
        <v>7785.16</v>
      </c>
      <c r="AE817" s="92"/>
      <c r="AF817" s="92"/>
      <c r="AG817" s="93">
        <v>146684.03</v>
      </c>
      <c r="AH817" s="93">
        <v>0</v>
      </c>
    </row>
    <row r="818" spans="1:34" ht="15.75" thickBot="1" x14ac:dyDescent="0.3">
      <c r="A818" s="90" t="s">
        <v>871</v>
      </c>
      <c r="B818" s="90" t="s">
        <v>31</v>
      </c>
      <c r="C818" s="90" t="s">
        <v>880</v>
      </c>
      <c r="D818" s="90" t="s">
        <v>21</v>
      </c>
      <c r="E818" s="90" t="s">
        <v>518</v>
      </c>
      <c r="F818" s="90" t="s">
        <v>697</v>
      </c>
      <c r="G818" s="95">
        <v>138898.87</v>
      </c>
      <c r="H818" s="305">
        <v>753275</v>
      </c>
      <c r="I818" s="94"/>
      <c r="J818" s="94"/>
      <c r="K818" s="95">
        <v>138898.87</v>
      </c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  <c r="AC818" s="94"/>
      <c r="AD818" s="95">
        <v>7785.16</v>
      </c>
      <c r="AE818" s="94"/>
      <c r="AF818" s="94"/>
      <c r="AG818" s="95">
        <v>146684.03</v>
      </c>
      <c r="AH818" s="95">
        <v>0</v>
      </c>
    </row>
    <row r="819" spans="1:34" ht="15.75" thickBot="1" x14ac:dyDescent="0.3">
      <c r="A819" s="90" t="s">
        <v>871</v>
      </c>
      <c r="B819" s="90" t="s">
        <v>31</v>
      </c>
      <c r="C819" s="90" t="s">
        <v>880</v>
      </c>
      <c r="D819" s="90" t="s">
        <v>21</v>
      </c>
      <c r="E819" s="90" t="s">
        <v>673</v>
      </c>
      <c r="F819" s="90" t="s">
        <v>686</v>
      </c>
      <c r="G819" s="93">
        <v>51461.36</v>
      </c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3">
        <v>51461.36</v>
      </c>
      <c r="Y819" s="92"/>
      <c r="Z819" s="92"/>
      <c r="AA819" s="92"/>
      <c r="AB819" s="92"/>
      <c r="AC819" s="92"/>
      <c r="AD819" s="93">
        <v>2965.93</v>
      </c>
      <c r="AE819" s="92"/>
      <c r="AF819" s="92"/>
      <c r="AG819" s="93">
        <v>54427.29</v>
      </c>
      <c r="AH819" s="93">
        <v>0</v>
      </c>
    </row>
    <row r="820" spans="1:34" ht="15.75" thickBot="1" x14ac:dyDescent="0.3">
      <c r="A820" s="90" t="s">
        <v>871</v>
      </c>
      <c r="B820" s="90" t="s">
        <v>31</v>
      </c>
      <c r="C820" s="90" t="s">
        <v>880</v>
      </c>
      <c r="D820" s="90" t="s">
        <v>21</v>
      </c>
      <c r="E820" s="90" t="s">
        <v>673</v>
      </c>
      <c r="F820" s="90" t="s">
        <v>697</v>
      </c>
      <c r="G820" s="95">
        <v>51461.36</v>
      </c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5">
        <v>51461.36</v>
      </c>
      <c r="Y820" s="94"/>
      <c r="Z820" s="94"/>
      <c r="AA820" s="94"/>
      <c r="AB820" s="94"/>
      <c r="AC820" s="94"/>
      <c r="AD820" s="95">
        <v>2965.93</v>
      </c>
      <c r="AE820" s="94"/>
      <c r="AF820" s="94"/>
      <c r="AG820" s="95">
        <v>54427.29</v>
      </c>
      <c r="AH820" s="95">
        <v>0</v>
      </c>
    </row>
    <row r="821" spans="1:34" ht="15.75" thickBot="1" x14ac:dyDescent="0.3">
      <c r="A821" s="90" t="s">
        <v>871</v>
      </c>
      <c r="B821" s="90" t="s">
        <v>31</v>
      </c>
      <c r="C821" s="90" t="s">
        <v>880</v>
      </c>
      <c r="D821" s="90" t="s">
        <v>21</v>
      </c>
      <c r="E821" s="90" t="s">
        <v>196</v>
      </c>
      <c r="F821" s="90" t="s">
        <v>686</v>
      </c>
      <c r="G821" s="93">
        <v>252594.9</v>
      </c>
      <c r="H821" s="92"/>
      <c r="I821" s="92"/>
      <c r="J821" s="92"/>
      <c r="K821" s="92"/>
      <c r="L821" s="92"/>
      <c r="M821" s="92"/>
      <c r="N821" s="92"/>
      <c r="O821" s="92"/>
      <c r="P821" s="93">
        <v>252594.9</v>
      </c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3">
        <v>14185.73</v>
      </c>
      <c r="AE821" s="92"/>
      <c r="AF821" s="92"/>
      <c r="AG821" s="93">
        <v>266780.63</v>
      </c>
      <c r="AH821" s="93">
        <v>0</v>
      </c>
    </row>
    <row r="822" spans="1:34" ht="15.75" thickBot="1" x14ac:dyDescent="0.3">
      <c r="A822" s="90" t="s">
        <v>871</v>
      </c>
      <c r="B822" s="90" t="s">
        <v>31</v>
      </c>
      <c r="C822" s="90" t="s">
        <v>880</v>
      </c>
      <c r="D822" s="90" t="s">
        <v>21</v>
      </c>
      <c r="E822" s="90" t="s">
        <v>196</v>
      </c>
      <c r="F822" s="90" t="s">
        <v>697</v>
      </c>
      <c r="G822" s="95">
        <v>252594.9</v>
      </c>
      <c r="H822" s="94"/>
      <c r="I822" s="94"/>
      <c r="J822" s="94"/>
      <c r="K822" s="94"/>
      <c r="L822" s="94"/>
      <c r="M822" s="94"/>
      <c r="N822" s="94"/>
      <c r="O822" s="94"/>
      <c r="P822" s="95">
        <v>252594.9</v>
      </c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  <c r="AC822" s="94"/>
      <c r="AD822" s="95">
        <v>14185.73</v>
      </c>
      <c r="AE822" s="94"/>
      <c r="AF822" s="94"/>
      <c r="AG822" s="95">
        <v>266780.63</v>
      </c>
      <c r="AH822" s="95">
        <v>0</v>
      </c>
    </row>
    <row r="823" spans="1:34" ht="15.75" thickBot="1" x14ac:dyDescent="0.3">
      <c r="A823" s="90" t="s">
        <v>871</v>
      </c>
      <c r="B823" s="90" t="s">
        <v>31</v>
      </c>
      <c r="C823" s="90" t="s">
        <v>880</v>
      </c>
      <c r="D823" s="90" t="s">
        <v>17</v>
      </c>
      <c r="E823" s="90" t="s">
        <v>528</v>
      </c>
      <c r="F823" s="90" t="s">
        <v>686</v>
      </c>
      <c r="G823" s="93">
        <v>1320.02</v>
      </c>
      <c r="H823" s="92"/>
      <c r="I823" s="93">
        <v>1320.02</v>
      </c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3">
        <v>74.17</v>
      </c>
      <c r="AE823" s="92"/>
      <c r="AF823" s="92"/>
      <c r="AG823" s="93">
        <v>1394.19</v>
      </c>
      <c r="AH823" s="93">
        <v>0</v>
      </c>
    </row>
    <row r="824" spans="1:34" ht="15.75" thickBot="1" x14ac:dyDescent="0.3">
      <c r="A824" s="90" t="s">
        <v>871</v>
      </c>
      <c r="B824" s="90" t="s">
        <v>31</v>
      </c>
      <c r="C824" s="90" t="s">
        <v>880</v>
      </c>
      <c r="D824" s="90" t="s">
        <v>17</v>
      </c>
      <c r="E824" s="90" t="s">
        <v>528</v>
      </c>
      <c r="F824" s="90" t="s">
        <v>697</v>
      </c>
      <c r="G824" s="95">
        <v>1320.02</v>
      </c>
      <c r="H824" s="94"/>
      <c r="I824" s="95">
        <v>1320.02</v>
      </c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  <c r="AC824" s="94"/>
      <c r="AD824" s="95">
        <v>74.17</v>
      </c>
      <c r="AE824" s="94"/>
      <c r="AF824" s="94"/>
      <c r="AG824" s="95">
        <v>1394.19</v>
      </c>
      <c r="AH824" s="95">
        <v>0</v>
      </c>
    </row>
    <row r="825" spans="1:34" ht="15.75" thickBot="1" x14ac:dyDescent="0.3">
      <c r="A825" s="90" t="s">
        <v>871</v>
      </c>
      <c r="B825" s="90" t="s">
        <v>31</v>
      </c>
      <c r="C825" s="90" t="s">
        <v>880</v>
      </c>
      <c r="D825" s="90" t="s">
        <v>17</v>
      </c>
      <c r="E825" s="90" t="s">
        <v>518</v>
      </c>
      <c r="F825" s="90" t="s">
        <v>686</v>
      </c>
      <c r="G825" s="93">
        <v>3749.56</v>
      </c>
      <c r="H825" s="93">
        <v>19093</v>
      </c>
      <c r="I825" s="92"/>
      <c r="J825" s="92"/>
      <c r="K825" s="93">
        <v>3749.56</v>
      </c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3">
        <v>173</v>
      </c>
      <c r="AE825" s="92"/>
      <c r="AF825" s="92"/>
      <c r="AG825" s="93">
        <v>3922.56</v>
      </c>
      <c r="AH825" s="93">
        <v>0</v>
      </c>
    </row>
    <row r="826" spans="1:34" ht="15.75" thickBot="1" x14ac:dyDescent="0.3">
      <c r="A826" s="90" t="s">
        <v>871</v>
      </c>
      <c r="B826" s="90" t="s">
        <v>31</v>
      </c>
      <c r="C826" s="90" t="s">
        <v>880</v>
      </c>
      <c r="D826" s="90" t="s">
        <v>17</v>
      </c>
      <c r="E826" s="90" t="s">
        <v>518</v>
      </c>
      <c r="F826" s="90" t="s">
        <v>697</v>
      </c>
      <c r="G826" s="95">
        <v>3749.56</v>
      </c>
      <c r="H826" s="305">
        <v>19093</v>
      </c>
      <c r="I826" s="94"/>
      <c r="J826" s="94"/>
      <c r="K826" s="95">
        <v>3749.56</v>
      </c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  <c r="AC826" s="94"/>
      <c r="AD826" s="95">
        <v>173</v>
      </c>
      <c r="AE826" s="94"/>
      <c r="AF826" s="94"/>
      <c r="AG826" s="95">
        <v>3922.56</v>
      </c>
      <c r="AH826" s="95">
        <v>0</v>
      </c>
    </row>
    <row r="827" spans="1:34" ht="15.75" thickBot="1" x14ac:dyDescent="0.3">
      <c r="A827" s="90" t="s">
        <v>871</v>
      </c>
      <c r="B827" s="90" t="s">
        <v>31</v>
      </c>
      <c r="C827" s="90" t="s">
        <v>880</v>
      </c>
      <c r="D827" s="90" t="s">
        <v>17</v>
      </c>
      <c r="E827" s="90" t="s">
        <v>673</v>
      </c>
      <c r="F827" s="90" t="s">
        <v>686</v>
      </c>
      <c r="G827" s="93">
        <v>4804.3900000000003</v>
      </c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3">
        <v>4804.3900000000003</v>
      </c>
      <c r="Y827" s="92"/>
      <c r="Z827" s="92"/>
      <c r="AA827" s="92"/>
      <c r="AB827" s="92"/>
      <c r="AC827" s="92"/>
      <c r="AD827" s="93">
        <v>281.12</v>
      </c>
      <c r="AE827" s="92"/>
      <c r="AF827" s="92"/>
      <c r="AG827" s="93">
        <v>5085.51</v>
      </c>
      <c r="AH827" s="93">
        <v>0</v>
      </c>
    </row>
    <row r="828" spans="1:34" ht="15.75" thickBot="1" x14ac:dyDescent="0.3">
      <c r="A828" s="90" t="s">
        <v>871</v>
      </c>
      <c r="B828" s="90" t="s">
        <v>31</v>
      </c>
      <c r="C828" s="90" t="s">
        <v>880</v>
      </c>
      <c r="D828" s="90" t="s">
        <v>17</v>
      </c>
      <c r="E828" s="90" t="s">
        <v>673</v>
      </c>
      <c r="F828" s="90" t="s">
        <v>697</v>
      </c>
      <c r="G828" s="95">
        <v>4804.3900000000003</v>
      </c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5">
        <v>4804.3900000000003</v>
      </c>
      <c r="Y828" s="94"/>
      <c r="Z828" s="94"/>
      <c r="AA828" s="94"/>
      <c r="AB828" s="94"/>
      <c r="AC828" s="94"/>
      <c r="AD828" s="95">
        <v>281.12</v>
      </c>
      <c r="AE828" s="94"/>
      <c r="AF828" s="94"/>
      <c r="AG828" s="95">
        <v>5085.51</v>
      </c>
      <c r="AH828" s="95">
        <v>0</v>
      </c>
    </row>
    <row r="829" spans="1:34" ht="15.75" thickBot="1" x14ac:dyDescent="0.3">
      <c r="A829" s="90" t="s">
        <v>871</v>
      </c>
      <c r="B829" s="90" t="s">
        <v>31</v>
      </c>
      <c r="C829" s="90" t="s">
        <v>880</v>
      </c>
      <c r="D829" s="90" t="s">
        <v>17</v>
      </c>
      <c r="E829" s="90" t="s">
        <v>196</v>
      </c>
      <c r="F829" s="90" t="s">
        <v>686</v>
      </c>
      <c r="G829" s="93">
        <v>6487.03</v>
      </c>
      <c r="H829" s="92"/>
      <c r="I829" s="92"/>
      <c r="J829" s="92"/>
      <c r="K829" s="92"/>
      <c r="L829" s="92"/>
      <c r="M829" s="92"/>
      <c r="N829" s="92"/>
      <c r="O829" s="92"/>
      <c r="P829" s="93">
        <v>6487.03</v>
      </c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3">
        <v>292.75</v>
      </c>
      <c r="AE829" s="92"/>
      <c r="AF829" s="92"/>
      <c r="AG829" s="93">
        <v>6779.78</v>
      </c>
      <c r="AH829" s="93">
        <v>0</v>
      </c>
    </row>
    <row r="830" spans="1:34" ht="15.75" thickBot="1" x14ac:dyDescent="0.3">
      <c r="A830" s="90" t="s">
        <v>871</v>
      </c>
      <c r="B830" s="90" t="s">
        <v>31</v>
      </c>
      <c r="C830" s="90" t="s">
        <v>880</v>
      </c>
      <c r="D830" s="90" t="s">
        <v>17</v>
      </c>
      <c r="E830" s="90" t="s">
        <v>196</v>
      </c>
      <c r="F830" s="90" t="s">
        <v>697</v>
      </c>
      <c r="G830" s="95">
        <v>6487.03</v>
      </c>
      <c r="H830" s="94"/>
      <c r="I830" s="94"/>
      <c r="J830" s="94"/>
      <c r="K830" s="94"/>
      <c r="L830" s="94"/>
      <c r="M830" s="94"/>
      <c r="N830" s="94"/>
      <c r="O830" s="94"/>
      <c r="P830" s="95">
        <v>6487.03</v>
      </c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  <c r="AC830" s="94"/>
      <c r="AD830" s="95">
        <v>292.75</v>
      </c>
      <c r="AE830" s="94"/>
      <c r="AF830" s="94"/>
      <c r="AG830" s="95">
        <v>6779.78</v>
      </c>
      <c r="AH830" s="95">
        <v>0</v>
      </c>
    </row>
    <row r="831" spans="1:34" ht="15.75" thickBot="1" x14ac:dyDescent="0.3">
      <c r="A831" s="90" t="s">
        <v>871</v>
      </c>
      <c r="B831" s="90" t="s">
        <v>878</v>
      </c>
      <c r="C831" s="90" t="s">
        <v>879</v>
      </c>
      <c r="D831" s="90" t="s">
        <v>21</v>
      </c>
      <c r="E831" s="90" t="s">
        <v>528</v>
      </c>
      <c r="F831" s="90" t="s">
        <v>686</v>
      </c>
      <c r="G831" s="93">
        <v>1120.02</v>
      </c>
      <c r="H831" s="92"/>
      <c r="I831" s="93">
        <v>1120.02</v>
      </c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3">
        <v>64.84</v>
      </c>
      <c r="AE831" s="92"/>
      <c r="AF831" s="92"/>
      <c r="AG831" s="93">
        <v>1184.8599999999999</v>
      </c>
      <c r="AH831" s="93">
        <v>0</v>
      </c>
    </row>
    <row r="832" spans="1:34" ht="15.75" thickBot="1" x14ac:dyDescent="0.3">
      <c r="A832" s="90" t="s">
        <v>871</v>
      </c>
      <c r="B832" s="90" t="s">
        <v>878</v>
      </c>
      <c r="C832" s="90" t="s">
        <v>879</v>
      </c>
      <c r="D832" s="90" t="s">
        <v>21</v>
      </c>
      <c r="E832" s="90" t="s">
        <v>528</v>
      </c>
      <c r="F832" s="90" t="s">
        <v>697</v>
      </c>
      <c r="G832" s="95">
        <v>1120.02</v>
      </c>
      <c r="H832" s="94"/>
      <c r="I832" s="95">
        <v>1120.02</v>
      </c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  <c r="AC832" s="94"/>
      <c r="AD832" s="95">
        <v>64.84</v>
      </c>
      <c r="AE832" s="94"/>
      <c r="AF832" s="94"/>
      <c r="AG832" s="95">
        <v>1184.8599999999999</v>
      </c>
      <c r="AH832" s="95">
        <v>0</v>
      </c>
    </row>
    <row r="833" spans="1:34" ht="15.75" thickBot="1" x14ac:dyDescent="0.3">
      <c r="A833" s="90" t="s">
        <v>871</v>
      </c>
      <c r="B833" s="90" t="s">
        <v>878</v>
      </c>
      <c r="C833" s="90" t="s">
        <v>879</v>
      </c>
      <c r="D833" s="90" t="s">
        <v>21</v>
      </c>
      <c r="E833" s="90" t="s">
        <v>518</v>
      </c>
      <c r="F833" s="90" t="s">
        <v>686</v>
      </c>
      <c r="G833" s="93">
        <v>8705.01</v>
      </c>
      <c r="H833" s="93">
        <v>47915</v>
      </c>
      <c r="I833" s="92"/>
      <c r="J833" s="92"/>
      <c r="K833" s="93">
        <v>8705.01</v>
      </c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3">
        <v>520.45000000000005</v>
      </c>
      <c r="AE833" s="92"/>
      <c r="AF833" s="92"/>
      <c r="AG833" s="93">
        <v>9225.4599999999991</v>
      </c>
      <c r="AH833" s="93">
        <v>0</v>
      </c>
    </row>
    <row r="834" spans="1:34" ht="15.75" thickBot="1" x14ac:dyDescent="0.3">
      <c r="A834" s="90" t="s">
        <v>871</v>
      </c>
      <c r="B834" s="90" t="s">
        <v>878</v>
      </c>
      <c r="C834" s="90" t="s">
        <v>879</v>
      </c>
      <c r="D834" s="90" t="s">
        <v>21</v>
      </c>
      <c r="E834" s="90" t="s">
        <v>518</v>
      </c>
      <c r="F834" s="90" t="s">
        <v>697</v>
      </c>
      <c r="G834" s="95">
        <v>8705.01</v>
      </c>
      <c r="H834" s="305">
        <v>47915</v>
      </c>
      <c r="I834" s="94"/>
      <c r="J834" s="94"/>
      <c r="K834" s="95">
        <v>8705.01</v>
      </c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  <c r="AC834" s="94"/>
      <c r="AD834" s="95">
        <v>520.45000000000005</v>
      </c>
      <c r="AE834" s="94"/>
      <c r="AF834" s="94"/>
      <c r="AG834" s="95">
        <v>9225.4599999999991</v>
      </c>
      <c r="AH834" s="95">
        <v>0</v>
      </c>
    </row>
    <row r="835" spans="1:34" ht="15.75" thickBot="1" x14ac:dyDescent="0.3">
      <c r="A835" s="90" t="s">
        <v>871</v>
      </c>
      <c r="B835" s="90" t="s">
        <v>878</v>
      </c>
      <c r="C835" s="90" t="s">
        <v>879</v>
      </c>
      <c r="D835" s="90" t="s">
        <v>21</v>
      </c>
      <c r="E835" s="90" t="s">
        <v>673</v>
      </c>
      <c r="F835" s="90" t="s">
        <v>686</v>
      </c>
      <c r="G835" s="93">
        <v>3630.65</v>
      </c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3">
        <v>3630.65</v>
      </c>
      <c r="Y835" s="92"/>
      <c r="Z835" s="92"/>
      <c r="AA835" s="92"/>
      <c r="AB835" s="92"/>
      <c r="AC835" s="92"/>
      <c r="AD835" s="93">
        <v>202.24</v>
      </c>
      <c r="AE835" s="92"/>
      <c r="AF835" s="92"/>
      <c r="AG835" s="93">
        <v>3832.89</v>
      </c>
      <c r="AH835" s="93">
        <v>0</v>
      </c>
    </row>
    <row r="836" spans="1:34" ht="15.75" thickBot="1" x14ac:dyDescent="0.3">
      <c r="A836" s="90" t="s">
        <v>871</v>
      </c>
      <c r="B836" s="90" t="s">
        <v>878</v>
      </c>
      <c r="C836" s="90" t="s">
        <v>879</v>
      </c>
      <c r="D836" s="641" t="s">
        <v>21</v>
      </c>
      <c r="E836" s="642" t="s">
        <v>673</v>
      </c>
      <c r="F836" s="90" t="s">
        <v>697</v>
      </c>
      <c r="G836" s="95">
        <v>3630.65</v>
      </c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5">
        <v>3630.65</v>
      </c>
      <c r="Y836" s="94"/>
      <c r="Z836" s="94"/>
      <c r="AA836" s="94"/>
      <c r="AB836" s="94"/>
      <c r="AC836" s="94"/>
      <c r="AD836" s="95">
        <v>202.24</v>
      </c>
      <c r="AE836" s="94"/>
      <c r="AF836" s="94"/>
      <c r="AG836" s="95">
        <v>3832.89</v>
      </c>
      <c r="AH836" s="95">
        <v>0</v>
      </c>
    </row>
    <row r="837" spans="1:34" ht="15.75" thickBot="1" x14ac:dyDescent="0.3">
      <c r="A837" s="90" t="s">
        <v>871</v>
      </c>
      <c r="B837" s="90" t="s">
        <v>878</v>
      </c>
      <c r="C837" s="90" t="s">
        <v>879</v>
      </c>
      <c r="D837" s="641" t="s">
        <v>21</v>
      </c>
      <c r="E837" s="642" t="s">
        <v>196</v>
      </c>
      <c r="F837" s="90" t="s">
        <v>686</v>
      </c>
      <c r="G837" s="93">
        <v>16752.73</v>
      </c>
      <c r="H837" s="92"/>
      <c r="I837" s="92"/>
      <c r="J837" s="92"/>
      <c r="K837" s="92"/>
      <c r="L837" s="92"/>
      <c r="M837" s="92"/>
      <c r="N837" s="92"/>
      <c r="O837" s="92"/>
      <c r="P837" s="93">
        <v>16752.73</v>
      </c>
      <c r="Q837" s="92"/>
      <c r="R837" s="92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3">
        <v>1002.3</v>
      </c>
      <c r="AE837" s="92"/>
      <c r="AF837" s="92"/>
      <c r="AG837" s="93">
        <v>17755.03</v>
      </c>
      <c r="AH837" s="93">
        <v>0</v>
      </c>
    </row>
    <row r="838" spans="1:34" ht="15.75" thickBot="1" x14ac:dyDescent="0.3">
      <c r="A838" s="90" t="s">
        <v>871</v>
      </c>
      <c r="B838" s="90" t="s">
        <v>878</v>
      </c>
      <c r="C838" s="90" t="s">
        <v>879</v>
      </c>
      <c r="D838" s="641" t="s">
        <v>21</v>
      </c>
      <c r="E838" s="642" t="s">
        <v>196</v>
      </c>
      <c r="F838" s="90" t="s">
        <v>697</v>
      </c>
      <c r="G838" s="95">
        <v>16752.73</v>
      </c>
      <c r="H838" s="94"/>
      <c r="I838" s="94"/>
      <c r="J838" s="94"/>
      <c r="K838" s="94"/>
      <c r="L838" s="94"/>
      <c r="M838" s="94"/>
      <c r="N838" s="94"/>
      <c r="O838" s="94"/>
      <c r="P838" s="95">
        <v>16752.73</v>
      </c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  <c r="AC838" s="94"/>
      <c r="AD838" s="95">
        <v>1002.3</v>
      </c>
      <c r="AE838" s="94"/>
      <c r="AF838" s="94"/>
      <c r="AG838" s="95">
        <v>17755.03</v>
      </c>
      <c r="AH838" s="95">
        <v>0</v>
      </c>
    </row>
    <row r="839" spans="1:34" ht="15.75" thickBot="1" x14ac:dyDescent="0.3">
      <c r="A839" s="90" t="s">
        <v>871</v>
      </c>
      <c r="B839" s="90" t="s">
        <v>878</v>
      </c>
      <c r="C839" s="90" t="s">
        <v>879</v>
      </c>
      <c r="D839" s="90" t="s">
        <v>17</v>
      </c>
      <c r="E839" s="90" t="s">
        <v>528</v>
      </c>
      <c r="F839" s="90" t="s">
        <v>686</v>
      </c>
      <c r="G839" s="93">
        <v>220</v>
      </c>
      <c r="H839" s="92"/>
      <c r="I839" s="93">
        <v>220</v>
      </c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  <c r="AD839" s="93">
        <v>13.22</v>
      </c>
      <c r="AE839" s="92"/>
      <c r="AF839" s="92"/>
      <c r="AG839" s="93">
        <v>233.22</v>
      </c>
      <c r="AH839" s="93">
        <v>0</v>
      </c>
    </row>
    <row r="840" spans="1:34" ht="15.75" thickBot="1" x14ac:dyDescent="0.3">
      <c r="A840" s="90" t="s">
        <v>871</v>
      </c>
      <c r="B840" s="90" t="s">
        <v>878</v>
      </c>
      <c r="C840" s="90" t="s">
        <v>879</v>
      </c>
      <c r="D840" s="90" t="s">
        <v>17</v>
      </c>
      <c r="E840" s="90" t="s">
        <v>528</v>
      </c>
      <c r="F840" s="90" t="s">
        <v>697</v>
      </c>
      <c r="G840" s="95">
        <v>220</v>
      </c>
      <c r="H840" s="94"/>
      <c r="I840" s="95">
        <v>220</v>
      </c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  <c r="AC840" s="94"/>
      <c r="AD840" s="95">
        <v>13.22</v>
      </c>
      <c r="AE840" s="94"/>
      <c r="AF840" s="94"/>
      <c r="AG840" s="95">
        <v>233.22</v>
      </c>
      <c r="AH840" s="95">
        <v>0</v>
      </c>
    </row>
    <row r="841" spans="1:34" ht="15.75" thickBot="1" x14ac:dyDescent="0.3">
      <c r="A841" s="90" t="s">
        <v>871</v>
      </c>
      <c r="B841" s="90" t="s">
        <v>878</v>
      </c>
      <c r="C841" s="90" t="s">
        <v>879</v>
      </c>
      <c r="D841" s="90" t="s">
        <v>17</v>
      </c>
      <c r="E841" s="90" t="s">
        <v>518</v>
      </c>
      <c r="F841" s="90" t="s">
        <v>686</v>
      </c>
      <c r="G841" s="93">
        <v>1460.43</v>
      </c>
      <c r="H841" s="93">
        <v>7932</v>
      </c>
      <c r="I841" s="92"/>
      <c r="J841" s="92"/>
      <c r="K841" s="93">
        <v>1460.43</v>
      </c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3">
        <v>87.62</v>
      </c>
      <c r="AE841" s="92"/>
      <c r="AF841" s="92"/>
      <c r="AG841" s="93">
        <v>1548.05</v>
      </c>
      <c r="AH841" s="93">
        <v>0</v>
      </c>
    </row>
    <row r="842" spans="1:34" ht="15.75" thickBot="1" x14ac:dyDescent="0.3">
      <c r="A842" s="90" t="s">
        <v>871</v>
      </c>
      <c r="B842" s="90" t="s">
        <v>878</v>
      </c>
      <c r="C842" s="90" t="s">
        <v>879</v>
      </c>
      <c r="D842" s="90" t="s">
        <v>17</v>
      </c>
      <c r="E842" s="90" t="s">
        <v>518</v>
      </c>
      <c r="F842" s="90" t="s">
        <v>697</v>
      </c>
      <c r="G842" s="95">
        <v>1460.43</v>
      </c>
      <c r="H842" s="305">
        <v>7932</v>
      </c>
      <c r="I842" s="94"/>
      <c r="J842" s="94"/>
      <c r="K842" s="95">
        <v>1460.43</v>
      </c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  <c r="AC842" s="94"/>
      <c r="AD842" s="95">
        <v>87.62</v>
      </c>
      <c r="AE842" s="94"/>
      <c r="AF842" s="94"/>
      <c r="AG842" s="95">
        <v>1548.05</v>
      </c>
      <c r="AH842" s="95">
        <v>0</v>
      </c>
    </row>
    <row r="843" spans="1:34" ht="15.75" thickBot="1" x14ac:dyDescent="0.3">
      <c r="A843" s="90" t="s">
        <v>871</v>
      </c>
      <c r="B843" s="90" t="s">
        <v>878</v>
      </c>
      <c r="C843" s="90" t="s">
        <v>879</v>
      </c>
      <c r="D843" s="90" t="s">
        <v>17</v>
      </c>
      <c r="E843" s="90" t="s">
        <v>673</v>
      </c>
      <c r="F843" s="90" t="s">
        <v>686</v>
      </c>
      <c r="G843" s="93">
        <v>519.08000000000004</v>
      </c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3">
        <v>519.08000000000004</v>
      </c>
      <c r="Y843" s="92"/>
      <c r="Z843" s="92"/>
      <c r="AA843" s="92"/>
      <c r="AB843" s="92"/>
      <c r="AC843" s="92"/>
      <c r="AD843" s="93">
        <v>31.14</v>
      </c>
      <c r="AE843" s="92"/>
      <c r="AF843" s="92"/>
      <c r="AG843" s="93">
        <v>550.22</v>
      </c>
      <c r="AH843" s="93">
        <v>0</v>
      </c>
    </row>
    <row r="844" spans="1:34" ht="15.75" thickBot="1" x14ac:dyDescent="0.3">
      <c r="A844" s="90" t="s">
        <v>871</v>
      </c>
      <c r="B844" s="90" t="s">
        <v>878</v>
      </c>
      <c r="C844" s="90" t="s">
        <v>879</v>
      </c>
      <c r="D844" s="90" t="s">
        <v>17</v>
      </c>
      <c r="E844" s="90" t="s">
        <v>673</v>
      </c>
      <c r="F844" s="90" t="s">
        <v>697</v>
      </c>
      <c r="G844" s="95">
        <v>519.08000000000004</v>
      </c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5">
        <v>519.08000000000004</v>
      </c>
      <c r="Y844" s="94"/>
      <c r="Z844" s="94"/>
      <c r="AA844" s="94"/>
      <c r="AB844" s="94"/>
      <c r="AC844" s="94"/>
      <c r="AD844" s="95">
        <v>31.14</v>
      </c>
      <c r="AE844" s="94"/>
      <c r="AF844" s="94"/>
      <c r="AG844" s="95">
        <v>550.22</v>
      </c>
      <c r="AH844" s="95">
        <v>0</v>
      </c>
    </row>
    <row r="845" spans="1:34" ht="15.75" thickBot="1" x14ac:dyDescent="0.3">
      <c r="A845" s="90" t="s">
        <v>871</v>
      </c>
      <c r="B845" s="90" t="s">
        <v>878</v>
      </c>
      <c r="C845" s="90" t="s">
        <v>879</v>
      </c>
      <c r="D845" s="90" t="s">
        <v>17</v>
      </c>
      <c r="E845" s="90" t="s">
        <v>196</v>
      </c>
      <c r="F845" s="90" t="s">
        <v>686</v>
      </c>
      <c r="G845" s="93">
        <v>2772.19</v>
      </c>
      <c r="H845" s="92"/>
      <c r="I845" s="92"/>
      <c r="J845" s="92"/>
      <c r="K845" s="92"/>
      <c r="L845" s="92"/>
      <c r="M845" s="92"/>
      <c r="N845" s="92"/>
      <c r="O845" s="92"/>
      <c r="P845" s="93">
        <v>2772.19</v>
      </c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3">
        <v>166.32</v>
      </c>
      <c r="AE845" s="92"/>
      <c r="AF845" s="92"/>
      <c r="AG845" s="93">
        <v>2938.51</v>
      </c>
      <c r="AH845" s="93">
        <v>0</v>
      </c>
    </row>
    <row r="846" spans="1:34" ht="15.75" thickBot="1" x14ac:dyDescent="0.3">
      <c r="A846" s="90" t="s">
        <v>871</v>
      </c>
      <c r="B846" s="90" t="s">
        <v>878</v>
      </c>
      <c r="C846" s="90" t="s">
        <v>879</v>
      </c>
      <c r="D846" s="90" t="s">
        <v>17</v>
      </c>
      <c r="E846" s="90" t="s">
        <v>196</v>
      </c>
      <c r="F846" s="90" t="s">
        <v>697</v>
      </c>
      <c r="G846" s="95">
        <v>2772.19</v>
      </c>
      <c r="H846" s="94"/>
      <c r="I846" s="94"/>
      <c r="J846" s="94"/>
      <c r="K846" s="94"/>
      <c r="L846" s="94"/>
      <c r="M846" s="94"/>
      <c r="N846" s="94"/>
      <c r="O846" s="94"/>
      <c r="P846" s="95">
        <v>2772.19</v>
      </c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  <c r="AC846" s="94"/>
      <c r="AD846" s="95">
        <v>166.32</v>
      </c>
      <c r="AE846" s="94"/>
      <c r="AF846" s="94"/>
      <c r="AG846" s="95">
        <v>2938.51</v>
      </c>
      <c r="AH846" s="95">
        <v>0</v>
      </c>
    </row>
    <row r="847" spans="1:34" ht="15.75" thickBot="1" x14ac:dyDescent="0.3">
      <c r="A847" s="90" t="s">
        <v>871</v>
      </c>
      <c r="B847" s="90" t="s">
        <v>22</v>
      </c>
      <c r="C847" s="90" t="s">
        <v>874</v>
      </c>
      <c r="D847" s="90" t="s">
        <v>21</v>
      </c>
      <c r="E847" s="90" t="s">
        <v>528</v>
      </c>
      <c r="F847" s="90" t="s">
        <v>686</v>
      </c>
      <c r="G847" s="93">
        <v>400</v>
      </c>
      <c r="H847" s="92"/>
      <c r="I847" s="93">
        <v>400</v>
      </c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3">
        <v>0</v>
      </c>
      <c r="AE847" s="92"/>
      <c r="AF847" s="92"/>
      <c r="AG847" s="93">
        <v>400</v>
      </c>
      <c r="AH847" s="93">
        <v>0</v>
      </c>
    </row>
    <row r="848" spans="1:34" ht="15.75" thickBot="1" x14ac:dyDescent="0.3">
      <c r="A848" s="90" t="s">
        <v>871</v>
      </c>
      <c r="B848" s="90" t="s">
        <v>22</v>
      </c>
      <c r="C848" s="90" t="s">
        <v>874</v>
      </c>
      <c r="D848" s="90" t="s">
        <v>21</v>
      </c>
      <c r="E848" s="90" t="s">
        <v>528</v>
      </c>
      <c r="F848" s="90" t="s">
        <v>697</v>
      </c>
      <c r="G848" s="95">
        <v>400</v>
      </c>
      <c r="H848" s="94"/>
      <c r="I848" s="95">
        <v>400</v>
      </c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  <c r="AC848" s="94"/>
      <c r="AD848" s="95">
        <v>0</v>
      </c>
      <c r="AE848" s="94"/>
      <c r="AF848" s="94"/>
      <c r="AG848" s="95">
        <v>400</v>
      </c>
      <c r="AH848" s="95">
        <v>0</v>
      </c>
    </row>
    <row r="849" spans="1:34" ht="15.75" thickBot="1" x14ac:dyDescent="0.3">
      <c r="A849" s="90" t="s">
        <v>871</v>
      </c>
      <c r="B849" s="90" t="s">
        <v>22</v>
      </c>
      <c r="C849" s="90" t="s">
        <v>874</v>
      </c>
      <c r="D849" s="90" t="s">
        <v>21</v>
      </c>
      <c r="E849" s="90" t="s">
        <v>518</v>
      </c>
      <c r="F849" s="90" t="s">
        <v>686</v>
      </c>
      <c r="G849" s="93">
        <v>2320.12</v>
      </c>
      <c r="H849" s="93">
        <v>33102</v>
      </c>
      <c r="I849" s="92"/>
      <c r="J849" s="92"/>
      <c r="K849" s="93">
        <v>2320.12</v>
      </c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3">
        <v>0</v>
      </c>
      <c r="AE849" s="92"/>
      <c r="AF849" s="92"/>
      <c r="AG849" s="93">
        <v>2320.12</v>
      </c>
      <c r="AH849" s="93">
        <v>0</v>
      </c>
    </row>
    <row r="850" spans="1:34" ht="15.75" thickBot="1" x14ac:dyDescent="0.3">
      <c r="A850" s="90" t="s">
        <v>871</v>
      </c>
      <c r="B850" s="90" t="s">
        <v>22</v>
      </c>
      <c r="C850" s="90" t="s">
        <v>874</v>
      </c>
      <c r="D850" s="90" t="s">
        <v>21</v>
      </c>
      <c r="E850" s="90" t="s">
        <v>518</v>
      </c>
      <c r="F850" s="90" t="s">
        <v>697</v>
      </c>
      <c r="G850" s="95">
        <v>2320.12</v>
      </c>
      <c r="H850" s="305">
        <v>33102</v>
      </c>
      <c r="I850" s="94"/>
      <c r="J850" s="94"/>
      <c r="K850" s="95">
        <v>2320.12</v>
      </c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  <c r="AC850" s="94"/>
      <c r="AD850" s="95">
        <v>0</v>
      </c>
      <c r="AE850" s="94"/>
      <c r="AF850" s="94"/>
      <c r="AG850" s="95">
        <v>2320.12</v>
      </c>
      <c r="AH850" s="95">
        <v>0</v>
      </c>
    </row>
    <row r="851" spans="1:34" ht="15.75" thickBot="1" x14ac:dyDescent="0.3">
      <c r="A851" s="90" t="s">
        <v>871</v>
      </c>
      <c r="B851" s="90" t="s">
        <v>22</v>
      </c>
      <c r="C851" s="90" t="s">
        <v>874</v>
      </c>
      <c r="D851" s="90" t="s">
        <v>21</v>
      </c>
      <c r="E851" s="90" t="s">
        <v>673</v>
      </c>
      <c r="F851" s="90" t="s">
        <v>686</v>
      </c>
      <c r="G851" s="93">
        <v>2833.49</v>
      </c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3">
        <v>2833.49</v>
      </c>
      <c r="Y851" s="92"/>
      <c r="Z851" s="92"/>
      <c r="AA851" s="92"/>
      <c r="AB851" s="92"/>
      <c r="AC851" s="92"/>
      <c r="AD851" s="93">
        <v>0</v>
      </c>
      <c r="AE851" s="92"/>
      <c r="AF851" s="92"/>
      <c r="AG851" s="93">
        <v>2833.49</v>
      </c>
      <c r="AH851" s="93">
        <v>0</v>
      </c>
    </row>
    <row r="852" spans="1:34" ht="15.75" thickBot="1" x14ac:dyDescent="0.3">
      <c r="A852" s="90" t="s">
        <v>871</v>
      </c>
      <c r="B852" s="90" t="s">
        <v>22</v>
      </c>
      <c r="C852" s="90" t="s">
        <v>874</v>
      </c>
      <c r="D852" s="90" t="s">
        <v>21</v>
      </c>
      <c r="E852" s="90" t="s">
        <v>673</v>
      </c>
      <c r="F852" s="90" t="s">
        <v>697</v>
      </c>
      <c r="G852" s="95">
        <v>2833.49</v>
      </c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5">
        <v>2833.49</v>
      </c>
      <c r="Y852" s="94"/>
      <c r="Z852" s="94"/>
      <c r="AA852" s="94"/>
      <c r="AB852" s="94"/>
      <c r="AC852" s="94"/>
      <c r="AD852" s="95">
        <v>0</v>
      </c>
      <c r="AE852" s="94"/>
      <c r="AF852" s="94"/>
      <c r="AG852" s="95">
        <v>2833.49</v>
      </c>
      <c r="AH852" s="95">
        <v>0</v>
      </c>
    </row>
    <row r="853" spans="1:34" ht="15.75" thickBot="1" x14ac:dyDescent="0.3">
      <c r="A853" s="90" t="s">
        <v>871</v>
      </c>
      <c r="B853" s="90" t="s">
        <v>22</v>
      </c>
      <c r="C853" s="90" t="s">
        <v>874</v>
      </c>
      <c r="D853" s="90" t="s">
        <v>21</v>
      </c>
      <c r="E853" s="90" t="s">
        <v>196</v>
      </c>
      <c r="F853" s="90" t="s">
        <v>686</v>
      </c>
      <c r="G853" s="93">
        <v>11537.01</v>
      </c>
      <c r="H853" s="92"/>
      <c r="I853" s="92"/>
      <c r="J853" s="92"/>
      <c r="K853" s="92"/>
      <c r="L853" s="92"/>
      <c r="M853" s="92"/>
      <c r="N853" s="92"/>
      <c r="O853" s="92"/>
      <c r="P853" s="93">
        <v>11537.01</v>
      </c>
      <c r="Q853" s="92"/>
      <c r="R853" s="92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3">
        <v>0</v>
      </c>
      <c r="AE853" s="92"/>
      <c r="AF853" s="92"/>
      <c r="AG853" s="93">
        <v>11537.01</v>
      </c>
      <c r="AH853" s="93">
        <v>0</v>
      </c>
    </row>
    <row r="854" spans="1:34" ht="15.75" thickBot="1" x14ac:dyDescent="0.3">
      <c r="A854" s="90" t="s">
        <v>871</v>
      </c>
      <c r="B854" s="90" t="s">
        <v>22</v>
      </c>
      <c r="C854" s="90" t="s">
        <v>874</v>
      </c>
      <c r="D854" s="90" t="s">
        <v>21</v>
      </c>
      <c r="E854" s="90" t="s">
        <v>196</v>
      </c>
      <c r="F854" s="90" t="s">
        <v>697</v>
      </c>
      <c r="G854" s="95">
        <v>11537.01</v>
      </c>
      <c r="H854" s="94"/>
      <c r="I854" s="94"/>
      <c r="J854" s="94"/>
      <c r="K854" s="94"/>
      <c r="L854" s="94"/>
      <c r="M854" s="94"/>
      <c r="N854" s="94"/>
      <c r="O854" s="94"/>
      <c r="P854" s="95">
        <v>11537.01</v>
      </c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  <c r="AC854" s="94"/>
      <c r="AD854" s="95">
        <v>0</v>
      </c>
      <c r="AE854" s="94"/>
      <c r="AF854" s="94"/>
      <c r="AG854" s="95">
        <v>11537.01</v>
      </c>
      <c r="AH854" s="95">
        <v>0</v>
      </c>
    </row>
    <row r="855" spans="1:34" ht="15.75" thickBot="1" x14ac:dyDescent="0.3">
      <c r="A855" s="90" t="s">
        <v>871</v>
      </c>
      <c r="B855" s="90" t="s">
        <v>872</v>
      </c>
      <c r="C855" s="90" t="s">
        <v>873</v>
      </c>
      <c r="D855" s="90" t="s">
        <v>21</v>
      </c>
      <c r="E855" s="90" t="s">
        <v>528</v>
      </c>
      <c r="F855" s="90" t="s">
        <v>686</v>
      </c>
      <c r="G855" s="93">
        <v>400</v>
      </c>
      <c r="H855" s="92"/>
      <c r="I855" s="93">
        <v>400</v>
      </c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  <c r="AA855" s="92"/>
      <c r="AB855" s="92"/>
      <c r="AC855" s="92"/>
      <c r="AD855" s="93">
        <v>0</v>
      </c>
      <c r="AE855" s="92"/>
      <c r="AF855" s="92"/>
      <c r="AG855" s="93">
        <v>400</v>
      </c>
      <c r="AH855" s="93">
        <v>0</v>
      </c>
    </row>
    <row r="856" spans="1:34" ht="15.75" thickBot="1" x14ac:dyDescent="0.3">
      <c r="A856" s="90" t="s">
        <v>871</v>
      </c>
      <c r="B856" s="90" t="s">
        <v>872</v>
      </c>
      <c r="C856" s="90" t="s">
        <v>873</v>
      </c>
      <c r="D856" s="90" t="s">
        <v>21</v>
      </c>
      <c r="E856" s="90" t="s">
        <v>528</v>
      </c>
      <c r="F856" s="90" t="s">
        <v>697</v>
      </c>
      <c r="G856" s="95">
        <v>400</v>
      </c>
      <c r="H856" s="94"/>
      <c r="I856" s="95">
        <v>400</v>
      </c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  <c r="AC856" s="94"/>
      <c r="AD856" s="95">
        <v>0</v>
      </c>
      <c r="AE856" s="94"/>
      <c r="AF856" s="94"/>
      <c r="AG856" s="95">
        <v>400</v>
      </c>
      <c r="AH856" s="95">
        <v>0</v>
      </c>
    </row>
    <row r="857" spans="1:34" ht="15.75" thickBot="1" x14ac:dyDescent="0.3">
      <c r="A857" s="90" t="s">
        <v>871</v>
      </c>
      <c r="B857" s="90" t="s">
        <v>872</v>
      </c>
      <c r="C857" s="90" t="s">
        <v>873</v>
      </c>
      <c r="D857" s="90" t="s">
        <v>21</v>
      </c>
      <c r="E857" s="90" t="s">
        <v>518</v>
      </c>
      <c r="F857" s="90" t="s">
        <v>686</v>
      </c>
      <c r="G857" s="93">
        <v>2021.33</v>
      </c>
      <c r="H857" s="93">
        <v>28839</v>
      </c>
      <c r="I857" s="92"/>
      <c r="J857" s="92"/>
      <c r="K857" s="93">
        <v>2021.33</v>
      </c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2"/>
      <c r="AD857" s="93">
        <v>0</v>
      </c>
      <c r="AE857" s="92"/>
      <c r="AF857" s="92"/>
      <c r="AG857" s="93">
        <v>2021.33</v>
      </c>
      <c r="AH857" s="93">
        <v>0</v>
      </c>
    </row>
    <row r="858" spans="1:34" ht="15.75" thickBot="1" x14ac:dyDescent="0.3">
      <c r="A858" s="90" t="s">
        <v>871</v>
      </c>
      <c r="B858" s="90" t="s">
        <v>872</v>
      </c>
      <c r="C858" s="90" t="s">
        <v>873</v>
      </c>
      <c r="D858" s="90" t="s">
        <v>21</v>
      </c>
      <c r="E858" s="90" t="s">
        <v>518</v>
      </c>
      <c r="F858" s="90" t="s">
        <v>697</v>
      </c>
      <c r="G858" s="95">
        <v>2021.33</v>
      </c>
      <c r="H858" s="305">
        <v>28839</v>
      </c>
      <c r="I858" s="94"/>
      <c r="J858" s="94"/>
      <c r="K858" s="95">
        <v>2021.33</v>
      </c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  <c r="AC858" s="94"/>
      <c r="AD858" s="95">
        <v>0</v>
      </c>
      <c r="AE858" s="94"/>
      <c r="AF858" s="94"/>
      <c r="AG858" s="95">
        <v>2021.33</v>
      </c>
      <c r="AH858" s="95">
        <v>0</v>
      </c>
    </row>
    <row r="859" spans="1:34" ht="15.75" thickBot="1" x14ac:dyDescent="0.3">
      <c r="A859" s="90" t="s">
        <v>871</v>
      </c>
      <c r="B859" s="90" t="s">
        <v>872</v>
      </c>
      <c r="C859" s="90" t="s">
        <v>873</v>
      </c>
      <c r="D859" s="90" t="s">
        <v>21</v>
      </c>
      <c r="E859" s="90" t="s">
        <v>673</v>
      </c>
      <c r="F859" s="90" t="s">
        <v>686</v>
      </c>
      <c r="G859" s="93">
        <v>2838.87</v>
      </c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3">
        <v>2838.87</v>
      </c>
      <c r="Y859" s="92"/>
      <c r="Z859" s="92"/>
      <c r="AA859" s="92"/>
      <c r="AB859" s="92"/>
      <c r="AC859" s="92"/>
      <c r="AD859" s="93">
        <v>0</v>
      </c>
      <c r="AE859" s="92"/>
      <c r="AF859" s="92"/>
      <c r="AG859" s="93">
        <v>2838.87</v>
      </c>
      <c r="AH859" s="93">
        <v>0</v>
      </c>
    </row>
    <row r="860" spans="1:34" ht="15.75" thickBot="1" x14ac:dyDescent="0.3">
      <c r="A860" s="90" t="s">
        <v>871</v>
      </c>
      <c r="B860" s="90" t="s">
        <v>872</v>
      </c>
      <c r="C860" s="90" t="s">
        <v>873</v>
      </c>
      <c r="D860" s="90" t="s">
        <v>21</v>
      </c>
      <c r="E860" s="90" t="s">
        <v>673</v>
      </c>
      <c r="F860" s="90" t="s">
        <v>697</v>
      </c>
      <c r="G860" s="95">
        <v>2838.87</v>
      </c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5">
        <v>2838.87</v>
      </c>
      <c r="Y860" s="94"/>
      <c r="Z860" s="94"/>
      <c r="AA860" s="94"/>
      <c r="AB860" s="94"/>
      <c r="AC860" s="94"/>
      <c r="AD860" s="95">
        <v>0</v>
      </c>
      <c r="AE860" s="94"/>
      <c r="AF860" s="94"/>
      <c r="AG860" s="95">
        <v>2838.87</v>
      </c>
      <c r="AH860" s="95">
        <v>0</v>
      </c>
    </row>
    <row r="861" spans="1:34" ht="15.75" thickBot="1" x14ac:dyDescent="0.3">
      <c r="A861" s="90" t="s">
        <v>871</v>
      </c>
      <c r="B861" s="90" t="s">
        <v>872</v>
      </c>
      <c r="C861" s="90" t="s">
        <v>873</v>
      </c>
      <c r="D861" s="641" t="s">
        <v>21</v>
      </c>
      <c r="E861" s="642" t="s">
        <v>196</v>
      </c>
      <c r="F861" s="90" t="s">
        <v>686</v>
      </c>
      <c r="G861" s="93">
        <v>10079.08</v>
      </c>
      <c r="H861" s="92"/>
      <c r="I861" s="92"/>
      <c r="J861" s="92"/>
      <c r="K861" s="92"/>
      <c r="L861" s="92"/>
      <c r="M861" s="92"/>
      <c r="N861" s="92"/>
      <c r="O861" s="92"/>
      <c r="P861" s="93">
        <v>10079.08</v>
      </c>
      <c r="Q861" s="92"/>
      <c r="R861" s="92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2"/>
      <c r="AD861" s="93">
        <v>0</v>
      </c>
      <c r="AE861" s="92"/>
      <c r="AF861" s="92"/>
      <c r="AG861" s="93">
        <v>10079.08</v>
      </c>
      <c r="AH861" s="93">
        <v>0</v>
      </c>
    </row>
    <row r="862" spans="1:34" ht="15.75" thickBot="1" x14ac:dyDescent="0.3">
      <c r="A862" s="90" t="s">
        <v>871</v>
      </c>
      <c r="B862" s="90" t="s">
        <v>872</v>
      </c>
      <c r="C862" s="90" t="s">
        <v>873</v>
      </c>
      <c r="D862" s="641" t="s">
        <v>21</v>
      </c>
      <c r="E862" s="642" t="s">
        <v>196</v>
      </c>
      <c r="F862" s="90" t="s">
        <v>697</v>
      </c>
      <c r="G862" s="95">
        <v>10079.08</v>
      </c>
      <c r="H862" s="94"/>
      <c r="I862" s="94"/>
      <c r="J862" s="94"/>
      <c r="K862" s="94"/>
      <c r="L862" s="94"/>
      <c r="M862" s="94"/>
      <c r="N862" s="94"/>
      <c r="O862" s="94"/>
      <c r="P862" s="95">
        <v>10079.08</v>
      </c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  <c r="AC862" s="94"/>
      <c r="AD862" s="95">
        <v>0</v>
      </c>
      <c r="AE862" s="94"/>
      <c r="AF862" s="94"/>
      <c r="AG862" s="95">
        <v>10079.08</v>
      </c>
      <c r="AH862" s="95">
        <v>0</v>
      </c>
    </row>
    <row r="863" spans="1:34" ht="15.75" thickBot="1" x14ac:dyDescent="0.3">
      <c r="A863" s="90" t="s">
        <v>871</v>
      </c>
      <c r="B863" s="90" t="s">
        <v>42</v>
      </c>
      <c r="C863" s="90" t="s">
        <v>884</v>
      </c>
      <c r="D863" s="90" t="s">
        <v>663</v>
      </c>
      <c r="E863" s="90" t="s">
        <v>726</v>
      </c>
      <c r="F863" s="90" t="s">
        <v>522</v>
      </c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3">
        <v>78.31</v>
      </c>
      <c r="AD863" s="93">
        <v>0</v>
      </c>
      <c r="AE863" s="92"/>
      <c r="AF863" s="92"/>
      <c r="AG863" s="93">
        <v>78.31</v>
      </c>
      <c r="AH863" s="93">
        <v>0</v>
      </c>
    </row>
    <row r="864" spans="1:34" ht="15.75" thickBot="1" x14ac:dyDescent="0.3">
      <c r="A864" s="90" t="s">
        <v>871</v>
      </c>
      <c r="B864" s="90" t="s">
        <v>42</v>
      </c>
      <c r="C864" s="90" t="s">
        <v>884</v>
      </c>
      <c r="D864" s="90" t="s">
        <v>663</v>
      </c>
      <c r="E864" s="90" t="s">
        <v>726</v>
      </c>
      <c r="F864" s="90" t="s">
        <v>697</v>
      </c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  <c r="AC864" s="95">
        <v>78.31</v>
      </c>
      <c r="AD864" s="95">
        <v>0</v>
      </c>
      <c r="AE864" s="94"/>
      <c r="AF864" s="94"/>
      <c r="AG864" s="95">
        <v>78.31</v>
      </c>
      <c r="AH864" s="95">
        <v>0</v>
      </c>
    </row>
    <row r="865" spans="1:34" ht="15.75" thickBot="1" x14ac:dyDescent="0.3">
      <c r="A865" s="90" t="s">
        <v>871</v>
      </c>
      <c r="B865" s="90" t="s">
        <v>42</v>
      </c>
      <c r="C865" s="90" t="s">
        <v>884</v>
      </c>
      <c r="D865" s="90" t="s">
        <v>663</v>
      </c>
      <c r="E865" s="90" t="s">
        <v>729</v>
      </c>
      <c r="F865" s="90" t="s">
        <v>522</v>
      </c>
      <c r="G865" s="93">
        <v>-1658.61</v>
      </c>
      <c r="H865" s="92"/>
      <c r="I865" s="92"/>
      <c r="J865" s="92"/>
      <c r="K865" s="92"/>
      <c r="L865" s="92"/>
      <c r="M865" s="92"/>
      <c r="N865" s="92"/>
      <c r="O865" s="92"/>
      <c r="P865" s="92"/>
      <c r="Q865" s="93">
        <v>-1658.61</v>
      </c>
      <c r="R865" s="92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2"/>
      <c r="AD865" s="93">
        <v>-17.190000000000001</v>
      </c>
      <c r="AE865" s="92"/>
      <c r="AF865" s="92"/>
      <c r="AG865" s="93">
        <v>-1675.8</v>
      </c>
      <c r="AH865" s="93">
        <v>0</v>
      </c>
    </row>
    <row r="866" spans="1:34" ht="15.75" thickBot="1" x14ac:dyDescent="0.3">
      <c r="A866" s="90" t="s">
        <v>871</v>
      </c>
      <c r="B866" s="90" t="s">
        <v>42</v>
      </c>
      <c r="C866" s="90" t="s">
        <v>884</v>
      </c>
      <c r="D866" s="90" t="s">
        <v>663</v>
      </c>
      <c r="E866" s="90" t="s">
        <v>729</v>
      </c>
      <c r="F866" s="90" t="s">
        <v>697</v>
      </c>
      <c r="G866" s="95">
        <v>-1658.61</v>
      </c>
      <c r="H866" s="94"/>
      <c r="I866" s="94"/>
      <c r="J866" s="94"/>
      <c r="K866" s="94"/>
      <c r="L866" s="94"/>
      <c r="M866" s="94"/>
      <c r="N866" s="94"/>
      <c r="O866" s="94"/>
      <c r="P866" s="94"/>
      <c r="Q866" s="95">
        <v>-1658.61</v>
      </c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  <c r="AC866" s="94"/>
      <c r="AD866" s="95">
        <v>-17.190000000000001</v>
      </c>
      <c r="AE866" s="94"/>
      <c r="AF866" s="94"/>
      <c r="AG866" s="95">
        <v>-1675.8</v>
      </c>
      <c r="AH866" s="95">
        <v>0</v>
      </c>
    </row>
    <row r="867" spans="1:34" ht="15.75" thickBot="1" x14ac:dyDescent="0.3">
      <c r="A867" s="90" t="s">
        <v>871</v>
      </c>
      <c r="B867" s="90" t="s">
        <v>42</v>
      </c>
      <c r="C867" s="90" t="s">
        <v>884</v>
      </c>
      <c r="D867" s="90" t="s">
        <v>663</v>
      </c>
      <c r="E867" s="90" t="s">
        <v>528</v>
      </c>
      <c r="F867" s="90" t="s">
        <v>690</v>
      </c>
      <c r="G867" s="93">
        <v>720</v>
      </c>
      <c r="H867" s="92"/>
      <c r="I867" s="93">
        <v>720</v>
      </c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2"/>
      <c r="AD867" s="93">
        <v>16.2</v>
      </c>
      <c r="AE867" s="92"/>
      <c r="AF867" s="92"/>
      <c r="AG867" s="93">
        <v>736.2</v>
      </c>
      <c r="AH867" s="93">
        <v>0</v>
      </c>
    </row>
    <row r="868" spans="1:34" ht="15.75" thickBot="1" x14ac:dyDescent="0.3">
      <c r="A868" s="90" t="s">
        <v>871</v>
      </c>
      <c r="B868" s="90" t="s">
        <v>42</v>
      </c>
      <c r="C868" s="90" t="s">
        <v>884</v>
      </c>
      <c r="D868" s="90" t="s">
        <v>663</v>
      </c>
      <c r="E868" s="90" t="s">
        <v>528</v>
      </c>
      <c r="F868" s="90" t="s">
        <v>697</v>
      </c>
      <c r="G868" s="95">
        <v>720</v>
      </c>
      <c r="H868" s="94"/>
      <c r="I868" s="95">
        <v>720</v>
      </c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  <c r="AC868" s="94"/>
      <c r="AD868" s="95">
        <v>16.2</v>
      </c>
      <c r="AE868" s="94"/>
      <c r="AF868" s="94"/>
      <c r="AG868" s="95">
        <v>736.2</v>
      </c>
      <c r="AH868" s="95">
        <v>0</v>
      </c>
    </row>
    <row r="869" spans="1:34" ht="15.75" thickBot="1" x14ac:dyDescent="0.3">
      <c r="A869" s="90" t="s">
        <v>871</v>
      </c>
      <c r="B869" s="90" t="s">
        <v>42</v>
      </c>
      <c r="C869" s="90" t="s">
        <v>884</v>
      </c>
      <c r="D869" s="90" t="s">
        <v>663</v>
      </c>
      <c r="E869" s="90" t="s">
        <v>518</v>
      </c>
      <c r="F869" s="90" t="s">
        <v>522</v>
      </c>
      <c r="G869" s="93">
        <v>48205.91</v>
      </c>
      <c r="H869" s="93">
        <v>266479</v>
      </c>
      <c r="I869" s="92"/>
      <c r="J869" s="92"/>
      <c r="K869" s="93">
        <v>48205.91</v>
      </c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2"/>
      <c r="AD869" s="93">
        <v>774.19</v>
      </c>
      <c r="AE869" s="92"/>
      <c r="AF869" s="92"/>
      <c r="AG869" s="93">
        <v>48980.1</v>
      </c>
      <c r="AH869" s="93">
        <v>0</v>
      </c>
    </row>
    <row r="870" spans="1:34" ht="15.75" thickBot="1" x14ac:dyDescent="0.3">
      <c r="A870" s="90" t="s">
        <v>871</v>
      </c>
      <c r="B870" s="90" t="s">
        <v>42</v>
      </c>
      <c r="C870" s="90" t="s">
        <v>884</v>
      </c>
      <c r="D870" s="90" t="s">
        <v>663</v>
      </c>
      <c r="E870" s="90" t="s">
        <v>518</v>
      </c>
      <c r="F870" s="90" t="s">
        <v>697</v>
      </c>
      <c r="G870" s="95">
        <v>48205.91</v>
      </c>
      <c r="H870" s="305">
        <v>266479</v>
      </c>
      <c r="I870" s="94"/>
      <c r="J870" s="94"/>
      <c r="K870" s="95">
        <v>48205.91</v>
      </c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  <c r="AC870" s="94"/>
      <c r="AD870" s="95">
        <v>774.19</v>
      </c>
      <c r="AE870" s="94"/>
      <c r="AF870" s="94"/>
      <c r="AG870" s="95">
        <v>48980.1</v>
      </c>
      <c r="AH870" s="95">
        <v>0</v>
      </c>
    </row>
    <row r="871" spans="1:34" ht="15.75" thickBot="1" x14ac:dyDescent="0.3">
      <c r="A871" s="90" t="s">
        <v>871</v>
      </c>
      <c r="B871" s="90" t="s">
        <v>42</v>
      </c>
      <c r="C871" s="90" t="s">
        <v>884</v>
      </c>
      <c r="D871" s="90" t="s">
        <v>663</v>
      </c>
      <c r="E871" s="90" t="s">
        <v>673</v>
      </c>
      <c r="F871" s="90" t="s">
        <v>522</v>
      </c>
      <c r="G871" s="93">
        <v>984.16</v>
      </c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3">
        <v>984.16</v>
      </c>
      <c r="Y871" s="92"/>
      <c r="Z871" s="92"/>
      <c r="AA871" s="92"/>
      <c r="AB871" s="92"/>
      <c r="AC871" s="92"/>
      <c r="AD871" s="93">
        <v>22.14</v>
      </c>
      <c r="AE871" s="92"/>
      <c r="AF871" s="92"/>
      <c r="AG871" s="93">
        <v>1006.3</v>
      </c>
      <c r="AH871" s="93">
        <v>0</v>
      </c>
    </row>
    <row r="872" spans="1:34" ht="15.75" thickBot="1" x14ac:dyDescent="0.3">
      <c r="A872" s="90" t="s">
        <v>871</v>
      </c>
      <c r="B872" s="90" t="s">
        <v>42</v>
      </c>
      <c r="C872" s="90" t="s">
        <v>884</v>
      </c>
      <c r="D872" s="90" t="s">
        <v>663</v>
      </c>
      <c r="E872" s="90" t="s">
        <v>673</v>
      </c>
      <c r="F872" s="90" t="s">
        <v>697</v>
      </c>
      <c r="G872" s="95">
        <v>984.16</v>
      </c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5">
        <v>984.16</v>
      </c>
      <c r="Y872" s="94"/>
      <c r="Z872" s="94"/>
      <c r="AA872" s="94"/>
      <c r="AB872" s="94"/>
      <c r="AC872" s="94"/>
      <c r="AD872" s="95">
        <v>22.14</v>
      </c>
      <c r="AE872" s="94"/>
      <c r="AF872" s="94"/>
      <c r="AG872" s="95">
        <v>1006.3</v>
      </c>
      <c r="AH872" s="95">
        <v>0</v>
      </c>
    </row>
    <row r="873" spans="1:34" ht="15.75" thickBot="1" x14ac:dyDescent="0.3">
      <c r="A873" s="90" t="s">
        <v>871</v>
      </c>
      <c r="B873" s="90" t="s">
        <v>42</v>
      </c>
      <c r="C873" s="90" t="s">
        <v>884</v>
      </c>
      <c r="D873" s="90" t="s">
        <v>663</v>
      </c>
      <c r="E873" s="90" t="s">
        <v>530</v>
      </c>
      <c r="F873" s="90" t="s">
        <v>522</v>
      </c>
      <c r="G873" s="93">
        <v>22290.97</v>
      </c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3">
        <v>22290.97</v>
      </c>
      <c r="X873" s="92"/>
      <c r="Y873" s="92"/>
      <c r="Z873" s="92"/>
      <c r="AA873" s="92"/>
      <c r="AB873" s="92"/>
      <c r="AC873" s="92"/>
      <c r="AD873" s="93">
        <v>362.14</v>
      </c>
      <c r="AE873" s="92"/>
      <c r="AF873" s="92"/>
      <c r="AG873" s="93">
        <v>22653.11</v>
      </c>
      <c r="AH873" s="93">
        <v>0</v>
      </c>
    </row>
    <row r="874" spans="1:34" ht="15.75" thickBot="1" x14ac:dyDescent="0.3">
      <c r="A874" s="90" t="s">
        <v>871</v>
      </c>
      <c r="B874" s="90" t="s">
        <v>42</v>
      </c>
      <c r="C874" s="90" t="s">
        <v>884</v>
      </c>
      <c r="D874" s="90" t="s">
        <v>663</v>
      </c>
      <c r="E874" s="90" t="s">
        <v>530</v>
      </c>
      <c r="F874" s="90" t="s">
        <v>697</v>
      </c>
      <c r="G874" s="95">
        <v>22290.97</v>
      </c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5">
        <v>22290.97</v>
      </c>
      <c r="X874" s="94"/>
      <c r="Y874" s="94"/>
      <c r="Z874" s="94"/>
      <c r="AA874" s="94"/>
      <c r="AB874" s="94"/>
      <c r="AC874" s="94"/>
      <c r="AD874" s="95">
        <v>362.14</v>
      </c>
      <c r="AE874" s="94"/>
      <c r="AF874" s="94"/>
      <c r="AG874" s="95">
        <v>22653.11</v>
      </c>
      <c r="AH874" s="95">
        <v>0</v>
      </c>
    </row>
    <row r="875" spans="1:34" ht="15.75" thickBot="1" x14ac:dyDescent="0.3">
      <c r="A875" s="90" t="s">
        <v>871</v>
      </c>
      <c r="B875" s="90" t="s">
        <v>42</v>
      </c>
      <c r="C875" s="90" t="s">
        <v>884</v>
      </c>
      <c r="D875" s="90" t="s">
        <v>663</v>
      </c>
      <c r="E875" s="90" t="s">
        <v>524</v>
      </c>
      <c r="F875" s="90" t="s">
        <v>522</v>
      </c>
      <c r="G875" s="93">
        <v>2200</v>
      </c>
      <c r="H875" s="92"/>
      <c r="I875" s="93">
        <v>2200</v>
      </c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3">
        <v>49.5</v>
      </c>
      <c r="AE875" s="92"/>
      <c r="AF875" s="92"/>
      <c r="AG875" s="93">
        <v>2249.5</v>
      </c>
      <c r="AH875" s="93">
        <v>0</v>
      </c>
    </row>
    <row r="876" spans="1:34" ht="15.75" thickBot="1" x14ac:dyDescent="0.3">
      <c r="A876" s="90" t="s">
        <v>871</v>
      </c>
      <c r="B876" s="90" t="s">
        <v>42</v>
      </c>
      <c r="C876" s="90" t="s">
        <v>884</v>
      </c>
      <c r="D876" s="90" t="s">
        <v>663</v>
      </c>
      <c r="E876" s="90" t="s">
        <v>524</v>
      </c>
      <c r="F876" s="90" t="s">
        <v>697</v>
      </c>
      <c r="G876" s="95">
        <v>2200</v>
      </c>
      <c r="H876" s="94"/>
      <c r="I876" s="95">
        <v>2200</v>
      </c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  <c r="AC876" s="94"/>
      <c r="AD876" s="95">
        <v>49.5</v>
      </c>
      <c r="AE876" s="94"/>
      <c r="AF876" s="94"/>
      <c r="AG876" s="95">
        <v>2249.5</v>
      </c>
      <c r="AH876" s="95">
        <v>0</v>
      </c>
    </row>
    <row r="877" spans="1:34" ht="15.75" thickBot="1" x14ac:dyDescent="0.3">
      <c r="A877" s="90" t="s">
        <v>871</v>
      </c>
      <c r="B877" s="90" t="s">
        <v>42</v>
      </c>
      <c r="C877" s="90" t="s">
        <v>884</v>
      </c>
      <c r="D877" s="90" t="s">
        <v>662</v>
      </c>
      <c r="E877" s="90" t="s">
        <v>729</v>
      </c>
      <c r="F877" s="90" t="s">
        <v>522</v>
      </c>
      <c r="G877" s="95">
        <v>-1448.03</v>
      </c>
      <c r="H877" s="94"/>
      <c r="I877" s="94"/>
      <c r="J877" s="94"/>
      <c r="K877" s="94"/>
      <c r="L877" s="94"/>
      <c r="M877" s="94"/>
      <c r="N877" s="94"/>
      <c r="O877" s="94"/>
      <c r="P877" s="94"/>
      <c r="Q877" s="95">
        <v>-1448.03</v>
      </c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  <c r="AC877" s="94"/>
      <c r="AD877" s="95">
        <v>0</v>
      </c>
      <c r="AE877" s="94"/>
      <c r="AF877" s="94"/>
      <c r="AG877" s="95">
        <v>-1448.03</v>
      </c>
      <c r="AH877" s="95">
        <v>0</v>
      </c>
    </row>
    <row r="878" spans="1:34" ht="15.75" thickBot="1" x14ac:dyDescent="0.3">
      <c r="A878" s="90" t="s">
        <v>871</v>
      </c>
      <c r="B878" s="90" t="s">
        <v>42</v>
      </c>
      <c r="C878" s="90" t="s">
        <v>884</v>
      </c>
      <c r="D878" s="90" t="s">
        <v>662</v>
      </c>
      <c r="E878" s="90" t="s">
        <v>729</v>
      </c>
      <c r="F878" s="90" t="s">
        <v>697</v>
      </c>
      <c r="G878" s="93">
        <v>-1448.03</v>
      </c>
      <c r="H878" s="92"/>
      <c r="I878" s="92"/>
      <c r="J878" s="92"/>
      <c r="K878" s="92"/>
      <c r="L878" s="92"/>
      <c r="M878" s="92"/>
      <c r="N878" s="92"/>
      <c r="O878" s="92"/>
      <c r="P878" s="92"/>
      <c r="Q878" s="93">
        <v>-1448.03</v>
      </c>
      <c r="R878" s="92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3">
        <v>0</v>
      </c>
      <c r="AE878" s="92"/>
      <c r="AF878" s="92"/>
      <c r="AG878" s="93">
        <v>-1448.03</v>
      </c>
      <c r="AH878" s="93">
        <v>0</v>
      </c>
    </row>
    <row r="879" spans="1:34" ht="15.75" thickBot="1" x14ac:dyDescent="0.3">
      <c r="A879" s="90" t="s">
        <v>871</v>
      </c>
      <c r="B879" s="90" t="s">
        <v>42</v>
      </c>
      <c r="C879" s="90" t="s">
        <v>884</v>
      </c>
      <c r="D879" s="90" t="s">
        <v>662</v>
      </c>
      <c r="E879" s="90" t="s">
        <v>528</v>
      </c>
      <c r="F879" s="90" t="s">
        <v>690</v>
      </c>
      <c r="G879" s="95">
        <v>180</v>
      </c>
      <c r="H879" s="94"/>
      <c r="I879" s="95">
        <v>180</v>
      </c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  <c r="AC879" s="94"/>
      <c r="AD879" s="95">
        <v>0</v>
      </c>
      <c r="AE879" s="94"/>
      <c r="AF879" s="94"/>
      <c r="AG879" s="95">
        <v>180</v>
      </c>
      <c r="AH879" s="95">
        <v>0</v>
      </c>
    </row>
    <row r="880" spans="1:34" ht="15.75" thickBot="1" x14ac:dyDescent="0.3">
      <c r="A880" s="90" t="s">
        <v>871</v>
      </c>
      <c r="B880" s="90" t="s">
        <v>42</v>
      </c>
      <c r="C880" s="90" t="s">
        <v>884</v>
      </c>
      <c r="D880" s="90" t="s">
        <v>662</v>
      </c>
      <c r="E880" s="90" t="s">
        <v>528</v>
      </c>
      <c r="F880" s="90" t="s">
        <v>697</v>
      </c>
      <c r="G880" s="93">
        <v>180</v>
      </c>
      <c r="H880" s="92"/>
      <c r="I880" s="93">
        <v>180</v>
      </c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  <c r="AD880" s="93">
        <v>0</v>
      </c>
      <c r="AE880" s="92"/>
      <c r="AF880" s="92"/>
      <c r="AG880" s="93">
        <v>180</v>
      </c>
      <c r="AH880" s="93">
        <v>0</v>
      </c>
    </row>
    <row r="881" spans="1:34" ht="15.75" thickBot="1" x14ac:dyDescent="0.3">
      <c r="A881" s="90" t="s">
        <v>871</v>
      </c>
      <c r="B881" s="90" t="s">
        <v>42</v>
      </c>
      <c r="C881" s="90" t="s">
        <v>884</v>
      </c>
      <c r="D881" s="90" t="s">
        <v>662</v>
      </c>
      <c r="E881" s="90" t="s">
        <v>518</v>
      </c>
      <c r="F881" s="90" t="s">
        <v>522</v>
      </c>
      <c r="G881" s="95">
        <v>14727.63</v>
      </c>
      <c r="H881" s="95">
        <v>82556</v>
      </c>
      <c r="I881" s="94"/>
      <c r="J881" s="94"/>
      <c r="K881" s="95">
        <v>14727.63</v>
      </c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  <c r="AC881" s="94"/>
      <c r="AD881" s="95">
        <v>0</v>
      </c>
      <c r="AE881" s="94"/>
      <c r="AF881" s="94"/>
      <c r="AG881" s="95">
        <v>14727.63</v>
      </c>
      <c r="AH881" s="95">
        <v>0</v>
      </c>
    </row>
    <row r="882" spans="1:34" ht="15.75" thickBot="1" x14ac:dyDescent="0.3">
      <c r="A882" s="90" t="s">
        <v>871</v>
      </c>
      <c r="B882" s="90" t="s">
        <v>42</v>
      </c>
      <c r="C882" s="90" t="s">
        <v>884</v>
      </c>
      <c r="D882" s="90" t="s">
        <v>662</v>
      </c>
      <c r="E882" s="90" t="s">
        <v>518</v>
      </c>
      <c r="F882" s="90" t="s">
        <v>697</v>
      </c>
      <c r="G882" s="93">
        <v>14727.63</v>
      </c>
      <c r="H882" s="304">
        <v>82556</v>
      </c>
      <c r="I882" s="92"/>
      <c r="J882" s="92"/>
      <c r="K882" s="93">
        <v>14727.63</v>
      </c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3">
        <v>0</v>
      </c>
      <c r="AE882" s="92"/>
      <c r="AF882" s="92"/>
      <c r="AG882" s="93">
        <v>14727.63</v>
      </c>
      <c r="AH882" s="93">
        <v>0</v>
      </c>
    </row>
    <row r="883" spans="1:34" ht="15.75" thickBot="1" x14ac:dyDescent="0.3">
      <c r="A883" s="90" t="s">
        <v>871</v>
      </c>
      <c r="B883" s="90" t="s">
        <v>42</v>
      </c>
      <c r="C883" s="90" t="s">
        <v>884</v>
      </c>
      <c r="D883" s="641" t="s">
        <v>662</v>
      </c>
      <c r="E883" s="642" t="s">
        <v>673</v>
      </c>
      <c r="F883" s="90" t="s">
        <v>522</v>
      </c>
      <c r="G883" s="95">
        <v>246.04</v>
      </c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5">
        <v>246.04</v>
      </c>
      <c r="Y883" s="94"/>
      <c r="Z883" s="94"/>
      <c r="AA883" s="94"/>
      <c r="AB883" s="94"/>
      <c r="AC883" s="94"/>
      <c r="AD883" s="95">
        <v>0</v>
      </c>
      <c r="AE883" s="94"/>
      <c r="AF883" s="94"/>
      <c r="AG883" s="95">
        <v>246.04</v>
      </c>
      <c r="AH883" s="95">
        <v>0</v>
      </c>
    </row>
    <row r="884" spans="1:34" ht="15.75" thickBot="1" x14ac:dyDescent="0.3">
      <c r="A884" s="90" t="s">
        <v>871</v>
      </c>
      <c r="B884" s="90" t="s">
        <v>42</v>
      </c>
      <c r="C884" s="90" t="s">
        <v>884</v>
      </c>
      <c r="D884" s="641" t="s">
        <v>662</v>
      </c>
      <c r="E884" s="642" t="s">
        <v>673</v>
      </c>
      <c r="F884" s="90" t="s">
        <v>697</v>
      </c>
      <c r="G884" s="93">
        <v>246.04</v>
      </c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3">
        <v>246.04</v>
      </c>
      <c r="Y884" s="92"/>
      <c r="Z884" s="92"/>
      <c r="AA884" s="92"/>
      <c r="AB884" s="92"/>
      <c r="AC884" s="92"/>
      <c r="AD884" s="93">
        <v>0</v>
      </c>
      <c r="AE884" s="92"/>
      <c r="AF884" s="92"/>
      <c r="AG884" s="93">
        <v>246.04</v>
      </c>
      <c r="AH884" s="93">
        <v>0</v>
      </c>
    </row>
    <row r="885" spans="1:34" ht="15.75" thickBot="1" x14ac:dyDescent="0.3">
      <c r="A885" s="90" t="s">
        <v>871</v>
      </c>
      <c r="B885" s="90" t="s">
        <v>42</v>
      </c>
      <c r="C885" s="90" t="s">
        <v>884</v>
      </c>
      <c r="D885" s="90" t="s">
        <v>662</v>
      </c>
      <c r="E885" s="90" t="s">
        <v>530</v>
      </c>
      <c r="F885" s="90" t="s">
        <v>522</v>
      </c>
      <c r="G885" s="95">
        <v>6905.81</v>
      </c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5">
        <v>6905.81</v>
      </c>
      <c r="X885" s="94"/>
      <c r="Y885" s="94"/>
      <c r="Z885" s="94"/>
      <c r="AA885" s="94"/>
      <c r="AB885" s="94"/>
      <c r="AC885" s="94"/>
      <c r="AD885" s="95">
        <v>0</v>
      </c>
      <c r="AE885" s="94"/>
      <c r="AF885" s="94"/>
      <c r="AG885" s="95">
        <v>6905.81</v>
      </c>
      <c r="AH885" s="95">
        <v>0</v>
      </c>
    </row>
    <row r="886" spans="1:34" ht="15.75" thickBot="1" x14ac:dyDescent="0.3">
      <c r="A886" s="90" t="s">
        <v>871</v>
      </c>
      <c r="B886" s="90" t="s">
        <v>42</v>
      </c>
      <c r="C886" s="90" t="s">
        <v>884</v>
      </c>
      <c r="D886" s="90" t="s">
        <v>662</v>
      </c>
      <c r="E886" s="90" t="s">
        <v>530</v>
      </c>
      <c r="F886" s="90" t="s">
        <v>697</v>
      </c>
      <c r="G886" s="93">
        <v>6905.81</v>
      </c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3">
        <v>6905.81</v>
      </c>
      <c r="X886" s="92"/>
      <c r="Y886" s="92"/>
      <c r="Z886" s="92"/>
      <c r="AA886" s="92"/>
      <c r="AB886" s="92"/>
      <c r="AC886" s="92"/>
      <c r="AD886" s="93">
        <v>0</v>
      </c>
      <c r="AE886" s="92"/>
      <c r="AF886" s="92"/>
      <c r="AG886" s="93">
        <v>6905.81</v>
      </c>
      <c r="AH886" s="93">
        <v>0</v>
      </c>
    </row>
    <row r="887" spans="1:34" ht="15.75" thickBot="1" x14ac:dyDescent="0.3">
      <c r="A887" s="90" t="s">
        <v>871</v>
      </c>
      <c r="B887" s="90" t="s">
        <v>42</v>
      </c>
      <c r="C887" s="90" t="s">
        <v>884</v>
      </c>
      <c r="D887" s="90" t="s">
        <v>662</v>
      </c>
      <c r="E887" s="90" t="s">
        <v>524</v>
      </c>
      <c r="F887" s="90" t="s">
        <v>522</v>
      </c>
      <c r="G887" s="95">
        <v>550</v>
      </c>
      <c r="H887" s="94"/>
      <c r="I887" s="95">
        <v>550</v>
      </c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  <c r="AC887" s="94"/>
      <c r="AD887" s="95">
        <v>0</v>
      </c>
      <c r="AE887" s="94"/>
      <c r="AF887" s="94"/>
      <c r="AG887" s="95">
        <v>550</v>
      </c>
      <c r="AH887" s="95">
        <v>0</v>
      </c>
    </row>
    <row r="888" spans="1:34" ht="15.75" thickBot="1" x14ac:dyDescent="0.3">
      <c r="A888" s="90" t="s">
        <v>871</v>
      </c>
      <c r="B888" s="90" t="s">
        <v>42</v>
      </c>
      <c r="C888" s="90" t="s">
        <v>884</v>
      </c>
      <c r="D888" s="90" t="s">
        <v>662</v>
      </c>
      <c r="E888" s="90" t="s">
        <v>524</v>
      </c>
      <c r="F888" s="90" t="s">
        <v>697</v>
      </c>
      <c r="G888" s="93">
        <v>550</v>
      </c>
      <c r="H888" s="92"/>
      <c r="I888" s="93">
        <v>550</v>
      </c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  <c r="AD888" s="93">
        <v>0</v>
      </c>
      <c r="AE888" s="92"/>
      <c r="AF888" s="92"/>
      <c r="AG888" s="93">
        <v>550</v>
      </c>
      <c r="AH888" s="93">
        <v>0</v>
      </c>
    </row>
    <row r="889" spans="1:34" ht="15.75" thickBot="1" x14ac:dyDescent="0.3">
      <c r="A889" s="90" t="s">
        <v>871</v>
      </c>
      <c r="B889" s="90" t="s">
        <v>93</v>
      </c>
      <c r="C889" s="90" t="s">
        <v>719</v>
      </c>
      <c r="D889" s="90" t="s">
        <v>663</v>
      </c>
      <c r="E889" s="90" t="s">
        <v>525</v>
      </c>
      <c r="F889" s="90" t="s">
        <v>690</v>
      </c>
      <c r="G889" s="95">
        <v>12077.36</v>
      </c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5">
        <v>12077.36</v>
      </c>
      <c r="S889" s="94"/>
      <c r="T889" s="94"/>
      <c r="U889" s="94"/>
      <c r="V889" s="94"/>
      <c r="W889" s="94"/>
      <c r="X889" s="94"/>
      <c r="Y889" s="94"/>
      <c r="Z889" s="94"/>
      <c r="AA889" s="94"/>
      <c r="AB889" s="94"/>
      <c r="AC889" s="94"/>
      <c r="AD889" s="95">
        <v>0</v>
      </c>
      <c r="AE889" s="94"/>
      <c r="AF889" s="94"/>
      <c r="AG889" s="95">
        <v>12077.36</v>
      </c>
      <c r="AH889" s="95">
        <v>0</v>
      </c>
    </row>
    <row r="890" spans="1:34" ht="15.75" thickBot="1" x14ac:dyDescent="0.3">
      <c r="A890" s="90" t="s">
        <v>871</v>
      </c>
      <c r="B890" s="90" t="s">
        <v>93</v>
      </c>
      <c r="C890" s="90" t="s">
        <v>719</v>
      </c>
      <c r="D890" s="90" t="s">
        <v>663</v>
      </c>
      <c r="E890" s="90" t="s">
        <v>525</v>
      </c>
      <c r="F890" s="90" t="s">
        <v>697</v>
      </c>
      <c r="G890" s="93">
        <v>12077.36</v>
      </c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3">
        <v>12077.36</v>
      </c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  <c r="AD890" s="93">
        <v>0</v>
      </c>
      <c r="AE890" s="92"/>
      <c r="AF890" s="92"/>
      <c r="AG890" s="93">
        <v>12077.36</v>
      </c>
      <c r="AH890" s="93">
        <v>0</v>
      </c>
    </row>
    <row r="891" spans="1:34" ht="15.75" thickBot="1" x14ac:dyDescent="0.3">
      <c r="A891" s="90" t="s">
        <v>871</v>
      </c>
      <c r="B891" s="90" t="s">
        <v>93</v>
      </c>
      <c r="C891" s="90" t="s">
        <v>719</v>
      </c>
      <c r="D891" s="90" t="s">
        <v>663</v>
      </c>
      <c r="E891" s="90" t="s">
        <v>524</v>
      </c>
      <c r="F891" s="90" t="s">
        <v>522</v>
      </c>
      <c r="G891" s="95">
        <v>525</v>
      </c>
      <c r="H891" s="94"/>
      <c r="I891" s="95">
        <v>525</v>
      </c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  <c r="AC891" s="94"/>
      <c r="AD891" s="95">
        <v>0</v>
      </c>
      <c r="AE891" s="94"/>
      <c r="AF891" s="94"/>
      <c r="AG891" s="95">
        <v>525</v>
      </c>
      <c r="AH891" s="95">
        <v>0</v>
      </c>
    </row>
    <row r="892" spans="1:34" ht="15.75" thickBot="1" x14ac:dyDescent="0.3">
      <c r="A892" s="90" t="s">
        <v>871</v>
      </c>
      <c r="B892" s="90" t="s">
        <v>93</v>
      </c>
      <c r="C892" s="90" t="s">
        <v>719</v>
      </c>
      <c r="D892" s="90" t="s">
        <v>663</v>
      </c>
      <c r="E892" s="90" t="s">
        <v>524</v>
      </c>
      <c r="F892" s="90" t="s">
        <v>697</v>
      </c>
      <c r="G892" s="93">
        <v>525</v>
      </c>
      <c r="H892" s="92"/>
      <c r="I892" s="93">
        <v>525</v>
      </c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3">
        <v>0</v>
      </c>
      <c r="AE892" s="92"/>
      <c r="AF892" s="92"/>
      <c r="AG892" s="93">
        <v>525</v>
      </c>
      <c r="AH892" s="93">
        <v>0</v>
      </c>
    </row>
    <row r="893" spans="1:34" ht="15.75" thickBot="1" x14ac:dyDescent="0.3">
      <c r="A893" s="90" t="s">
        <v>871</v>
      </c>
      <c r="B893" s="90" t="s">
        <v>96</v>
      </c>
      <c r="C893" s="90" t="s">
        <v>883</v>
      </c>
      <c r="D893" s="90" t="s">
        <v>663</v>
      </c>
      <c r="E893" s="90" t="s">
        <v>729</v>
      </c>
      <c r="F893" s="90" t="s">
        <v>522</v>
      </c>
      <c r="G893" s="93">
        <v>-62.17</v>
      </c>
      <c r="H893" s="92"/>
      <c r="I893" s="92"/>
      <c r="J893" s="92"/>
      <c r="K893" s="92"/>
      <c r="L893" s="92"/>
      <c r="M893" s="92"/>
      <c r="N893" s="92"/>
      <c r="O893" s="92"/>
      <c r="P893" s="92"/>
      <c r="Q893" s="93">
        <v>-62.17</v>
      </c>
      <c r="R893" s="92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  <c r="AD893" s="93">
        <v>0</v>
      </c>
      <c r="AE893" s="92"/>
      <c r="AF893" s="92"/>
      <c r="AG893" s="93">
        <v>-62.17</v>
      </c>
      <c r="AH893" s="93">
        <v>0</v>
      </c>
    </row>
    <row r="894" spans="1:34" ht="15.75" thickBot="1" x14ac:dyDescent="0.3">
      <c r="A894" s="90" t="s">
        <v>871</v>
      </c>
      <c r="B894" s="90" t="s">
        <v>96</v>
      </c>
      <c r="C894" s="90" t="s">
        <v>883</v>
      </c>
      <c r="D894" s="90" t="s">
        <v>663</v>
      </c>
      <c r="E894" s="90" t="s">
        <v>729</v>
      </c>
      <c r="F894" s="90" t="s">
        <v>697</v>
      </c>
      <c r="G894" s="95">
        <v>-62.17</v>
      </c>
      <c r="H894" s="94"/>
      <c r="I894" s="94"/>
      <c r="J894" s="94"/>
      <c r="K894" s="94"/>
      <c r="L894" s="94"/>
      <c r="M894" s="94"/>
      <c r="N894" s="94"/>
      <c r="O894" s="94"/>
      <c r="P894" s="94"/>
      <c r="Q894" s="95">
        <v>-62.17</v>
      </c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  <c r="AC894" s="94"/>
      <c r="AD894" s="95">
        <v>0</v>
      </c>
      <c r="AE894" s="94"/>
      <c r="AF894" s="94"/>
      <c r="AG894" s="95">
        <v>-62.17</v>
      </c>
      <c r="AH894" s="95">
        <v>0</v>
      </c>
    </row>
    <row r="895" spans="1:34" ht="15.75" thickBot="1" x14ac:dyDescent="0.3">
      <c r="A895" s="90" t="s">
        <v>871</v>
      </c>
      <c r="B895" s="90" t="s">
        <v>96</v>
      </c>
      <c r="C895" s="90" t="s">
        <v>883</v>
      </c>
      <c r="D895" s="90" t="s">
        <v>663</v>
      </c>
      <c r="E895" s="90" t="s">
        <v>528</v>
      </c>
      <c r="F895" s="90" t="s">
        <v>690</v>
      </c>
      <c r="G895" s="93">
        <v>400</v>
      </c>
      <c r="H895" s="92"/>
      <c r="I895" s="93">
        <v>400</v>
      </c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  <c r="AD895" s="93">
        <v>0</v>
      </c>
      <c r="AE895" s="92"/>
      <c r="AF895" s="92"/>
      <c r="AG895" s="93">
        <v>400</v>
      </c>
      <c r="AH895" s="93">
        <v>0</v>
      </c>
    </row>
    <row r="896" spans="1:34" ht="15.75" thickBot="1" x14ac:dyDescent="0.3">
      <c r="A896" s="90" t="s">
        <v>871</v>
      </c>
      <c r="B896" s="90" t="s">
        <v>96</v>
      </c>
      <c r="C896" s="90" t="s">
        <v>883</v>
      </c>
      <c r="D896" s="90" t="s">
        <v>663</v>
      </c>
      <c r="E896" s="90" t="s">
        <v>528</v>
      </c>
      <c r="F896" s="90" t="s">
        <v>697</v>
      </c>
      <c r="G896" s="95">
        <v>400</v>
      </c>
      <c r="H896" s="94"/>
      <c r="I896" s="95">
        <v>400</v>
      </c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  <c r="AC896" s="94"/>
      <c r="AD896" s="95">
        <v>0</v>
      </c>
      <c r="AE896" s="94"/>
      <c r="AF896" s="94"/>
      <c r="AG896" s="95">
        <v>400</v>
      </c>
      <c r="AH896" s="95">
        <v>0</v>
      </c>
    </row>
    <row r="897" spans="1:34" ht="15.75" thickBot="1" x14ac:dyDescent="0.3">
      <c r="A897" s="90" t="s">
        <v>871</v>
      </c>
      <c r="B897" s="90" t="s">
        <v>96</v>
      </c>
      <c r="C897" s="90" t="s">
        <v>883</v>
      </c>
      <c r="D897" s="90" t="s">
        <v>663</v>
      </c>
      <c r="E897" s="90" t="s">
        <v>518</v>
      </c>
      <c r="F897" s="90" t="s">
        <v>522</v>
      </c>
      <c r="G897" s="93">
        <v>4788.62</v>
      </c>
      <c r="H897" s="93">
        <v>68321</v>
      </c>
      <c r="I897" s="92"/>
      <c r="J897" s="92"/>
      <c r="K897" s="93">
        <v>4788.62</v>
      </c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  <c r="AD897" s="93">
        <v>0</v>
      </c>
      <c r="AE897" s="92"/>
      <c r="AF897" s="92"/>
      <c r="AG897" s="93">
        <v>4788.62</v>
      </c>
      <c r="AH897" s="93">
        <v>0</v>
      </c>
    </row>
    <row r="898" spans="1:34" ht="15.75" thickBot="1" x14ac:dyDescent="0.3">
      <c r="A898" s="90" t="s">
        <v>871</v>
      </c>
      <c r="B898" s="90" t="s">
        <v>96</v>
      </c>
      <c r="C898" s="90" t="s">
        <v>883</v>
      </c>
      <c r="D898" s="90" t="s">
        <v>663</v>
      </c>
      <c r="E898" s="90" t="s">
        <v>518</v>
      </c>
      <c r="F898" s="90" t="s">
        <v>697</v>
      </c>
      <c r="G898" s="95">
        <v>4788.62</v>
      </c>
      <c r="H898" s="305">
        <v>68321</v>
      </c>
      <c r="I898" s="94"/>
      <c r="J898" s="94"/>
      <c r="K898" s="95">
        <v>4788.62</v>
      </c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  <c r="AC898" s="94"/>
      <c r="AD898" s="95">
        <v>0</v>
      </c>
      <c r="AE898" s="94"/>
      <c r="AF898" s="94"/>
      <c r="AG898" s="95">
        <v>4788.62</v>
      </c>
      <c r="AH898" s="95">
        <v>0</v>
      </c>
    </row>
    <row r="899" spans="1:34" ht="15.75" thickBot="1" x14ac:dyDescent="0.3">
      <c r="A899" s="90" t="s">
        <v>871</v>
      </c>
      <c r="B899" s="90" t="s">
        <v>96</v>
      </c>
      <c r="C899" s="90" t="s">
        <v>883</v>
      </c>
      <c r="D899" s="90" t="s">
        <v>663</v>
      </c>
      <c r="E899" s="90" t="s">
        <v>673</v>
      </c>
      <c r="F899" s="90" t="s">
        <v>522</v>
      </c>
      <c r="G899" s="93">
        <v>2698.35</v>
      </c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3">
        <v>2698.35</v>
      </c>
      <c r="Y899" s="92"/>
      <c r="Z899" s="92"/>
      <c r="AA899" s="92"/>
      <c r="AB899" s="92"/>
      <c r="AC899" s="92"/>
      <c r="AD899" s="93">
        <v>0</v>
      </c>
      <c r="AE899" s="92"/>
      <c r="AF899" s="92"/>
      <c r="AG899" s="93">
        <v>2698.35</v>
      </c>
      <c r="AH899" s="93">
        <v>0</v>
      </c>
    </row>
    <row r="900" spans="1:34" ht="15.75" thickBot="1" x14ac:dyDescent="0.3">
      <c r="A900" s="90" t="s">
        <v>871</v>
      </c>
      <c r="B900" s="90" t="s">
        <v>96</v>
      </c>
      <c r="C900" s="90" t="s">
        <v>883</v>
      </c>
      <c r="D900" s="90" t="s">
        <v>663</v>
      </c>
      <c r="E900" s="90" t="s">
        <v>673</v>
      </c>
      <c r="F900" s="90" t="s">
        <v>697</v>
      </c>
      <c r="G900" s="95">
        <v>2698.35</v>
      </c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5">
        <v>2698.35</v>
      </c>
      <c r="Y900" s="94"/>
      <c r="Z900" s="94"/>
      <c r="AA900" s="94"/>
      <c r="AB900" s="94"/>
      <c r="AC900" s="94"/>
      <c r="AD900" s="95">
        <v>0</v>
      </c>
      <c r="AE900" s="94"/>
      <c r="AF900" s="94"/>
      <c r="AG900" s="95">
        <v>2698.35</v>
      </c>
      <c r="AH900" s="95">
        <v>0</v>
      </c>
    </row>
    <row r="901" spans="1:34" ht="15.75" thickBot="1" x14ac:dyDescent="0.3">
      <c r="A901" s="90" t="s">
        <v>871</v>
      </c>
      <c r="B901" s="90" t="s">
        <v>96</v>
      </c>
      <c r="C901" s="90" t="s">
        <v>883</v>
      </c>
      <c r="D901" s="90" t="s">
        <v>663</v>
      </c>
      <c r="E901" s="90" t="s">
        <v>530</v>
      </c>
      <c r="F901" s="90" t="s">
        <v>522</v>
      </c>
      <c r="G901" s="93">
        <v>5715.05</v>
      </c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3">
        <v>5715.05</v>
      </c>
      <c r="X901" s="92"/>
      <c r="Y901" s="92"/>
      <c r="Z901" s="92"/>
      <c r="AA901" s="92"/>
      <c r="AB901" s="92"/>
      <c r="AC901" s="92"/>
      <c r="AD901" s="93">
        <v>0</v>
      </c>
      <c r="AE901" s="92"/>
      <c r="AF901" s="92"/>
      <c r="AG901" s="93">
        <v>5715.05</v>
      </c>
      <c r="AH901" s="93">
        <v>0</v>
      </c>
    </row>
    <row r="902" spans="1:34" ht="15.75" thickBot="1" x14ac:dyDescent="0.3">
      <c r="A902" s="90" t="s">
        <v>871</v>
      </c>
      <c r="B902" s="90" t="s">
        <v>96</v>
      </c>
      <c r="C902" s="90" t="s">
        <v>883</v>
      </c>
      <c r="D902" s="90" t="s">
        <v>663</v>
      </c>
      <c r="E902" s="90" t="s">
        <v>530</v>
      </c>
      <c r="F902" s="90" t="s">
        <v>697</v>
      </c>
      <c r="G902" s="95">
        <v>5715.05</v>
      </c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5">
        <v>5715.05</v>
      </c>
      <c r="X902" s="94"/>
      <c r="Y902" s="94"/>
      <c r="Z902" s="94"/>
      <c r="AA902" s="94"/>
      <c r="AB902" s="94"/>
      <c r="AC902" s="94"/>
      <c r="AD902" s="95">
        <v>0</v>
      </c>
      <c r="AE902" s="94"/>
      <c r="AF902" s="94"/>
      <c r="AG902" s="95">
        <v>5715.05</v>
      </c>
      <c r="AH902" s="95">
        <v>0</v>
      </c>
    </row>
    <row r="903" spans="1:34" ht="15.75" thickBot="1" x14ac:dyDescent="0.3">
      <c r="A903" s="90" t="s">
        <v>871</v>
      </c>
      <c r="B903" s="90" t="s">
        <v>96</v>
      </c>
      <c r="C903" s="90" t="s">
        <v>883</v>
      </c>
      <c r="D903" s="90" t="s">
        <v>663</v>
      </c>
      <c r="E903" s="90" t="s">
        <v>524</v>
      </c>
      <c r="F903" s="90" t="s">
        <v>522</v>
      </c>
      <c r="G903" s="93">
        <v>550</v>
      </c>
      <c r="H903" s="92"/>
      <c r="I903" s="93">
        <v>550</v>
      </c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  <c r="AA903" s="92"/>
      <c r="AB903" s="92"/>
      <c r="AC903" s="92"/>
      <c r="AD903" s="93">
        <v>0</v>
      </c>
      <c r="AE903" s="92"/>
      <c r="AF903" s="92"/>
      <c r="AG903" s="93">
        <v>550</v>
      </c>
      <c r="AH903" s="93">
        <v>0</v>
      </c>
    </row>
    <row r="904" spans="1:34" ht="15.75" thickBot="1" x14ac:dyDescent="0.3">
      <c r="A904" s="90" t="s">
        <v>871</v>
      </c>
      <c r="B904" s="90" t="s">
        <v>96</v>
      </c>
      <c r="C904" s="90" t="s">
        <v>883</v>
      </c>
      <c r="D904" s="90" t="s">
        <v>663</v>
      </c>
      <c r="E904" s="90" t="s">
        <v>524</v>
      </c>
      <c r="F904" s="90" t="s">
        <v>697</v>
      </c>
      <c r="G904" s="95">
        <v>550</v>
      </c>
      <c r="H904" s="94"/>
      <c r="I904" s="95">
        <v>550</v>
      </c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  <c r="AC904" s="94"/>
      <c r="AD904" s="95">
        <v>0</v>
      </c>
      <c r="AE904" s="94"/>
      <c r="AF904" s="94"/>
      <c r="AG904" s="95">
        <v>550</v>
      </c>
      <c r="AH904" s="95">
        <v>0</v>
      </c>
    </row>
    <row r="905" spans="1:34" ht="15.75" thickBot="1" x14ac:dyDescent="0.3">
      <c r="A905" s="90" t="s">
        <v>871</v>
      </c>
      <c r="B905" s="90" t="s">
        <v>96</v>
      </c>
      <c r="C905" s="90" t="s">
        <v>883</v>
      </c>
      <c r="D905" s="90" t="s">
        <v>662</v>
      </c>
      <c r="E905" s="90" t="s">
        <v>729</v>
      </c>
      <c r="F905" s="90" t="s">
        <v>522</v>
      </c>
      <c r="G905" s="95">
        <v>-1357.39</v>
      </c>
      <c r="H905" s="94"/>
      <c r="I905" s="94"/>
      <c r="J905" s="94"/>
      <c r="K905" s="94"/>
      <c r="L905" s="94"/>
      <c r="M905" s="94"/>
      <c r="N905" s="94"/>
      <c r="O905" s="94"/>
      <c r="P905" s="94"/>
      <c r="Q905" s="95">
        <v>-1357.39</v>
      </c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  <c r="AC905" s="94"/>
      <c r="AD905" s="95">
        <v>0</v>
      </c>
      <c r="AE905" s="94"/>
      <c r="AF905" s="94"/>
      <c r="AG905" s="95">
        <v>-1357.39</v>
      </c>
      <c r="AH905" s="95">
        <v>0</v>
      </c>
    </row>
    <row r="906" spans="1:34" ht="15.75" thickBot="1" x14ac:dyDescent="0.3">
      <c r="A906" s="90" t="s">
        <v>871</v>
      </c>
      <c r="B906" s="90" t="s">
        <v>96</v>
      </c>
      <c r="C906" s="90" t="s">
        <v>883</v>
      </c>
      <c r="D906" s="90" t="s">
        <v>662</v>
      </c>
      <c r="E906" s="90" t="s">
        <v>729</v>
      </c>
      <c r="F906" s="90" t="s">
        <v>697</v>
      </c>
      <c r="G906" s="93">
        <v>-1357.39</v>
      </c>
      <c r="H906" s="92"/>
      <c r="I906" s="92"/>
      <c r="J906" s="92"/>
      <c r="K906" s="92"/>
      <c r="L906" s="92"/>
      <c r="M906" s="92"/>
      <c r="N906" s="92"/>
      <c r="O906" s="92"/>
      <c r="P906" s="92"/>
      <c r="Q906" s="93">
        <v>-1357.39</v>
      </c>
      <c r="R906" s="92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2"/>
      <c r="AD906" s="93">
        <v>0</v>
      </c>
      <c r="AE906" s="92"/>
      <c r="AF906" s="92"/>
      <c r="AG906" s="93">
        <v>-1357.39</v>
      </c>
      <c r="AH906" s="93">
        <v>0</v>
      </c>
    </row>
    <row r="907" spans="1:34" ht="15.75" thickBot="1" x14ac:dyDescent="0.3">
      <c r="A907" s="90" t="s">
        <v>871</v>
      </c>
      <c r="B907" s="90" t="s">
        <v>96</v>
      </c>
      <c r="C907" s="90" t="s">
        <v>883</v>
      </c>
      <c r="D907" s="90" t="s">
        <v>662</v>
      </c>
      <c r="E907" s="90" t="s">
        <v>528</v>
      </c>
      <c r="F907" s="90" t="s">
        <v>690</v>
      </c>
      <c r="G907" s="95">
        <v>400</v>
      </c>
      <c r="H907" s="94"/>
      <c r="I907" s="95">
        <v>400</v>
      </c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  <c r="AC907" s="94"/>
      <c r="AD907" s="95">
        <v>0</v>
      </c>
      <c r="AE907" s="94"/>
      <c r="AF907" s="94"/>
      <c r="AG907" s="95">
        <v>400</v>
      </c>
      <c r="AH907" s="95">
        <v>0</v>
      </c>
    </row>
    <row r="908" spans="1:34" ht="15.75" thickBot="1" x14ac:dyDescent="0.3">
      <c r="A908" s="90" t="s">
        <v>871</v>
      </c>
      <c r="B908" s="90" t="s">
        <v>96</v>
      </c>
      <c r="C908" s="90" t="s">
        <v>883</v>
      </c>
      <c r="D908" s="90" t="s">
        <v>662</v>
      </c>
      <c r="E908" s="90" t="s">
        <v>528</v>
      </c>
      <c r="F908" s="90" t="s">
        <v>697</v>
      </c>
      <c r="G908" s="93">
        <v>400</v>
      </c>
      <c r="H908" s="92"/>
      <c r="I908" s="93">
        <v>400</v>
      </c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  <c r="AA908" s="92"/>
      <c r="AB908" s="92"/>
      <c r="AC908" s="92"/>
      <c r="AD908" s="93">
        <v>0</v>
      </c>
      <c r="AE908" s="92"/>
      <c r="AF908" s="92"/>
      <c r="AG908" s="93">
        <v>400</v>
      </c>
      <c r="AH908" s="93">
        <v>0</v>
      </c>
    </row>
    <row r="909" spans="1:34" ht="15.75" thickBot="1" x14ac:dyDescent="0.3">
      <c r="A909" s="90" t="s">
        <v>871</v>
      </c>
      <c r="B909" s="90" t="s">
        <v>96</v>
      </c>
      <c r="C909" s="90" t="s">
        <v>883</v>
      </c>
      <c r="D909" s="90" t="s">
        <v>662</v>
      </c>
      <c r="E909" s="90" t="s">
        <v>518</v>
      </c>
      <c r="F909" s="90" t="s">
        <v>522</v>
      </c>
      <c r="G909" s="95">
        <v>5424.12</v>
      </c>
      <c r="H909" s="95">
        <v>77388</v>
      </c>
      <c r="I909" s="94"/>
      <c r="J909" s="94"/>
      <c r="K909" s="95">
        <v>5424.12</v>
      </c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  <c r="AC909" s="94"/>
      <c r="AD909" s="95">
        <v>0</v>
      </c>
      <c r="AE909" s="94"/>
      <c r="AF909" s="94"/>
      <c r="AG909" s="95">
        <v>5424.12</v>
      </c>
      <c r="AH909" s="95">
        <v>0</v>
      </c>
    </row>
    <row r="910" spans="1:34" ht="15.75" thickBot="1" x14ac:dyDescent="0.3">
      <c r="A910" s="90" t="s">
        <v>871</v>
      </c>
      <c r="B910" s="90" t="s">
        <v>96</v>
      </c>
      <c r="C910" s="90" t="s">
        <v>883</v>
      </c>
      <c r="D910" s="90" t="s">
        <v>662</v>
      </c>
      <c r="E910" s="90" t="s">
        <v>518</v>
      </c>
      <c r="F910" s="90" t="s">
        <v>697</v>
      </c>
      <c r="G910" s="93">
        <v>5424.12</v>
      </c>
      <c r="H910" s="304">
        <v>77388</v>
      </c>
      <c r="I910" s="92"/>
      <c r="J910" s="92"/>
      <c r="K910" s="93">
        <v>5424.12</v>
      </c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  <c r="AD910" s="93">
        <v>0</v>
      </c>
      <c r="AE910" s="92"/>
      <c r="AF910" s="92"/>
      <c r="AG910" s="93">
        <v>5424.12</v>
      </c>
      <c r="AH910" s="93">
        <v>0</v>
      </c>
    </row>
    <row r="911" spans="1:34" ht="15.75" thickBot="1" x14ac:dyDescent="0.3">
      <c r="A911" s="90" t="s">
        <v>871</v>
      </c>
      <c r="B911" s="90" t="s">
        <v>96</v>
      </c>
      <c r="C911" s="90" t="s">
        <v>883</v>
      </c>
      <c r="D911" s="90" t="s">
        <v>662</v>
      </c>
      <c r="E911" s="90" t="s">
        <v>673</v>
      </c>
      <c r="F911" s="90" t="s">
        <v>522</v>
      </c>
      <c r="G911" s="95">
        <v>2698.35</v>
      </c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5">
        <v>2698.35</v>
      </c>
      <c r="Y911" s="94"/>
      <c r="Z911" s="94"/>
      <c r="AA911" s="94"/>
      <c r="AB911" s="94"/>
      <c r="AC911" s="94"/>
      <c r="AD911" s="95">
        <v>0</v>
      </c>
      <c r="AE911" s="94"/>
      <c r="AF911" s="94"/>
      <c r="AG911" s="95">
        <v>2698.35</v>
      </c>
      <c r="AH911" s="95">
        <v>0</v>
      </c>
    </row>
    <row r="912" spans="1:34" ht="15.75" thickBot="1" x14ac:dyDescent="0.3">
      <c r="A912" s="90" t="s">
        <v>871</v>
      </c>
      <c r="B912" s="90" t="s">
        <v>96</v>
      </c>
      <c r="C912" s="90" t="s">
        <v>883</v>
      </c>
      <c r="D912" s="90" t="s">
        <v>662</v>
      </c>
      <c r="E912" s="90" t="s">
        <v>673</v>
      </c>
      <c r="F912" s="90" t="s">
        <v>697</v>
      </c>
      <c r="G912" s="93">
        <v>2698.35</v>
      </c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3">
        <v>2698.35</v>
      </c>
      <c r="Y912" s="92"/>
      <c r="Z912" s="92"/>
      <c r="AA912" s="92"/>
      <c r="AB912" s="92"/>
      <c r="AC912" s="92"/>
      <c r="AD912" s="93">
        <v>0</v>
      </c>
      <c r="AE912" s="92"/>
      <c r="AF912" s="92"/>
      <c r="AG912" s="93">
        <v>2698.35</v>
      </c>
      <c r="AH912" s="93">
        <v>0</v>
      </c>
    </row>
    <row r="913" spans="1:34" ht="15.75" thickBot="1" x14ac:dyDescent="0.3">
      <c r="A913" s="90" t="s">
        <v>871</v>
      </c>
      <c r="B913" s="90" t="s">
        <v>96</v>
      </c>
      <c r="C913" s="90" t="s">
        <v>883</v>
      </c>
      <c r="D913" s="90" t="s">
        <v>662</v>
      </c>
      <c r="E913" s="90" t="s">
        <v>530</v>
      </c>
      <c r="F913" s="90" t="s">
        <v>522</v>
      </c>
      <c r="G913" s="95">
        <v>6473.51</v>
      </c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5">
        <v>6473.51</v>
      </c>
      <c r="X913" s="94"/>
      <c r="Y913" s="94"/>
      <c r="Z913" s="94"/>
      <c r="AA913" s="94"/>
      <c r="AB913" s="94"/>
      <c r="AC913" s="94"/>
      <c r="AD913" s="95">
        <v>0</v>
      </c>
      <c r="AE913" s="94"/>
      <c r="AF913" s="94"/>
      <c r="AG913" s="95">
        <v>6473.51</v>
      </c>
      <c r="AH913" s="95">
        <v>0</v>
      </c>
    </row>
    <row r="914" spans="1:34" ht="15.75" thickBot="1" x14ac:dyDescent="0.3">
      <c r="A914" s="90" t="s">
        <v>871</v>
      </c>
      <c r="B914" s="90" t="s">
        <v>96</v>
      </c>
      <c r="C914" s="90" t="s">
        <v>883</v>
      </c>
      <c r="D914" s="90" t="s">
        <v>662</v>
      </c>
      <c r="E914" s="90" t="s">
        <v>530</v>
      </c>
      <c r="F914" s="90" t="s">
        <v>697</v>
      </c>
      <c r="G914" s="93">
        <v>6473.51</v>
      </c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3">
        <v>6473.51</v>
      </c>
      <c r="X914" s="92"/>
      <c r="Y914" s="92"/>
      <c r="Z914" s="92"/>
      <c r="AA914" s="92"/>
      <c r="AB914" s="92"/>
      <c r="AC914" s="92"/>
      <c r="AD914" s="93">
        <v>0</v>
      </c>
      <c r="AE914" s="92"/>
      <c r="AF914" s="92"/>
      <c r="AG914" s="93">
        <v>6473.51</v>
      </c>
      <c r="AH914" s="93">
        <v>0</v>
      </c>
    </row>
    <row r="915" spans="1:34" ht="15.75" thickBot="1" x14ac:dyDescent="0.3">
      <c r="A915" s="90" t="s">
        <v>871</v>
      </c>
      <c r="B915" s="90" t="s">
        <v>96</v>
      </c>
      <c r="C915" s="90" t="s">
        <v>883</v>
      </c>
      <c r="D915" s="90" t="s">
        <v>662</v>
      </c>
      <c r="E915" s="90" t="s">
        <v>524</v>
      </c>
      <c r="F915" s="90" t="s">
        <v>522</v>
      </c>
      <c r="G915" s="95">
        <v>550</v>
      </c>
      <c r="H915" s="94"/>
      <c r="I915" s="95">
        <v>550</v>
      </c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  <c r="AC915" s="94"/>
      <c r="AD915" s="95">
        <v>0</v>
      </c>
      <c r="AE915" s="94"/>
      <c r="AF915" s="94"/>
      <c r="AG915" s="95">
        <v>550</v>
      </c>
      <c r="AH915" s="95">
        <v>0</v>
      </c>
    </row>
    <row r="916" spans="1:34" ht="15.75" thickBot="1" x14ac:dyDescent="0.3">
      <c r="A916" s="90" t="s">
        <v>871</v>
      </c>
      <c r="B916" s="90" t="s">
        <v>96</v>
      </c>
      <c r="C916" s="90" t="s">
        <v>883</v>
      </c>
      <c r="D916" s="90" t="s">
        <v>662</v>
      </c>
      <c r="E916" s="90" t="s">
        <v>524</v>
      </c>
      <c r="F916" s="90" t="s">
        <v>697</v>
      </c>
      <c r="G916" s="93">
        <v>550</v>
      </c>
      <c r="H916" s="92"/>
      <c r="I916" s="93">
        <v>550</v>
      </c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  <c r="AA916" s="92"/>
      <c r="AB916" s="92"/>
      <c r="AC916" s="92"/>
      <c r="AD916" s="93">
        <v>0</v>
      </c>
      <c r="AE916" s="92"/>
      <c r="AF916" s="92"/>
      <c r="AG916" s="93">
        <v>550</v>
      </c>
      <c r="AH916" s="93">
        <v>0</v>
      </c>
    </row>
    <row r="917" spans="1:34" ht="15.75" thickBot="1" x14ac:dyDescent="0.3">
      <c r="A917" s="90" t="s">
        <v>871</v>
      </c>
      <c r="B917" s="90" t="s">
        <v>52</v>
      </c>
      <c r="C917" s="90" t="s">
        <v>882</v>
      </c>
      <c r="D917" s="90" t="s">
        <v>663</v>
      </c>
      <c r="E917" s="90" t="s">
        <v>729</v>
      </c>
      <c r="F917" s="90" t="s">
        <v>522</v>
      </c>
      <c r="G917" s="95">
        <v>-87.77</v>
      </c>
      <c r="H917" s="94"/>
      <c r="I917" s="94"/>
      <c r="J917" s="94"/>
      <c r="K917" s="94"/>
      <c r="L917" s="94"/>
      <c r="M917" s="94"/>
      <c r="N917" s="94"/>
      <c r="O917" s="94"/>
      <c r="P917" s="94"/>
      <c r="Q917" s="95">
        <v>-87.77</v>
      </c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  <c r="AC917" s="94"/>
      <c r="AD917" s="95">
        <v>-2.7</v>
      </c>
      <c r="AE917" s="94"/>
      <c r="AF917" s="94"/>
      <c r="AG917" s="95">
        <v>-90.47</v>
      </c>
      <c r="AH917" s="95">
        <v>0</v>
      </c>
    </row>
    <row r="918" spans="1:34" ht="15.75" thickBot="1" x14ac:dyDescent="0.3">
      <c r="A918" s="90" t="s">
        <v>871</v>
      </c>
      <c r="B918" s="90" t="s">
        <v>52</v>
      </c>
      <c r="C918" s="90" t="s">
        <v>882</v>
      </c>
      <c r="D918" s="90" t="s">
        <v>663</v>
      </c>
      <c r="E918" s="90" t="s">
        <v>729</v>
      </c>
      <c r="F918" s="90" t="s">
        <v>697</v>
      </c>
      <c r="G918" s="93">
        <v>-87.77</v>
      </c>
      <c r="H918" s="92"/>
      <c r="I918" s="92"/>
      <c r="J918" s="92"/>
      <c r="K918" s="92"/>
      <c r="L918" s="92"/>
      <c r="M918" s="92"/>
      <c r="N918" s="92"/>
      <c r="O918" s="92"/>
      <c r="P918" s="92"/>
      <c r="Q918" s="93">
        <v>-87.77</v>
      </c>
      <c r="R918" s="92"/>
      <c r="S918" s="92"/>
      <c r="T918" s="92"/>
      <c r="U918" s="92"/>
      <c r="V918" s="92"/>
      <c r="W918" s="92"/>
      <c r="X918" s="92"/>
      <c r="Y918" s="92"/>
      <c r="Z918" s="92"/>
      <c r="AA918" s="92"/>
      <c r="AB918" s="92"/>
      <c r="AC918" s="92"/>
      <c r="AD918" s="93">
        <v>-2.7</v>
      </c>
      <c r="AE918" s="92"/>
      <c r="AF918" s="92"/>
      <c r="AG918" s="93">
        <v>-90.47</v>
      </c>
      <c r="AH918" s="93">
        <v>0</v>
      </c>
    </row>
    <row r="919" spans="1:34" ht="15.75" thickBot="1" x14ac:dyDescent="0.3">
      <c r="A919" s="90" t="s">
        <v>871</v>
      </c>
      <c r="B919" s="90" t="s">
        <v>52</v>
      </c>
      <c r="C919" s="90" t="s">
        <v>882</v>
      </c>
      <c r="D919" s="90" t="s">
        <v>663</v>
      </c>
      <c r="E919" s="90" t="s">
        <v>525</v>
      </c>
      <c r="F919" s="90" t="s">
        <v>690</v>
      </c>
      <c r="G919" s="95">
        <v>832.8</v>
      </c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5">
        <v>832.8</v>
      </c>
      <c r="S919" s="94"/>
      <c r="T919" s="94"/>
      <c r="U919" s="94"/>
      <c r="V919" s="94"/>
      <c r="W919" s="94"/>
      <c r="X919" s="94"/>
      <c r="Y919" s="94"/>
      <c r="Z919" s="94"/>
      <c r="AA919" s="94"/>
      <c r="AB919" s="94"/>
      <c r="AC919" s="94"/>
      <c r="AD919" s="95">
        <v>49.97</v>
      </c>
      <c r="AE919" s="94"/>
      <c r="AF919" s="94"/>
      <c r="AG919" s="95">
        <v>882.77</v>
      </c>
      <c r="AH919" s="95">
        <v>0</v>
      </c>
    </row>
    <row r="920" spans="1:34" ht="15.75" thickBot="1" x14ac:dyDescent="0.3">
      <c r="A920" s="90" t="s">
        <v>871</v>
      </c>
      <c r="B920" s="90" t="s">
        <v>52</v>
      </c>
      <c r="C920" s="90" t="s">
        <v>882</v>
      </c>
      <c r="D920" s="90" t="s">
        <v>663</v>
      </c>
      <c r="E920" s="90" t="s">
        <v>525</v>
      </c>
      <c r="F920" s="90" t="s">
        <v>697</v>
      </c>
      <c r="G920" s="93">
        <v>832.8</v>
      </c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3">
        <v>832.8</v>
      </c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  <c r="AD920" s="93">
        <v>49.97</v>
      </c>
      <c r="AE920" s="92"/>
      <c r="AF920" s="92"/>
      <c r="AG920" s="93">
        <v>882.77</v>
      </c>
      <c r="AH920" s="93">
        <v>0</v>
      </c>
    </row>
    <row r="921" spans="1:34" ht="15.75" thickBot="1" x14ac:dyDescent="0.3">
      <c r="A921" s="90" t="s">
        <v>871</v>
      </c>
      <c r="B921" s="90" t="s">
        <v>52</v>
      </c>
      <c r="C921" s="90" t="s">
        <v>882</v>
      </c>
      <c r="D921" s="90" t="s">
        <v>663</v>
      </c>
      <c r="E921" s="90" t="s">
        <v>518</v>
      </c>
      <c r="F921" s="90" t="s">
        <v>522</v>
      </c>
      <c r="G921" s="95">
        <v>367113.67</v>
      </c>
      <c r="H921" s="95">
        <v>8533558</v>
      </c>
      <c r="I921" s="94"/>
      <c r="J921" s="94"/>
      <c r="K921" s="95">
        <v>367113.67</v>
      </c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  <c r="AC921" s="94"/>
      <c r="AD921" s="95">
        <v>17015.7</v>
      </c>
      <c r="AE921" s="94"/>
      <c r="AF921" s="94"/>
      <c r="AG921" s="95">
        <v>384129.37</v>
      </c>
      <c r="AH921" s="95">
        <v>0</v>
      </c>
    </row>
    <row r="922" spans="1:34" ht="15.75" thickBot="1" x14ac:dyDescent="0.3">
      <c r="A922" s="90" t="s">
        <v>871</v>
      </c>
      <c r="B922" s="90" t="s">
        <v>52</v>
      </c>
      <c r="C922" s="90" t="s">
        <v>882</v>
      </c>
      <c r="D922" s="90" t="s">
        <v>663</v>
      </c>
      <c r="E922" s="90" t="s">
        <v>518</v>
      </c>
      <c r="F922" s="90" t="s">
        <v>690</v>
      </c>
      <c r="G922" s="93">
        <v>274.42</v>
      </c>
      <c r="H922" s="93">
        <v>6379</v>
      </c>
      <c r="I922" s="92"/>
      <c r="J922" s="92"/>
      <c r="K922" s="93">
        <v>274.42</v>
      </c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2"/>
      <c r="AD922" s="93">
        <v>16.47</v>
      </c>
      <c r="AE922" s="92"/>
      <c r="AF922" s="92"/>
      <c r="AG922" s="93">
        <v>290.89</v>
      </c>
      <c r="AH922" s="93">
        <v>0</v>
      </c>
    </row>
    <row r="923" spans="1:34" ht="15.75" thickBot="1" x14ac:dyDescent="0.3">
      <c r="A923" s="90" t="s">
        <v>871</v>
      </c>
      <c r="B923" s="90" t="s">
        <v>52</v>
      </c>
      <c r="C923" s="90" t="s">
        <v>882</v>
      </c>
      <c r="D923" s="90" t="s">
        <v>663</v>
      </c>
      <c r="E923" s="90" t="s">
        <v>518</v>
      </c>
      <c r="F923" s="90" t="s">
        <v>697</v>
      </c>
      <c r="G923" s="95">
        <v>367388.09</v>
      </c>
      <c r="H923" s="305">
        <v>8539937</v>
      </c>
      <c r="I923" s="94"/>
      <c r="J923" s="94"/>
      <c r="K923" s="95">
        <v>367388.09</v>
      </c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  <c r="AC923" s="94"/>
      <c r="AD923" s="95">
        <v>17032.169999999998</v>
      </c>
      <c r="AE923" s="94"/>
      <c r="AF923" s="94"/>
      <c r="AG923" s="95">
        <v>384420.26</v>
      </c>
      <c r="AH923" s="95">
        <v>0</v>
      </c>
    </row>
    <row r="924" spans="1:34" ht="15.75" thickBot="1" x14ac:dyDescent="0.3">
      <c r="A924" s="90" t="s">
        <v>871</v>
      </c>
      <c r="B924" s="90" t="s">
        <v>52</v>
      </c>
      <c r="C924" s="90" t="s">
        <v>882</v>
      </c>
      <c r="D924" s="90" t="s">
        <v>663</v>
      </c>
      <c r="E924" s="90" t="s">
        <v>527</v>
      </c>
      <c r="F924" s="90" t="s">
        <v>690</v>
      </c>
      <c r="G924" s="93">
        <v>-61.73</v>
      </c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3">
        <v>-61.73</v>
      </c>
      <c r="T924" s="92"/>
      <c r="U924" s="92"/>
      <c r="V924" s="92"/>
      <c r="W924" s="92"/>
      <c r="X924" s="92"/>
      <c r="Y924" s="92"/>
      <c r="Z924" s="92"/>
      <c r="AA924" s="92"/>
      <c r="AB924" s="92"/>
      <c r="AC924" s="92"/>
      <c r="AD924" s="93">
        <v>-3.7</v>
      </c>
      <c r="AE924" s="92"/>
      <c r="AF924" s="92"/>
      <c r="AG924" s="93">
        <v>-65.430000000000007</v>
      </c>
      <c r="AH924" s="93">
        <v>0</v>
      </c>
    </row>
    <row r="925" spans="1:34" ht="15.75" thickBot="1" x14ac:dyDescent="0.3">
      <c r="A925" s="90" t="s">
        <v>871</v>
      </c>
      <c r="B925" s="90" t="s">
        <v>52</v>
      </c>
      <c r="C925" s="90" t="s">
        <v>882</v>
      </c>
      <c r="D925" s="90" t="s">
        <v>663</v>
      </c>
      <c r="E925" s="90" t="s">
        <v>527</v>
      </c>
      <c r="F925" s="90" t="s">
        <v>697</v>
      </c>
      <c r="G925" s="95">
        <v>-61.73</v>
      </c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5">
        <v>-61.73</v>
      </c>
      <c r="T925" s="94"/>
      <c r="U925" s="94"/>
      <c r="V925" s="94"/>
      <c r="W925" s="94"/>
      <c r="X925" s="94"/>
      <c r="Y925" s="94"/>
      <c r="Z925" s="94"/>
      <c r="AA925" s="94"/>
      <c r="AB925" s="94"/>
      <c r="AC925" s="94"/>
      <c r="AD925" s="95">
        <v>-3.7</v>
      </c>
      <c r="AE925" s="94"/>
      <c r="AF925" s="94"/>
      <c r="AG925" s="95">
        <v>-65.430000000000007</v>
      </c>
      <c r="AH925" s="95">
        <v>0</v>
      </c>
    </row>
    <row r="926" spans="1:34" ht="15.75" thickBot="1" x14ac:dyDescent="0.3">
      <c r="A926" s="90" t="s">
        <v>871</v>
      </c>
      <c r="B926" s="90" t="s">
        <v>52</v>
      </c>
      <c r="C926" s="90" t="s">
        <v>882</v>
      </c>
      <c r="D926" s="90" t="s">
        <v>663</v>
      </c>
      <c r="E926" s="90" t="s">
        <v>671</v>
      </c>
      <c r="F926" s="90" t="s">
        <v>522</v>
      </c>
      <c r="G926" s="93">
        <v>1601.59</v>
      </c>
      <c r="H926" s="92"/>
      <c r="I926" s="92"/>
      <c r="J926" s="92"/>
      <c r="K926" s="92"/>
      <c r="L926" s="93">
        <v>1601.59</v>
      </c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  <c r="AA926" s="92"/>
      <c r="AB926" s="92"/>
      <c r="AC926" s="92"/>
      <c r="AD926" s="93">
        <v>98.81</v>
      </c>
      <c r="AE926" s="92"/>
      <c r="AF926" s="92"/>
      <c r="AG926" s="93">
        <v>1700.4</v>
      </c>
      <c r="AH926" s="93">
        <v>0</v>
      </c>
    </row>
    <row r="927" spans="1:34" ht="15.75" thickBot="1" x14ac:dyDescent="0.3">
      <c r="A927" s="90" t="s">
        <v>871</v>
      </c>
      <c r="B927" s="90" t="s">
        <v>52</v>
      </c>
      <c r="C927" s="90" t="s">
        <v>882</v>
      </c>
      <c r="D927" s="90" t="s">
        <v>663</v>
      </c>
      <c r="E927" s="90" t="s">
        <v>671</v>
      </c>
      <c r="F927" s="90" t="s">
        <v>697</v>
      </c>
      <c r="G927" s="95">
        <v>1601.59</v>
      </c>
      <c r="H927" s="94"/>
      <c r="I927" s="94"/>
      <c r="J927" s="94"/>
      <c r="K927" s="94"/>
      <c r="L927" s="95">
        <v>1601.59</v>
      </c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  <c r="AC927" s="94"/>
      <c r="AD927" s="95">
        <v>98.81</v>
      </c>
      <c r="AE927" s="94"/>
      <c r="AF927" s="94"/>
      <c r="AG927" s="95">
        <v>1700.4</v>
      </c>
      <c r="AH927" s="95">
        <v>0</v>
      </c>
    </row>
    <row r="928" spans="1:34" ht="15.75" thickBot="1" x14ac:dyDescent="0.3">
      <c r="A928" s="90" t="s">
        <v>871</v>
      </c>
      <c r="B928" s="90" t="s">
        <v>52</v>
      </c>
      <c r="C928" s="90" t="s">
        <v>882</v>
      </c>
      <c r="D928" s="90" t="s">
        <v>663</v>
      </c>
      <c r="E928" s="90" t="s">
        <v>524</v>
      </c>
      <c r="F928" s="90" t="s">
        <v>522</v>
      </c>
      <c r="G928" s="93">
        <v>34650</v>
      </c>
      <c r="H928" s="92"/>
      <c r="I928" s="93">
        <v>34650</v>
      </c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  <c r="AA928" s="92"/>
      <c r="AB928" s="92"/>
      <c r="AC928" s="92"/>
      <c r="AD928" s="93">
        <v>1707.44</v>
      </c>
      <c r="AE928" s="92"/>
      <c r="AF928" s="92"/>
      <c r="AG928" s="93">
        <v>36357.440000000002</v>
      </c>
      <c r="AH928" s="93">
        <v>0</v>
      </c>
    </row>
    <row r="929" spans="1:34" ht="15.75" thickBot="1" x14ac:dyDescent="0.3">
      <c r="A929" s="90" t="s">
        <v>871</v>
      </c>
      <c r="B929" s="90" t="s">
        <v>52</v>
      </c>
      <c r="C929" s="90" t="s">
        <v>882</v>
      </c>
      <c r="D929" s="90" t="s">
        <v>663</v>
      </c>
      <c r="E929" s="90" t="s">
        <v>524</v>
      </c>
      <c r="F929" s="90" t="s">
        <v>697</v>
      </c>
      <c r="G929" s="95">
        <v>34650</v>
      </c>
      <c r="H929" s="94"/>
      <c r="I929" s="95">
        <v>34650</v>
      </c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  <c r="AC929" s="94"/>
      <c r="AD929" s="95">
        <v>1707.44</v>
      </c>
      <c r="AE929" s="94"/>
      <c r="AF929" s="94"/>
      <c r="AG929" s="95">
        <v>36357.440000000002</v>
      </c>
      <c r="AH929" s="95">
        <v>0</v>
      </c>
    </row>
    <row r="930" spans="1:34" ht="15.75" thickBot="1" x14ac:dyDescent="0.3">
      <c r="A930" s="90" t="s">
        <v>871</v>
      </c>
      <c r="B930" s="90" t="s">
        <v>52</v>
      </c>
      <c r="C930" s="90" t="s">
        <v>882</v>
      </c>
      <c r="D930" s="90" t="s">
        <v>663</v>
      </c>
      <c r="E930" s="90" t="s">
        <v>676</v>
      </c>
      <c r="F930" s="90" t="s">
        <v>522</v>
      </c>
      <c r="G930" s="93">
        <v>620.94000000000005</v>
      </c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3">
        <v>620.94000000000005</v>
      </c>
      <c r="V930" s="92"/>
      <c r="W930" s="92"/>
      <c r="X930" s="92"/>
      <c r="Y930" s="92"/>
      <c r="Z930" s="92"/>
      <c r="AA930" s="92"/>
      <c r="AB930" s="92"/>
      <c r="AC930" s="92"/>
      <c r="AD930" s="93">
        <v>37.26</v>
      </c>
      <c r="AE930" s="92"/>
      <c r="AF930" s="92"/>
      <c r="AG930" s="93">
        <v>658.2</v>
      </c>
      <c r="AH930" s="93">
        <v>0</v>
      </c>
    </row>
    <row r="931" spans="1:34" ht="15.75" thickBot="1" x14ac:dyDescent="0.3">
      <c r="A931" s="90" t="s">
        <v>871</v>
      </c>
      <c r="B931" s="90" t="s">
        <v>52</v>
      </c>
      <c r="C931" s="90" t="s">
        <v>882</v>
      </c>
      <c r="D931" s="90" t="s">
        <v>663</v>
      </c>
      <c r="E931" s="90" t="s">
        <v>676</v>
      </c>
      <c r="F931" s="90" t="s">
        <v>697</v>
      </c>
      <c r="G931" s="95">
        <v>620.94000000000005</v>
      </c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5">
        <v>620.94000000000005</v>
      </c>
      <c r="V931" s="94"/>
      <c r="W931" s="94"/>
      <c r="X931" s="94"/>
      <c r="Y931" s="94"/>
      <c r="Z931" s="94"/>
      <c r="AA931" s="94"/>
      <c r="AB931" s="94"/>
      <c r="AC931" s="94"/>
      <c r="AD931" s="95">
        <v>37.26</v>
      </c>
      <c r="AE931" s="94"/>
      <c r="AF931" s="94"/>
      <c r="AG931" s="95">
        <v>658.2</v>
      </c>
      <c r="AH931" s="95">
        <v>0</v>
      </c>
    </row>
    <row r="932" spans="1:34" ht="15.75" thickBot="1" x14ac:dyDescent="0.3">
      <c r="A932" s="90" t="s">
        <v>871</v>
      </c>
      <c r="B932" s="90" t="s">
        <v>52</v>
      </c>
      <c r="C932" s="90" t="s">
        <v>882</v>
      </c>
      <c r="D932" s="90" t="s">
        <v>663</v>
      </c>
      <c r="E932" s="90" t="s">
        <v>677</v>
      </c>
      <c r="F932" s="90" t="s">
        <v>522</v>
      </c>
      <c r="G932" s="93">
        <v>684.83</v>
      </c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3">
        <v>684.83</v>
      </c>
      <c r="W932" s="92"/>
      <c r="X932" s="92"/>
      <c r="Y932" s="92"/>
      <c r="Z932" s="92"/>
      <c r="AA932" s="92"/>
      <c r="AB932" s="92"/>
      <c r="AC932" s="92"/>
      <c r="AD932" s="93">
        <v>41.09</v>
      </c>
      <c r="AE932" s="92"/>
      <c r="AF932" s="92"/>
      <c r="AG932" s="93">
        <v>725.92</v>
      </c>
      <c r="AH932" s="93">
        <v>0</v>
      </c>
    </row>
    <row r="933" spans="1:34" ht="15.75" thickBot="1" x14ac:dyDescent="0.3">
      <c r="A933" s="90" t="s">
        <v>871</v>
      </c>
      <c r="B933" s="90" t="s">
        <v>52</v>
      </c>
      <c r="C933" s="90" t="s">
        <v>882</v>
      </c>
      <c r="D933" s="90" t="s">
        <v>663</v>
      </c>
      <c r="E933" s="90" t="s">
        <v>677</v>
      </c>
      <c r="F933" s="90" t="s">
        <v>697</v>
      </c>
      <c r="G933" s="95">
        <v>684.83</v>
      </c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5">
        <v>684.83</v>
      </c>
      <c r="W933" s="94"/>
      <c r="X933" s="94"/>
      <c r="Y933" s="94"/>
      <c r="Z933" s="94"/>
      <c r="AA933" s="94"/>
      <c r="AB933" s="94"/>
      <c r="AC933" s="94"/>
      <c r="AD933" s="95">
        <v>41.09</v>
      </c>
      <c r="AE933" s="94"/>
      <c r="AF933" s="94"/>
      <c r="AG933" s="95">
        <v>725.92</v>
      </c>
      <c r="AH933" s="95">
        <v>0</v>
      </c>
    </row>
    <row r="934" spans="1:34" ht="15.75" thickBot="1" x14ac:dyDescent="0.3">
      <c r="A934" s="90" t="s">
        <v>871</v>
      </c>
      <c r="B934" s="90" t="s">
        <v>52</v>
      </c>
      <c r="C934" s="90" t="s">
        <v>882</v>
      </c>
      <c r="D934" s="90" t="s">
        <v>662</v>
      </c>
      <c r="E934" s="90" t="s">
        <v>518</v>
      </c>
      <c r="F934" s="90" t="s">
        <v>522</v>
      </c>
      <c r="G934" s="95">
        <v>8697.31</v>
      </c>
      <c r="H934" s="95">
        <v>202169</v>
      </c>
      <c r="I934" s="94"/>
      <c r="J934" s="94"/>
      <c r="K934" s="95">
        <v>8697.31</v>
      </c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  <c r="AC934" s="94"/>
      <c r="AD934" s="95">
        <v>0</v>
      </c>
      <c r="AE934" s="94"/>
      <c r="AF934" s="94"/>
      <c r="AG934" s="95">
        <v>8697.31</v>
      </c>
      <c r="AH934" s="95">
        <v>0</v>
      </c>
    </row>
    <row r="935" spans="1:34" ht="15.75" thickBot="1" x14ac:dyDescent="0.3">
      <c r="A935" s="90" t="s">
        <v>871</v>
      </c>
      <c r="B935" s="90" t="s">
        <v>52</v>
      </c>
      <c r="C935" s="90" t="s">
        <v>882</v>
      </c>
      <c r="D935" s="90" t="s">
        <v>662</v>
      </c>
      <c r="E935" s="90" t="s">
        <v>518</v>
      </c>
      <c r="F935" s="90" t="s">
        <v>697</v>
      </c>
      <c r="G935" s="93">
        <v>8697.31</v>
      </c>
      <c r="H935" s="304">
        <v>202169</v>
      </c>
      <c r="I935" s="92"/>
      <c r="J935" s="92"/>
      <c r="K935" s="93">
        <v>8697.31</v>
      </c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  <c r="AA935" s="92"/>
      <c r="AB935" s="92"/>
      <c r="AC935" s="92"/>
      <c r="AD935" s="93">
        <v>0</v>
      </c>
      <c r="AE935" s="92"/>
      <c r="AF935" s="92"/>
      <c r="AG935" s="93">
        <v>8697.31</v>
      </c>
      <c r="AH935" s="93">
        <v>0</v>
      </c>
    </row>
    <row r="936" spans="1:34" ht="15.75" thickBot="1" x14ac:dyDescent="0.3">
      <c r="A936" s="90" t="s">
        <v>871</v>
      </c>
      <c r="B936" s="90" t="s">
        <v>52</v>
      </c>
      <c r="C936" s="90" t="s">
        <v>882</v>
      </c>
      <c r="D936" s="90" t="s">
        <v>662</v>
      </c>
      <c r="E936" s="90" t="s">
        <v>524</v>
      </c>
      <c r="F936" s="90" t="s">
        <v>522</v>
      </c>
      <c r="G936" s="95">
        <v>550</v>
      </c>
      <c r="H936" s="94"/>
      <c r="I936" s="95">
        <v>550</v>
      </c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  <c r="AC936" s="94"/>
      <c r="AD936" s="95">
        <v>0</v>
      </c>
      <c r="AE936" s="94"/>
      <c r="AF936" s="94"/>
      <c r="AG936" s="95">
        <v>550</v>
      </c>
      <c r="AH936" s="95">
        <v>0</v>
      </c>
    </row>
    <row r="937" spans="1:34" ht="15.75" thickBot="1" x14ac:dyDescent="0.3">
      <c r="A937" s="90" t="s">
        <v>871</v>
      </c>
      <c r="B937" s="90" t="s">
        <v>52</v>
      </c>
      <c r="C937" s="90" t="s">
        <v>882</v>
      </c>
      <c r="D937" s="641" t="s">
        <v>662</v>
      </c>
      <c r="E937" s="642" t="s">
        <v>524</v>
      </c>
      <c r="F937" s="90" t="s">
        <v>697</v>
      </c>
      <c r="G937" s="93">
        <v>550</v>
      </c>
      <c r="H937" s="92"/>
      <c r="I937" s="93">
        <v>550</v>
      </c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  <c r="AA937" s="92"/>
      <c r="AB937" s="92"/>
      <c r="AC937" s="92"/>
      <c r="AD937" s="93">
        <v>0</v>
      </c>
      <c r="AE937" s="92"/>
      <c r="AF937" s="92"/>
      <c r="AG937" s="93">
        <v>550</v>
      </c>
      <c r="AH937" s="93">
        <v>0</v>
      </c>
    </row>
    <row r="938" spans="1:34" ht="15.75" thickBot="1" x14ac:dyDescent="0.3">
      <c r="A938" s="90" t="s">
        <v>871</v>
      </c>
      <c r="B938" s="90" t="s">
        <v>54</v>
      </c>
      <c r="C938" s="90" t="s">
        <v>55</v>
      </c>
      <c r="D938" s="641" t="s">
        <v>663</v>
      </c>
      <c r="E938" s="642" t="s">
        <v>525</v>
      </c>
      <c r="F938" s="90" t="s">
        <v>690</v>
      </c>
      <c r="G938" s="93">
        <v>-24767.48</v>
      </c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3">
        <v>-24767.48</v>
      </c>
      <c r="S938" s="92"/>
      <c r="T938" s="92"/>
      <c r="U938" s="92"/>
      <c r="V938" s="92"/>
      <c r="W938" s="92"/>
      <c r="X938" s="92"/>
      <c r="Y938" s="92"/>
      <c r="Z938" s="92"/>
      <c r="AA938" s="92"/>
      <c r="AB938" s="92"/>
      <c r="AC938" s="92"/>
      <c r="AD938" s="93">
        <v>-31.02</v>
      </c>
      <c r="AE938" s="92"/>
      <c r="AF938" s="92"/>
      <c r="AG938" s="93">
        <v>-24798.5</v>
      </c>
      <c r="AH938" s="93">
        <v>0</v>
      </c>
    </row>
    <row r="939" spans="1:34" ht="15.75" thickBot="1" x14ac:dyDescent="0.3">
      <c r="A939" s="90" t="s">
        <v>871</v>
      </c>
      <c r="B939" s="90" t="s">
        <v>54</v>
      </c>
      <c r="C939" s="90" t="s">
        <v>55</v>
      </c>
      <c r="D939" s="641" t="s">
        <v>663</v>
      </c>
      <c r="E939" s="642" t="s">
        <v>525</v>
      </c>
      <c r="F939" s="90" t="s">
        <v>697</v>
      </c>
      <c r="G939" s="95">
        <v>-24767.48</v>
      </c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5">
        <v>-24767.48</v>
      </c>
      <c r="S939" s="94"/>
      <c r="T939" s="94"/>
      <c r="U939" s="94"/>
      <c r="V939" s="94"/>
      <c r="W939" s="94"/>
      <c r="X939" s="94"/>
      <c r="Y939" s="94"/>
      <c r="Z939" s="94"/>
      <c r="AA939" s="94"/>
      <c r="AB939" s="94"/>
      <c r="AC939" s="94"/>
      <c r="AD939" s="95">
        <v>-31.02</v>
      </c>
      <c r="AE939" s="94"/>
      <c r="AF939" s="94"/>
      <c r="AG939" s="95">
        <v>-24798.5</v>
      </c>
      <c r="AH939" s="95">
        <v>0</v>
      </c>
    </row>
    <row r="940" spans="1:34" ht="15.75" thickBot="1" x14ac:dyDescent="0.3">
      <c r="A940" s="90" t="s">
        <v>871</v>
      </c>
      <c r="B940" s="90" t="s">
        <v>54</v>
      </c>
      <c r="C940" s="90" t="s">
        <v>55</v>
      </c>
      <c r="D940" s="90" t="s">
        <v>663</v>
      </c>
      <c r="E940" s="90" t="s">
        <v>527</v>
      </c>
      <c r="F940" s="90" t="s">
        <v>690</v>
      </c>
      <c r="G940" s="93">
        <v>-2188.29</v>
      </c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3">
        <v>-2188.29</v>
      </c>
      <c r="T940" s="92"/>
      <c r="U940" s="92"/>
      <c r="V940" s="92"/>
      <c r="W940" s="92"/>
      <c r="X940" s="92"/>
      <c r="Y940" s="92"/>
      <c r="Z940" s="92"/>
      <c r="AA940" s="92"/>
      <c r="AB940" s="92"/>
      <c r="AC940" s="92"/>
      <c r="AD940" s="93">
        <v>-38.67</v>
      </c>
      <c r="AE940" s="92"/>
      <c r="AF940" s="92"/>
      <c r="AG940" s="93">
        <v>-2226.96</v>
      </c>
      <c r="AH940" s="93">
        <v>0</v>
      </c>
    </row>
    <row r="941" spans="1:34" ht="15.75" thickBot="1" x14ac:dyDescent="0.3">
      <c r="A941" s="90" t="s">
        <v>871</v>
      </c>
      <c r="B941" s="90" t="s">
        <v>54</v>
      </c>
      <c r="C941" s="90" t="s">
        <v>55</v>
      </c>
      <c r="D941" s="90" t="s">
        <v>663</v>
      </c>
      <c r="E941" s="90" t="s">
        <v>527</v>
      </c>
      <c r="F941" s="90" t="s">
        <v>697</v>
      </c>
      <c r="G941" s="95">
        <v>-2188.29</v>
      </c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5">
        <v>-2188.29</v>
      </c>
      <c r="T941" s="94"/>
      <c r="U941" s="94"/>
      <c r="V941" s="94"/>
      <c r="W941" s="94"/>
      <c r="X941" s="94"/>
      <c r="Y941" s="94"/>
      <c r="Z941" s="94"/>
      <c r="AA941" s="94"/>
      <c r="AB941" s="94"/>
      <c r="AC941" s="94"/>
      <c r="AD941" s="95">
        <v>-38.67</v>
      </c>
      <c r="AE941" s="94"/>
      <c r="AF941" s="94"/>
      <c r="AG941" s="95">
        <v>-2226.96</v>
      </c>
      <c r="AH941" s="95">
        <v>0</v>
      </c>
    </row>
    <row r="942" spans="1:34" ht="15.75" thickBot="1" x14ac:dyDescent="0.3">
      <c r="A942" s="90" t="s">
        <v>871</v>
      </c>
      <c r="B942" s="90" t="s">
        <v>54</v>
      </c>
      <c r="C942" s="90" t="s">
        <v>55</v>
      </c>
      <c r="D942" s="90" t="s">
        <v>663</v>
      </c>
      <c r="E942" s="90" t="s">
        <v>524</v>
      </c>
      <c r="F942" s="90" t="s">
        <v>522</v>
      </c>
      <c r="G942" s="93">
        <v>5250</v>
      </c>
      <c r="H942" s="92"/>
      <c r="I942" s="93">
        <v>5250</v>
      </c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2"/>
      <c r="AD942" s="93">
        <v>9</v>
      </c>
      <c r="AE942" s="92"/>
      <c r="AF942" s="92"/>
      <c r="AG942" s="93">
        <v>5259</v>
      </c>
      <c r="AH942" s="93">
        <v>0</v>
      </c>
    </row>
    <row r="943" spans="1:34" ht="15.75" thickBot="1" x14ac:dyDescent="0.3">
      <c r="A943" s="90" t="s">
        <v>871</v>
      </c>
      <c r="B943" s="90" t="s">
        <v>54</v>
      </c>
      <c r="C943" s="90" t="s">
        <v>55</v>
      </c>
      <c r="D943" s="90" t="s">
        <v>663</v>
      </c>
      <c r="E943" s="90" t="s">
        <v>524</v>
      </c>
      <c r="F943" s="90" t="s">
        <v>697</v>
      </c>
      <c r="G943" s="95">
        <v>5250</v>
      </c>
      <c r="H943" s="94"/>
      <c r="I943" s="95">
        <v>5250</v>
      </c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  <c r="AC943" s="94"/>
      <c r="AD943" s="95">
        <v>9</v>
      </c>
      <c r="AE943" s="94"/>
      <c r="AF943" s="94"/>
      <c r="AG943" s="95">
        <v>5259</v>
      </c>
      <c r="AH943" s="95">
        <v>0</v>
      </c>
    </row>
    <row r="944" spans="1:34" ht="15.75" thickBot="1" x14ac:dyDescent="0.3">
      <c r="A944" s="90" t="s">
        <v>871</v>
      </c>
      <c r="B944" s="90" t="s">
        <v>54</v>
      </c>
      <c r="C944" s="90" t="s">
        <v>55</v>
      </c>
      <c r="D944" s="90" t="s">
        <v>663</v>
      </c>
      <c r="E944" s="90" t="s">
        <v>676</v>
      </c>
      <c r="F944" s="90" t="s">
        <v>522</v>
      </c>
      <c r="G944" s="93">
        <v>9161.17</v>
      </c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3">
        <v>9161.17</v>
      </c>
      <c r="V944" s="92"/>
      <c r="W944" s="92"/>
      <c r="X944" s="92"/>
      <c r="Y944" s="92"/>
      <c r="Z944" s="92"/>
      <c r="AA944" s="92"/>
      <c r="AB944" s="92"/>
      <c r="AC944" s="92"/>
      <c r="AD944" s="93">
        <v>278.20999999999998</v>
      </c>
      <c r="AE944" s="92"/>
      <c r="AF944" s="92"/>
      <c r="AG944" s="93">
        <v>9439.3799999999992</v>
      </c>
      <c r="AH944" s="93">
        <v>0</v>
      </c>
    </row>
    <row r="945" spans="1:34" ht="15.75" thickBot="1" x14ac:dyDescent="0.3">
      <c r="A945" s="90" t="s">
        <v>871</v>
      </c>
      <c r="B945" s="90" t="s">
        <v>54</v>
      </c>
      <c r="C945" s="90" t="s">
        <v>55</v>
      </c>
      <c r="D945" s="90" t="s">
        <v>663</v>
      </c>
      <c r="E945" s="90" t="s">
        <v>676</v>
      </c>
      <c r="F945" s="90" t="s">
        <v>697</v>
      </c>
      <c r="G945" s="95">
        <v>9161.17</v>
      </c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5">
        <v>9161.17</v>
      </c>
      <c r="V945" s="94"/>
      <c r="W945" s="94"/>
      <c r="X945" s="94"/>
      <c r="Y945" s="94"/>
      <c r="Z945" s="94"/>
      <c r="AA945" s="94"/>
      <c r="AB945" s="94"/>
      <c r="AC945" s="94"/>
      <c r="AD945" s="95">
        <v>278.20999999999998</v>
      </c>
      <c r="AE945" s="94"/>
      <c r="AF945" s="94"/>
      <c r="AG945" s="95">
        <v>9439.3799999999992</v>
      </c>
      <c r="AH945" s="95">
        <v>0</v>
      </c>
    </row>
    <row r="946" spans="1:34" ht="15.75" thickBot="1" x14ac:dyDescent="0.3">
      <c r="A946" s="90" t="s">
        <v>871</v>
      </c>
      <c r="B946" s="90" t="s">
        <v>54</v>
      </c>
      <c r="C946" s="90" t="s">
        <v>55</v>
      </c>
      <c r="D946" s="90" t="s">
        <v>663</v>
      </c>
      <c r="E946" s="90" t="s">
        <v>677</v>
      </c>
      <c r="F946" s="90" t="s">
        <v>522</v>
      </c>
      <c r="G946" s="93">
        <v>10103.77</v>
      </c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3">
        <v>10103.77</v>
      </c>
      <c r="W946" s="92"/>
      <c r="X946" s="92"/>
      <c r="Y946" s="92"/>
      <c r="Z946" s="92"/>
      <c r="AA946" s="92"/>
      <c r="AB946" s="92"/>
      <c r="AC946" s="92"/>
      <c r="AD946" s="93">
        <v>306.83999999999997</v>
      </c>
      <c r="AE946" s="92"/>
      <c r="AF946" s="92"/>
      <c r="AG946" s="93">
        <v>10410.61</v>
      </c>
      <c r="AH946" s="93">
        <v>0</v>
      </c>
    </row>
    <row r="947" spans="1:34" ht="15.75" thickBot="1" x14ac:dyDescent="0.3">
      <c r="A947" s="90" t="s">
        <v>871</v>
      </c>
      <c r="B947" s="90" t="s">
        <v>54</v>
      </c>
      <c r="C947" s="90" t="s">
        <v>55</v>
      </c>
      <c r="D947" s="90" t="s">
        <v>663</v>
      </c>
      <c r="E947" s="90" t="s">
        <v>677</v>
      </c>
      <c r="F947" s="90" t="s">
        <v>697</v>
      </c>
      <c r="G947" s="95">
        <v>10103.77</v>
      </c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5">
        <v>10103.77</v>
      </c>
      <c r="W947" s="94"/>
      <c r="X947" s="94"/>
      <c r="Y947" s="94"/>
      <c r="Z947" s="94"/>
      <c r="AA947" s="94"/>
      <c r="AB947" s="94"/>
      <c r="AC947" s="94"/>
      <c r="AD947" s="95">
        <v>306.83999999999997</v>
      </c>
      <c r="AE947" s="94"/>
      <c r="AF947" s="94"/>
      <c r="AG947" s="95">
        <v>10410.61</v>
      </c>
      <c r="AH947" s="95">
        <v>0</v>
      </c>
    </row>
    <row r="948" spans="1:34" ht="15.75" thickBot="1" x14ac:dyDescent="0.3">
      <c r="A948" s="90" t="s">
        <v>871</v>
      </c>
      <c r="B948" s="90" t="s">
        <v>45</v>
      </c>
      <c r="C948" s="90" t="s">
        <v>46</v>
      </c>
      <c r="D948" s="90" t="s">
        <v>165</v>
      </c>
      <c r="E948" s="90" t="s">
        <v>528</v>
      </c>
      <c r="F948" s="90" t="s">
        <v>698</v>
      </c>
      <c r="G948" s="95">
        <v>180</v>
      </c>
      <c r="H948" s="94"/>
      <c r="I948" s="95">
        <v>180</v>
      </c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  <c r="AC948" s="94"/>
      <c r="AD948" s="95">
        <v>0</v>
      </c>
      <c r="AE948" s="94"/>
      <c r="AF948" s="94"/>
      <c r="AG948" s="95">
        <v>180</v>
      </c>
      <c r="AH948" s="95">
        <v>0</v>
      </c>
    </row>
    <row r="949" spans="1:34" ht="15.75" thickBot="1" x14ac:dyDescent="0.3">
      <c r="A949" s="90" t="s">
        <v>871</v>
      </c>
      <c r="B949" s="90" t="s">
        <v>45</v>
      </c>
      <c r="C949" s="90" t="s">
        <v>46</v>
      </c>
      <c r="D949" s="90" t="s">
        <v>165</v>
      </c>
      <c r="E949" s="90" t="s">
        <v>528</v>
      </c>
      <c r="F949" s="90" t="s">
        <v>697</v>
      </c>
      <c r="G949" s="93">
        <v>180</v>
      </c>
      <c r="H949" s="92"/>
      <c r="I949" s="93">
        <v>180</v>
      </c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  <c r="AA949" s="92"/>
      <c r="AB949" s="92"/>
      <c r="AC949" s="92"/>
      <c r="AD949" s="93">
        <v>0</v>
      </c>
      <c r="AE949" s="92"/>
      <c r="AF949" s="92"/>
      <c r="AG949" s="93">
        <v>180</v>
      </c>
      <c r="AH949" s="93">
        <v>0</v>
      </c>
    </row>
    <row r="950" spans="1:34" ht="15.75" thickBot="1" x14ac:dyDescent="0.3">
      <c r="A950" s="90" t="s">
        <v>871</v>
      </c>
      <c r="B950" s="90" t="s">
        <v>45</v>
      </c>
      <c r="C950" s="90" t="s">
        <v>46</v>
      </c>
      <c r="D950" s="90" t="s">
        <v>165</v>
      </c>
      <c r="E950" s="90" t="s">
        <v>547</v>
      </c>
      <c r="F950" s="90" t="s">
        <v>698</v>
      </c>
      <c r="G950" s="95">
        <v>186513.62</v>
      </c>
      <c r="H950" s="94"/>
      <c r="I950" s="94"/>
      <c r="J950" s="95">
        <v>186513.62</v>
      </c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  <c r="AC950" s="94"/>
      <c r="AD950" s="95">
        <v>0</v>
      </c>
      <c r="AE950" s="94"/>
      <c r="AF950" s="94"/>
      <c r="AG950" s="95">
        <v>186513.62</v>
      </c>
      <c r="AH950" s="95">
        <v>0</v>
      </c>
    </row>
    <row r="951" spans="1:34" ht="15.75" thickBot="1" x14ac:dyDescent="0.3">
      <c r="A951" s="90" t="s">
        <v>871</v>
      </c>
      <c r="B951" s="90" t="s">
        <v>45</v>
      </c>
      <c r="C951" s="90" t="s">
        <v>46</v>
      </c>
      <c r="D951" s="90" t="s">
        <v>165</v>
      </c>
      <c r="E951" s="90" t="s">
        <v>547</v>
      </c>
      <c r="F951" s="90" t="s">
        <v>697</v>
      </c>
      <c r="G951" s="93">
        <v>186513.62</v>
      </c>
      <c r="H951" s="92"/>
      <c r="I951" s="92"/>
      <c r="J951" s="93">
        <v>186513.62</v>
      </c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  <c r="AA951" s="92"/>
      <c r="AB951" s="92"/>
      <c r="AC951" s="92"/>
      <c r="AD951" s="93">
        <v>0</v>
      </c>
      <c r="AE951" s="92"/>
      <c r="AF951" s="92"/>
      <c r="AG951" s="93">
        <v>186513.62</v>
      </c>
      <c r="AH951" s="93">
        <v>0</v>
      </c>
    </row>
    <row r="952" spans="1:34" ht="15.75" thickBot="1" x14ac:dyDescent="0.3">
      <c r="A952" s="90" t="s">
        <v>871</v>
      </c>
      <c r="B952" s="90" t="s">
        <v>45</v>
      </c>
      <c r="C952" s="90" t="s">
        <v>46</v>
      </c>
      <c r="D952" s="90" t="s">
        <v>165</v>
      </c>
      <c r="E952" s="90" t="s">
        <v>518</v>
      </c>
      <c r="F952" s="90" t="s">
        <v>698</v>
      </c>
      <c r="G952" s="95">
        <v>6702.68</v>
      </c>
      <c r="H952" s="95">
        <v>201342</v>
      </c>
      <c r="I952" s="94"/>
      <c r="J952" s="94"/>
      <c r="K952" s="95">
        <v>6702.68</v>
      </c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  <c r="AC952" s="94"/>
      <c r="AD952" s="95">
        <v>0</v>
      </c>
      <c r="AE952" s="94"/>
      <c r="AF952" s="94"/>
      <c r="AG952" s="95">
        <v>6702.68</v>
      </c>
      <c r="AH952" s="95">
        <v>0</v>
      </c>
    </row>
    <row r="953" spans="1:34" ht="15.75" thickBot="1" x14ac:dyDescent="0.3">
      <c r="A953" s="90" t="s">
        <v>871</v>
      </c>
      <c r="B953" s="90" t="s">
        <v>45</v>
      </c>
      <c r="C953" s="90" t="s">
        <v>46</v>
      </c>
      <c r="D953" s="90" t="s">
        <v>165</v>
      </c>
      <c r="E953" s="90" t="s">
        <v>518</v>
      </c>
      <c r="F953" s="90" t="s">
        <v>697</v>
      </c>
      <c r="G953" s="93">
        <v>6702.68</v>
      </c>
      <c r="H953" s="304">
        <v>201342</v>
      </c>
      <c r="I953" s="92"/>
      <c r="J953" s="92"/>
      <c r="K953" s="93">
        <v>6702.68</v>
      </c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  <c r="AA953" s="92"/>
      <c r="AB953" s="92"/>
      <c r="AC953" s="92"/>
      <c r="AD953" s="93">
        <v>0</v>
      </c>
      <c r="AE953" s="92"/>
      <c r="AF953" s="92"/>
      <c r="AG953" s="93">
        <v>6702.68</v>
      </c>
      <c r="AH953" s="93">
        <v>0</v>
      </c>
    </row>
    <row r="954" spans="1:34" ht="15.75" thickBot="1" x14ac:dyDescent="0.3">
      <c r="A954" s="90" t="s">
        <v>871</v>
      </c>
      <c r="B954" s="90" t="s">
        <v>45</v>
      </c>
      <c r="C954" s="90" t="s">
        <v>46</v>
      </c>
      <c r="D954" s="90" t="s">
        <v>165</v>
      </c>
      <c r="E954" s="90" t="s">
        <v>673</v>
      </c>
      <c r="F954" s="90" t="s">
        <v>511</v>
      </c>
      <c r="G954" s="95">
        <v>259.54000000000002</v>
      </c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5">
        <v>259.54000000000002</v>
      </c>
      <c r="Y954" s="94"/>
      <c r="Z954" s="94"/>
      <c r="AA954" s="94"/>
      <c r="AB954" s="94"/>
      <c r="AC954" s="94"/>
      <c r="AD954" s="95">
        <v>0</v>
      </c>
      <c r="AE954" s="94"/>
      <c r="AF954" s="94"/>
      <c r="AG954" s="95">
        <v>259.54000000000002</v>
      </c>
      <c r="AH954" s="95">
        <v>0</v>
      </c>
    </row>
    <row r="955" spans="1:34" ht="15.75" thickBot="1" x14ac:dyDescent="0.3">
      <c r="A955" s="90" t="s">
        <v>871</v>
      </c>
      <c r="B955" s="90" t="s">
        <v>45</v>
      </c>
      <c r="C955" s="90" t="s">
        <v>46</v>
      </c>
      <c r="D955" s="90" t="s">
        <v>165</v>
      </c>
      <c r="E955" s="90" t="s">
        <v>673</v>
      </c>
      <c r="F955" s="90" t="s">
        <v>697</v>
      </c>
      <c r="G955" s="93">
        <v>259.54000000000002</v>
      </c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3">
        <v>259.54000000000002</v>
      </c>
      <c r="Y955" s="92"/>
      <c r="Z955" s="92"/>
      <c r="AA955" s="92"/>
      <c r="AB955" s="92"/>
      <c r="AC955" s="92"/>
      <c r="AD955" s="93">
        <v>0</v>
      </c>
      <c r="AE955" s="92"/>
      <c r="AF955" s="92"/>
      <c r="AG955" s="93">
        <v>259.54000000000002</v>
      </c>
      <c r="AH955" s="93">
        <v>0</v>
      </c>
    </row>
    <row r="956" spans="1:34" ht="15.75" thickBot="1" x14ac:dyDescent="0.3">
      <c r="A956" s="90" t="s">
        <v>871</v>
      </c>
      <c r="B956" s="90" t="s">
        <v>45</v>
      </c>
      <c r="C956" s="90" t="s">
        <v>46</v>
      </c>
      <c r="D956" s="90" t="s">
        <v>165</v>
      </c>
      <c r="E956" s="90" t="s">
        <v>196</v>
      </c>
      <c r="F956" s="90" t="s">
        <v>511</v>
      </c>
      <c r="G956" s="95">
        <v>70731.44</v>
      </c>
      <c r="H956" s="94"/>
      <c r="I956" s="94"/>
      <c r="J956" s="94"/>
      <c r="K956" s="94"/>
      <c r="L956" s="94"/>
      <c r="M956" s="94"/>
      <c r="N956" s="94"/>
      <c r="O956" s="94"/>
      <c r="P956" s="95">
        <v>70731.44</v>
      </c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  <c r="AC956" s="94"/>
      <c r="AD956" s="95">
        <v>0</v>
      </c>
      <c r="AE956" s="94"/>
      <c r="AF956" s="94"/>
      <c r="AG956" s="95">
        <v>70731.44</v>
      </c>
      <c r="AH956" s="95">
        <v>0</v>
      </c>
    </row>
    <row r="957" spans="1:34" ht="15.75" thickBot="1" x14ac:dyDescent="0.3">
      <c r="A957" s="90" t="s">
        <v>871</v>
      </c>
      <c r="B957" s="90" t="s">
        <v>45</v>
      </c>
      <c r="C957" s="90" t="s">
        <v>46</v>
      </c>
      <c r="D957" s="90" t="s">
        <v>165</v>
      </c>
      <c r="E957" s="90" t="s">
        <v>196</v>
      </c>
      <c r="F957" s="90" t="s">
        <v>697</v>
      </c>
      <c r="G957" s="93">
        <v>70731.44</v>
      </c>
      <c r="H957" s="92"/>
      <c r="I957" s="92"/>
      <c r="J957" s="92"/>
      <c r="K957" s="92"/>
      <c r="L957" s="92"/>
      <c r="M957" s="92"/>
      <c r="N957" s="92"/>
      <c r="O957" s="92"/>
      <c r="P957" s="93">
        <v>70731.44</v>
      </c>
      <c r="Q957" s="92"/>
      <c r="R957" s="92"/>
      <c r="S957" s="92"/>
      <c r="T957" s="92"/>
      <c r="U957" s="92"/>
      <c r="V957" s="92"/>
      <c r="W957" s="92"/>
      <c r="X957" s="92"/>
      <c r="Y957" s="92"/>
      <c r="Z957" s="92"/>
      <c r="AA957" s="92"/>
      <c r="AB957" s="92"/>
      <c r="AC957" s="92"/>
      <c r="AD957" s="93">
        <v>0</v>
      </c>
      <c r="AE957" s="92"/>
      <c r="AF957" s="92"/>
      <c r="AG957" s="93">
        <v>70731.44</v>
      </c>
      <c r="AH957" s="93">
        <v>0</v>
      </c>
    </row>
    <row r="958" spans="1:34" ht="15.75" thickBot="1" x14ac:dyDescent="0.3">
      <c r="A958" s="90" t="s">
        <v>871</v>
      </c>
      <c r="B958" s="90" t="s">
        <v>57</v>
      </c>
      <c r="C958" s="90" t="s">
        <v>58</v>
      </c>
      <c r="D958" s="90" t="s">
        <v>664</v>
      </c>
      <c r="E958" s="90" t="s">
        <v>525</v>
      </c>
      <c r="F958" s="90" t="s">
        <v>698</v>
      </c>
      <c r="G958" s="93">
        <v>-1092.26</v>
      </c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3">
        <v>-1092.26</v>
      </c>
      <c r="S958" s="92"/>
      <c r="T958" s="92"/>
      <c r="U958" s="92"/>
      <c r="V958" s="92"/>
      <c r="W958" s="92"/>
      <c r="X958" s="92"/>
      <c r="Y958" s="92"/>
      <c r="Z958" s="92"/>
      <c r="AA958" s="92"/>
      <c r="AB958" s="92"/>
      <c r="AC958" s="92"/>
      <c r="AD958" s="93">
        <v>0</v>
      </c>
      <c r="AE958" s="92"/>
      <c r="AF958" s="92"/>
      <c r="AG958" s="93">
        <v>-1092.26</v>
      </c>
      <c r="AH958" s="93">
        <v>0</v>
      </c>
    </row>
    <row r="959" spans="1:34" ht="15.75" thickBot="1" x14ac:dyDescent="0.3">
      <c r="A959" s="90" t="s">
        <v>871</v>
      </c>
      <c r="B959" s="90" t="s">
        <v>57</v>
      </c>
      <c r="C959" s="90" t="s">
        <v>58</v>
      </c>
      <c r="D959" s="90" t="s">
        <v>664</v>
      </c>
      <c r="E959" s="90" t="s">
        <v>525</v>
      </c>
      <c r="F959" s="90" t="s">
        <v>697</v>
      </c>
      <c r="G959" s="95">
        <v>-1092.26</v>
      </c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5">
        <v>-1092.26</v>
      </c>
      <c r="S959" s="94"/>
      <c r="T959" s="94"/>
      <c r="U959" s="94"/>
      <c r="V959" s="94"/>
      <c r="W959" s="94"/>
      <c r="X959" s="94"/>
      <c r="Y959" s="94"/>
      <c r="Z959" s="94"/>
      <c r="AA959" s="94"/>
      <c r="AB959" s="94"/>
      <c r="AC959" s="94"/>
      <c r="AD959" s="95">
        <v>0</v>
      </c>
      <c r="AE959" s="94"/>
      <c r="AF959" s="94"/>
      <c r="AG959" s="95">
        <v>-1092.26</v>
      </c>
      <c r="AH959" s="95">
        <v>0</v>
      </c>
    </row>
    <row r="960" spans="1:34" ht="15.75" thickBot="1" x14ac:dyDescent="0.3">
      <c r="A960" s="90" t="s">
        <v>871</v>
      </c>
      <c r="B960" s="90" t="s">
        <v>57</v>
      </c>
      <c r="C960" s="90" t="s">
        <v>58</v>
      </c>
      <c r="D960" s="90" t="s">
        <v>664</v>
      </c>
      <c r="E960" s="90" t="s">
        <v>528</v>
      </c>
      <c r="F960" s="90" t="s">
        <v>698</v>
      </c>
      <c r="G960" s="93">
        <v>800</v>
      </c>
      <c r="H960" s="92"/>
      <c r="I960" s="93">
        <v>800</v>
      </c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  <c r="AA960" s="92"/>
      <c r="AB960" s="92"/>
      <c r="AC960" s="92"/>
      <c r="AD960" s="93">
        <v>0</v>
      </c>
      <c r="AE960" s="92"/>
      <c r="AF960" s="92"/>
      <c r="AG960" s="93">
        <v>800</v>
      </c>
      <c r="AH960" s="93">
        <v>0</v>
      </c>
    </row>
    <row r="961" spans="1:34" ht="15.75" thickBot="1" x14ac:dyDescent="0.3">
      <c r="A961" s="90" t="s">
        <v>871</v>
      </c>
      <c r="B961" s="90" t="s">
        <v>57</v>
      </c>
      <c r="C961" s="90" t="s">
        <v>58</v>
      </c>
      <c r="D961" s="90" t="s">
        <v>664</v>
      </c>
      <c r="E961" s="90" t="s">
        <v>528</v>
      </c>
      <c r="F961" s="90" t="s">
        <v>697</v>
      </c>
      <c r="G961" s="95">
        <v>800</v>
      </c>
      <c r="H961" s="94"/>
      <c r="I961" s="95">
        <v>800</v>
      </c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  <c r="AC961" s="94"/>
      <c r="AD961" s="95">
        <v>0</v>
      </c>
      <c r="AE961" s="94"/>
      <c r="AF961" s="94"/>
      <c r="AG961" s="95">
        <v>800</v>
      </c>
      <c r="AH961" s="95">
        <v>0</v>
      </c>
    </row>
    <row r="962" spans="1:34" ht="15.75" thickBot="1" x14ac:dyDescent="0.3">
      <c r="A962" s="90" t="s">
        <v>871</v>
      </c>
      <c r="B962" s="90" t="s">
        <v>57</v>
      </c>
      <c r="C962" s="90" t="s">
        <v>58</v>
      </c>
      <c r="D962" s="90" t="s">
        <v>664</v>
      </c>
      <c r="E962" s="90" t="s">
        <v>518</v>
      </c>
      <c r="F962" s="90" t="s">
        <v>511</v>
      </c>
      <c r="G962" s="93">
        <v>927.41</v>
      </c>
      <c r="H962" s="93">
        <v>186601</v>
      </c>
      <c r="I962" s="92"/>
      <c r="J962" s="92"/>
      <c r="K962" s="93">
        <v>927.41</v>
      </c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  <c r="AA962" s="92"/>
      <c r="AB962" s="92"/>
      <c r="AC962" s="92"/>
      <c r="AD962" s="93">
        <v>0</v>
      </c>
      <c r="AE962" s="92"/>
      <c r="AF962" s="92"/>
      <c r="AG962" s="93">
        <v>927.41</v>
      </c>
      <c r="AH962" s="93">
        <v>0</v>
      </c>
    </row>
    <row r="963" spans="1:34" ht="15.75" thickBot="1" x14ac:dyDescent="0.3">
      <c r="A963" s="90" t="s">
        <v>871</v>
      </c>
      <c r="B963" s="90" t="s">
        <v>57</v>
      </c>
      <c r="C963" s="90" t="s">
        <v>58</v>
      </c>
      <c r="D963" s="90" t="s">
        <v>664</v>
      </c>
      <c r="E963" s="90" t="s">
        <v>518</v>
      </c>
      <c r="F963" s="90" t="s">
        <v>697</v>
      </c>
      <c r="G963" s="95">
        <v>927.41</v>
      </c>
      <c r="H963" s="305">
        <v>186601</v>
      </c>
      <c r="I963" s="94"/>
      <c r="J963" s="94"/>
      <c r="K963" s="95">
        <v>927.41</v>
      </c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  <c r="AC963" s="94"/>
      <c r="AD963" s="95">
        <v>0</v>
      </c>
      <c r="AE963" s="94"/>
      <c r="AF963" s="94"/>
      <c r="AG963" s="95">
        <v>927.41</v>
      </c>
      <c r="AH963" s="95">
        <v>0</v>
      </c>
    </row>
    <row r="964" spans="1:34" ht="15.75" thickBot="1" x14ac:dyDescent="0.3">
      <c r="A964" s="90" t="s">
        <v>871</v>
      </c>
      <c r="B964" s="90" t="s">
        <v>57</v>
      </c>
      <c r="C964" s="90" t="s">
        <v>58</v>
      </c>
      <c r="D964" s="90" t="s">
        <v>664</v>
      </c>
      <c r="E964" s="90" t="s">
        <v>527</v>
      </c>
      <c r="F964" s="90" t="s">
        <v>698</v>
      </c>
      <c r="G964" s="93">
        <v>-56.42</v>
      </c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3">
        <v>-56.42</v>
      </c>
      <c r="T964" s="92"/>
      <c r="U964" s="92"/>
      <c r="V964" s="92"/>
      <c r="W964" s="92"/>
      <c r="X964" s="92"/>
      <c r="Y964" s="92"/>
      <c r="Z964" s="92"/>
      <c r="AA964" s="92"/>
      <c r="AB964" s="92"/>
      <c r="AC964" s="92"/>
      <c r="AD964" s="93">
        <v>0</v>
      </c>
      <c r="AE964" s="92"/>
      <c r="AF964" s="92"/>
      <c r="AG964" s="93">
        <v>-56.42</v>
      </c>
      <c r="AH964" s="93">
        <v>0</v>
      </c>
    </row>
    <row r="965" spans="1:34" ht="15.75" thickBot="1" x14ac:dyDescent="0.3">
      <c r="A965" s="90" t="s">
        <v>871</v>
      </c>
      <c r="B965" s="90" t="s">
        <v>57</v>
      </c>
      <c r="C965" s="90" t="s">
        <v>58</v>
      </c>
      <c r="D965" s="90" t="s">
        <v>664</v>
      </c>
      <c r="E965" s="90" t="s">
        <v>527</v>
      </c>
      <c r="F965" s="90" t="s">
        <v>697</v>
      </c>
      <c r="G965" s="95">
        <v>-56.42</v>
      </c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5">
        <v>-56.42</v>
      </c>
      <c r="T965" s="94"/>
      <c r="U965" s="94"/>
      <c r="V965" s="94"/>
      <c r="W965" s="94"/>
      <c r="X965" s="94"/>
      <c r="Y965" s="94"/>
      <c r="Z965" s="94"/>
      <c r="AA965" s="94"/>
      <c r="AB965" s="94"/>
      <c r="AC965" s="94"/>
      <c r="AD965" s="95">
        <v>0</v>
      </c>
      <c r="AE965" s="94"/>
      <c r="AF965" s="94"/>
      <c r="AG965" s="95">
        <v>-56.42</v>
      </c>
      <c r="AH965" s="95">
        <v>0</v>
      </c>
    </row>
    <row r="966" spans="1:34" ht="15.75" thickBot="1" x14ac:dyDescent="0.3">
      <c r="A966" s="90" t="s">
        <v>871</v>
      </c>
      <c r="B966" s="90" t="s">
        <v>57</v>
      </c>
      <c r="C966" s="90" t="s">
        <v>58</v>
      </c>
      <c r="D966" s="90" t="s">
        <v>664</v>
      </c>
      <c r="E966" s="90" t="s">
        <v>529</v>
      </c>
      <c r="F966" s="90" t="s">
        <v>511</v>
      </c>
      <c r="G966" s="93">
        <v>107140.32</v>
      </c>
      <c r="H966" s="92"/>
      <c r="I966" s="92"/>
      <c r="J966" s="93">
        <v>107140.32</v>
      </c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  <c r="AA966" s="92"/>
      <c r="AB966" s="92"/>
      <c r="AC966" s="92"/>
      <c r="AD966" s="93">
        <v>0</v>
      </c>
      <c r="AE966" s="92"/>
      <c r="AF966" s="92"/>
      <c r="AG966" s="93">
        <v>107140.32</v>
      </c>
      <c r="AH966" s="93">
        <v>0</v>
      </c>
    </row>
    <row r="967" spans="1:34" ht="15.75" thickBot="1" x14ac:dyDescent="0.3">
      <c r="A967" s="90" t="s">
        <v>871</v>
      </c>
      <c r="B967" s="90" t="s">
        <v>57</v>
      </c>
      <c r="C967" s="90" t="s">
        <v>58</v>
      </c>
      <c r="D967" s="90" t="s">
        <v>664</v>
      </c>
      <c r="E967" s="90" t="s">
        <v>529</v>
      </c>
      <c r="F967" s="90" t="s">
        <v>697</v>
      </c>
      <c r="G967" s="95">
        <v>107140.32</v>
      </c>
      <c r="H967" s="94"/>
      <c r="I967" s="94"/>
      <c r="J967" s="95">
        <v>107140.32</v>
      </c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  <c r="AC967" s="94"/>
      <c r="AD967" s="95">
        <v>0</v>
      </c>
      <c r="AE967" s="94"/>
      <c r="AF967" s="94"/>
      <c r="AG967" s="95">
        <v>107140.32</v>
      </c>
      <c r="AH967" s="95">
        <v>0</v>
      </c>
    </row>
    <row r="968" spans="1:34" ht="15.75" thickBot="1" x14ac:dyDescent="0.3">
      <c r="A968" s="90" t="s">
        <v>871</v>
      </c>
      <c r="B968" s="90" t="s">
        <v>57</v>
      </c>
      <c r="C968" s="90" t="s">
        <v>58</v>
      </c>
      <c r="D968" s="90" t="s">
        <v>664</v>
      </c>
      <c r="E968" s="90" t="s">
        <v>676</v>
      </c>
      <c r="F968" s="90" t="s">
        <v>511</v>
      </c>
      <c r="G968" s="93">
        <v>138.94</v>
      </c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3">
        <v>138.94</v>
      </c>
      <c r="V968" s="92"/>
      <c r="W968" s="92"/>
      <c r="X968" s="92"/>
      <c r="Y968" s="92"/>
      <c r="Z968" s="92"/>
      <c r="AA968" s="92"/>
      <c r="AB968" s="92"/>
      <c r="AC968" s="92"/>
      <c r="AD968" s="93">
        <v>0</v>
      </c>
      <c r="AE968" s="92"/>
      <c r="AF968" s="92"/>
      <c r="AG968" s="93">
        <v>138.94</v>
      </c>
      <c r="AH968" s="93">
        <v>0</v>
      </c>
    </row>
    <row r="969" spans="1:34" ht="15.75" thickBot="1" x14ac:dyDescent="0.3">
      <c r="A969" s="90" t="s">
        <v>871</v>
      </c>
      <c r="B969" s="90" t="s">
        <v>57</v>
      </c>
      <c r="C969" s="90" t="s">
        <v>58</v>
      </c>
      <c r="D969" s="90" t="s">
        <v>664</v>
      </c>
      <c r="E969" s="90" t="s">
        <v>676</v>
      </c>
      <c r="F969" s="90" t="s">
        <v>697</v>
      </c>
      <c r="G969" s="95">
        <v>138.94</v>
      </c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5">
        <v>138.94</v>
      </c>
      <c r="V969" s="94"/>
      <c r="W969" s="94"/>
      <c r="X969" s="94"/>
      <c r="Y969" s="94"/>
      <c r="Z969" s="94"/>
      <c r="AA969" s="94"/>
      <c r="AB969" s="94"/>
      <c r="AC969" s="94"/>
      <c r="AD969" s="95">
        <v>0</v>
      </c>
      <c r="AE969" s="94"/>
      <c r="AF969" s="94"/>
      <c r="AG969" s="95">
        <v>138.94</v>
      </c>
      <c r="AH969" s="95">
        <v>0</v>
      </c>
    </row>
    <row r="970" spans="1:34" ht="15.75" thickBot="1" x14ac:dyDescent="0.3">
      <c r="A970" s="90" t="s">
        <v>871</v>
      </c>
      <c r="B970" s="90" t="s">
        <v>57</v>
      </c>
      <c r="C970" s="90" t="s">
        <v>58</v>
      </c>
      <c r="D970" s="90" t="s">
        <v>664</v>
      </c>
      <c r="E970" s="90" t="s">
        <v>677</v>
      </c>
      <c r="F970" s="90" t="s">
        <v>511</v>
      </c>
      <c r="G970" s="93">
        <v>153.24</v>
      </c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3">
        <v>153.24</v>
      </c>
      <c r="W970" s="92"/>
      <c r="X970" s="92"/>
      <c r="Y970" s="92"/>
      <c r="Z970" s="92"/>
      <c r="AA970" s="92"/>
      <c r="AB970" s="92"/>
      <c r="AC970" s="92"/>
      <c r="AD970" s="93">
        <v>0</v>
      </c>
      <c r="AE970" s="92"/>
      <c r="AF970" s="92"/>
      <c r="AG970" s="93">
        <v>153.24</v>
      </c>
      <c r="AH970" s="93">
        <v>0</v>
      </c>
    </row>
    <row r="971" spans="1:34" ht="15.75" thickBot="1" x14ac:dyDescent="0.3">
      <c r="A971" s="90" t="s">
        <v>871</v>
      </c>
      <c r="B971" s="90" t="s">
        <v>57</v>
      </c>
      <c r="C971" s="90" t="s">
        <v>58</v>
      </c>
      <c r="D971" s="90" t="s">
        <v>664</v>
      </c>
      <c r="E971" s="90" t="s">
        <v>677</v>
      </c>
      <c r="F971" s="90" t="s">
        <v>697</v>
      </c>
      <c r="G971" s="95">
        <v>153.24</v>
      </c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5">
        <v>153.24</v>
      </c>
      <c r="W971" s="94"/>
      <c r="X971" s="94"/>
      <c r="Y971" s="94"/>
      <c r="Z971" s="94"/>
      <c r="AA971" s="94"/>
      <c r="AB971" s="94"/>
      <c r="AC971" s="94"/>
      <c r="AD971" s="95">
        <v>0</v>
      </c>
      <c r="AE971" s="94"/>
      <c r="AF971" s="94"/>
      <c r="AG971" s="95">
        <v>153.24</v>
      </c>
      <c r="AH971" s="95">
        <v>0</v>
      </c>
    </row>
    <row r="972" spans="1:34" ht="15.75" thickBot="1" x14ac:dyDescent="0.3">
      <c r="A972" s="90" t="s">
        <v>871</v>
      </c>
      <c r="B972" s="90" t="s">
        <v>35</v>
      </c>
      <c r="C972" s="90" t="s">
        <v>36</v>
      </c>
      <c r="D972" s="90" t="s">
        <v>17</v>
      </c>
      <c r="E972" s="90" t="s">
        <v>528</v>
      </c>
      <c r="F972" s="90" t="s">
        <v>686</v>
      </c>
      <c r="G972" s="95">
        <v>148.5</v>
      </c>
      <c r="H972" s="94"/>
      <c r="I972" s="95">
        <v>148.5</v>
      </c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  <c r="AC972" s="94"/>
      <c r="AD972" s="95">
        <v>8.14</v>
      </c>
      <c r="AE972" s="94"/>
      <c r="AF972" s="94"/>
      <c r="AG972" s="95">
        <v>156.63999999999999</v>
      </c>
      <c r="AH972" s="95">
        <v>0</v>
      </c>
    </row>
    <row r="973" spans="1:34" ht="15.75" thickBot="1" x14ac:dyDescent="0.3">
      <c r="A973" s="90" t="s">
        <v>871</v>
      </c>
      <c r="B973" s="90" t="s">
        <v>35</v>
      </c>
      <c r="C973" s="90" t="s">
        <v>36</v>
      </c>
      <c r="D973" s="90" t="s">
        <v>17</v>
      </c>
      <c r="E973" s="90" t="s">
        <v>528</v>
      </c>
      <c r="F973" s="90" t="s">
        <v>697</v>
      </c>
      <c r="G973" s="93">
        <v>148.5</v>
      </c>
      <c r="H973" s="92"/>
      <c r="I973" s="93">
        <v>148.5</v>
      </c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  <c r="AA973" s="92"/>
      <c r="AB973" s="92"/>
      <c r="AC973" s="92"/>
      <c r="AD973" s="93">
        <v>8.14</v>
      </c>
      <c r="AE973" s="92"/>
      <c r="AF973" s="92"/>
      <c r="AG973" s="93">
        <v>156.63999999999999</v>
      </c>
      <c r="AH973" s="93">
        <v>0</v>
      </c>
    </row>
    <row r="974" spans="1:34" ht="15.75" thickBot="1" x14ac:dyDescent="0.3">
      <c r="A974" s="90" t="s">
        <v>871</v>
      </c>
      <c r="B974" s="90" t="s">
        <v>35</v>
      </c>
      <c r="C974" s="90" t="s">
        <v>36</v>
      </c>
      <c r="D974" s="90" t="s">
        <v>17</v>
      </c>
      <c r="E974" s="90" t="s">
        <v>518</v>
      </c>
      <c r="F974" s="90" t="s">
        <v>686</v>
      </c>
      <c r="G974" s="95">
        <v>46.77</v>
      </c>
      <c r="H974" s="95">
        <v>163</v>
      </c>
      <c r="I974" s="94"/>
      <c r="J974" s="94"/>
      <c r="K974" s="95">
        <v>46.77</v>
      </c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  <c r="AC974" s="94"/>
      <c r="AD974" s="95">
        <v>2.59</v>
      </c>
      <c r="AE974" s="94"/>
      <c r="AF974" s="94"/>
      <c r="AG974" s="95">
        <v>49.36</v>
      </c>
      <c r="AH974" s="95">
        <v>0</v>
      </c>
    </row>
    <row r="975" spans="1:34" ht="15.75" thickBot="1" x14ac:dyDescent="0.3">
      <c r="A975" s="90" t="s">
        <v>871</v>
      </c>
      <c r="B975" s="90" t="s">
        <v>35</v>
      </c>
      <c r="C975" s="90" t="s">
        <v>36</v>
      </c>
      <c r="D975" s="90" t="s">
        <v>17</v>
      </c>
      <c r="E975" s="90" t="s">
        <v>518</v>
      </c>
      <c r="F975" s="90" t="s">
        <v>697</v>
      </c>
      <c r="G975" s="93">
        <v>46.77</v>
      </c>
      <c r="H975" s="304">
        <v>163</v>
      </c>
      <c r="I975" s="92"/>
      <c r="J975" s="92"/>
      <c r="K975" s="93">
        <v>46.77</v>
      </c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  <c r="AA975" s="92"/>
      <c r="AB975" s="92"/>
      <c r="AC975" s="92"/>
      <c r="AD975" s="93">
        <v>2.59</v>
      </c>
      <c r="AE975" s="92"/>
      <c r="AF975" s="92"/>
      <c r="AG975" s="93">
        <v>49.36</v>
      </c>
      <c r="AH975" s="93">
        <v>0</v>
      </c>
    </row>
    <row r="976" spans="1:34" ht="15.75" thickBot="1" x14ac:dyDescent="0.3">
      <c r="A976" s="90" t="s">
        <v>871</v>
      </c>
      <c r="B976" s="90" t="s">
        <v>35</v>
      </c>
      <c r="C976" s="90" t="s">
        <v>36</v>
      </c>
      <c r="D976" s="90" t="s">
        <v>17</v>
      </c>
      <c r="E976" s="90" t="s">
        <v>727</v>
      </c>
      <c r="F976" s="90" t="s">
        <v>686</v>
      </c>
      <c r="G976" s="95">
        <v>1.76</v>
      </c>
      <c r="H976" s="94"/>
      <c r="I976" s="94"/>
      <c r="J976" s="94"/>
      <c r="K976" s="94"/>
      <c r="L976" s="94"/>
      <c r="M976" s="94"/>
      <c r="N976" s="94"/>
      <c r="O976" s="95">
        <v>1.76</v>
      </c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  <c r="AC976" s="94"/>
      <c r="AD976" s="95">
        <v>0.09</v>
      </c>
      <c r="AE976" s="94"/>
      <c r="AF976" s="94"/>
      <c r="AG976" s="95">
        <v>1.85</v>
      </c>
      <c r="AH976" s="95">
        <v>0</v>
      </c>
    </row>
    <row r="977" spans="1:34" ht="15.75" thickBot="1" x14ac:dyDescent="0.3">
      <c r="A977" s="90" t="s">
        <v>871</v>
      </c>
      <c r="B977" s="90" t="s">
        <v>35</v>
      </c>
      <c r="C977" s="90" t="s">
        <v>36</v>
      </c>
      <c r="D977" s="641" t="s">
        <v>17</v>
      </c>
      <c r="E977" s="642" t="s">
        <v>727</v>
      </c>
      <c r="F977" s="90" t="s">
        <v>697</v>
      </c>
      <c r="G977" s="93">
        <v>1.76</v>
      </c>
      <c r="H977" s="92"/>
      <c r="I977" s="92"/>
      <c r="J977" s="92"/>
      <c r="K977" s="92"/>
      <c r="L977" s="92"/>
      <c r="M977" s="92"/>
      <c r="N977" s="92"/>
      <c r="O977" s="93">
        <v>1.76</v>
      </c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  <c r="AA977" s="92"/>
      <c r="AB977" s="92"/>
      <c r="AC977" s="92"/>
      <c r="AD977" s="93">
        <v>0.09</v>
      </c>
      <c r="AE977" s="92"/>
      <c r="AF977" s="92"/>
      <c r="AG977" s="93">
        <v>1.85</v>
      </c>
      <c r="AH977" s="93">
        <v>0</v>
      </c>
    </row>
    <row r="978" spans="1:34" ht="15.75" thickBot="1" x14ac:dyDescent="0.3">
      <c r="A978" s="90" t="s">
        <v>871</v>
      </c>
      <c r="B978" s="90" t="s">
        <v>35</v>
      </c>
      <c r="C978" s="90" t="s">
        <v>36</v>
      </c>
      <c r="D978" s="641" t="s">
        <v>17</v>
      </c>
      <c r="E978" s="642" t="s">
        <v>728</v>
      </c>
      <c r="F978" s="90" t="s">
        <v>686</v>
      </c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5">
        <v>2.75</v>
      </c>
      <c r="AC978" s="94"/>
      <c r="AD978" s="95">
        <v>0</v>
      </c>
      <c r="AE978" s="94"/>
      <c r="AF978" s="94"/>
      <c r="AG978" s="95">
        <v>2.75</v>
      </c>
      <c r="AH978" s="95">
        <v>0</v>
      </c>
    </row>
    <row r="979" spans="1:34" ht="15.75" thickBot="1" x14ac:dyDescent="0.3">
      <c r="A979" s="90" t="s">
        <v>871</v>
      </c>
      <c r="B979" s="90" t="s">
        <v>35</v>
      </c>
      <c r="C979" s="90" t="s">
        <v>36</v>
      </c>
      <c r="D979" s="641" t="s">
        <v>17</v>
      </c>
      <c r="E979" s="642" t="s">
        <v>728</v>
      </c>
      <c r="F979" s="90" t="s">
        <v>697</v>
      </c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  <c r="AA979" s="92"/>
      <c r="AB979" s="93">
        <v>2.75</v>
      </c>
      <c r="AC979" s="92"/>
      <c r="AD979" s="93">
        <v>0</v>
      </c>
      <c r="AE979" s="92"/>
      <c r="AF979" s="92"/>
      <c r="AG979" s="93">
        <v>2.75</v>
      </c>
      <c r="AH979" s="93">
        <v>0</v>
      </c>
    </row>
    <row r="980" spans="1:34" ht="15.75" thickBot="1" x14ac:dyDescent="0.3">
      <c r="A980" s="90" t="s">
        <v>871</v>
      </c>
      <c r="B980" s="90" t="s">
        <v>35</v>
      </c>
      <c r="C980" s="90" t="s">
        <v>36</v>
      </c>
      <c r="D980" s="90" t="s">
        <v>17</v>
      </c>
      <c r="E980" s="90" t="s">
        <v>673</v>
      </c>
      <c r="F980" s="90" t="s">
        <v>686</v>
      </c>
      <c r="G980" s="95">
        <v>55.32</v>
      </c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5">
        <v>55.32</v>
      </c>
      <c r="Y980" s="94"/>
      <c r="Z980" s="94"/>
      <c r="AA980" s="94"/>
      <c r="AB980" s="94"/>
      <c r="AC980" s="94"/>
      <c r="AD980" s="95">
        <v>3</v>
      </c>
      <c r="AE980" s="94"/>
      <c r="AF980" s="94"/>
      <c r="AG980" s="95">
        <v>58.32</v>
      </c>
      <c r="AH980" s="95">
        <v>0</v>
      </c>
    </row>
    <row r="981" spans="1:34" ht="15.75" thickBot="1" x14ac:dyDescent="0.3">
      <c r="A981" s="90" t="s">
        <v>871</v>
      </c>
      <c r="B981" s="90" t="s">
        <v>35</v>
      </c>
      <c r="C981" s="90" t="s">
        <v>36</v>
      </c>
      <c r="D981" s="90" t="s">
        <v>17</v>
      </c>
      <c r="E981" s="90" t="s">
        <v>673</v>
      </c>
      <c r="F981" s="90" t="s">
        <v>697</v>
      </c>
      <c r="G981" s="93">
        <v>55.32</v>
      </c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3">
        <v>55.32</v>
      </c>
      <c r="Y981" s="92"/>
      <c r="Z981" s="92"/>
      <c r="AA981" s="92"/>
      <c r="AB981" s="92"/>
      <c r="AC981" s="92"/>
      <c r="AD981" s="93">
        <v>3</v>
      </c>
      <c r="AE981" s="92"/>
      <c r="AF981" s="92"/>
      <c r="AG981" s="93">
        <v>58.32</v>
      </c>
      <c r="AH981" s="93">
        <v>0</v>
      </c>
    </row>
    <row r="982" spans="1:34" ht="15.75" thickBot="1" x14ac:dyDescent="0.3">
      <c r="A982" s="90" t="s">
        <v>871</v>
      </c>
      <c r="B982" s="90" t="s">
        <v>35</v>
      </c>
      <c r="C982" s="90" t="s">
        <v>36</v>
      </c>
      <c r="D982" s="90" t="s">
        <v>17</v>
      </c>
      <c r="E982" s="90" t="s">
        <v>196</v>
      </c>
      <c r="F982" s="90" t="s">
        <v>686</v>
      </c>
      <c r="G982" s="95">
        <v>55.27</v>
      </c>
      <c r="H982" s="94"/>
      <c r="I982" s="94"/>
      <c r="J982" s="94"/>
      <c r="K982" s="94"/>
      <c r="L982" s="94"/>
      <c r="M982" s="94"/>
      <c r="N982" s="94"/>
      <c r="O982" s="94"/>
      <c r="P982" s="95">
        <v>55.27</v>
      </c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  <c r="AC982" s="94"/>
      <c r="AD982" s="95">
        <v>3.04</v>
      </c>
      <c r="AE982" s="94"/>
      <c r="AF982" s="94"/>
      <c r="AG982" s="95">
        <v>58.31</v>
      </c>
      <c r="AH982" s="95">
        <v>0</v>
      </c>
    </row>
    <row r="983" spans="1:34" ht="15.75" thickBot="1" x14ac:dyDescent="0.3">
      <c r="A983" s="90" t="s">
        <v>871</v>
      </c>
      <c r="B983" s="90" t="s">
        <v>35</v>
      </c>
      <c r="C983" s="90" t="s">
        <v>36</v>
      </c>
      <c r="D983" s="90" t="s">
        <v>17</v>
      </c>
      <c r="E983" s="90" t="s">
        <v>196</v>
      </c>
      <c r="F983" s="90" t="s">
        <v>697</v>
      </c>
      <c r="G983" s="93">
        <v>55.27</v>
      </c>
      <c r="H983" s="92"/>
      <c r="I983" s="92"/>
      <c r="J983" s="92"/>
      <c r="K983" s="92"/>
      <c r="L983" s="92"/>
      <c r="M983" s="92"/>
      <c r="N983" s="92"/>
      <c r="O983" s="92"/>
      <c r="P983" s="93">
        <v>55.27</v>
      </c>
      <c r="Q983" s="92"/>
      <c r="R983" s="92"/>
      <c r="S983" s="92"/>
      <c r="T983" s="92"/>
      <c r="U983" s="92"/>
      <c r="V983" s="92"/>
      <c r="W983" s="92"/>
      <c r="X983" s="92"/>
      <c r="Y983" s="92"/>
      <c r="Z983" s="92"/>
      <c r="AA983" s="92"/>
      <c r="AB983" s="92"/>
      <c r="AC983" s="92"/>
      <c r="AD983" s="93">
        <v>3.04</v>
      </c>
      <c r="AE983" s="92"/>
      <c r="AF983" s="92"/>
      <c r="AG983" s="93">
        <v>58.31</v>
      </c>
      <c r="AH983" s="93">
        <v>0</v>
      </c>
    </row>
    <row r="984" spans="1:34" ht="15.75" thickBot="1" x14ac:dyDescent="0.3">
      <c r="A984" s="90" t="s">
        <v>871</v>
      </c>
      <c r="B984" s="90" t="s">
        <v>35</v>
      </c>
      <c r="C984" s="90" t="s">
        <v>36</v>
      </c>
      <c r="D984" s="90" t="s">
        <v>20</v>
      </c>
      <c r="E984" s="90" t="s">
        <v>528</v>
      </c>
      <c r="F984" s="90" t="s">
        <v>686</v>
      </c>
      <c r="G984" s="95">
        <v>816.75</v>
      </c>
      <c r="H984" s="94"/>
      <c r="I984" s="95">
        <v>816.75</v>
      </c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  <c r="AC984" s="94"/>
      <c r="AD984" s="95">
        <v>0.81</v>
      </c>
      <c r="AE984" s="94"/>
      <c r="AF984" s="94"/>
      <c r="AG984" s="95">
        <v>817.56</v>
      </c>
      <c r="AH984" s="95">
        <v>0</v>
      </c>
    </row>
    <row r="985" spans="1:34" ht="15.75" thickBot="1" x14ac:dyDescent="0.3">
      <c r="A985" s="90" t="s">
        <v>871</v>
      </c>
      <c r="B985" s="90" t="s">
        <v>35</v>
      </c>
      <c r="C985" s="90" t="s">
        <v>36</v>
      </c>
      <c r="D985" s="90" t="s">
        <v>20</v>
      </c>
      <c r="E985" s="90" t="s">
        <v>528</v>
      </c>
      <c r="F985" s="90" t="s">
        <v>697</v>
      </c>
      <c r="G985" s="93">
        <v>816.75</v>
      </c>
      <c r="H985" s="92"/>
      <c r="I985" s="93">
        <v>816.75</v>
      </c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  <c r="AA985" s="92"/>
      <c r="AB985" s="92"/>
      <c r="AC985" s="92"/>
      <c r="AD985" s="93">
        <v>0.81</v>
      </c>
      <c r="AE985" s="92"/>
      <c r="AF985" s="92"/>
      <c r="AG985" s="93">
        <v>817.56</v>
      </c>
      <c r="AH985" s="93">
        <v>0</v>
      </c>
    </row>
    <row r="986" spans="1:34" ht="15.75" thickBot="1" x14ac:dyDescent="0.3">
      <c r="A986" s="90" t="s">
        <v>871</v>
      </c>
      <c r="B986" s="90" t="s">
        <v>35</v>
      </c>
      <c r="C986" s="90" t="s">
        <v>36</v>
      </c>
      <c r="D986" s="90" t="s">
        <v>20</v>
      </c>
      <c r="E986" s="90" t="s">
        <v>518</v>
      </c>
      <c r="F986" s="90" t="s">
        <v>686</v>
      </c>
      <c r="G986" s="95">
        <v>298.41000000000003</v>
      </c>
      <c r="H986" s="95">
        <v>1040</v>
      </c>
      <c r="I986" s="94"/>
      <c r="J986" s="94"/>
      <c r="K986" s="95">
        <v>298.41000000000003</v>
      </c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  <c r="AC986" s="94"/>
      <c r="AD986" s="95">
        <v>0.09</v>
      </c>
      <c r="AE986" s="94"/>
      <c r="AF986" s="94"/>
      <c r="AG986" s="95">
        <v>298.5</v>
      </c>
      <c r="AH986" s="95">
        <v>0</v>
      </c>
    </row>
    <row r="987" spans="1:34" ht="15.75" thickBot="1" x14ac:dyDescent="0.3">
      <c r="A987" s="90" t="s">
        <v>871</v>
      </c>
      <c r="B987" s="90" t="s">
        <v>35</v>
      </c>
      <c r="C987" s="90" t="s">
        <v>36</v>
      </c>
      <c r="D987" s="90" t="s">
        <v>20</v>
      </c>
      <c r="E987" s="90" t="s">
        <v>518</v>
      </c>
      <c r="F987" s="90" t="s">
        <v>697</v>
      </c>
      <c r="G987" s="93">
        <v>298.41000000000003</v>
      </c>
      <c r="H987" s="304">
        <v>1040</v>
      </c>
      <c r="I987" s="92"/>
      <c r="J987" s="92"/>
      <c r="K987" s="93">
        <v>298.41000000000003</v>
      </c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  <c r="AA987" s="92"/>
      <c r="AB987" s="92"/>
      <c r="AC987" s="92"/>
      <c r="AD987" s="93">
        <v>0.09</v>
      </c>
      <c r="AE987" s="92"/>
      <c r="AF987" s="92"/>
      <c r="AG987" s="93">
        <v>298.5</v>
      </c>
      <c r="AH987" s="93">
        <v>0</v>
      </c>
    </row>
    <row r="988" spans="1:34" ht="15.75" thickBot="1" x14ac:dyDescent="0.3">
      <c r="A988" s="90" t="s">
        <v>871</v>
      </c>
      <c r="B988" s="90" t="s">
        <v>35</v>
      </c>
      <c r="C988" s="90" t="s">
        <v>36</v>
      </c>
      <c r="D988" s="90" t="s">
        <v>20</v>
      </c>
      <c r="E988" s="90" t="s">
        <v>727</v>
      </c>
      <c r="F988" s="90" t="s">
        <v>686</v>
      </c>
      <c r="G988" s="95">
        <v>11.26</v>
      </c>
      <c r="H988" s="94"/>
      <c r="I988" s="94"/>
      <c r="J988" s="94"/>
      <c r="K988" s="94"/>
      <c r="L988" s="94"/>
      <c r="M988" s="94"/>
      <c r="N988" s="94"/>
      <c r="O988" s="95">
        <v>11.26</v>
      </c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  <c r="AC988" s="94"/>
      <c r="AD988" s="95">
        <v>0</v>
      </c>
      <c r="AE988" s="94"/>
      <c r="AF988" s="94"/>
      <c r="AG988" s="95">
        <v>11.26</v>
      </c>
      <c r="AH988" s="95">
        <v>0</v>
      </c>
    </row>
    <row r="989" spans="1:34" ht="15.75" thickBot="1" x14ac:dyDescent="0.3">
      <c r="A989" s="90" t="s">
        <v>871</v>
      </c>
      <c r="B989" s="90" t="s">
        <v>35</v>
      </c>
      <c r="C989" s="90" t="s">
        <v>36</v>
      </c>
      <c r="D989" s="90" t="s">
        <v>20</v>
      </c>
      <c r="E989" s="90" t="s">
        <v>727</v>
      </c>
      <c r="F989" s="90" t="s">
        <v>697</v>
      </c>
      <c r="G989" s="93">
        <v>11.26</v>
      </c>
      <c r="H989" s="92"/>
      <c r="I989" s="92"/>
      <c r="J989" s="92"/>
      <c r="K989" s="92"/>
      <c r="L989" s="92"/>
      <c r="M989" s="92"/>
      <c r="N989" s="92"/>
      <c r="O989" s="93">
        <v>11.26</v>
      </c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  <c r="AA989" s="92"/>
      <c r="AB989" s="92"/>
      <c r="AC989" s="92"/>
      <c r="AD989" s="93">
        <v>0</v>
      </c>
      <c r="AE989" s="92"/>
      <c r="AF989" s="92"/>
      <c r="AG989" s="93">
        <v>11.26</v>
      </c>
      <c r="AH989" s="93">
        <v>0</v>
      </c>
    </row>
    <row r="990" spans="1:34" ht="15.75" thickBot="1" x14ac:dyDescent="0.3">
      <c r="A990" s="90" t="s">
        <v>871</v>
      </c>
      <c r="B990" s="90" t="s">
        <v>35</v>
      </c>
      <c r="C990" s="90" t="s">
        <v>36</v>
      </c>
      <c r="D990" s="90" t="s">
        <v>20</v>
      </c>
      <c r="E990" s="90" t="s">
        <v>728</v>
      </c>
      <c r="F990" s="90" t="s">
        <v>686</v>
      </c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5">
        <v>15.25</v>
      </c>
      <c r="AC990" s="94"/>
      <c r="AD990" s="95">
        <v>0</v>
      </c>
      <c r="AE990" s="94"/>
      <c r="AF990" s="94"/>
      <c r="AG990" s="95">
        <v>15.25</v>
      </c>
      <c r="AH990" s="95">
        <v>0</v>
      </c>
    </row>
    <row r="991" spans="1:34" ht="15.75" thickBot="1" x14ac:dyDescent="0.3">
      <c r="A991" s="90" t="s">
        <v>871</v>
      </c>
      <c r="B991" s="90" t="s">
        <v>35</v>
      </c>
      <c r="C991" s="90" t="s">
        <v>36</v>
      </c>
      <c r="D991" s="90" t="s">
        <v>20</v>
      </c>
      <c r="E991" s="90" t="s">
        <v>728</v>
      </c>
      <c r="F991" s="90" t="s">
        <v>697</v>
      </c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  <c r="AA991" s="92"/>
      <c r="AB991" s="93">
        <v>15.25</v>
      </c>
      <c r="AC991" s="92"/>
      <c r="AD991" s="93">
        <v>0</v>
      </c>
      <c r="AE991" s="92"/>
      <c r="AF991" s="92"/>
      <c r="AG991" s="93">
        <v>15.25</v>
      </c>
      <c r="AH991" s="93">
        <v>0</v>
      </c>
    </row>
    <row r="992" spans="1:34" ht="15.75" thickBot="1" x14ac:dyDescent="0.3">
      <c r="A992" s="90" t="s">
        <v>871</v>
      </c>
      <c r="B992" s="90" t="s">
        <v>35</v>
      </c>
      <c r="C992" s="90" t="s">
        <v>36</v>
      </c>
      <c r="D992" s="90" t="s">
        <v>20</v>
      </c>
      <c r="E992" s="90" t="s">
        <v>673</v>
      </c>
      <c r="F992" s="90" t="s">
        <v>686</v>
      </c>
      <c r="G992" s="95">
        <v>303.20999999999998</v>
      </c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5">
        <v>303.20999999999998</v>
      </c>
      <c r="Y992" s="94"/>
      <c r="Z992" s="94"/>
      <c r="AA992" s="94"/>
      <c r="AB992" s="94"/>
      <c r="AC992" s="94"/>
      <c r="AD992" s="95">
        <v>0.32</v>
      </c>
      <c r="AE992" s="94"/>
      <c r="AF992" s="94"/>
      <c r="AG992" s="95">
        <v>303.52999999999997</v>
      </c>
      <c r="AH992" s="95">
        <v>0</v>
      </c>
    </row>
    <row r="993" spans="1:34" ht="15.75" thickBot="1" x14ac:dyDescent="0.3">
      <c r="A993" s="90" t="s">
        <v>871</v>
      </c>
      <c r="B993" s="90" t="s">
        <v>35</v>
      </c>
      <c r="C993" s="90" t="s">
        <v>36</v>
      </c>
      <c r="D993" s="90" t="s">
        <v>20</v>
      </c>
      <c r="E993" s="90" t="s">
        <v>673</v>
      </c>
      <c r="F993" s="90" t="s">
        <v>697</v>
      </c>
      <c r="G993" s="93">
        <v>303.20999999999998</v>
      </c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3">
        <v>303.20999999999998</v>
      </c>
      <c r="Y993" s="92"/>
      <c r="Z993" s="92"/>
      <c r="AA993" s="92"/>
      <c r="AB993" s="92"/>
      <c r="AC993" s="92"/>
      <c r="AD993" s="93">
        <v>0.32</v>
      </c>
      <c r="AE993" s="92"/>
      <c r="AF993" s="92"/>
      <c r="AG993" s="93">
        <v>303.52999999999997</v>
      </c>
      <c r="AH993" s="93">
        <v>0</v>
      </c>
    </row>
    <row r="994" spans="1:34" ht="15.75" thickBot="1" x14ac:dyDescent="0.3">
      <c r="A994" s="90" t="s">
        <v>871</v>
      </c>
      <c r="B994" s="90" t="s">
        <v>35</v>
      </c>
      <c r="C994" s="90" t="s">
        <v>36</v>
      </c>
      <c r="D994" s="90" t="s">
        <v>20</v>
      </c>
      <c r="E994" s="90" t="s">
        <v>196</v>
      </c>
      <c r="F994" s="90" t="s">
        <v>686</v>
      </c>
      <c r="G994" s="95">
        <v>352.23</v>
      </c>
      <c r="H994" s="94"/>
      <c r="I994" s="94"/>
      <c r="J994" s="94"/>
      <c r="K994" s="94"/>
      <c r="L994" s="94"/>
      <c r="M994" s="94"/>
      <c r="N994" s="94"/>
      <c r="O994" s="94"/>
      <c r="P994" s="95">
        <v>352.23</v>
      </c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  <c r="AC994" s="94"/>
      <c r="AD994" s="95">
        <v>0.11</v>
      </c>
      <c r="AE994" s="94"/>
      <c r="AF994" s="94"/>
      <c r="AG994" s="95">
        <v>352.34</v>
      </c>
      <c r="AH994" s="95">
        <v>0</v>
      </c>
    </row>
    <row r="995" spans="1:34" ht="15.75" thickBot="1" x14ac:dyDescent="0.3">
      <c r="A995" s="90" t="s">
        <v>871</v>
      </c>
      <c r="B995" s="90" t="s">
        <v>35</v>
      </c>
      <c r="C995" s="90" t="s">
        <v>36</v>
      </c>
      <c r="D995" s="90" t="s">
        <v>20</v>
      </c>
      <c r="E995" s="90" t="s">
        <v>196</v>
      </c>
      <c r="F995" s="90" t="s">
        <v>697</v>
      </c>
      <c r="G995" s="93">
        <v>352.23</v>
      </c>
      <c r="H995" s="92"/>
      <c r="I995" s="92"/>
      <c r="J995" s="92"/>
      <c r="K995" s="92"/>
      <c r="L995" s="92"/>
      <c r="M995" s="92"/>
      <c r="N995" s="92"/>
      <c r="O995" s="92"/>
      <c r="P995" s="93">
        <v>352.23</v>
      </c>
      <c r="Q995" s="92"/>
      <c r="R995" s="92"/>
      <c r="S995" s="92"/>
      <c r="T995" s="92"/>
      <c r="U995" s="92"/>
      <c r="V995" s="92"/>
      <c r="W995" s="92"/>
      <c r="X995" s="92"/>
      <c r="Y995" s="92"/>
      <c r="Z995" s="92"/>
      <c r="AA995" s="92"/>
      <c r="AB995" s="92"/>
      <c r="AC995" s="92"/>
      <c r="AD995" s="93">
        <v>0.11</v>
      </c>
      <c r="AE995" s="92"/>
      <c r="AF995" s="92"/>
      <c r="AG995" s="93">
        <v>352.34</v>
      </c>
      <c r="AH995" s="93">
        <v>0</v>
      </c>
    </row>
    <row r="996" spans="1:34" ht="15.75" thickBot="1" x14ac:dyDescent="0.3">
      <c r="A996" s="90" t="s">
        <v>871</v>
      </c>
      <c r="B996" s="90" t="s">
        <v>35</v>
      </c>
      <c r="C996" s="90" t="s">
        <v>36</v>
      </c>
      <c r="D996" s="90" t="s">
        <v>20</v>
      </c>
      <c r="E996" s="90" t="s">
        <v>674</v>
      </c>
      <c r="F996" s="90" t="s">
        <v>686</v>
      </c>
      <c r="G996" s="95">
        <v>0.77</v>
      </c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5">
        <v>0.77</v>
      </c>
      <c r="Z996" s="94"/>
      <c r="AA996" s="94"/>
      <c r="AB996" s="94"/>
      <c r="AC996" s="94"/>
      <c r="AD996" s="95">
        <v>0</v>
      </c>
      <c r="AE996" s="94"/>
      <c r="AF996" s="94"/>
      <c r="AG996" s="95">
        <v>0.77</v>
      </c>
      <c r="AH996" s="95">
        <v>0</v>
      </c>
    </row>
    <row r="997" spans="1:34" ht="15.75" thickBot="1" x14ac:dyDescent="0.3">
      <c r="A997" s="90" t="s">
        <v>871</v>
      </c>
      <c r="B997" s="90" t="s">
        <v>35</v>
      </c>
      <c r="C997" s="90" t="s">
        <v>36</v>
      </c>
      <c r="D997" s="90" t="s">
        <v>20</v>
      </c>
      <c r="E997" s="90" t="s">
        <v>674</v>
      </c>
      <c r="F997" s="90" t="s">
        <v>697</v>
      </c>
      <c r="G997" s="93">
        <v>0.77</v>
      </c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3">
        <v>0.77</v>
      </c>
      <c r="Z997" s="92"/>
      <c r="AA997" s="92"/>
      <c r="AB997" s="92"/>
      <c r="AC997" s="92"/>
      <c r="AD997" s="93">
        <v>0</v>
      </c>
      <c r="AE997" s="92"/>
      <c r="AF997" s="92"/>
      <c r="AG997" s="93">
        <v>0.77</v>
      </c>
      <c r="AH997" s="93">
        <v>0</v>
      </c>
    </row>
    <row r="998" spans="1:34" ht="15.75" thickBot="1" x14ac:dyDescent="0.3">
      <c r="A998" s="90" t="s">
        <v>871</v>
      </c>
      <c r="B998" s="90" t="s">
        <v>35</v>
      </c>
      <c r="C998" s="90" t="s">
        <v>36</v>
      </c>
      <c r="D998" s="90" t="s">
        <v>28</v>
      </c>
      <c r="E998" s="90" t="s">
        <v>919</v>
      </c>
      <c r="F998" s="90" t="s">
        <v>686</v>
      </c>
      <c r="G998" s="95">
        <v>1.56</v>
      </c>
      <c r="H998" s="94"/>
      <c r="I998" s="95">
        <v>1.56</v>
      </c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  <c r="AC998" s="94"/>
      <c r="AD998" s="95">
        <v>0</v>
      </c>
      <c r="AE998" s="94"/>
      <c r="AF998" s="94"/>
      <c r="AG998" s="95">
        <v>1.56</v>
      </c>
      <c r="AH998" s="95">
        <v>0</v>
      </c>
    </row>
    <row r="999" spans="1:34" ht="15.75" thickBot="1" x14ac:dyDescent="0.3">
      <c r="A999" s="90" t="s">
        <v>871</v>
      </c>
      <c r="B999" s="90" t="s">
        <v>35</v>
      </c>
      <c r="C999" s="90" t="s">
        <v>36</v>
      </c>
      <c r="D999" s="90" t="s">
        <v>28</v>
      </c>
      <c r="E999" s="90" t="s">
        <v>919</v>
      </c>
      <c r="F999" s="90" t="s">
        <v>697</v>
      </c>
      <c r="G999" s="93">
        <v>1.56</v>
      </c>
      <c r="H999" s="92"/>
      <c r="I999" s="93">
        <v>1.56</v>
      </c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  <c r="AA999" s="92"/>
      <c r="AB999" s="92"/>
      <c r="AC999" s="92"/>
      <c r="AD999" s="93">
        <v>0</v>
      </c>
      <c r="AE999" s="92"/>
      <c r="AF999" s="92"/>
      <c r="AG999" s="93">
        <v>1.56</v>
      </c>
      <c r="AH999" s="93">
        <v>0</v>
      </c>
    </row>
    <row r="1000" spans="1:34" ht="15.75" thickBot="1" x14ac:dyDescent="0.3">
      <c r="A1000" s="90" t="s">
        <v>871</v>
      </c>
      <c r="B1000" s="90" t="s">
        <v>35</v>
      </c>
      <c r="C1000" s="90" t="s">
        <v>36</v>
      </c>
      <c r="D1000" s="90" t="s">
        <v>28</v>
      </c>
      <c r="E1000" s="90" t="s">
        <v>726</v>
      </c>
      <c r="F1000" s="90" t="s">
        <v>686</v>
      </c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  <c r="AC1000" s="95">
        <v>2500.14</v>
      </c>
      <c r="AD1000" s="95">
        <v>0</v>
      </c>
      <c r="AE1000" s="94"/>
      <c r="AF1000" s="94"/>
      <c r="AG1000" s="95">
        <v>2500.14</v>
      </c>
      <c r="AH1000" s="95">
        <v>0</v>
      </c>
    </row>
    <row r="1001" spans="1:34" ht="15.75" thickBot="1" x14ac:dyDescent="0.3">
      <c r="A1001" s="90" t="s">
        <v>871</v>
      </c>
      <c r="B1001" s="90" t="s">
        <v>35</v>
      </c>
      <c r="C1001" s="90" t="s">
        <v>36</v>
      </c>
      <c r="D1001" s="90" t="s">
        <v>28</v>
      </c>
      <c r="E1001" s="90" t="s">
        <v>726</v>
      </c>
      <c r="F1001" s="90" t="s">
        <v>697</v>
      </c>
      <c r="G1001" s="92"/>
      <c r="H1001" s="92"/>
      <c r="I1001" s="92"/>
      <c r="J1001" s="92"/>
      <c r="K1001" s="92"/>
      <c r="L1001" s="92"/>
      <c r="M1001" s="92"/>
      <c r="N1001" s="92"/>
      <c r="O1001" s="92"/>
      <c r="P1001" s="92"/>
      <c r="Q1001" s="92"/>
      <c r="R1001" s="92"/>
      <c r="S1001" s="92"/>
      <c r="T1001" s="92"/>
      <c r="U1001" s="92"/>
      <c r="V1001" s="92"/>
      <c r="W1001" s="92"/>
      <c r="X1001" s="92"/>
      <c r="Y1001" s="92"/>
      <c r="Z1001" s="92"/>
      <c r="AA1001" s="92"/>
      <c r="AB1001" s="92"/>
      <c r="AC1001" s="93">
        <v>2500.14</v>
      </c>
      <c r="AD1001" s="93">
        <v>0</v>
      </c>
      <c r="AE1001" s="92"/>
      <c r="AF1001" s="92"/>
      <c r="AG1001" s="93">
        <v>2500.14</v>
      </c>
      <c r="AH1001" s="93">
        <v>0</v>
      </c>
    </row>
    <row r="1002" spans="1:34" ht="15.75" thickBot="1" x14ac:dyDescent="0.3">
      <c r="A1002" s="90" t="s">
        <v>871</v>
      </c>
      <c r="B1002" s="90" t="s">
        <v>35</v>
      </c>
      <c r="C1002" s="90" t="s">
        <v>36</v>
      </c>
      <c r="D1002" s="90" t="s">
        <v>28</v>
      </c>
      <c r="E1002" s="90" t="s">
        <v>528</v>
      </c>
      <c r="F1002" s="90" t="s">
        <v>686</v>
      </c>
      <c r="G1002" s="95">
        <v>3986219.3</v>
      </c>
      <c r="H1002" s="94"/>
      <c r="I1002" s="95">
        <v>3986219.3</v>
      </c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  <c r="AA1002" s="94"/>
      <c r="AB1002" s="94"/>
      <c r="AC1002" s="94"/>
      <c r="AD1002" s="95">
        <v>16844.669999999998</v>
      </c>
      <c r="AE1002" s="94"/>
      <c r="AF1002" s="94"/>
      <c r="AG1002" s="95">
        <v>4003063.97</v>
      </c>
      <c r="AH1002" s="95">
        <v>0</v>
      </c>
    </row>
    <row r="1003" spans="1:34" ht="15.75" thickBot="1" x14ac:dyDescent="0.3">
      <c r="A1003" s="90" t="s">
        <v>871</v>
      </c>
      <c r="B1003" s="90" t="s">
        <v>35</v>
      </c>
      <c r="C1003" s="90" t="s">
        <v>36</v>
      </c>
      <c r="D1003" s="90" t="s">
        <v>28</v>
      </c>
      <c r="E1003" s="90" t="s">
        <v>528</v>
      </c>
      <c r="F1003" s="90" t="s">
        <v>697</v>
      </c>
      <c r="G1003" s="93">
        <v>3986219.3</v>
      </c>
      <c r="H1003" s="92"/>
      <c r="I1003" s="93">
        <v>3986219.3</v>
      </c>
      <c r="J1003" s="92"/>
      <c r="K1003" s="92"/>
      <c r="L1003" s="92"/>
      <c r="M1003" s="92"/>
      <c r="N1003" s="92"/>
      <c r="O1003" s="92"/>
      <c r="P1003" s="92"/>
      <c r="Q1003" s="92"/>
      <c r="R1003" s="92"/>
      <c r="S1003" s="92"/>
      <c r="T1003" s="92"/>
      <c r="U1003" s="92"/>
      <c r="V1003" s="92"/>
      <c r="W1003" s="92"/>
      <c r="X1003" s="92"/>
      <c r="Y1003" s="92"/>
      <c r="Z1003" s="92"/>
      <c r="AA1003" s="92"/>
      <c r="AB1003" s="92"/>
      <c r="AC1003" s="92"/>
      <c r="AD1003" s="93">
        <v>16844.669999999998</v>
      </c>
      <c r="AE1003" s="92"/>
      <c r="AF1003" s="92"/>
      <c r="AG1003" s="93">
        <v>4003063.97</v>
      </c>
      <c r="AH1003" s="93">
        <v>0</v>
      </c>
    </row>
    <row r="1004" spans="1:34" ht="15.75" thickBot="1" x14ac:dyDescent="0.3">
      <c r="A1004" s="90" t="s">
        <v>871</v>
      </c>
      <c r="B1004" s="90" t="s">
        <v>35</v>
      </c>
      <c r="C1004" s="90" t="s">
        <v>36</v>
      </c>
      <c r="D1004" s="90" t="s">
        <v>28</v>
      </c>
      <c r="E1004" s="90" t="s">
        <v>518</v>
      </c>
      <c r="F1004" s="90" t="s">
        <v>686</v>
      </c>
      <c r="G1004" s="95">
        <v>2098122.7599999998</v>
      </c>
      <c r="H1004" s="95">
        <v>7312443</v>
      </c>
      <c r="I1004" s="94"/>
      <c r="J1004" s="94"/>
      <c r="K1004" s="95">
        <v>2098122.7599999998</v>
      </c>
      <c r="L1004" s="94"/>
      <c r="M1004" s="94"/>
      <c r="N1004" s="94"/>
      <c r="O1004" s="94"/>
      <c r="P1004" s="94"/>
      <c r="Q1004" s="94"/>
      <c r="R1004" s="94"/>
      <c r="S1004" s="94"/>
      <c r="T1004" s="94"/>
      <c r="U1004" s="94"/>
      <c r="V1004" s="94"/>
      <c r="W1004" s="94"/>
      <c r="X1004" s="94"/>
      <c r="Y1004" s="94"/>
      <c r="Z1004" s="94"/>
      <c r="AA1004" s="94"/>
      <c r="AB1004" s="94"/>
      <c r="AC1004" s="94"/>
      <c r="AD1004" s="95">
        <v>8738.84</v>
      </c>
      <c r="AE1004" s="94"/>
      <c r="AF1004" s="94"/>
      <c r="AG1004" s="95">
        <v>2106861.6</v>
      </c>
      <c r="AH1004" s="95">
        <v>0</v>
      </c>
    </row>
    <row r="1005" spans="1:34" ht="15.75" thickBot="1" x14ac:dyDescent="0.3">
      <c r="A1005" s="90" t="s">
        <v>871</v>
      </c>
      <c r="B1005" s="90" t="s">
        <v>35</v>
      </c>
      <c r="C1005" s="90" t="s">
        <v>36</v>
      </c>
      <c r="D1005" s="90" t="s">
        <v>28</v>
      </c>
      <c r="E1005" s="90" t="s">
        <v>518</v>
      </c>
      <c r="F1005" s="90" t="s">
        <v>697</v>
      </c>
      <c r="G1005" s="93">
        <v>2098122.7599999998</v>
      </c>
      <c r="H1005" s="304">
        <v>7312443</v>
      </c>
      <c r="I1005" s="92"/>
      <c r="J1005" s="92"/>
      <c r="K1005" s="93">
        <v>2098122.7599999998</v>
      </c>
      <c r="L1005" s="92"/>
      <c r="M1005" s="92"/>
      <c r="N1005" s="92"/>
      <c r="O1005" s="92"/>
      <c r="P1005" s="92"/>
      <c r="Q1005" s="92"/>
      <c r="R1005" s="92"/>
      <c r="S1005" s="92"/>
      <c r="T1005" s="92"/>
      <c r="U1005" s="92"/>
      <c r="V1005" s="92"/>
      <c r="W1005" s="92"/>
      <c r="X1005" s="92"/>
      <c r="Y1005" s="92"/>
      <c r="Z1005" s="92"/>
      <c r="AA1005" s="92"/>
      <c r="AB1005" s="92"/>
      <c r="AC1005" s="92"/>
      <c r="AD1005" s="93">
        <v>8738.84</v>
      </c>
      <c r="AE1005" s="92"/>
      <c r="AF1005" s="92"/>
      <c r="AG1005" s="93">
        <v>2106861.6</v>
      </c>
      <c r="AH1005" s="93">
        <v>0</v>
      </c>
    </row>
    <row r="1006" spans="1:34" ht="15.75" thickBot="1" x14ac:dyDescent="0.3">
      <c r="A1006" s="90" t="s">
        <v>871</v>
      </c>
      <c r="B1006" s="90" t="s">
        <v>35</v>
      </c>
      <c r="C1006" s="90" t="s">
        <v>36</v>
      </c>
      <c r="D1006" s="641" t="s">
        <v>28</v>
      </c>
      <c r="E1006" s="642" t="s">
        <v>727</v>
      </c>
      <c r="F1006" s="90" t="s">
        <v>686</v>
      </c>
      <c r="G1006" s="95">
        <v>79337.91</v>
      </c>
      <c r="H1006" s="94"/>
      <c r="I1006" s="94"/>
      <c r="J1006" s="94"/>
      <c r="K1006" s="94"/>
      <c r="L1006" s="94"/>
      <c r="M1006" s="94"/>
      <c r="N1006" s="94"/>
      <c r="O1006" s="95">
        <v>79337.91</v>
      </c>
      <c r="P1006" s="94"/>
      <c r="Q1006" s="94"/>
      <c r="R1006" s="94"/>
      <c r="S1006" s="94"/>
      <c r="T1006" s="94"/>
      <c r="U1006" s="94"/>
      <c r="V1006" s="94"/>
      <c r="W1006" s="94"/>
      <c r="X1006" s="94"/>
      <c r="Y1006" s="94"/>
      <c r="Z1006" s="94"/>
      <c r="AA1006" s="94"/>
      <c r="AB1006" s="94"/>
      <c r="AC1006" s="94"/>
      <c r="AD1006" s="95">
        <v>328.93</v>
      </c>
      <c r="AE1006" s="94"/>
      <c r="AF1006" s="94"/>
      <c r="AG1006" s="95">
        <v>79666.84</v>
      </c>
      <c r="AH1006" s="95">
        <v>0</v>
      </c>
    </row>
    <row r="1007" spans="1:34" ht="15.75" thickBot="1" x14ac:dyDescent="0.3">
      <c r="A1007" s="90" t="s">
        <v>871</v>
      </c>
      <c r="B1007" s="90" t="s">
        <v>35</v>
      </c>
      <c r="C1007" s="90" t="s">
        <v>36</v>
      </c>
      <c r="D1007" s="641" t="s">
        <v>28</v>
      </c>
      <c r="E1007" s="642" t="s">
        <v>727</v>
      </c>
      <c r="F1007" s="90" t="s">
        <v>697</v>
      </c>
      <c r="G1007" s="93">
        <v>79337.91</v>
      </c>
      <c r="H1007" s="92"/>
      <c r="I1007" s="92"/>
      <c r="J1007" s="92"/>
      <c r="K1007" s="92"/>
      <c r="L1007" s="92"/>
      <c r="M1007" s="92"/>
      <c r="N1007" s="92"/>
      <c r="O1007" s="93">
        <v>79337.91</v>
      </c>
      <c r="P1007" s="92"/>
      <c r="Q1007" s="92"/>
      <c r="R1007" s="92"/>
      <c r="S1007" s="92"/>
      <c r="T1007" s="92"/>
      <c r="U1007" s="92"/>
      <c r="V1007" s="92"/>
      <c r="W1007" s="92"/>
      <c r="X1007" s="92"/>
      <c r="Y1007" s="92"/>
      <c r="Z1007" s="92"/>
      <c r="AA1007" s="92"/>
      <c r="AB1007" s="92"/>
      <c r="AC1007" s="92"/>
      <c r="AD1007" s="93">
        <v>328.93</v>
      </c>
      <c r="AE1007" s="92"/>
      <c r="AF1007" s="92"/>
      <c r="AG1007" s="93">
        <v>79666.84</v>
      </c>
      <c r="AH1007" s="93">
        <v>0</v>
      </c>
    </row>
    <row r="1008" spans="1:34" ht="15.75" thickBot="1" x14ac:dyDescent="0.3">
      <c r="A1008" s="90" t="s">
        <v>871</v>
      </c>
      <c r="B1008" s="90" t="s">
        <v>35</v>
      </c>
      <c r="C1008" s="90" t="s">
        <v>36</v>
      </c>
      <c r="D1008" s="641" t="s">
        <v>28</v>
      </c>
      <c r="E1008" s="642" t="s">
        <v>728</v>
      </c>
      <c r="F1008" s="90" t="s">
        <v>686</v>
      </c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  <c r="S1008" s="94"/>
      <c r="T1008" s="94"/>
      <c r="U1008" s="94"/>
      <c r="V1008" s="94"/>
      <c r="W1008" s="94"/>
      <c r="X1008" s="94"/>
      <c r="Y1008" s="94"/>
      <c r="Z1008" s="94"/>
      <c r="AA1008" s="94"/>
      <c r="AB1008" s="95">
        <v>74531</v>
      </c>
      <c r="AC1008" s="94"/>
      <c r="AD1008" s="95">
        <v>0</v>
      </c>
      <c r="AE1008" s="94"/>
      <c r="AF1008" s="94"/>
      <c r="AG1008" s="95">
        <v>74531</v>
      </c>
      <c r="AH1008" s="95">
        <v>0</v>
      </c>
    </row>
    <row r="1009" spans="1:34" ht="15.75" thickBot="1" x14ac:dyDescent="0.3">
      <c r="A1009" s="90" t="s">
        <v>871</v>
      </c>
      <c r="B1009" s="90" t="s">
        <v>35</v>
      </c>
      <c r="C1009" s="90" t="s">
        <v>36</v>
      </c>
      <c r="D1009" s="90" t="s">
        <v>28</v>
      </c>
      <c r="E1009" s="90" t="s">
        <v>728</v>
      </c>
      <c r="F1009" s="90" t="s">
        <v>697</v>
      </c>
      <c r="G1009" s="92"/>
      <c r="H1009" s="92"/>
      <c r="I1009" s="92"/>
      <c r="J1009" s="92"/>
      <c r="K1009" s="92"/>
      <c r="L1009" s="92"/>
      <c r="M1009" s="92"/>
      <c r="N1009" s="92"/>
      <c r="O1009" s="92"/>
      <c r="P1009" s="92"/>
      <c r="Q1009" s="92"/>
      <c r="R1009" s="92"/>
      <c r="S1009" s="92"/>
      <c r="T1009" s="92"/>
      <c r="U1009" s="92"/>
      <c r="V1009" s="92"/>
      <c r="W1009" s="92"/>
      <c r="X1009" s="92"/>
      <c r="Y1009" s="92"/>
      <c r="Z1009" s="92"/>
      <c r="AA1009" s="92"/>
      <c r="AB1009" s="93">
        <v>74531</v>
      </c>
      <c r="AC1009" s="92"/>
      <c r="AD1009" s="93">
        <v>0</v>
      </c>
      <c r="AE1009" s="92"/>
      <c r="AF1009" s="92"/>
      <c r="AG1009" s="93">
        <v>74531</v>
      </c>
      <c r="AH1009" s="93">
        <v>0</v>
      </c>
    </row>
    <row r="1010" spans="1:34" ht="15.75" thickBot="1" x14ac:dyDescent="0.3">
      <c r="A1010" s="90" t="s">
        <v>871</v>
      </c>
      <c r="B1010" s="90" t="s">
        <v>35</v>
      </c>
      <c r="C1010" s="90" t="s">
        <v>36</v>
      </c>
      <c r="D1010" s="90" t="s">
        <v>28</v>
      </c>
      <c r="E1010" s="90" t="s">
        <v>673</v>
      </c>
      <c r="F1010" s="90" t="s">
        <v>686</v>
      </c>
      <c r="G1010" s="95">
        <v>1480197.42</v>
      </c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  <c r="S1010" s="94"/>
      <c r="T1010" s="94"/>
      <c r="U1010" s="94"/>
      <c r="V1010" s="94"/>
      <c r="W1010" s="94"/>
      <c r="X1010" s="95">
        <v>1480197.42</v>
      </c>
      <c r="Y1010" s="94"/>
      <c r="Z1010" s="94"/>
      <c r="AA1010" s="94"/>
      <c r="AB1010" s="94"/>
      <c r="AC1010" s="94"/>
      <c r="AD1010" s="95">
        <v>6274.46</v>
      </c>
      <c r="AE1010" s="94"/>
      <c r="AF1010" s="94"/>
      <c r="AG1010" s="95">
        <v>1486471.88</v>
      </c>
      <c r="AH1010" s="95">
        <v>0</v>
      </c>
    </row>
    <row r="1011" spans="1:34" ht="15.75" thickBot="1" x14ac:dyDescent="0.3">
      <c r="A1011" s="90" t="s">
        <v>871</v>
      </c>
      <c r="B1011" s="90" t="s">
        <v>35</v>
      </c>
      <c r="C1011" s="90" t="s">
        <v>36</v>
      </c>
      <c r="D1011" s="90" t="s">
        <v>28</v>
      </c>
      <c r="E1011" s="90" t="s">
        <v>673</v>
      </c>
      <c r="F1011" s="90" t="s">
        <v>697</v>
      </c>
      <c r="G1011" s="93">
        <v>1480197.42</v>
      </c>
      <c r="H1011" s="92"/>
      <c r="I1011" s="92"/>
      <c r="J1011" s="92"/>
      <c r="K1011" s="92"/>
      <c r="L1011" s="92"/>
      <c r="M1011" s="92"/>
      <c r="N1011" s="92"/>
      <c r="O1011" s="92"/>
      <c r="P1011" s="92"/>
      <c r="Q1011" s="92"/>
      <c r="R1011" s="92"/>
      <c r="S1011" s="92"/>
      <c r="T1011" s="92"/>
      <c r="U1011" s="92"/>
      <c r="V1011" s="92"/>
      <c r="W1011" s="92"/>
      <c r="X1011" s="93">
        <v>1480197.42</v>
      </c>
      <c r="Y1011" s="92"/>
      <c r="Z1011" s="92"/>
      <c r="AA1011" s="92"/>
      <c r="AB1011" s="92"/>
      <c r="AC1011" s="92"/>
      <c r="AD1011" s="93">
        <v>6274.46</v>
      </c>
      <c r="AE1011" s="92"/>
      <c r="AF1011" s="92"/>
      <c r="AG1011" s="93">
        <v>1486471.88</v>
      </c>
      <c r="AH1011" s="93">
        <v>0</v>
      </c>
    </row>
    <row r="1012" spans="1:34" ht="15.75" thickBot="1" x14ac:dyDescent="0.3">
      <c r="A1012" s="90" t="s">
        <v>871</v>
      </c>
      <c r="B1012" s="90" t="s">
        <v>35</v>
      </c>
      <c r="C1012" s="90" t="s">
        <v>36</v>
      </c>
      <c r="D1012" s="90" t="s">
        <v>28</v>
      </c>
      <c r="E1012" s="90" t="s">
        <v>196</v>
      </c>
      <c r="F1012" s="90" t="s">
        <v>686</v>
      </c>
      <c r="G1012" s="95">
        <v>2463569.9199999999</v>
      </c>
      <c r="H1012" s="94"/>
      <c r="I1012" s="94"/>
      <c r="J1012" s="94"/>
      <c r="K1012" s="94"/>
      <c r="L1012" s="94"/>
      <c r="M1012" s="94"/>
      <c r="N1012" s="94"/>
      <c r="O1012" s="94"/>
      <c r="P1012" s="95">
        <v>2463569.9199999999</v>
      </c>
      <c r="Q1012" s="94"/>
      <c r="R1012" s="94"/>
      <c r="S1012" s="94"/>
      <c r="T1012" s="94"/>
      <c r="U1012" s="94"/>
      <c r="V1012" s="94"/>
      <c r="W1012" s="94"/>
      <c r="X1012" s="94"/>
      <c r="Y1012" s="94"/>
      <c r="Z1012" s="94"/>
      <c r="AA1012" s="94"/>
      <c r="AB1012" s="94"/>
      <c r="AC1012" s="94"/>
      <c r="AD1012" s="95">
        <v>10163.709999999999</v>
      </c>
      <c r="AE1012" s="94"/>
      <c r="AF1012" s="94"/>
      <c r="AG1012" s="95">
        <v>2473733.63</v>
      </c>
      <c r="AH1012" s="95">
        <v>0</v>
      </c>
    </row>
    <row r="1013" spans="1:34" ht="15.75" thickBot="1" x14ac:dyDescent="0.3">
      <c r="A1013" s="90" t="s">
        <v>871</v>
      </c>
      <c r="B1013" s="90" t="s">
        <v>35</v>
      </c>
      <c r="C1013" s="90" t="s">
        <v>36</v>
      </c>
      <c r="D1013" s="90" t="s">
        <v>28</v>
      </c>
      <c r="E1013" s="90" t="s">
        <v>196</v>
      </c>
      <c r="F1013" s="90" t="s">
        <v>697</v>
      </c>
      <c r="G1013" s="93">
        <v>2463569.9199999999</v>
      </c>
      <c r="H1013" s="92"/>
      <c r="I1013" s="92"/>
      <c r="J1013" s="92"/>
      <c r="K1013" s="92"/>
      <c r="L1013" s="92"/>
      <c r="M1013" s="92"/>
      <c r="N1013" s="92"/>
      <c r="O1013" s="92"/>
      <c r="P1013" s="93">
        <v>2463569.9199999999</v>
      </c>
      <c r="Q1013" s="92"/>
      <c r="R1013" s="92"/>
      <c r="S1013" s="92"/>
      <c r="T1013" s="92"/>
      <c r="U1013" s="92"/>
      <c r="V1013" s="92"/>
      <c r="W1013" s="92"/>
      <c r="X1013" s="92"/>
      <c r="Y1013" s="92"/>
      <c r="Z1013" s="92"/>
      <c r="AA1013" s="92"/>
      <c r="AB1013" s="92"/>
      <c r="AC1013" s="92"/>
      <c r="AD1013" s="93">
        <v>10163.709999999999</v>
      </c>
      <c r="AE1013" s="92"/>
      <c r="AF1013" s="92"/>
      <c r="AG1013" s="93">
        <v>2473733.63</v>
      </c>
      <c r="AH1013" s="93">
        <v>0</v>
      </c>
    </row>
    <row r="1014" spans="1:34" ht="15.75" thickBot="1" x14ac:dyDescent="0.3">
      <c r="A1014" s="90" t="s">
        <v>871</v>
      </c>
      <c r="B1014" s="90" t="s">
        <v>35</v>
      </c>
      <c r="C1014" s="90" t="s">
        <v>36</v>
      </c>
      <c r="D1014" s="90" t="s">
        <v>28</v>
      </c>
      <c r="E1014" s="90" t="s">
        <v>674</v>
      </c>
      <c r="F1014" s="90" t="s">
        <v>686</v>
      </c>
      <c r="G1014" s="95">
        <v>-4826.68</v>
      </c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  <c r="S1014" s="94"/>
      <c r="T1014" s="94"/>
      <c r="U1014" s="94"/>
      <c r="V1014" s="94"/>
      <c r="W1014" s="94"/>
      <c r="X1014" s="94"/>
      <c r="Y1014" s="95">
        <v>-4826.68</v>
      </c>
      <c r="Z1014" s="94"/>
      <c r="AA1014" s="94"/>
      <c r="AB1014" s="94"/>
      <c r="AC1014" s="94"/>
      <c r="AD1014" s="95">
        <v>-9.6199999999999992</v>
      </c>
      <c r="AE1014" s="94"/>
      <c r="AF1014" s="94"/>
      <c r="AG1014" s="95">
        <v>-4836.3</v>
      </c>
      <c r="AH1014" s="95">
        <v>0</v>
      </c>
    </row>
    <row r="1015" spans="1:34" ht="15.75" thickBot="1" x14ac:dyDescent="0.3">
      <c r="A1015" s="90" t="s">
        <v>871</v>
      </c>
      <c r="B1015" s="90" t="s">
        <v>35</v>
      </c>
      <c r="C1015" s="90" t="s">
        <v>36</v>
      </c>
      <c r="D1015" s="90" t="s">
        <v>28</v>
      </c>
      <c r="E1015" s="90" t="s">
        <v>674</v>
      </c>
      <c r="F1015" s="90" t="s">
        <v>697</v>
      </c>
      <c r="G1015" s="93">
        <v>-4826.68</v>
      </c>
      <c r="H1015" s="92"/>
      <c r="I1015" s="92"/>
      <c r="J1015" s="92"/>
      <c r="K1015" s="92"/>
      <c r="L1015" s="92"/>
      <c r="M1015" s="92"/>
      <c r="N1015" s="92"/>
      <c r="O1015" s="92"/>
      <c r="P1015" s="92"/>
      <c r="Q1015" s="92"/>
      <c r="R1015" s="92"/>
      <c r="S1015" s="92"/>
      <c r="T1015" s="92"/>
      <c r="U1015" s="92"/>
      <c r="V1015" s="92"/>
      <c r="W1015" s="92"/>
      <c r="X1015" s="92"/>
      <c r="Y1015" s="93">
        <v>-4826.68</v>
      </c>
      <c r="Z1015" s="92"/>
      <c r="AA1015" s="92"/>
      <c r="AB1015" s="92"/>
      <c r="AC1015" s="92"/>
      <c r="AD1015" s="93">
        <v>-9.6199999999999992</v>
      </c>
      <c r="AE1015" s="92"/>
      <c r="AF1015" s="92"/>
      <c r="AG1015" s="93">
        <v>-4836.3</v>
      </c>
      <c r="AH1015" s="93">
        <v>0</v>
      </c>
    </row>
    <row r="1016" spans="1:34" ht="15.75" thickBot="1" x14ac:dyDescent="0.3">
      <c r="A1016" s="90" t="s">
        <v>871</v>
      </c>
      <c r="B1016" s="90" t="s">
        <v>37</v>
      </c>
      <c r="C1016" s="90" t="s">
        <v>38</v>
      </c>
      <c r="D1016" s="90" t="s">
        <v>20</v>
      </c>
      <c r="E1016" s="90" t="s">
        <v>528</v>
      </c>
      <c r="F1016" s="90" t="s">
        <v>686</v>
      </c>
      <c r="G1016" s="95">
        <v>13.5</v>
      </c>
      <c r="H1016" s="94"/>
      <c r="I1016" s="95">
        <v>13.5</v>
      </c>
      <c r="J1016" s="94"/>
      <c r="K1016" s="94"/>
      <c r="L1016" s="94"/>
      <c r="M1016" s="94"/>
      <c r="N1016" s="94"/>
      <c r="O1016" s="94"/>
      <c r="P1016" s="94"/>
      <c r="Q1016" s="94"/>
      <c r="R1016" s="94"/>
      <c r="S1016" s="94"/>
      <c r="T1016" s="94"/>
      <c r="U1016" s="94"/>
      <c r="V1016" s="94"/>
      <c r="W1016" s="94"/>
      <c r="X1016" s="94"/>
      <c r="Y1016" s="94"/>
      <c r="Z1016" s="94"/>
      <c r="AA1016" s="94"/>
      <c r="AB1016" s="94"/>
      <c r="AC1016" s="94"/>
      <c r="AD1016" s="95">
        <v>0</v>
      </c>
      <c r="AE1016" s="94"/>
      <c r="AF1016" s="94"/>
      <c r="AG1016" s="95">
        <v>13.5</v>
      </c>
      <c r="AH1016" s="95">
        <v>0</v>
      </c>
    </row>
    <row r="1017" spans="1:34" ht="15.75" thickBot="1" x14ac:dyDescent="0.3">
      <c r="A1017" s="90" t="s">
        <v>871</v>
      </c>
      <c r="B1017" s="90" t="s">
        <v>37</v>
      </c>
      <c r="C1017" s="90" t="s">
        <v>38</v>
      </c>
      <c r="D1017" s="90" t="s">
        <v>20</v>
      </c>
      <c r="E1017" s="90" t="s">
        <v>528</v>
      </c>
      <c r="F1017" s="90" t="s">
        <v>697</v>
      </c>
      <c r="G1017" s="93">
        <v>13.5</v>
      </c>
      <c r="H1017" s="92"/>
      <c r="I1017" s="93">
        <v>13.5</v>
      </c>
      <c r="J1017" s="92"/>
      <c r="K1017" s="92"/>
      <c r="L1017" s="92"/>
      <c r="M1017" s="92"/>
      <c r="N1017" s="92"/>
      <c r="O1017" s="92"/>
      <c r="P1017" s="92"/>
      <c r="Q1017" s="92"/>
      <c r="R1017" s="92"/>
      <c r="S1017" s="92"/>
      <c r="T1017" s="92"/>
      <c r="U1017" s="92"/>
      <c r="V1017" s="92"/>
      <c r="W1017" s="92"/>
      <c r="X1017" s="92"/>
      <c r="Y1017" s="92"/>
      <c r="Z1017" s="92"/>
      <c r="AA1017" s="92"/>
      <c r="AB1017" s="92"/>
      <c r="AC1017" s="92"/>
      <c r="AD1017" s="93">
        <v>0</v>
      </c>
      <c r="AE1017" s="92"/>
      <c r="AF1017" s="92"/>
      <c r="AG1017" s="93">
        <v>13.5</v>
      </c>
      <c r="AH1017" s="93">
        <v>0</v>
      </c>
    </row>
    <row r="1018" spans="1:34" ht="15.75" thickBot="1" x14ac:dyDescent="0.3">
      <c r="A1018" s="90" t="s">
        <v>871</v>
      </c>
      <c r="B1018" s="90" t="s">
        <v>37</v>
      </c>
      <c r="C1018" s="90" t="s">
        <v>38</v>
      </c>
      <c r="D1018" s="90" t="s">
        <v>20</v>
      </c>
      <c r="E1018" s="90" t="s">
        <v>518</v>
      </c>
      <c r="F1018" s="90" t="s">
        <v>686</v>
      </c>
      <c r="G1018" s="95">
        <v>29.55</v>
      </c>
      <c r="H1018" s="95">
        <v>103</v>
      </c>
      <c r="I1018" s="94"/>
      <c r="J1018" s="94"/>
      <c r="K1018" s="95">
        <v>29.55</v>
      </c>
      <c r="L1018" s="94"/>
      <c r="M1018" s="94"/>
      <c r="N1018" s="94"/>
      <c r="O1018" s="94"/>
      <c r="P1018" s="94"/>
      <c r="Q1018" s="94"/>
      <c r="R1018" s="94"/>
      <c r="S1018" s="94"/>
      <c r="T1018" s="94"/>
      <c r="U1018" s="94"/>
      <c r="V1018" s="94"/>
      <c r="W1018" s="94"/>
      <c r="X1018" s="94"/>
      <c r="Y1018" s="94"/>
      <c r="Z1018" s="94"/>
      <c r="AA1018" s="94"/>
      <c r="AB1018" s="94"/>
      <c r="AC1018" s="94"/>
      <c r="AD1018" s="95">
        <v>0</v>
      </c>
      <c r="AE1018" s="94"/>
      <c r="AF1018" s="94"/>
      <c r="AG1018" s="95">
        <v>29.55</v>
      </c>
      <c r="AH1018" s="95">
        <v>0</v>
      </c>
    </row>
    <row r="1019" spans="1:34" ht="15.75" thickBot="1" x14ac:dyDescent="0.3">
      <c r="A1019" s="90" t="s">
        <v>871</v>
      </c>
      <c r="B1019" s="90" t="s">
        <v>37</v>
      </c>
      <c r="C1019" s="90" t="s">
        <v>38</v>
      </c>
      <c r="D1019" s="90" t="s">
        <v>20</v>
      </c>
      <c r="E1019" s="90" t="s">
        <v>518</v>
      </c>
      <c r="F1019" s="90" t="s">
        <v>697</v>
      </c>
      <c r="G1019" s="93">
        <v>29.55</v>
      </c>
      <c r="H1019" s="304">
        <v>103</v>
      </c>
      <c r="I1019" s="92"/>
      <c r="J1019" s="92"/>
      <c r="K1019" s="93">
        <v>29.55</v>
      </c>
      <c r="L1019" s="92"/>
      <c r="M1019" s="92"/>
      <c r="N1019" s="92"/>
      <c r="O1019" s="92"/>
      <c r="P1019" s="92"/>
      <c r="Q1019" s="92"/>
      <c r="R1019" s="92"/>
      <c r="S1019" s="92"/>
      <c r="T1019" s="92"/>
      <c r="U1019" s="92"/>
      <c r="V1019" s="92"/>
      <c r="W1019" s="92"/>
      <c r="X1019" s="92"/>
      <c r="Y1019" s="92"/>
      <c r="Z1019" s="92"/>
      <c r="AA1019" s="92"/>
      <c r="AB1019" s="92"/>
      <c r="AC1019" s="92"/>
      <c r="AD1019" s="93">
        <v>0</v>
      </c>
      <c r="AE1019" s="92"/>
      <c r="AF1019" s="92"/>
      <c r="AG1019" s="93">
        <v>29.55</v>
      </c>
      <c r="AH1019" s="93">
        <v>0</v>
      </c>
    </row>
    <row r="1020" spans="1:34" ht="15.75" thickBot="1" x14ac:dyDescent="0.3">
      <c r="A1020" s="90" t="s">
        <v>871</v>
      </c>
      <c r="B1020" s="90" t="s">
        <v>37</v>
      </c>
      <c r="C1020" s="90" t="s">
        <v>38</v>
      </c>
      <c r="D1020" s="90" t="s">
        <v>20</v>
      </c>
      <c r="E1020" s="90" t="s">
        <v>727</v>
      </c>
      <c r="F1020" s="90" t="s">
        <v>686</v>
      </c>
      <c r="G1020" s="95">
        <v>1.1200000000000001</v>
      </c>
      <c r="H1020" s="94"/>
      <c r="I1020" s="94"/>
      <c r="J1020" s="94"/>
      <c r="K1020" s="94"/>
      <c r="L1020" s="94"/>
      <c r="M1020" s="94"/>
      <c r="N1020" s="94"/>
      <c r="O1020" s="95">
        <v>1.1200000000000001</v>
      </c>
      <c r="P1020" s="94"/>
      <c r="Q1020" s="94"/>
      <c r="R1020" s="94"/>
      <c r="S1020" s="94"/>
      <c r="T1020" s="94"/>
      <c r="U1020" s="94"/>
      <c r="V1020" s="94"/>
      <c r="W1020" s="94"/>
      <c r="X1020" s="94"/>
      <c r="Y1020" s="94"/>
      <c r="Z1020" s="94"/>
      <c r="AA1020" s="94"/>
      <c r="AB1020" s="94"/>
      <c r="AC1020" s="94"/>
      <c r="AD1020" s="95">
        <v>0</v>
      </c>
      <c r="AE1020" s="94"/>
      <c r="AF1020" s="94"/>
      <c r="AG1020" s="95">
        <v>1.1200000000000001</v>
      </c>
      <c r="AH1020" s="95">
        <v>0</v>
      </c>
    </row>
    <row r="1021" spans="1:34" ht="15.75" thickBot="1" x14ac:dyDescent="0.3">
      <c r="A1021" s="90" t="s">
        <v>871</v>
      </c>
      <c r="B1021" s="90" t="s">
        <v>37</v>
      </c>
      <c r="C1021" s="90" t="s">
        <v>38</v>
      </c>
      <c r="D1021" s="90" t="s">
        <v>20</v>
      </c>
      <c r="E1021" s="90" t="s">
        <v>727</v>
      </c>
      <c r="F1021" s="90" t="s">
        <v>697</v>
      </c>
      <c r="G1021" s="93">
        <v>1.1200000000000001</v>
      </c>
      <c r="H1021" s="92"/>
      <c r="I1021" s="92"/>
      <c r="J1021" s="92"/>
      <c r="K1021" s="92"/>
      <c r="L1021" s="92"/>
      <c r="M1021" s="92"/>
      <c r="N1021" s="92"/>
      <c r="O1021" s="93">
        <v>1.1200000000000001</v>
      </c>
      <c r="P1021" s="92"/>
      <c r="Q1021" s="92"/>
      <c r="R1021" s="92"/>
      <c r="S1021" s="92"/>
      <c r="T1021" s="92"/>
      <c r="U1021" s="92"/>
      <c r="V1021" s="92"/>
      <c r="W1021" s="92"/>
      <c r="X1021" s="92"/>
      <c r="Y1021" s="92"/>
      <c r="Z1021" s="92"/>
      <c r="AA1021" s="92"/>
      <c r="AB1021" s="92"/>
      <c r="AC1021" s="92"/>
      <c r="AD1021" s="93">
        <v>0</v>
      </c>
      <c r="AE1021" s="92"/>
      <c r="AF1021" s="92"/>
      <c r="AG1021" s="93">
        <v>1.1200000000000001</v>
      </c>
      <c r="AH1021" s="93">
        <v>0</v>
      </c>
    </row>
    <row r="1022" spans="1:34" ht="15.75" thickBot="1" x14ac:dyDescent="0.3">
      <c r="A1022" s="90" t="s">
        <v>871</v>
      </c>
      <c r="B1022" s="90" t="s">
        <v>37</v>
      </c>
      <c r="C1022" s="90" t="s">
        <v>38</v>
      </c>
      <c r="D1022" s="90" t="s">
        <v>20</v>
      </c>
      <c r="E1022" s="90" t="s">
        <v>673</v>
      </c>
      <c r="F1022" s="90" t="s">
        <v>686</v>
      </c>
      <c r="G1022" s="95">
        <v>4.99</v>
      </c>
      <c r="H1022" s="94"/>
      <c r="I1022" s="94"/>
      <c r="J1022" s="94"/>
      <c r="K1022" s="94"/>
      <c r="L1022" s="94"/>
      <c r="M1022" s="94"/>
      <c r="N1022" s="94"/>
      <c r="O1022" s="94"/>
      <c r="P1022" s="94"/>
      <c r="Q1022" s="94"/>
      <c r="R1022" s="94"/>
      <c r="S1022" s="94"/>
      <c r="T1022" s="94"/>
      <c r="U1022" s="94"/>
      <c r="V1022" s="94"/>
      <c r="W1022" s="94"/>
      <c r="X1022" s="95">
        <v>4.99</v>
      </c>
      <c r="Y1022" s="94"/>
      <c r="Z1022" s="94"/>
      <c r="AA1022" s="94"/>
      <c r="AB1022" s="94"/>
      <c r="AC1022" s="94"/>
      <c r="AD1022" s="95">
        <v>0</v>
      </c>
      <c r="AE1022" s="94"/>
      <c r="AF1022" s="94"/>
      <c r="AG1022" s="95">
        <v>4.99</v>
      </c>
      <c r="AH1022" s="95">
        <v>0</v>
      </c>
    </row>
    <row r="1023" spans="1:34" ht="15.75" thickBot="1" x14ac:dyDescent="0.3">
      <c r="A1023" s="90" t="s">
        <v>871</v>
      </c>
      <c r="B1023" s="90" t="s">
        <v>37</v>
      </c>
      <c r="C1023" s="90" t="s">
        <v>38</v>
      </c>
      <c r="D1023" s="90" t="s">
        <v>20</v>
      </c>
      <c r="E1023" s="90" t="s">
        <v>673</v>
      </c>
      <c r="F1023" s="90" t="s">
        <v>697</v>
      </c>
      <c r="G1023" s="93">
        <v>4.99</v>
      </c>
      <c r="H1023" s="92"/>
      <c r="I1023" s="92"/>
      <c r="J1023" s="92"/>
      <c r="K1023" s="92"/>
      <c r="L1023" s="92"/>
      <c r="M1023" s="92"/>
      <c r="N1023" s="92"/>
      <c r="O1023" s="92"/>
      <c r="P1023" s="92"/>
      <c r="Q1023" s="92"/>
      <c r="R1023" s="92"/>
      <c r="S1023" s="92"/>
      <c r="T1023" s="92"/>
      <c r="U1023" s="92"/>
      <c r="V1023" s="92"/>
      <c r="W1023" s="92"/>
      <c r="X1023" s="93">
        <v>4.99</v>
      </c>
      <c r="Y1023" s="92"/>
      <c r="Z1023" s="92"/>
      <c r="AA1023" s="92"/>
      <c r="AB1023" s="92"/>
      <c r="AC1023" s="92"/>
      <c r="AD1023" s="93">
        <v>0</v>
      </c>
      <c r="AE1023" s="92"/>
      <c r="AF1023" s="92"/>
      <c r="AG1023" s="93">
        <v>4.99</v>
      </c>
      <c r="AH1023" s="93">
        <v>0</v>
      </c>
    </row>
    <row r="1024" spans="1:34" ht="15.75" thickBot="1" x14ac:dyDescent="0.3">
      <c r="A1024" s="90" t="s">
        <v>871</v>
      </c>
      <c r="B1024" s="90" t="s">
        <v>37</v>
      </c>
      <c r="C1024" s="90" t="s">
        <v>38</v>
      </c>
      <c r="D1024" s="90" t="s">
        <v>20</v>
      </c>
      <c r="E1024" s="90" t="s">
        <v>196</v>
      </c>
      <c r="F1024" s="90" t="s">
        <v>686</v>
      </c>
      <c r="G1024" s="95">
        <v>34.57</v>
      </c>
      <c r="H1024" s="94"/>
      <c r="I1024" s="94"/>
      <c r="J1024" s="94"/>
      <c r="K1024" s="94"/>
      <c r="L1024" s="94"/>
      <c r="M1024" s="94"/>
      <c r="N1024" s="94"/>
      <c r="O1024" s="94"/>
      <c r="P1024" s="95">
        <v>34.57</v>
      </c>
      <c r="Q1024" s="94"/>
      <c r="R1024" s="94"/>
      <c r="S1024" s="94"/>
      <c r="T1024" s="94"/>
      <c r="U1024" s="94"/>
      <c r="V1024" s="94"/>
      <c r="W1024" s="94"/>
      <c r="X1024" s="94"/>
      <c r="Y1024" s="94"/>
      <c r="Z1024" s="94"/>
      <c r="AA1024" s="94"/>
      <c r="AB1024" s="94"/>
      <c r="AC1024" s="94"/>
      <c r="AD1024" s="95">
        <v>0</v>
      </c>
      <c r="AE1024" s="94"/>
      <c r="AF1024" s="94"/>
      <c r="AG1024" s="95">
        <v>34.57</v>
      </c>
      <c r="AH1024" s="95">
        <v>0</v>
      </c>
    </row>
    <row r="1025" spans="1:34" ht="15.75" thickBot="1" x14ac:dyDescent="0.3">
      <c r="A1025" s="90" t="s">
        <v>871</v>
      </c>
      <c r="B1025" s="90" t="s">
        <v>37</v>
      </c>
      <c r="C1025" s="90" t="s">
        <v>38</v>
      </c>
      <c r="D1025" s="90" t="s">
        <v>20</v>
      </c>
      <c r="E1025" s="90" t="s">
        <v>196</v>
      </c>
      <c r="F1025" s="90" t="s">
        <v>697</v>
      </c>
      <c r="G1025" s="93">
        <v>34.57</v>
      </c>
      <c r="H1025" s="92"/>
      <c r="I1025" s="92"/>
      <c r="J1025" s="92"/>
      <c r="K1025" s="92"/>
      <c r="L1025" s="92"/>
      <c r="M1025" s="92"/>
      <c r="N1025" s="92"/>
      <c r="O1025" s="92"/>
      <c r="P1025" s="93">
        <v>34.57</v>
      </c>
      <c r="Q1025" s="92"/>
      <c r="R1025" s="92"/>
      <c r="S1025" s="92"/>
      <c r="T1025" s="92"/>
      <c r="U1025" s="92"/>
      <c r="V1025" s="92"/>
      <c r="W1025" s="92"/>
      <c r="X1025" s="92"/>
      <c r="Y1025" s="92"/>
      <c r="Z1025" s="92"/>
      <c r="AA1025" s="92"/>
      <c r="AB1025" s="92"/>
      <c r="AC1025" s="92"/>
      <c r="AD1025" s="93">
        <v>0</v>
      </c>
      <c r="AE1025" s="92"/>
      <c r="AF1025" s="92"/>
      <c r="AG1025" s="93">
        <v>34.57</v>
      </c>
      <c r="AH1025" s="93">
        <v>0</v>
      </c>
    </row>
    <row r="1026" spans="1:34" ht="15.75" thickBot="1" x14ac:dyDescent="0.3">
      <c r="A1026" s="90" t="s">
        <v>871</v>
      </c>
      <c r="B1026" s="90" t="s">
        <v>37</v>
      </c>
      <c r="C1026" s="90" t="s">
        <v>38</v>
      </c>
      <c r="D1026" s="90" t="s">
        <v>28</v>
      </c>
      <c r="E1026" s="90" t="s">
        <v>528</v>
      </c>
      <c r="F1026" s="90" t="s">
        <v>686</v>
      </c>
      <c r="G1026" s="95">
        <v>27</v>
      </c>
      <c r="H1026" s="94"/>
      <c r="I1026" s="95">
        <v>27</v>
      </c>
      <c r="J1026" s="94"/>
      <c r="K1026" s="94"/>
      <c r="L1026" s="94"/>
      <c r="M1026" s="94"/>
      <c r="N1026" s="94"/>
      <c r="O1026" s="94"/>
      <c r="P1026" s="94"/>
      <c r="Q1026" s="94"/>
      <c r="R1026" s="94"/>
      <c r="S1026" s="94"/>
      <c r="T1026" s="94"/>
      <c r="U1026" s="94"/>
      <c r="V1026" s="94"/>
      <c r="W1026" s="94"/>
      <c r="X1026" s="94"/>
      <c r="Y1026" s="94"/>
      <c r="Z1026" s="94"/>
      <c r="AA1026" s="94"/>
      <c r="AB1026" s="94"/>
      <c r="AC1026" s="94"/>
      <c r="AD1026" s="95">
        <v>0</v>
      </c>
      <c r="AE1026" s="94"/>
      <c r="AF1026" s="94"/>
      <c r="AG1026" s="95">
        <v>27</v>
      </c>
      <c r="AH1026" s="95">
        <v>0</v>
      </c>
    </row>
    <row r="1027" spans="1:34" ht="15.75" thickBot="1" x14ac:dyDescent="0.3">
      <c r="A1027" s="90" t="s">
        <v>871</v>
      </c>
      <c r="B1027" s="90" t="s">
        <v>37</v>
      </c>
      <c r="C1027" s="90" t="s">
        <v>38</v>
      </c>
      <c r="D1027" s="90" t="s">
        <v>28</v>
      </c>
      <c r="E1027" s="90" t="s">
        <v>528</v>
      </c>
      <c r="F1027" s="90" t="s">
        <v>697</v>
      </c>
      <c r="G1027" s="93">
        <v>27</v>
      </c>
      <c r="H1027" s="92"/>
      <c r="I1027" s="93">
        <v>27</v>
      </c>
      <c r="J1027" s="92"/>
      <c r="K1027" s="92"/>
      <c r="L1027" s="92"/>
      <c r="M1027" s="92"/>
      <c r="N1027" s="92"/>
      <c r="O1027" s="92"/>
      <c r="P1027" s="92"/>
      <c r="Q1027" s="92"/>
      <c r="R1027" s="92"/>
      <c r="S1027" s="92"/>
      <c r="T1027" s="92"/>
      <c r="U1027" s="92"/>
      <c r="V1027" s="92"/>
      <c r="W1027" s="92"/>
      <c r="X1027" s="92"/>
      <c r="Y1027" s="92"/>
      <c r="Z1027" s="92"/>
      <c r="AA1027" s="92"/>
      <c r="AB1027" s="92"/>
      <c r="AC1027" s="92"/>
      <c r="AD1027" s="93">
        <v>0</v>
      </c>
      <c r="AE1027" s="92"/>
      <c r="AF1027" s="92"/>
      <c r="AG1027" s="93">
        <v>27</v>
      </c>
      <c r="AH1027" s="93">
        <v>0</v>
      </c>
    </row>
    <row r="1028" spans="1:34" ht="15.75" thickBot="1" x14ac:dyDescent="0.3">
      <c r="A1028" s="90" t="s">
        <v>871</v>
      </c>
      <c r="B1028" s="90" t="s">
        <v>37</v>
      </c>
      <c r="C1028" s="90" t="s">
        <v>38</v>
      </c>
      <c r="D1028" s="90" t="s">
        <v>28</v>
      </c>
      <c r="E1028" s="90" t="s">
        <v>518</v>
      </c>
      <c r="F1028" s="90" t="s">
        <v>686</v>
      </c>
      <c r="G1028" s="95">
        <v>69.73</v>
      </c>
      <c r="H1028" s="95">
        <v>243</v>
      </c>
      <c r="I1028" s="94"/>
      <c r="J1028" s="94"/>
      <c r="K1028" s="95">
        <v>69.73</v>
      </c>
      <c r="L1028" s="94"/>
      <c r="M1028" s="94"/>
      <c r="N1028" s="94"/>
      <c r="O1028" s="94"/>
      <c r="P1028" s="94"/>
      <c r="Q1028" s="94"/>
      <c r="R1028" s="94"/>
      <c r="S1028" s="94"/>
      <c r="T1028" s="94"/>
      <c r="U1028" s="94"/>
      <c r="V1028" s="94"/>
      <c r="W1028" s="94"/>
      <c r="X1028" s="94"/>
      <c r="Y1028" s="94"/>
      <c r="Z1028" s="94"/>
      <c r="AA1028" s="94"/>
      <c r="AB1028" s="94"/>
      <c r="AC1028" s="94"/>
      <c r="AD1028" s="95">
        <v>0</v>
      </c>
      <c r="AE1028" s="94"/>
      <c r="AF1028" s="94"/>
      <c r="AG1028" s="95">
        <v>69.73</v>
      </c>
      <c r="AH1028" s="95">
        <v>0</v>
      </c>
    </row>
    <row r="1029" spans="1:34" ht="15.75" thickBot="1" x14ac:dyDescent="0.3">
      <c r="A1029" s="90" t="s">
        <v>871</v>
      </c>
      <c r="B1029" s="90" t="s">
        <v>37</v>
      </c>
      <c r="C1029" s="90" t="s">
        <v>38</v>
      </c>
      <c r="D1029" s="90" t="s">
        <v>28</v>
      </c>
      <c r="E1029" s="90" t="s">
        <v>518</v>
      </c>
      <c r="F1029" s="90" t="s">
        <v>697</v>
      </c>
      <c r="G1029" s="93">
        <v>69.73</v>
      </c>
      <c r="H1029" s="304">
        <v>243</v>
      </c>
      <c r="I1029" s="92"/>
      <c r="J1029" s="92"/>
      <c r="K1029" s="93">
        <v>69.73</v>
      </c>
      <c r="L1029" s="92"/>
      <c r="M1029" s="92"/>
      <c r="N1029" s="92"/>
      <c r="O1029" s="92"/>
      <c r="P1029" s="92"/>
      <c r="Q1029" s="92"/>
      <c r="R1029" s="92"/>
      <c r="S1029" s="92"/>
      <c r="T1029" s="92"/>
      <c r="U1029" s="92"/>
      <c r="V1029" s="92"/>
      <c r="W1029" s="92"/>
      <c r="X1029" s="92"/>
      <c r="Y1029" s="92"/>
      <c r="Z1029" s="92"/>
      <c r="AA1029" s="92"/>
      <c r="AB1029" s="92"/>
      <c r="AC1029" s="92"/>
      <c r="AD1029" s="93">
        <v>0</v>
      </c>
      <c r="AE1029" s="92"/>
      <c r="AF1029" s="92"/>
      <c r="AG1029" s="93">
        <v>69.73</v>
      </c>
      <c r="AH1029" s="93">
        <v>0</v>
      </c>
    </row>
    <row r="1030" spans="1:34" ht="15.75" thickBot="1" x14ac:dyDescent="0.3">
      <c r="A1030" s="90" t="s">
        <v>871</v>
      </c>
      <c r="B1030" s="90" t="s">
        <v>37</v>
      </c>
      <c r="C1030" s="90" t="s">
        <v>38</v>
      </c>
      <c r="D1030" s="90" t="s">
        <v>28</v>
      </c>
      <c r="E1030" s="90" t="s">
        <v>727</v>
      </c>
      <c r="F1030" s="90" t="s">
        <v>686</v>
      </c>
      <c r="G1030" s="95">
        <v>2.63</v>
      </c>
      <c r="H1030" s="94"/>
      <c r="I1030" s="94"/>
      <c r="J1030" s="94"/>
      <c r="K1030" s="94"/>
      <c r="L1030" s="94"/>
      <c r="M1030" s="94"/>
      <c r="N1030" s="94"/>
      <c r="O1030" s="95">
        <v>2.63</v>
      </c>
      <c r="P1030" s="94"/>
      <c r="Q1030" s="94"/>
      <c r="R1030" s="94"/>
      <c r="S1030" s="94"/>
      <c r="T1030" s="94"/>
      <c r="U1030" s="94"/>
      <c r="V1030" s="94"/>
      <c r="W1030" s="94"/>
      <c r="X1030" s="94"/>
      <c r="Y1030" s="94"/>
      <c r="Z1030" s="94"/>
      <c r="AA1030" s="94"/>
      <c r="AB1030" s="94"/>
      <c r="AC1030" s="94"/>
      <c r="AD1030" s="95">
        <v>0</v>
      </c>
      <c r="AE1030" s="94"/>
      <c r="AF1030" s="94"/>
      <c r="AG1030" s="95">
        <v>2.63</v>
      </c>
      <c r="AH1030" s="95">
        <v>0</v>
      </c>
    </row>
    <row r="1031" spans="1:34" ht="15.75" thickBot="1" x14ac:dyDescent="0.3">
      <c r="A1031" s="90" t="s">
        <v>871</v>
      </c>
      <c r="B1031" s="90" t="s">
        <v>37</v>
      </c>
      <c r="C1031" s="90" t="s">
        <v>38</v>
      </c>
      <c r="D1031" s="90" t="s">
        <v>28</v>
      </c>
      <c r="E1031" s="90" t="s">
        <v>727</v>
      </c>
      <c r="F1031" s="90" t="s">
        <v>697</v>
      </c>
      <c r="G1031" s="93">
        <v>2.63</v>
      </c>
      <c r="H1031" s="92"/>
      <c r="I1031" s="92"/>
      <c r="J1031" s="92"/>
      <c r="K1031" s="92"/>
      <c r="L1031" s="92"/>
      <c r="M1031" s="92"/>
      <c r="N1031" s="92"/>
      <c r="O1031" s="93">
        <v>2.63</v>
      </c>
      <c r="P1031" s="92"/>
      <c r="Q1031" s="92"/>
      <c r="R1031" s="92"/>
      <c r="S1031" s="92"/>
      <c r="T1031" s="92"/>
      <c r="U1031" s="92"/>
      <c r="V1031" s="92"/>
      <c r="W1031" s="92"/>
      <c r="X1031" s="92"/>
      <c r="Y1031" s="92"/>
      <c r="Z1031" s="92"/>
      <c r="AA1031" s="92"/>
      <c r="AB1031" s="92"/>
      <c r="AC1031" s="92"/>
      <c r="AD1031" s="93">
        <v>0</v>
      </c>
      <c r="AE1031" s="92"/>
      <c r="AF1031" s="92"/>
      <c r="AG1031" s="93">
        <v>2.63</v>
      </c>
      <c r="AH1031" s="93">
        <v>0</v>
      </c>
    </row>
    <row r="1032" spans="1:34" ht="15.75" thickBot="1" x14ac:dyDescent="0.3">
      <c r="A1032" s="90" t="s">
        <v>871</v>
      </c>
      <c r="B1032" s="90" t="s">
        <v>37</v>
      </c>
      <c r="C1032" s="90" t="s">
        <v>38</v>
      </c>
      <c r="D1032" s="90" t="s">
        <v>28</v>
      </c>
      <c r="E1032" s="90" t="s">
        <v>673</v>
      </c>
      <c r="F1032" s="90" t="s">
        <v>686</v>
      </c>
      <c r="G1032" s="95">
        <v>10.130000000000001</v>
      </c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  <c r="S1032" s="94"/>
      <c r="T1032" s="94"/>
      <c r="U1032" s="94"/>
      <c r="V1032" s="94"/>
      <c r="W1032" s="94"/>
      <c r="X1032" s="95">
        <v>10.130000000000001</v>
      </c>
      <c r="Y1032" s="94"/>
      <c r="Z1032" s="94"/>
      <c r="AA1032" s="94"/>
      <c r="AB1032" s="94"/>
      <c r="AC1032" s="94"/>
      <c r="AD1032" s="95">
        <v>0</v>
      </c>
      <c r="AE1032" s="94"/>
      <c r="AF1032" s="94"/>
      <c r="AG1032" s="95">
        <v>10.130000000000001</v>
      </c>
      <c r="AH1032" s="95">
        <v>0</v>
      </c>
    </row>
    <row r="1033" spans="1:34" ht="15.75" thickBot="1" x14ac:dyDescent="0.3">
      <c r="A1033" s="90" t="s">
        <v>871</v>
      </c>
      <c r="B1033" s="90" t="s">
        <v>37</v>
      </c>
      <c r="C1033" s="90" t="s">
        <v>38</v>
      </c>
      <c r="D1033" s="90" t="s">
        <v>28</v>
      </c>
      <c r="E1033" s="90" t="s">
        <v>673</v>
      </c>
      <c r="F1033" s="90" t="s">
        <v>697</v>
      </c>
      <c r="G1033" s="93">
        <v>10.130000000000001</v>
      </c>
      <c r="H1033" s="92"/>
      <c r="I1033" s="92"/>
      <c r="J1033" s="92"/>
      <c r="K1033" s="92"/>
      <c r="L1033" s="92"/>
      <c r="M1033" s="92"/>
      <c r="N1033" s="92"/>
      <c r="O1033" s="92"/>
      <c r="P1033" s="92"/>
      <c r="Q1033" s="92"/>
      <c r="R1033" s="92"/>
      <c r="S1033" s="92"/>
      <c r="T1033" s="92"/>
      <c r="U1033" s="92"/>
      <c r="V1033" s="92"/>
      <c r="W1033" s="92"/>
      <c r="X1033" s="93">
        <v>10.130000000000001</v>
      </c>
      <c r="Y1033" s="92"/>
      <c r="Z1033" s="92"/>
      <c r="AA1033" s="92"/>
      <c r="AB1033" s="92"/>
      <c r="AC1033" s="92"/>
      <c r="AD1033" s="93">
        <v>0</v>
      </c>
      <c r="AE1033" s="92"/>
      <c r="AF1033" s="92"/>
      <c r="AG1033" s="93">
        <v>10.130000000000001</v>
      </c>
      <c r="AH1033" s="93">
        <v>0</v>
      </c>
    </row>
    <row r="1034" spans="1:34" ht="15.75" thickBot="1" x14ac:dyDescent="0.3">
      <c r="A1034" s="90" t="s">
        <v>871</v>
      </c>
      <c r="B1034" s="90" t="s">
        <v>37</v>
      </c>
      <c r="C1034" s="90" t="s">
        <v>38</v>
      </c>
      <c r="D1034" s="90" t="s">
        <v>28</v>
      </c>
      <c r="E1034" s="90" t="s">
        <v>196</v>
      </c>
      <c r="F1034" s="90" t="s">
        <v>686</v>
      </c>
      <c r="G1034" s="95">
        <v>83.44</v>
      </c>
      <c r="H1034" s="94"/>
      <c r="I1034" s="94"/>
      <c r="J1034" s="94"/>
      <c r="K1034" s="94"/>
      <c r="L1034" s="94"/>
      <c r="M1034" s="94"/>
      <c r="N1034" s="94"/>
      <c r="O1034" s="94"/>
      <c r="P1034" s="95">
        <v>83.44</v>
      </c>
      <c r="Q1034" s="94"/>
      <c r="R1034" s="94"/>
      <c r="S1034" s="94"/>
      <c r="T1034" s="94"/>
      <c r="U1034" s="94"/>
      <c r="V1034" s="94"/>
      <c r="W1034" s="94"/>
      <c r="X1034" s="94"/>
      <c r="Y1034" s="94"/>
      <c r="Z1034" s="94"/>
      <c r="AA1034" s="94"/>
      <c r="AB1034" s="94"/>
      <c r="AC1034" s="94"/>
      <c r="AD1034" s="95">
        <v>0</v>
      </c>
      <c r="AE1034" s="94"/>
      <c r="AF1034" s="94"/>
      <c r="AG1034" s="95">
        <v>83.44</v>
      </c>
      <c r="AH1034" s="95">
        <v>0</v>
      </c>
    </row>
    <row r="1035" spans="1:34" ht="15.75" thickBot="1" x14ac:dyDescent="0.3">
      <c r="A1035" s="90" t="s">
        <v>871</v>
      </c>
      <c r="B1035" s="90" t="s">
        <v>37</v>
      </c>
      <c r="C1035" s="90" t="s">
        <v>38</v>
      </c>
      <c r="D1035" s="90" t="s">
        <v>28</v>
      </c>
      <c r="E1035" s="90" t="s">
        <v>196</v>
      </c>
      <c r="F1035" s="90" t="s">
        <v>697</v>
      </c>
      <c r="G1035" s="93">
        <v>83.44</v>
      </c>
      <c r="H1035" s="92"/>
      <c r="I1035" s="92"/>
      <c r="J1035" s="92"/>
      <c r="K1035" s="92"/>
      <c r="L1035" s="92"/>
      <c r="M1035" s="92"/>
      <c r="N1035" s="92"/>
      <c r="O1035" s="92"/>
      <c r="P1035" s="93">
        <v>83.44</v>
      </c>
      <c r="Q1035" s="92"/>
      <c r="R1035" s="92"/>
      <c r="S1035" s="92"/>
      <c r="T1035" s="92"/>
      <c r="U1035" s="92"/>
      <c r="V1035" s="92"/>
      <c r="W1035" s="92"/>
      <c r="X1035" s="92"/>
      <c r="Y1035" s="92"/>
      <c r="Z1035" s="92"/>
      <c r="AA1035" s="92"/>
      <c r="AB1035" s="92"/>
      <c r="AC1035" s="92"/>
      <c r="AD1035" s="93">
        <v>0</v>
      </c>
      <c r="AE1035" s="92"/>
      <c r="AF1035" s="92"/>
      <c r="AG1035" s="93">
        <v>83.44</v>
      </c>
      <c r="AH1035" s="93">
        <v>0</v>
      </c>
    </row>
    <row r="1036" spans="1:34" ht="15.75" thickBot="1" x14ac:dyDescent="0.3">
      <c r="A1036" s="90" t="s">
        <v>871</v>
      </c>
      <c r="B1036" s="90" t="s">
        <v>29</v>
      </c>
      <c r="C1036" s="90" t="s">
        <v>30</v>
      </c>
      <c r="D1036" s="90" t="s">
        <v>17</v>
      </c>
      <c r="E1036" s="90" t="s">
        <v>726</v>
      </c>
      <c r="F1036" s="90" t="s">
        <v>686</v>
      </c>
      <c r="G1036" s="94"/>
      <c r="H1036" s="94"/>
      <c r="I1036" s="94"/>
      <c r="J1036" s="94"/>
      <c r="K1036" s="94"/>
      <c r="L1036" s="94"/>
      <c r="M1036" s="94"/>
      <c r="N1036" s="94"/>
      <c r="O1036" s="94"/>
      <c r="P1036" s="94"/>
      <c r="Q1036" s="94"/>
      <c r="R1036" s="94"/>
      <c r="S1036" s="94"/>
      <c r="T1036" s="94"/>
      <c r="U1036" s="94"/>
      <c r="V1036" s="94"/>
      <c r="W1036" s="94"/>
      <c r="X1036" s="94"/>
      <c r="Y1036" s="94"/>
      <c r="Z1036" s="94"/>
      <c r="AA1036" s="94"/>
      <c r="AB1036" s="94"/>
      <c r="AC1036" s="95">
        <v>2.44</v>
      </c>
      <c r="AD1036" s="95">
        <v>0.14000000000000001</v>
      </c>
      <c r="AE1036" s="94"/>
      <c r="AF1036" s="94"/>
      <c r="AG1036" s="95">
        <v>2.58</v>
      </c>
      <c r="AH1036" s="95">
        <v>0</v>
      </c>
    </row>
    <row r="1037" spans="1:34" ht="15.75" thickBot="1" x14ac:dyDescent="0.3">
      <c r="A1037" s="90" t="s">
        <v>871</v>
      </c>
      <c r="B1037" s="90" t="s">
        <v>29</v>
      </c>
      <c r="C1037" s="90" t="s">
        <v>30</v>
      </c>
      <c r="D1037" s="90" t="s">
        <v>17</v>
      </c>
      <c r="E1037" s="90" t="s">
        <v>726</v>
      </c>
      <c r="F1037" s="90" t="s">
        <v>697</v>
      </c>
      <c r="G1037" s="92"/>
      <c r="H1037" s="92"/>
      <c r="I1037" s="92"/>
      <c r="J1037" s="92"/>
      <c r="K1037" s="92"/>
      <c r="L1037" s="92"/>
      <c r="M1037" s="92"/>
      <c r="N1037" s="92"/>
      <c r="O1037" s="92"/>
      <c r="P1037" s="92"/>
      <c r="Q1037" s="92"/>
      <c r="R1037" s="92"/>
      <c r="S1037" s="92"/>
      <c r="T1037" s="92"/>
      <c r="U1037" s="92"/>
      <c r="V1037" s="92"/>
      <c r="W1037" s="92"/>
      <c r="X1037" s="92"/>
      <c r="Y1037" s="92"/>
      <c r="Z1037" s="92"/>
      <c r="AA1037" s="92"/>
      <c r="AB1037" s="92"/>
      <c r="AC1037" s="93">
        <v>2.44</v>
      </c>
      <c r="AD1037" s="93">
        <v>0.14000000000000001</v>
      </c>
      <c r="AE1037" s="92"/>
      <c r="AF1037" s="92"/>
      <c r="AG1037" s="93">
        <v>2.58</v>
      </c>
      <c r="AH1037" s="93">
        <v>0</v>
      </c>
    </row>
    <row r="1038" spans="1:34" ht="15.75" thickBot="1" x14ac:dyDescent="0.3">
      <c r="A1038" s="90" t="s">
        <v>871</v>
      </c>
      <c r="B1038" s="90" t="s">
        <v>29</v>
      </c>
      <c r="C1038" s="90" t="s">
        <v>30</v>
      </c>
      <c r="D1038" s="90" t="s">
        <v>17</v>
      </c>
      <c r="E1038" s="90" t="s">
        <v>528</v>
      </c>
      <c r="F1038" s="90" t="s">
        <v>686</v>
      </c>
      <c r="G1038" s="95">
        <v>24760</v>
      </c>
      <c r="H1038" s="94"/>
      <c r="I1038" s="95">
        <v>24760</v>
      </c>
      <c r="J1038" s="94"/>
      <c r="K1038" s="94"/>
      <c r="L1038" s="94"/>
      <c r="M1038" s="94"/>
      <c r="N1038" s="94"/>
      <c r="O1038" s="94"/>
      <c r="P1038" s="94"/>
      <c r="Q1038" s="94"/>
      <c r="R1038" s="94"/>
      <c r="S1038" s="94"/>
      <c r="T1038" s="94"/>
      <c r="U1038" s="94"/>
      <c r="V1038" s="94"/>
      <c r="W1038" s="94"/>
      <c r="X1038" s="94"/>
      <c r="Y1038" s="94"/>
      <c r="Z1038" s="94"/>
      <c r="AA1038" s="94"/>
      <c r="AB1038" s="94"/>
      <c r="AC1038" s="94"/>
      <c r="AD1038" s="95">
        <v>1568.76</v>
      </c>
      <c r="AE1038" s="94"/>
      <c r="AF1038" s="94"/>
      <c r="AG1038" s="95">
        <v>26328.76</v>
      </c>
      <c r="AH1038" s="95">
        <v>0</v>
      </c>
    </row>
    <row r="1039" spans="1:34" ht="15.75" thickBot="1" x14ac:dyDescent="0.3">
      <c r="A1039" s="90" t="s">
        <v>871</v>
      </c>
      <c r="B1039" s="90" t="s">
        <v>29</v>
      </c>
      <c r="C1039" s="90" t="s">
        <v>30</v>
      </c>
      <c r="D1039" s="90" t="s">
        <v>17</v>
      </c>
      <c r="E1039" s="90" t="s">
        <v>528</v>
      </c>
      <c r="F1039" s="90" t="s">
        <v>697</v>
      </c>
      <c r="G1039" s="93">
        <v>24760</v>
      </c>
      <c r="H1039" s="92"/>
      <c r="I1039" s="93">
        <v>24760</v>
      </c>
      <c r="J1039" s="92"/>
      <c r="K1039" s="92"/>
      <c r="L1039" s="92"/>
      <c r="M1039" s="92"/>
      <c r="N1039" s="92"/>
      <c r="O1039" s="92"/>
      <c r="P1039" s="92"/>
      <c r="Q1039" s="92"/>
      <c r="R1039" s="92"/>
      <c r="S1039" s="92"/>
      <c r="T1039" s="92"/>
      <c r="U1039" s="92"/>
      <c r="V1039" s="92"/>
      <c r="W1039" s="92"/>
      <c r="X1039" s="92"/>
      <c r="Y1039" s="92"/>
      <c r="Z1039" s="92"/>
      <c r="AA1039" s="92"/>
      <c r="AB1039" s="92"/>
      <c r="AC1039" s="92"/>
      <c r="AD1039" s="93">
        <v>1568.76</v>
      </c>
      <c r="AE1039" s="92"/>
      <c r="AF1039" s="92"/>
      <c r="AG1039" s="93">
        <v>26328.76</v>
      </c>
      <c r="AH1039" s="93">
        <v>0</v>
      </c>
    </row>
    <row r="1040" spans="1:34" ht="15.75" thickBot="1" x14ac:dyDescent="0.3">
      <c r="A1040" s="90" t="s">
        <v>871</v>
      </c>
      <c r="B1040" s="90" t="s">
        <v>29</v>
      </c>
      <c r="C1040" s="90" t="s">
        <v>30</v>
      </c>
      <c r="D1040" s="90" t="s">
        <v>17</v>
      </c>
      <c r="E1040" s="90" t="s">
        <v>518</v>
      </c>
      <c r="F1040" s="90" t="s">
        <v>686</v>
      </c>
      <c r="G1040" s="95">
        <v>134.55000000000001</v>
      </c>
      <c r="H1040" s="95">
        <v>612</v>
      </c>
      <c r="I1040" s="94"/>
      <c r="J1040" s="94"/>
      <c r="K1040" s="95">
        <v>134.55000000000001</v>
      </c>
      <c r="L1040" s="94"/>
      <c r="M1040" s="94"/>
      <c r="N1040" s="94"/>
      <c r="O1040" s="94"/>
      <c r="P1040" s="94"/>
      <c r="Q1040" s="94"/>
      <c r="R1040" s="94"/>
      <c r="S1040" s="94"/>
      <c r="T1040" s="94"/>
      <c r="U1040" s="94"/>
      <c r="V1040" s="94"/>
      <c r="W1040" s="94"/>
      <c r="X1040" s="94"/>
      <c r="Y1040" s="94"/>
      <c r="Z1040" s="94"/>
      <c r="AA1040" s="94"/>
      <c r="AB1040" s="94"/>
      <c r="AC1040" s="94"/>
      <c r="AD1040" s="95">
        <v>6.84</v>
      </c>
      <c r="AE1040" s="94"/>
      <c r="AF1040" s="94"/>
      <c r="AG1040" s="95">
        <v>141.38999999999999</v>
      </c>
      <c r="AH1040" s="95">
        <v>0</v>
      </c>
    </row>
    <row r="1041" spans="1:34" ht="15.75" thickBot="1" x14ac:dyDescent="0.3">
      <c r="A1041" s="90" t="s">
        <v>871</v>
      </c>
      <c r="B1041" s="90" t="s">
        <v>29</v>
      </c>
      <c r="C1041" s="90" t="s">
        <v>30</v>
      </c>
      <c r="D1041" s="90" t="s">
        <v>17</v>
      </c>
      <c r="E1041" s="90" t="s">
        <v>518</v>
      </c>
      <c r="F1041" s="90" t="s">
        <v>697</v>
      </c>
      <c r="G1041" s="93">
        <v>134.55000000000001</v>
      </c>
      <c r="H1041" s="304">
        <v>612</v>
      </c>
      <c r="I1041" s="92"/>
      <c r="J1041" s="92"/>
      <c r="K1041" s="93">
        <v>134.55000000000001</v>
      </c>
      <c r="L1041" s="92"/>
      <c r="M1041" s="92"/>
      <c r="N1041" s="92"/>
      <c r="O1041" s="92"/>
      <c r="P1041" s="92"/>
      <c r="Q1041" s="92"/>
      <c r="R1041" s="92"/>
      <c r="S1041" s="92"/>
      <c r="T1041" s="92"/>
      <c r="U1041" s="92"/>
      <c r="V1041" s="92"/>
      <c r="W1041" s="92"/>
      <c r="X1041" s="92"/>
      <c r="Y1041" s="92"/>
      <c r="Z1041" s="92"/>
      <c r="AA1041" s="92"/>
      <c r="AB1041" s="92"/>
      <c r="AC1041" s="92"/>
      <c r="AD1041" s="93">
        <v>6.84</v>
      </c>
      <c r="AE1041" s="92"/>
      <c r="AF1041" s="92"/>
      <c r="AG1041" s="93">
        <v>141.38999999999999</v>
      </c>
      <c r="AH1041" s="93">
        <v>0</v>
      </c>
    </row>
    <row r="1042" spans="1:34" ht="15.75" thickBot="1" x14ac:dyDescent="0.3">
      <c r="A1042" s="90" t="s">
        <v>871</v>
      </c>
      <c r="B1042" s="90" t="s">
        <v>29</v>
      </c>
      <c r="C1042" s="90" t="s">
        <v>30</v>
      </c>
      <c r="D1042" s="90" t="s">
        <v>17</v>
      </c>
      <c r="E1042" s="90" t="s">
        <v>196</v>
      </c>
      <c r="F1042" s="90" t="s">
        <v>686</v>
      </c>
      <c r="G1042" s="95">
        <v>204.08</v>
      </c>
      <c r="H1042" s="94"/>
      <c r="I1042" s="94"/>
      <c r="J1042" s="94"/>
      <c r="K1042" s="94"/>
      <c r="L1042" s="94"/>
      <c r="M1042" s="94"/>
      <c r="N1042" s="94"/>
      <c r="O1042" s="94"/>
      <c r="P1042" s="95">
        <v>204.08</v>
      </c>
      <c r="Q1042" s="94"/>
      <c r="R1042" s="94"/>
      <c r="S1042" s="94"/>
      <c r="T1042" s="94"/>
      <c r="U1042" s="94"/>
      <c r="V1042" s="94"/>
      <c r="W1042" s="94"/>
      <c r="X1042" s="94"/>
      <c r="Y1042" s="94"/>
      <c r="Z1042" s="94"/>
      <c r="AA1042" s="94"/>
      <c r="AB1042" s="94"/>
      <c r="AC1042" s="94"/>
      <c r="AD1042" s="95">
        <v>12.87</v>
      </c>
      <c r="AE1042" s="94"/>
      <c r="AF1042" s="94"/>
      <c r="AG1042" s="95">
        <v>216.95</v>
      </c>
      <c r="AH1042" s="95">
        <v>0</v>
      </c>
    </row>
    <row r="1043" spans="1:34" ht="15.75" thickBot="1" x14ac:dyDescent="0.3">
      <c r="A1043" s="90" t="s">
        <v>871</v>
      </c>
      <c r="B1043" s="90" t="s">
        <v>29</v>
      </c>
      <c r="C1043" s="90" t="s">
        <v>30</v>
      </c>
      <c r="D1043" s="90" t="s">
        <v>17</v>
      </c>
      <c r="E1043" s="90" t="s">
        <v>196</v>
      </c>
      <c r="F1043" s="90" t="s">
        <v>697</v>
      </c>
      <c r="G1043" s="93">
        <v>204.08</v>
      </c>
      <c r="H1043" s="92"/>
      <c r="I1043" s="92"/>
      <c r="J1043" s="92"/>
      <c r="K1043" s="92"/>
      <c r="L1043" s="92"/>
      <c r="M1043" s="92"/>
      <c r="N1043" s="92"/>
      <c r="O1043" s="92"/>
      <c r="P1043" s="93">
        <v>204.08</v>
      </c>
      <c r="Q1043" s="92"/>
      <c r="R1043" s="92"/>
      <c r="S1043" s="92"/>
      <c r="T1043" s="92"/>
      <c r="U1043" s="92"/>
      <c r="V1043" s="92"/>
      <c r="W1043" s="92"/>
      <c r="X1043" s="92"/>
      <c r="Y1043" s="92"/>
      <c r="Z1043" s="92"/>
      <c r="AA1043" s="92"/>
      <c r="AB1043" s="92"/>
      <c r="AC1043" s="92"/>
      <c r="AD1043" s="93">
        <v>12.87</v>
      </c>
      <c r="AE1043" s="92"/>
      <c r="AF1043" s="92"/>
      <c r="AG1043" s="93">
        <v>216.95</v>
      </c>
      <c r="AH1043" s="93">
        <v>0</v>
      </c>
    </row>
    <row r="1044" spans="1:34" ht="15.75" thickBot="1" x14ac:dyDescent="0.3">
      <c r="A1044" s="90" t="s">
        <v>999</v>
      </c>
      <c r="B1044" s="90" t="s">
        <v>26</v>
      </c>
      <c r="C1044" s="90" t="s">
        <v>875</v>
      </c>
      <c r="D1044" s="90" t="s">
        <v>17</v>
      </c>
      <c r="E1044" s="90" t="s">
        <v>919</v>
      </c>
      <c r="F1044" s="90" t="s">
        <v>686</v>
      </c>
      <c r="G1044" s="93">
        <v>0.91</v>
      </c>
      <c r="H1044" s="92"/>
      <c r="I1044" s="93">
        <v>0.91</v>
      </c>
      <c r="J1044" s="92"/>
      <c r="K1044" s="92"/>
      <c r="L1044" s="92"/>
      <c r="M1044" s="92"/>
      <c r="N1044" s="92"/>
      <c r="O1044" s="92"/>
      <c r="P1044" s="92"/>
      <c r="Q1044" s="92"/>
      <c r="R1044" s="92"/>
      <c r="S1044" s="92"/>
      <c r="T1044" s="92"/>
      <c r="U1044" s="92"/>
      <c r="V1044" s="92"/>
      <c r="W1044" s="92"/>
      <c r="X1044" s="92"/>
      <c r="Y1044" s="92"/>
      <c r="Z1044" s="92"/>
      <c r="AA1044" s="92"/>
      <c r="AB1044" s="92"/>
      <c r="AC1044" s="92"/>
      <c r="AD1044" s="93">
        <v>7.0000000000000007E-2</v>
      </c>
      <c r="AE1044" s="92"/>
      <c r="AF1044" s="92"/>
      <c r="AG1044" s="93">
        <v>0.98</v>
      </c>
      <c r="AH1044" s="93">
        <v>0</v>
      </c>
    </row>
    <row r="1045" spans="1:34" ht="15.75" thickBot="1" x14ac:dyDescent="0.3">
      <c r="A1045" s="90" t="s">
        <v>999</v>
      </c>
      <c r="B1045" s="90" t="s">
        <v>26</v>
      </c>
      <c r="C1045" s="90" t="s">
        <v>875</v>
      </c>
      <c r="D1045" s="90" t="s">
        <v>17</v>
      </c>
      <c r="E1045" s="90" t="s">
        <v>919</v>
      </c>
      <c r="F1045" s="90" t="s">
        <v>697</v>
      </c>
      <c r="G1045" s="95">
        <v>0.91</v>
      </c>
      <c r="H1045" s="94"/>
      <c r="I1045" s="95">
        <v>0.91</v>
      </c>
      <c r="J1045" s="94"/>
      <c r="K1045" s="94"/>
      <c r="L1045" s="94"/>
      <c r="M1045" s="94"/>
      <c r="N1045" s="94"/>
      <c r="O1045" s="94"/>
      <c r="P1045" s="94"/>
      <c r="Q1045" s="94"/>
      <c r="R1045" s="94"/>
      <c r="S1045" s="94"/>
      <c r="T1045" s="94"/>
      <c r="U1045" s="94"/>
      <c r="V1045" s="94"/>
      <c r="W1045" s="94"/>
      <c r="X1045" s="94"/>
      <c r="Y1045" s="94"/>
      <c r="Z1045" s="94"/>
      <c r="AA1045" s="94"/>
      <c r="AB1045" s="94"/>
      <c r="AC1045" s="94"/>
      <c r="AD1045" s="95">
        <v>7.0000000000000007E-2</v>
      </c>
      <c r="AE1045" s="94"/>
      <c r="AF1045" s="94"/>
      <c r="AG1045" s="95">
        <v>0.98</v>
      </c>
      <c r="AH1045" s="95">
        <v>0</v>
      </c>
    </row>
    <row r="1046" spans="1:34" ht="15.75" thickBot="1" x14ac:dyDescent="0.3">
      <c r="A1046" s="90" t="s">
        <v>999</v>
      </c>
      <c r="B1046" s="90" t="s">
        <v>26</v>
      </c>
      <c r="C1046" s="90" t="s">
        <v>875</v>
      </c>
      <c r="D1046" s="90" t="s">
        <v>17</v>
      </c>
      <c r="E1046" s="90" t="s">
        <v>726</v>
      </c>
      <c r="F1046" s="90" t="s">
        <v>686</v>
      </c>
      <c r="G1046" s="92"/>
      <c r="H1046" s="92"/>
      <c r="I1046" s="92"/>
      <c r="J1046" s="92"/>
      <c r="K1046" s="92"/>
      <c r="L1046" s="92"/>
      <c r="M1046" s="92"/>
      <c r="N1046" s="92"/>
      <c r="O1046" s="92"/>
      <c r="P1046" s="92"/>
      <c r="Q1046" s="92"/>
      <c r="R1046" s="92"/>
      <c r="S1046" s="92"/>
      <c r="T1046" s="92"/>
      <c r="U1046" s="92"/>
      <c r="V1046" s="92"/>
      <c r="W1046" s="92"/>
      <c r="X1046" s="92"/>
      <c r="Y1046" s="92"/>
      <c r="Z1046" s="92"/>
      <c r="AA1046" s="92"/>
      <c r="AB1046" s="92"/>
      <c r="AC1046" s="93">
        <v>841.75</v>
      </c>
      <c r="AD1046" s="93">
        <v>44.91</v>
      </c>
      <c r="AE1046" s="92"/>
      <c r="AF1046" s="92"/>
      <c r="AG1046" s="93">
        <v>886.66</v>
      </c>
      <c r="AH1046" s="93">
        <v>0</v>
      </c>
    </row>
    <row r="1047" spans="1:34" ht="15.75" thickBot="1" x14ac:dyDescent="0.3">
      <c r="A1047" s="90" t="s">
        <v>999</v>
      </c>
      <c r="B1047" s="90" t="s">
        <v>26</v>
      </c>
      <c r="C1047" s="90" t="s">
        <v>875</v>
      </c>
      <c r="D1047" s="90" t="s">
        <v>17</v>
      </c>
      <c r="E1047" s="90" t="s">
        <v>726</v>
      </c>
      <c r="F1047" s="90" t="s">
        <v>697</v>
      </c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  <c r="S1047" s="94"/>
      <c r="T1047" s="94"/>
      <c r="U1047" s="94"/>
      <c r="V1047" s="94"/>
      <c r="W1047" s="94"/>
      <c r="X1047" s="94"/>
      <c r="Y1047" s="94"/>
      <c r="Z1047" s="94"/>
      <c r="AA1047" s="94"/>
      <c r="AB1047" s="94"/>
      <c r="AC1047" s="95">
        <v>841.75</v>
      </c>
      <c r="AD1047" s="95">
        <v>44.91</v>
      </c>
      <c r="AE1047" s="94"/>
      <c r="AF1047" s="94"/>
      <c r="AG1047" s="95">
        <v>886.66</v>
      </c>
      <c r="AH1047" s="95">
        <v>0</v>
      </c>
    </row>
    <row r="1048" spans="1:34" ht="15.75" thickBot="1" x14ac:dyDescent="0.3">
      <c r="A1048" s="90" t="s">
        <v>999</v>
      </c>
      <c r="B1048" s="90" t="s">
        <v>26</v>
      </c>
      <c r="C1048" s="90" t="s">
        <v>875</v>
      </c>
      <c r="D1048" s="90" t="s">
        <v>17</v>
      </c>
      <c r="E1048" s="90" t="s">
        <v>528</v>
      </c>
      <c r="F1048" s="90" t="s">
        <v>686</v>
      </c>
      <c r="G1048" s="93">
        <v>1065935.46</v>
      </c>
      <c r="H1048" s="92"/>
      <c r="I1048" s="93">
        <v>1065935.46</v>
      </c>
      <c r="J1048" s="92"/>
      <c r="K1048" s="92"/>
      <c r="L1048" s="92"/>
      <c r="M1048" s="92"/>
      <c r="N1048" s="92"/>
      <c r="O1048" s="92"/>
      <c r="P1048" s="92"/>
      <c r="Q1048" s="92"/>
      <c r="R1048" s="92"/>
      <c r="S1048" s="92"/>
      <c r="T1048" s="92"/>
      <c r="U1048" s="92"/>
      <c r="V1048" s="92"/>
      <c r="W1048" s="92"/>
      <c r="X1048" s="92"/>
      <c r="Y1048" s="92"/>
      <c r="Z1048" s="92"/>
      <c r="AA1048" s="92"/>
      <c r="AB1048" s="92"/>
      <c r="AC1048" s="92"/>
      <c r="AD1048" s="93">
        <v>62589.919999999998</v>
      </c>
      <c r="AE1048" s="92"/>
      <c r="AF1048" s="92"/>
      <c r="AG1048" s="93">
        <v>1128525.3799999999</v>
      </c>
      <c r="AH1048" s="93">
        <v>0</v>
      </c>
    </row>
    <row r="1049" spans="1:34" ht="15.75" thickBot="1" x14ac:dyDescent="0.3">
      <c r="A1049" s="90" t="s">
        <v>999</v>
      </c>
      <c r="B1049" s="90" t="s">
        <v>26</v>
      </c>
      <c r="C1049" s="90" t="s">
        <v>875</v>
      </c>
      <c r="D1049" s="90" t="s">
        <v>17</v>
      </c>
      <c r="E1049" s="90" t="s">
        <v>528</v>
      </c>
      <c r="F1049" s="90" t="s">
        <v>697</v>
      </c>
      <c r="G1049" s="95">
        <v>1065935.46</v>
      </c>
      <c r="H1049" s="94"/>
      <c r="I1049" s="95">
        <v>1065935.46</v>
      </c>
      <c r="J1049" s="94"/>
      <c r="K1049" s="94"/>
      <c r="L1049" s="94"/>
      <c r="M1049" s="94"/>
      <c r="N1049" s="94"/>
      <c r="O1049" s="94"/>
      <c r="P1049" s="94"/>
      <c r="Q1049" s="94"/>
      <c r="R1049" s="94"/>
      <c r="S1049" s="94"/>
      <c r="T1049" s="94"/>
      <c r="U1049" s="94"/>
      <c r="V1049" s="94"/>
      <c r="W1049" s="94"/>
      <c r="X1049" s="94"/>
      <c r="Y1049" s="94"/>
      <c r="Z1049" s="94"/>
      <c r="AA1049" s="94"/>
      <c r="AB1049" s="94"/>
      <c r="AC1049" s="94"/>
      <c r="AD1049" s="95">
        <v>62589.919999999998</v>
      </c>
      <c r="AE1049" s="94"/>
      <c r="AF1049" s="94"/>
      <c r="AG1049" s="95">
        <v>1128525.3799999999</v>
      </c>
      <c r="AH1049" s="95">
        <v>0</v>
      </c>
    </row>
    <row r="1050" spans="1:34" ht="15.75" thickBot="1" x14ac:dyDescent="0.3">
      <c r="A1050" s="90" t="s">
        <v>999</v>
      </c>
      <c r="B1050" s="90" t="s">
        <v>26</v>
      </c>
      <c r="C1050" s="90" t="s">
        <v>875</v>
      </c>
      <c r="D1050" s="90" t="s">
        <v>17</v>
      </c>
      <c r="E1050" s="90" t="s">
        <v>518</v>
      </c>
      <c r="F1050" s="90" t="s">
        <v>686</v>
      </c>
      <c r="G1050" s="93">
        <v>612106.86</v>
      </c>
      <c r="H1050" s="93">
        <v>3082612</v>
      </c>
      <c r="I1050" s="92"/>
      <c r="J1050" s="92"/>
      <c r="K1050" s="93">
        <v>612106.86</v>
      </c>
      <c r="L1050" s="92"/>
      <c r="M1050" s="92"/>
      <c r="N1050" s="92"/>
      <c r="O1050" s="92"/>
      <c r="P1050" s="92"/>
      <c r="Q1050" s="92"/>
      <c r="R1050" s="92"/>
      <c r="S1050" s="92"/>
      <c r="T1050" s="92"/>
      <c r="U1050" s="92"/>
      <c r="V1050" s="92"/>
      <c r="W1050" s="92"/>
      <c r="X1050" s="92"/>
      <c r="Y1050" s="92"/>
      <c r="Z1050" s="92"/>
      <c r="AA1050" s="92"/>
      <c r="AB1050" s="92"/>
      <c r="AC1050" s="92"/>
      <c r="AD1050" s="93">
        <v>34041.89</v>
      </c>
      <c r="AE1050" s="92"/>
      <c r="AF1050" s="92"/>
      <c r="AG1050" s="93">
        <v>646148.75</v>
      </c>
      <c r="AH1050" s="93">
        <v>0</v>
      </c>
    </row>
    <row r="1051" spans="1:34" ht="15.75" thickBot="1" x14ac:dyDescent="0.3">
      <c r="A1051" s="90" t="s">
        <v>999</v>
      </c>
      <c r="B1051" s="90" t="s">
        <v>26</v>
      </c>
      <c r="C1051" s="90" t="s">
        <v>875</v>
      </c>
      <c r="D1051" s="90" t="s">
        <v>17</v>
      </c>
      <c r="E1051" s="90" t="s">
        <v>518</v>
      </c>
      <c r="F1051" s="90" t="s">
        <v>697</v>
      </c>
      <c r="G1051" s="95">
        <v>612106.86</v>
      </c>
      <c r="H1051" s="305">
        <v>3082612</v>
      </c>
      <c r="I1051" s="94"/>
      <c r="J1051" s="94"/>
      <c r="K1051" s="95">
        <v>612106.86</v>
      </c>
      <c r="L1051" s="94"/>
      <c r="M1051" s="94"/>
      <c r="N1051" s="94"/>
      <c r="O1051" s="94"/>
      <c r="P1051" s="94"/>
      <c r="Q1051" s="94"/>
      <c r="R1051" s="94"/>
      <c r="S1051" s="94"/>
      <c r="T1051" s="94"/>
      <c r="U1051" s="94"/>
      <c r="V1051" s="94"/>
      <c r="W1051" s="94"/>
      <c r="X1051" s="94"/>
      <c r="Y1051" s="94"/>
      <c r="Z1051" s="94"/>
      <c r="AA1051" s="94"/>
      <c r="AB1051" s="94"/>
      <c r="AC1051" s="94"/>
      <c r="AD1051" s="95">
        <v>34041.89</v>
      </c>
      <c r="AE1051" s="94"/>
      <c r="AF1051" s="94"/>
      <c r="AG1051" s="95">
        <v>646148.75</v>
      </c>
      <c r="AH1051" s="95">
        <v>0</v>
      </c>
    </row>
    <row r="1052" spans="1:34" ht="15.75" thickBot="1" x14ac:dyDescent="0.3">
      <c r="A1052" s="90" t="s">
        <v>999</v>
      </c>
      <c r="B1052" s="90" t="s">
        <v>26</v>
      </c>
      <c r="C1052" s="90" t="s">
        <v>875</v>
      </c>
      <c r="D1052" s="90" t="s">
        <v>17</v>
      </c>
      <c r="E1052" s="90" t="s">
        <v>727</v>
      </c>
      <c r="F1052" s="90" t="s">
        <v>686</v>
      </c>
      <c r="G1052" s="93">
        <v>1747.63</v>
      </c>
      <c r="H1052" s="92"/>
      <c r="I1052" s="92"/>
      <c r="J1052" s="92"/>
      <c r="K1052" s="92"/>
      <c r="L1052" s="92"/>
      <c r="M1052" s="92"/>
      <c r="N1052" s="92"/>
      <c r="O1052" s="93">
        <v>1747.63</v>
      </c>
      <c r="P1052" s="92"/>
      <c r="Q1052" s="92"/>
      <c r="R1052" s="92"/>
      <c r="S1052" s="92"/>
      <c r="T1052" s="92"/>
      <c r="U1052" s="92"/>
      <c r="V1052" s="92"/>
      <c r="W1052" s="92"/>
      <c r="X1052" s="92"/>
      <c r="Y1052" s="92"/>
      <c r="Z1052" s="92"/>
      <c r="AA1052" s="92"/>
      <c r="AB1052" s="92"/>
      <c r="AC1052" s="92"/>
      <c r="AD1052" s="93">
        <v>88.1</v>
      </c>
      <c r="AE1052" s="92"/>
      <c r="AF1052" s="92"/>
      <c r="AG1052" s="93">
        <v>1835.73</v>
      </c>
      <c r="AH1052" s="93">
        <v>0</v>
      </c>
    </row>
    <row r="1053" spans="1:34" ht="15.75" thickBot="1" x14ac:dyDescent="0.3">
      <c r="A1053" s="90" t="s">
        <v>999</v>
      </c>
      <c r="B1053" s="90" t="s">
        <v>26</v>
      </c>
      <c r="C1053" s="90" t="s">
        <v>875</v>
      </c>
      <c r="D1053" s="90" t="s">
        <v>17</v>
      </c>
      <c r="E1053" s="90" t="s">
        <v>727</v>
      </c>
      <c r="F1053" s="90" t="s">
        <v>697</v>
      </c>
      <c r="G1053" s="95">
        <v>1747.63</v>
      </c>
      <c r="H1053" s="94"/>
      <c r="I1053" s="94"/>
      <c r="J1053" s="94"/>
      <c r="K1053" s="94"/>
      <c r="L1053" s="94"/>
      <c r="M1053" s="94"/>
      <c r="N1053" s="94"/>
      <c r="O1053" s="95">
        <v>1747.63</v>
      </c>
      <c r="P1053" s="94"/>
      <c r="Q1053" s="94"/>
      <c r="R1053" s="94"/>
      <c r="S1053" s="94"/>
      <c r="T1053" s="94"/>
      <c r="U1053" s="94"/>
      <c r="V1053" s="94"/>
      <c r="W1053" s="94"/>
      <c r="X1053" s="94"/>
      <c r="Y1053" s="94"/>
      <c r="Z1053" s="94"/>
      <c r="AA1053" s="94"/>
      <c r="AB1053" s="94"/>
      <c r="AC1053" s="94"/>
      <c r="AD1053" s="95">
        <v>88.1</v>
      </c>
      <c r="AE1053" s="94"/>
      <c r="AF1053" s="94"/>
      <c r="AG1053" s="95">
        <v>1835.73</v>
      </c>
      <c r="AH1053" s="95">
        <v>0</v>
      </c>
    </row>
    <row r="1054" spans="1:34" ht="15.75" thickBot="1" x14ac:dyDescent="0.3">
      <c r="A1054" s="90" t="s">
        <v>999</v>
      </c>
      <c r="B1054" s="90" t="s">
        <v>26</v>
      </c>
      <c r="C1054" s="90" t="s">
        <v>875</v>
      </c>
      <c r="D1054" s="90" t="s">
        <v>17</v>
      </c>
      <c r="E1054" s="90" t="s">
        <v>673</v>
      </c>
      <c r="F1054" s="90" t="s">
        <v>686</v>
      </c>
      <c r="G1054" s="93">
        <v>650748.88</v>
      </c>
      <c r="H1054" s="92"/>
      <c r="I1054" s="92"/>
      <c r="J1054" s="92"/>
      <c r="K1054" s="92"/>
      <c r="L1054" s="92"/>
      <c r="M1054" s="92"/>
      <c r="N1054" s="92"/>
      <c r="O1054" s="92"/>
      <c r="P1054" s="92"/>
      <c r="Q1054" s="92"/>
      <c r="R1054" s="92"/>
      <c r="S1054" s="92"/>
      <c r="T1054" s="92"/>
      <c r="U1054" s="92"/>
      <c r="V1054" s="92"/>
      <c r="W1054" s="92"/>
      <c r="X1054" s="93">
        <v>650748.88</v>
      </c>
      <c r="Y1054" s="92"/>
      <c r="Z1054" s="92"/>
      <c r="AA1054" s="92"/>
      <c r="AB1054" s="92"/>
      <c r="AC1054" s="92"/>
      <c r="AD1054" s="93">
        <v>38950.959999999999</v>
      </c>
      <c r="AE1054" s="92"/>
      <c r="AF1054" s="92"/>
      <c r="AG1054" s="93">
        <v>689699.83999999997</v>
      </c>
      <c r="AH1054" s="93">
        <v>0</v>
      </c>
    </row>
    <row r="1055" spans="1:34" ht="15.75" thickBot="1" x14ac:dyDescent="0.3">
      <c r="A1055" s="90" t="s">
        <v>999</v>
      </c>
      <c r="B1055" s="90" t="s">
        <v>26</v>
      </c>
      <c r="C1055" s="90" t="s">
        <v>875</v>
      </c>
      <c r="D1055" s="90" t="s">
        <v>17</v>
      </c>
      <c r="E1055" s="90" t="s">
        <v>673</v>
      </c>
      <c r="F1055" s="90" t="s">
        <v>697</v>
      </c>
      <c r="G1055" s="95">
        <v>650748.88</v>
      </c>
      <c r="H1055" s="94"/>
      <c r="I1055" s="94"/>
      <c r="J1055" s="94"/>
      <c r="K1055" s="94"/>
      <c r="L1055" s="94"/>
      <c r="M1055" s="94"/>
      <c r="N1055" s="94"/>
      <c r="O1055" s="94"/>
      <c r="P1055" s="94"/>
      <c r="Q1055" s="94"/>
      <c r="R1055" s="94"/>
      <c r="S1055" s="94"/>
      <c r="T1055" s="94"/>
      <c r="U1055" s="94"/>
      <c r="V1055" s="94"/>
      <c r="W1055" s="94"/>
      <c r="X1055" s="95">
        <v>650748.88</v>
      </c>
      <c r="Y1055" s="94"/>
      <c r="Z1055" s="94"/>
      <c r="AA1055" s="94"/>
      <c r="AB1055" s="94"/>
      <c r="AC1055" s="94"/>
      <c r="AD1055" s="95">
        <v>38950.959999999999</v>
      </c>
      <c r="AE1055" s="94"/>
      <c r="AF1055" s="94"/>
      <c r="AG1055" s="95">
        <v>689699.83999999997</v>
      </c>
      <c r="AH1055" s="95">
        <v>0</v>
      </c>
    </row>
    <row r="1056" spans="1:34" ht="15.75" thickBot="1" x14ac:dyDescent="0.3">
      <c r="A1056" s="90" t="s">
        <v>999</v>
      </c>
      <c r="B1056" s="90" t="s">
        <v>26</v>
      </c>
      <c r="C1056" s="90" t="s">
        <v>875</v>
      </c>
      <c r="D1056" s="90" t="s">
        <v>17</v>
      </c>
      <c r="E1056" s="90" t="s">
        <v>196</v>
      </c>
      <c r="F1056" s="90" t="s">
        <v>686</v>
      </c>
      <c r="G1056" s="93">
        <v>1079878.3500000001</v>
      </c>
      <c r="H1056" s="92"/>
      <c r="I1056" s="92"/>
      <c r="J1056" s="92"/>
      <c r="K1056" s="92"/>
      <c r="L1056" s="92"/>
      <c r="M1056" s="92"/>
      <c r="N1056" s="92"/>
      <c r="O1056" s="92"/>
      <c r="P1056" s="93">
        <v>1079878.3500000001</v>
      </c>
      <c r="Q1056" s="92"/>
      <c r="R1056" s="92"/>
      <c r="S1056" s="92"/>
      <c r="T1056" s="92"/>
      <c r="U1056" s="92"/>
      <c r="V1056" s="92"/>
      <c r="W1056" s="92"/>
      <c r="X1056" s="92"/>
      <c r="Y1056" s="92"/>
      <c r="Z1056" s="92"/>
      <c r="AA1056" s="92"/>
      <c r="AB1056" s="92"/>
      <c r="AC1056" s="92"/>
      <c r="AD1056" s="93">
        <v>59579.34</v>
      </c>
      <c r="AE1056" s="92"/>
      <c r="AF1056" s="92"/>
      <c r="AG1056" s="93">
        <v>1139457.69</v>
      </c>
      <c r="AH1056" s="93">
        <v>0</v>
      </c>
    </row>
    <row r="1057" spans="1:34" ht="15.75" thickBot="1" x14ac:dyDescent="0.3">
      <c r="A1057" s="90" t="s">
        <v>999</v>
      </c>
      <c r="B1057" s="90" t="s">
        <v>26</v>
      </c>
      <c r="C1057" s="90" t="s">
        <v>875</v>
      </c>
      <c r="D1057" s="90" t="s">
        <v>17</v>
      </c>
      <c r="E1057" s="90" t="s">
        <v>196</v>
      </c>
      <c r="F1057" s="90" t="s">
        <v>697</v>
      </c>
      <c r="G1057" s="95">
        <v>1079878.3500000001</v>
      </c>
      <c r="H1057" s="94"/>
      <c r="I1057" s="94"/>
      <c r="J1057" s="94"/>
      <c r="K1057" s="94"/>
      <c r="L1057" s="94"/>
      <c r="M1057" s="94"/>
      <c r="N1057" s="94"/>
      <c r="O1057" s="94"/>
      <c r="P1057" s="95">
        <v>1079878.3500000001</v>
      </c>
      <c r="Q1057" s="94"/>
      <c r="R1057" s="94"/>
      <c r="S1057" s="94"/>
      <c r="T1057" s="94"/>
      <c r="U1057" s="94"/>
      <c r="V1057" s="94"/>
      <c r="W1057" s="94"/>
      <c r="X1057" s="94"/>
      <c r="Y1057" s="94"/>
      <c r="Z1057" s="94"/>
      <c r="AA1057" s="94"/>
      <c r="AB1057" s="94"/>
      <c r="AC1057" s="94"/>
      <c r="AD1057" s="95">
        <v>59579.34</v>
      </c>
      <c r="AE1057" s="94"/>
      <c r="AF1057" s="94"/>
      <c r="AG1057" s="95">
        <v>1139457.69</v>
      </c>
      <c r="AH1057" s="95">
        <v>0</v>
      </c>
    </row>
    <row r="1058" spans="1:34" ht="15.75" thickBot="1" x14ac:dyDescent="0.3">
      <c r="A1058" s="90" t="s">
        <v>999</v>
      </c>
      <c r="B1058" s="90" t="s">
        <v>26</v>
      </c>
      <c r="C1058" s="90" t="s">
        <v>875</v>
      </c>
      <c r="D1058" s="90" t="s">
        <v>17</v>
      </c>
      <c r="E1058" s="90" t="s">
        <v>674</v>
      </c>
      <c r="F1058" s="90" t="s">
        <v>686</v>
      </c>
      <c r="G1058" s="93">
        <v>-211.08</v>
      </c>
      <c r="H1058" s="92"/>
      <c r="I1058" s="92"/>
      <c r="J1058" s="92"/>
      <c r="K1058" s="92"/>
      <c r="L1058" s="92"/>
      <c r="M1058" s="92"/>
      <c r="N1058" s="92"/>
      <c r="O1058" s="92"/>
      <c r="P1058" s="92"/>
      <c r="Q1058" s="92"/>
      <c r="R1058" s="92"/>
      <c r="S1058" s="92"/>
      <c r="T1058" s="92"/>
      <c r="U1058" s="92"/>
      <c r="V1058" s="92"/>
      <c r="W1058" s="92"/>
      <c r="X1058" s="92"/>
      <c r="Y1058" s="93">
        <v>-211.08</v>
      </c>
      <c r="Z1058" s="92"/>
      <c r="AA1058" s="92"/>
      <c r="AB1058" s="92"/>
      <c r="AC1058" s="92"/>
      <c r="AD1058" s="93">
        <v>-8.43</v>
      </c>
      <c r="AE1058" s="92"/>
      <c r="AF1058" s="92"/>
      <c r="AG1058" s="93">
        <v>-219.51</v>
      </c>
      <c r="AH1058" s="93">
        <v>0</v>
      </c>
    </row>
    <row r="1059" spans="1:34" ht="15.75" thickBot="1" x14ac:dyDescent="0.3">
      <c r="A1059" s="90" t="s">
        <v>999</v>
      </c>
      <c r="B1059" s="90" t="s">
        <v>26</v>
      </c>
      <c r="C1059" s="90" t="s">
        <v>875</v>
      </c>
      <c r="D1059" s="90" t="s">
        <v>17</v>
      </c>
      <c r="E1059" s="90" t="s">
        <v>674</v>
      </c>
      <c r="F1059" s="90" t="s">
        <v>697</v>
      </c>
      <c r="G1059" s="95">
        <v>-211.08</v>
      </c>
      <c r="H1059" s="94"/>
      <c r="I1059" s="94"/>
      <c r="J1059" s="94"/>
      <c r="K1059" s="94"/>
      <c r="L1059" s="94"/>
      <c r="M1059" s="94"/>
      <c r="N1059" s="94"/>
      <c r="O1059" s="94"/>
      <c r="P1059" s="94"/>
      <c r="Q1059" s="94"/>
      <c r="R1059" s="94"/>
      <c r="S1059" s="94"/>
      <c r="T1059" s="94"/>
      <c r="U1059" s="94"/>
      <c r="V1059" s="94"/>
      <c r="W1059" s="94"/>
      <c r="X1059" s="94"/>
      <c r="Y1059" s="95">
        <v>-211.08</v>
      </c>
      <c r="Z1059" s="94"/>
      <c r="AA1059" s="94"/>
      <c r="AB1059" s="94"/>
      <c r="AC1059" s="94"/>
      <c r="AD1059" s="95">
        <v>-8.43</v>
      </c>
      <c r="AE1059" s="94"/>
      <c r="AF1059" s="94"/>
      <c r="AG1059" s="95">
        <v>-219.51</v>
      </c>
      <c r="AH1059" s="95">
        <v>0</v>
      </c>
    </row>
    <row r="1060" spans="1:34" ht="15.75" thickBot="1" x14ac:dyDescent="0.3">
      <c r="A1060" s="90" t="s">
        <v>999</v>
      </c>
      <c r="B1060" s="90" t="s">
        <v>26</v>
      </c>
      <c r="C1060" s="90" t="s">
        <v>875</v>
      </c>
      <c r="D1060" s="90" t="s">
        <v>20</v>
      </c>
      <c r="E1060" s="90" t="s">
        <v>726</v>
      </c>
      <c r="F1060" s="90" t="s">
        <v>686</v>
      </c>
      <c r="G1060" s="92"/>
      <c r="H1060" s="92"/>
      <c r="I1060" s="92"/>
      <c r="J1060" s="92"/>
      <c r="K1060" s="92"/>
      <c r="L1060" s="92"/>
      <c r="M1060" s="92"/>
      <c r="N1060" s="92"/>
      <c r="O1060" s="92"/>
      <c r="P1060" s="92"/>
      <c r="Q1060" s="92"/>
      <c r="R1060" s="92"/>
      <c r="S1060" s="92"/>
      <c r="T1060" s="92"/>
      <c r="U1060" s="92"/>
      <c r="V1060" s="92"/>
      <c r="W1060" s="92"/>
      <c r="X1060" s="92"/>
      <c r="Y1060" s="92"/>
      <c r="Z1060" s="92"/>
      <c r="AA1060" s="92"/>
      <c r="AB1060" s="92"/>
      <c r="AC1060" s="93">
        <v>105.8</v>
      </c>
      <c r="AD1060" s="93">
        <v>0</v>
      </c>
      <c r="AE1060" s="92"/>
      <c r="AF1060" s="92"/>
      <c r="AG1060" s="93">
        <v>105.8</v>
      </c>
      <c r="AH1060" s="93">
        <v>0</v>
      </c>
    </row>
    <row r="1061" spans="1:34" ht="15.75" thickBot="1" x14ac:dyDescent="0.3">
      <c r="A1061" s="90" t="s">
        <v>999</v>
      </c>
      <c r="B1061" s="90" t="s">
        <v>26</v>
      </c>
      <c r="C1061" s="90" t="s">
        <v>875</v>
      </c>
      <c r="D1061" s="90" t="s">
        <v>20</v>
      </c>
      <c r="E1061" s="90" t="s">
        <v>726</v>
      </c>
      <c r="F1061" s="90" t="s">
        <v>697</v>
      </c>
      <c r="G1061" s="94"/>
      <c r="H1061" s="94"/>
      <c r="I1061" s="94"/>
      <c r="J1061" s="94"/>
      <c r="K1061" s="94"/>
      <c r="L1061" s="94"/>
      <c r="M1061" s="94"/>
      <c r="N1061" s="94"/>
      <c r="O1061" s="94"/>
      <c r="P1061" s="94"/>
      <c r="Q1061" s="94"/>
      <c r="R1061" s="94"/>
      <c r="S1061" s="94"/>
      <c r="T1061" s="94"/>
      <c r="U1061" s="94"/>
      <c r="V1061" s="94"/>
      <c r="W1061" s="94"/>
      <c r="X1061" s="94"/>
      <c r="Y1061" s="94"/>
      <c r="Z1061" s="94"/>
      <c r="AA1061" s="94"/>
      <c r="AB1061" s="94"/>
      <c r="AC1061" s="95">
        <v>105.8</v>
      </c>
      <c r="AD1061" s="95">
        <v>0</v>
      </c>
      <c r="AE1061" s="94"/>
      <c r="AF1061" s="94"/>
      <c r="AG1061" s="95">
        <v>105.8</v>
      </c>
      <c r="AH1061" s="95">
        <v>0</v>
      </c>
    </row>
    <row r="1062" spans="1:34" ht="15.75" thickBot="1" x14ac:dyDescent="0.3">
      <c r="A1062" s="90" t="s">
        <v>999</v>
      </c>
      <c r="B1062" s="90" t="s">
        <v>26</v>
      </c>
      <c r="C1062" s="90" t="s">
        <v>875</v>
      </c>
      <c r="D1062" s="90" t="s">
        <v>20</v>
      </c>
      <c r="E1062" s="90" t="s">
        <v>528</v>
      </c>
      <c r="F1062" s="90" t="s">
        <v>686</v>
      </c>
      <c r="G1062" s="93">
        <v>81023.33</v>
      </c>
      <c r="H1062" s="92"/>
      <c r="I1062" s="93">
        <v>81023.33</v>
      </c>
      <c r="J1062" s="92"/>
      <c r="K1062" s="92"/>
      <c r="L1062" s="92"/>
      <c r="M1062" s="92"/>
      <c r="N1062" s="92"/>
      <c r="O1062" s="92"/>
      <c r="P1062" s="92"/>
      <c r="Q1062" s="92"/>
      <c r="R1062" s="92"/>
      <c r="S1062" s="92"/>
      <c r="T1062" s="92"/>
      <c r="U1062" s="92"/>
      <c r="V1062" s="92"/>
      <c r="W1062" s="92"/>
      <c r="X1062" s="92"/>
      <c r="Y1062" s="92"/>
      <c r="Z1062" s="92"/>
      <c r="AA1062" s="92"/>
      <c r="AB1062" s="92"/>
      <c r="AC1062" s="92"/>
      <c r="AD1062" s="93">
        <v>601.45000000000005</v>
      </c>
      <c r="AE1062" s="92"/>
      <c r="AF1062" s="92"/>
      <c r="AG1062" s="93">
        <v>81624.78</v>
      </c>
      <c r="AH1062" s="93">
        <v>0</v>
      </c>
    </row>
    <row r="1063" spans="1:34" ht="15.75" thickBot="1" x14ac:dyDescent="0.3">
      <c r="A1063" s="90" t="s">
        <v>999</v>
      </c>
      <c r="B1063" s="90" t="s">
        <v>26</v>
      </c>
      <c r="C1063" s="90" t="s">
        <v>875</v>
      </c>
      <c r="D1063" s="90" t="s">
        <v>20</v>
      </c>
      <c r="E1063" s="90" t="s">
        <v>528</v>
      </c>
      <c r="F1063" s="90" t="s">
        <v>697</v>
      </c>
      <c r="G1063" s="95">
        <v>81023.33</v>
      </c>
      <c r="H1063" s="94"/>
      <c r="I1063" s="95">
        <v>81023.33</v>
      </c>
      <c r="J1063" s="94"/>
      <c r="K1063" s="94"/>
      <c r="L1063" s="94"/>
      <c r="M1063" s="94"/>
      <c r="N1063" s="94"/>
      <c r="O1063" s="94"/>
      <c r="P1063" s="94"/>
      <c r="Q1063" s="94"/>
      <c r="R1063" s="94"/>
      <c r="S1063" s="94"/>
      <c r="T1063" s="94"/>
      <c r="U1063" s="94"/>
      <c r="V1063" s="94"/>
      <c r="W1063" s="94"/>
      <c r="X1063" s="94"/>
      <c r="Y1063" s="94"/>
      <c r="Z1063" s="94"/>
      <c r="AA1063" s="94"/>
      <c r="AB1063" s="94"/>
      <c r="AC1063" s="94"/>
      <c r="AD1063" s="95">
        <v>601.45000000000005</v>
      </c>
      <c r="AE1063" s="94"/>
      <c r="AF1063" s="94"/>
      <c r="AG1063" s="95">
        <v>81624.78</v>
      </c>
      <c r="AH1063" s="95">
        <v>0</v>
      </c>
    </row>
    <row r="1064" spans="1:34" ht="15.75" thickBot="1" x14ac:dyDescent="0.3">
      <c r="A1064" s="90" t="s">
        <v>999</v>
      </c>
      <c r="B1064" s="90" t="s">
        <v>26</v>
      </c>
      <c r="C1064" s="90" t="s">
        <v>875</v>
      </c>
      <c r="D1064" s="90" t="s">
        <v>20</v>
      </c>
      <c r="E1064" s="90" t="s">
        <v>518</v>
      </c>
      <c r="F1064" s="90" t="s">
        <v>686</v>
      </c>
      <c r="G1064" s="93">
        <v>72059.490000000005</v>
      </c>
      <c r="H1064" s="93">
        <v>381306</v>
      </c>
      <c r="I1064" s="92"/>
      <c r="J1064" s="92"/>
      <c r="K1064" s="93">
        <v>72059.490000000005</v>
      </c>
      <c r="L1064" s="92"/>
      <c r="M1064" s="92"/>
      <c r="N1064" s="92"/>
      <c r="O1064" s="92"/>
      <c r="P1064" s="92"/>
      <c r="Q1064" s="92"/>
      <c r="R1064" s="92"/>
      <c r="S1064" s="92"/>
      <c r="T1064" s="92"/>
      <c r="U1064" s="92"/>
      <c r="V1064" s="92"/>
      <c r="W1064" s="92"/>
      <c r="X1064" s="92"/>
      <c r="Y1064" s="92"/>
      <c r="Z1064" s="92"/>
      <c r="AA1064" s="92"/>
      <c r="AB1064" s="92"/>
      <c r="AC1064" s="92"/>
      <c r="AD1064" s="93">
        <v>422.93</v>
      </c>
      <c r="AE1064" s="92"/>
      <c r="AF1064" s="92"/>
      <c r="AG1064" s="93">
        <v>72482.42</v>
      </c>
      <c r="AH1064" s="93">
        <v>0</v>
      </c>
    </row>
    <row r="1065" spans="1:34" ht="15.75" thickBot="1" x14ac:dyDescent="0.3">
      <c r="A1065" s="90" t="s">
        <v>999</v>
      </c>
      <c r="B1065" s="90" t="s">
        <v>26</v>
      </c>
      <c r="C1065" s="90" t="s">
        <v>875</v>
      </c>
      <c r="D1065" s="90" t="s">
        <v>20</v>
      </c>
      <c r="E1065" s="90" t="s">
        <v>518</v>
      </c>
      <c r="F1065" s="90" t="s">
        <v>697</v>
      </c>
      <c r="G1065" s="95">
        <v>72059.490000000005</v>
      </c>
      <c r="H1065" s="305">
        <v>381306</v>
      </c>
      <c r="I1065" s="94"/>
      <c r="J1065" s="94"/>
      <c r="K1065" s="95">
        <v>72059.490000000005</v>
      </c>
      <c r="L1065" s="94"/>
      <c r="M1065" s="94"/>
      <c r="N1065" s="94"/>
      <c r="O1065" s="94"/>
      <c r="P1065" s="94"/>
      <c r="Q1065" s="94"/>
      <c r="R1065" s="94"/>
      <c r="S1065" s="94"/>
      <c r="T1065" s="94"/>
      <c r="U1065" s="94"/>
      <c r="V1065" s="94"/>
      <c r="W1065" s="94"/>
      <c r="X1065" s="94"/>
      <c r="Y1065" s="94"/>
      <c r="Z1065" s="94"/>
      <c r="AA1065" s="94"/>
      <c r="AB1065" s="94"/>
      <c r="AC1065" s="94"/>
      <c r="AD1065" s="95">
        <v>422.93</v>
      </c>
      <c r="AE1065" s="94"/>
      <c r="AF1065" s="94"/>
      <c r="AG1065" s="95">
        <v>72482.42</v>
      </c>
      <c r="AH1065" s="95">
        <v>0</v>
      </c>
    </row>
    <row r="1066" spans="1:34" ht="15.75" thickBot="1" x14ac:dyDescent="0.3">
      <c r="A1066" s="90" t="s">
        <v>999</v>
      </c>
      <c r="B1066" s="90" t="s">
        <v>26</v>
      </c>
      <c r="C1066" s="90" t="s">
        <v>875</v>
      </c>
      <c r="D1066" s="90" t="s">
        <v>20</v>
      </c>
      <c r="E1066" s="90" t="s">
        <v>727</v>
      </c>
      <c r="F1066" s="90" t="s">
        <v>686</v>
      </c>
      <c r="G1066" s="93">
        <v>217.34</v>
      </c>
      <c r="H1066" s="92"/>
      <c r="I1066" s="92"/>
      <c r="J1066" s="92"/>
      <c r="K1066" s="92"/>
      <c r="L1066" s="92"/>
      <c r="M1066" s="92"/>
      <c r="N1066" s="92"/>
      <c r="O1066" s="93">
        <v>217.34</v>
      </c>
      <c r="P1066" s="92"/>
      <c r="Q1066" s="92"/>
      <c r="R1066" s="92"/>
      <c r="S1066" s="92"/>
      <c r="T1066" s="92"/>
      <c r="U1066" s="92"/>
      <c r="V1066" s="92"/>
      <c r="W1066" s="92"/>
      <c r="X1066" s="92"/>
      <c r="Y1066" s="92"/>
      <c r="Z1066" s="92"/>
      <c r="AA1066" s="92"/>
      <c r="AB1066" s="92"/>
      <c r="AC1066" s="92"/>
      <c r="AD1066" s="93">
        <v>1.0900000000000001</v>
      </c>
      <c r="AE1066" s="92"/>
      <c r="AF1066" s="92"/>
      <c r="AG1066" s="93">
        <v>218.43</v>
      </c>
      <c r="AH1066" s="93">
        <v>0</v>
      </c>
    </row>
    <row r="1067" spans="1:34" ht="15.75" thickBot="1" x14ac:dyDescent="0.3">
      <c r="A1067" s="90" t="s">
        <v>999</v>
      </c>
      <c r="B1067" s="90" t="s">
        <v>26</v>
      </c>
      <c r="C1067" s="90" t="s">
        <v>875</v>
      </c>
      <c r="D1067" s="90" t="s">
        <v>20</v>
      </c>
      <c r="E1067" s="90" t="s">
        <v>727</v>
      </c>
      <c r="F1067" s="90" t="s">
        <v>697</v>
      </c>
      <c r="G1067" s="95">
        <v>217.34</v>
      </c>
      <c r="H1067" s="94"/>
      <c r="I1067" s="94"/>
      <c r="J1067" s="94"/>
      <c r="K1067" s="94"/>
      <c r="L1067" s="94"/>
      <c r="M1067" s="94"/>
      <c r="N1067" s="94"/>
      <c r="O1067" s="95">
        <v>217.34</v>
      </c>
      <c r="P1067" s="94"/>
      <c r="Q1067" s="94"/>
      <c r="R1067" s="94"/>
      <c r="S1067" s="94"/>
      <c r="T1067" s="94"/>
      <c r="U1067" s="94"/>
      <c r="V1067" s="94"/>
      <c r="W1067" s="94"/>
      <c r="X1067" s="94"/>
      <c r="Y1067" s="94"/>
      <c r="Z1067" s="94"/>
      <c r="AA1067" s="94"/>
      <c r="AB1067" s="94"/>
      <c r="AC1067" s="94"/>
      <c r="AD1067" s="95">
        <v>1.0900000000000001</v>
      </c>
      <c r="AE1067" s="94"/>
      <c r="AF1067" s="94"/>
      <c r="AG1067" s="95">
        <v>218.43</v>
      </c>
      <c r="AH1067" s="95">
        <v>0</v>
      </c>
    </row>
    <row r="1068" spans="1:34" ht="15.75" thickBot="1" x14ac:dyDescent="0.3">
      <c r="A1068" s="90" t="s">
        <v>999</v>
      </c>
      <c r="B1068" s="90" t="s">
        <v>26</v>
      </c>
      <c r="C1068" s="90" t="s">
        <v>875</v>
      </c>
      <c r="D1068" s="90" t="s">
        <v>20</v>
      </c>
      <c r="E1068" s="90" t="s">
        <v>673</v>
      </c>
      <c r="F1068" s="90" t="s">
        <v>686</v>
      </c>
      <c r="G1068" s="93">
        <v>30432.81</v>
      </c>
      <c r="H1068" s="92"/>
      <c r="I1068" s="92"/>
      <c r="J1068" s="92"/>
      <c r="K1068" s="92"/>
      <c r="L1068" s="92"/>
      <c r="M1068" s="92"/>
      <c r="N1068" s="92"/>
      <c r="O1068" s="92"/>
      <c r="P1068" s="92"/>
      <c r="Q1068" s="92"/>
      <c r="R1068" s="92"/>
      <c r="S1068" s="92"/>
      <c r="T1068" s="92"/>
      <c r="U1068" s="92"/>
      <c r="V1068" s="92"/>
      <c r="W1068" s="92"/>
      <c r="X1068" s="93">
        <v>30432.81</v>
      </c>
      <c r="Y1068" s="92"/>
      <c r="Z1068" s="92"/>
      <c r="AA1068" s="92"/>
      <c r="AB1068" s="92"/>
      <c r="AC1068" s="92"/>
      <c r="AD1068" s="93">
        <v>260.97000000000003</v>
      </c>
      <c r="AE1068" s="92"/>
      <c r="AF1068" s="92"/>
      <c r="AG1068" s="93">
        <v>30693.78</v>
      </c>
      <c r="AH1068" s="93">
        <v>0</v>
      </c>
    </row>
    <row r="1069" spans="1:34" ht="15.75" thickBot="1" x14ac:dyDescent="0.3">
      <c r="A1069" s="90" t="s">
        <v>999</v>
      </c>
      <c r="B1069" s="90" t="s">
        <v>26</v>
      </c>
      <c r="C1069" s="90" t="s">
        <v>875</v>
      </c>
      <c r="D1069" s="90" t="s">
        <v>20</v>
      </c>
      <c r="E1069" s="90" t="s">
        <v>673</v>
      </c>
      <c r="F1069" s="90" t="s">
        <v>697</v>
      </c>
      <c r="G1069" s="95">
        <v>30432.81</v>
      </c>
      <c r="H1069" s="94"/>
      <c r="I1069" s="94"/>
      <c r="J1069" s="94"/>
      <c r="K1069" s="94"/>
      <c r="L1069" s="94"/>
      <c r="M1069" s="94"/>
      <c r="N1069" s="94"/>
      <c r="O1069" s="94"/>
      <c r="P1069" s="94"/>
      <c r="Q1069" s="94"/>
      <c r="R1069" s="94"/>
      <c r="S1069" s="94"/>
      <c r="T1069" s="94"/>
      <c r="U1069" s="94"/>
      <c r="V1069" s="94"/>
      <c r="W1069" s="94"/>
      <c r="X1069" s="95">
        <v>30432.81</v>
      </c>
      <c r="Y1069" s="94"/>
      <c r="Z1069" s="94"/>
      <c r="AA1069" s="94"/>
      <c r="AB1069" s="94"/>
      <c r="AC1069" s="94"/>
      <c r="AD1069" s="95">
        <v>260.97000000000003</v>
      </c>
      <c r="AE1069" s="94"/>
      <c r="AF1069" s="94"/>
      <c r="AG1069" s="95">
        <v>30693.78</v>
      </c>
      <c r="AH1069" s="95">
        <v>0</v>
      </c>
    </row>
    <row r="1070" spans="1:34" ht="15.75" thickBot="1" x14ac:dyDescent="0.3">
      <c r="A1070" s="90" t="s">
        <v>999</v>
      </c>
      <c r="B1070" s="90" t="s">
        <v>26</v>
      </c>
      <c r="C1070" s="90" t="s">
        <v>875</v>
      </c>
      <c r="D1070" s="90" t="s">
        <v>20</v>
      </c>
      <c r="E1070" s="90" t="s">
        <v>196</v>
      </c>
      <c r="F1070" s="90" t="s">
        <v>686</v>
      </c>
      <c r="G1070" s="93">
        <v>133415.82999999999</v>
      </c>
      <c r="H1070" s="92"/>
      <c r="I1070" s="92"/>
      <c r="J1070" s="92"/>
      <c r="K1070" s="92"/>
      <c r="L1070" s="92"/>
      <c r="M1070" s="92"/>
      <c r="N1070" s="92"/>
      <c r="O1070" s="92"/>
      <c r="P1070" s="93">
        <v>133415.82999999999</v>
      </c>
      <c r="Q1070" s="92"/>
      <c r="R1070" s="92"/>
      <c r="S1070" s="92"/>
      <c r="T1070" s="92"/>
      <c r="U1070" s="92"/>
      <c r="V1070" s="92"/>
      <c r="W1070" s="92"/>
      <c r="X1070" s="92"/>
      <c r="Y1070" s="92"/>
      <c r="Z1070" s="92"/>
      <c r="AA1070" s="92"/>
      <c r="AB1070" s="92"/>
      <c r="AC1070" s="92"/>
      <c r="AD1070" s="93">
        <v>776.59</v>
      </c>
      <c r="AE1070" s="92"/>
      <c r="AF1070" s="92"/>
      <c r="AG1070" s="93">
        <v>134192.42000000001</v>
      </c>
      <c r="AH1070" s="93">
        <v>0</v>
      </c>
    </row>
    <row r="1071" spans="1:34" ht="15.75" thickBot="1" x14ac:dyDescent="0.3">
      <c r="A1071" s="90" t="s">
        <v>999</v>
      </c>
      <c r="B1071" s="90" t="s">
        <v>26</v>
      </c>
      <c r="C1071" s="90" t="s">
        <v>875</v>
      </c>
      <c r="D1071" s="90" t="s">
        <v>20</v>
      </c>
      <c r="E1071" s="90" t="s">
        <v>196</v>
      </c>
      <c r="F1071" s="90" t="s">
        <v>697</v>
      </c>
      <c r="G1071" s="95">
        <v>133415.82999999999</v>
      </c>
      <c r="H1071" s="94"/>
      <c r="I1071" s="94"/>
      <c r="J1071" s="94"/>
      <c r="K1071" s="94"/>
      <c r="L1071" s="94"/>
      <c r="M1071" s="94"/>
      <c r="N1071" s="94"/>
      <c r="O1071" s="94"/>
      <c r="P1071" s="95">
        <v>133415.82999999999</v>
      </c>
      <c r="Q1071" s="94"/>
      <c r="R1071" s="94"/>
      <c r="S1071" s="94"/>
      <c r="T1071" s="94"/>
      <c r="U1071" s="94"/>
      <c r="V1071" s="94"/>
      <c r="W1071" s="94"/>
      <c r="X1071" s="94"/>
      <c r="Y1071" s="94"/>
      <c r="Z1071" s="94"/>
      <c r="AA1071" s="94"/>
      <c r="AB1071" s="94"/>
      <c r="AC1071" s="94"/>
      <c r="AD1071" s="95">
        <v>776.59</v>
      </c>
      <c r="AE1071" s="94"/>
      <c r="AF1071" s="94"/>
      <c r="AG1071" s="95">
        <v>134192.42000000001</v>
      </c>
      <c r="AH1071" s="95">
        <v>0</v>
      </c>
    </row>
    <row r="1072" spans="1:34" ht="15.75" thickBot="1" x14ac:dyDescent="0.3">
      <c r="A1072" s="90" t="s">
        <v>999</v>
      </c>
      <c r="B1072" s="90" t="s">
        <v>26</v>
      </c>
      <c r="C1072" s="90" t="s">
        <v>875</v>
      </c>
      <c r="D1072" s="90" t="s">
        <v>28</v>
      </c>
      <c r="E1072" s="90" t="s">
        <v>528</v>
      </c>
      <c r="F1072" s="90" t="s">
        <v>686</v>
      </c>
      <c r="G1072" s="93">
        <v>502.67</v>
      </c>
      <c r="H1072" s="92"/>
      <c r="I1072" s="93">
        <v>502.67</v>
      </c>
      <c r="J1072" s="92"/>
      <c r="K1072" s="92"/>
      <c r="L1072" s="92"/>
      <c r="M1072" s="92"/>
      <c r="N1072" s="92"/>
      <c r="O1072" s="92"/>
      <c r="P1072" s="92"/>
      <c r="Q1072" s="92"/>
      <c r="R1072" s="92"/>
      <c r="S1072" s="92"/>
      <c r="T1072" s="92"/>
      <c r="U1072" s="92"/>
      <c r="V1072" s="92"/>
      <c r="W1072" s="92"/>
      <c r="X1072" s="92"/>
      <c r="Y1072" s="92"/>
      <c r="Z1072" s="92"/>
      <c r="AA1072" s="92"/>
      <c r="AB1072" s="92"/>
      <c r="AC1072" s="92"/>
      <c r="AD1072" s="93">
        <v>3.6</v>
      </c>
      <c r="AE1072" s="92"/>
      <c r="AF1072" s="92"/>
      <c r="AG1072" s="93">
        <v>506.27</v>
      </c>
      <c r="AH1072" s="93">
        <v>0</v>
      </c>
    </row>
    <row r="1073" spans="1:34" ht="15.75" thickBot="1" x14ac:dyDescent="0.3">
      <c r="A1073" s="90" t="s">
        <v>999</v>
      </c>
      <c r="B1073" s="90" t="s">
        <v>26</v>
      </c>
      <c r="C1073" s="90" t="s">
        <v>875</v>
      </c>
      <c r="D1073" s="90" t="s">
        <v>28</v>
      </c>
      <c r="E1073" s="90" t="s">
        <v>528</v>
      </c>
      <c r="F1073" s="90" t="s">
        <v>697</v>
      </c>
      <c r="G1073" s="95">
        <v>502.67</v>
      </c>
      <c r="H1073" s="94"/>
      <c r="I1073" s="95">
        <v>502.67</v>
      </c>
      <c r="J1073" s="94"/>
      <c r="K1073" s="94"/>
      <c r="L1073" s="94"/>
      <c r="M1073" s="94"/>
      <c r="N1073" s="94"/>
      <c r="O1073" s="94"/>
      <c r="P1073" s="94"/>
      <c r="Q1073" s="94"/>
      <c r="R1073" s="94"/>
      <c r="S1073" s="94"/>
      <c r="T1073" s="94"/>
      <c r="U1073" s="94"/>
      <c r="V1073" s="94"/>
      <c r="W1073" s="94"/>
      <c r="X1073" s="94"/>
      <c r="Y1073" s="94"/>
      <c r="Z1073" s="94"/>
      <c r="AA1073" s="94"/>
      <c r="AB1073" s="94"/>
      <c r="AC1073" s="94"/>
      <c r="AD1073" s="95">
        <v>3.6</v>
      </c>
      <c r="AE1073" s="94"/>
      <c r="AF1073" s="94"/>
      <c r="AG1073" s="95">
        <v>506.27</v>
      </c>
      <c r="AH1073" s="95">
        <v>0</v>
      </c>
    </row>
    <row r="1074" spans="1:34" ht="15.75" thickBot="1" x14ac:dyDescent="0.3">
      <c r="A1074" s="90" t="s">
        <v>999</v>
      </c>
      <c r="B1074" s="90" t="s">
        <v>26</v>
      </c>
      <c r="C1074" s="90" t="s">
        <v>875</v>
      </c>
      <c r="D1074" s="90" t="s">
        <v>28</v>
      </c>
      <c r="E1074" s="90" t="s">
        <v>518</v>
      </c>
      <c r="F1074" s="90" t="s">
        <v>686</v>
      </c>
      <c r="G1074" s="93">
        <v>290.54000000000002</v>
      </c>
      <c r="H1074" s="93">
        <v>1382</v>
      </c>
      <c r="I1074" s="92"/>
      <c r="J1074" s="92"/>
      <c r="K1074" s="93">
        <v>290.54000000000002</v>
      </c>
      <c r="L1074" s="92"/>
      <c r="M1074" s="92"/>
      <c r="N1074" s="92"/>
      <c r="O1074" s="92"/>
      <c r="P1074" s="92"/>
      <c r="Q1074" s="92"/>
      <c r="R1074" s="92"/>
      <c r="S1074" s="92"/>
      <c r="T1074" s="92"/>
      <c r="U1074" s="92"/>
      <c r="V1074" s="92"/>
      <c r="W1074" s="92"/>
      <c r="X1074" s="92"/>
      <c r="Y1074" s="92"/>
      <c r="Z1074" s="92"/>
      <c r="AA1074" s="92"/>
      <c r="AB1074" s="92"/>
      <c r="AC1074" s="92"/>
      <c r="AD1074" s="93">
        <v>0.84</v>
      </c>
      <c r="AE1074" s="92"/>
      <c r="AF1074" s="92"/>
      <c r="AG1074" s="93">
        <v>291.38</v>
      </c>
      <c r="AH1074" s="93">
        <v>0</v>
      </c>
    </row>
    <row r="1075" spans="1:34" ht="15.75" thickBot="1" x14ac:dyDescent="0.3">
      <c r="A1075" s="90" t="s">
        <v>999</v>
      </c>
      <c r="B1075" s="90" t="s">
        <v>26</v>
      </c>
      <c r="C1075" s="90" t="s">
        <v>875</v>
      </c>
      <c r="D1075" s="90" t="s">
        <v>28</v>
      </c>
      <c r="E1075" s="90" t="s">
        <v>518</v>
      </c>
      <c r="F1075" s="90" t="s">
        <v>697</v>
      </c>
      <c r="G1075" s="95">
        <v>290.54000000000002</v>
      </c>
      <c r="H1075" s="305">
        <v>1382</v>
      </c>
      <c r="I1075" s="94"/>
      <c r="J1075" s="94"/>
      <c r="K1075" s="95">
        <v>290.54000000000002</v>
      </c>
      <c r="L1075" s="94"/>
      <c r="M1075" s="94"/>
      <c r="N1075" s="94"/>
      <c r="O1075" s="94"/>
      <c r="P1075" s="94"/>
      <c r="Q1075" s="94"/>
      <c r="R1075" s="94"/>
      <c r="S1075" s="94"/>
      <c r="T1075" s="94"/>
      <c r="U1075" s="94"/>
      <c r="V1075" s="94"/>
      <c r="W1075" s="94"/>
      <c r="X1075" s="94"/>
      <c r="Y1075" s="94"/>
      <c r="Z1075" s="94"/>
      <c r="AA1075" s="94"/>
      <c r="AB1075" s="94"/>
      <c r="AC1075" s="94"/>
      <c r="AD1075" s="95">
        <v>0.84</v>
      </c>
      <c r="AE1075" s="94"/>
      <c r="AF1075" s="94"/>
      <c r="AG1075" s="95">
        <v>291.38</v>
      </c>
      <c r="AH1075" s="95">
        <v>0</v>
      </c>
    </row>
    <row r="1076" spans="1:34" ht="15.75" thickBot="1" x14ac:dyDescent="0.3">
      <c r="A1076" s="90" t="s">
        <v>999</v>
      </c>
      <c r="B1076" s="90" t="s">
        <v>26</v>
      </c>
      <c r="C1076" s="90" t="s">
        <v>875</v>
      </c>
      <c r="D1076" s="90" t="s">
        <v>28</v>
      </c>
      <c r="E1076" s="90" t="s">
        <v>727</v>
      </c>
      <c r="F1076" s="90" t="s">
        <v>686</v>
      </c>
      <c r="G1076" s="93">
        <v>0.79</v>
      </c>
      <c r="H1076" s="92"/>
      <c r="I1076" s="92"/>
      <c r="J1076" s="92"/>
      <c r="K1076" s="92"/>
      <c r="L1076" s="92"/>
      <c r="M1076" s="92"/>
      <c r="N1076" s="92"/>
      <c r="O1076" s="93">
        <v>0.79</v>
      </c>
      <c r="P1076" s="92"/>
      <c r="Q1076" s="92"/>
      <c r="R1076" s="92"/>
      <c r="S1076" s="92"/>
      <c r="T1076" s="92"/>
      <c r="U1076" s="92"/>
      <c r="V1076" s="92"/>
      <c r="W1076" s="92"/>
      <c r="X1076" s="92"/>
      <c r="Y1076" s="92"/>
      <c r="Z1076" s="92"/>
      <c r="AA1076" s="92"/>
      <c r="AB1076" s="92"/>
      <c r="AC1076" s="92"/>
      <c r="AD1076" s="93">
        <v>0</v>
      </c>
      <c r="AE1076" s="92"/>
      <c r="AF1076" s="92"/>
      <c r="AG1076" s="93">
        <v>0.79</v>
      </c>
      <c r="AH1076" s="93">
        <v>0</v>
      </c>
    </row>
    <row r="1077" spans="1:34" ht="15.75" thickBot="1" x14ac:dyDescent="0.3">
      <c r="A1077" s="90" t="s">
        <v>999</v>
      </c>
      <c r="B1077" s="90" t="s">
        <v>26</v>
      </c>
      <c r="C1077" s="90" t="s">
        <v>875</v>
      </c>
      <c r="D1077" s="90" t="s">
        <v>28</v>
      </c>
      <c r="E1077" s="90" t="s">
        <v>727</v>
      </c>
      <c r="F1077" s="90" t="s">
        <v>697</v>
      </c>
      <c r="G1077" s="95">
        <v>0.79</v>
      </c>
      <c r="H1077" s="94"/>
      <c r="I1077" s="94"/>
      <c r="J1077" s="94"/>
      <c r="K1077" s="94"/>
      <c r="L1077" s="94"/>
      <c r="M1077" s="94"/>
      <c r="N1077" s="94"/>
      <c r="O1077" s="95">
        <v>0.79</v>
      </c>
      <c r="P1077" s="94"/>
      <c r="Q1077" s="94"/>
      <c r="R1077" s="94"/>
      <c r="S1077" s="94"/>
      <c r="T1077" s="94"/>
      <c r="U1077" s="94"/>
      <c r="V1077" s="94"/>
      <c r="W1077" s="94"/>
      <c r="X1077" s="94"/>
      <c r="Y1077" s="94"/>
      <c r="Z1077" s="94"/>
      <c r="AA1077" s="94"/>
      <c r="AB1077" s="94"/>
      <c r="AC1077" s="94"/>
      <c r="AD1077" s="95">
        <v>0</v>
      </c>
      <c r="AE1077" s="94"/>
      <c r="AF1077" s="94"/>
      <c r="AG1077" s="95">
        <v>0.79</v>
      </c>
      <c r="AH1077" s="95">
        <v>0</v>
      </c>
    </row>
    <row r="1078" spans="1:34" ht="15.75" thickBot="1" x14ac:dyDescent="0.3">
      <c r="A1078" s="90" t="s">
        <v>999</v>
      </c>
      <c r="B1078" s="90" t="s">
        <v>26</v>
      </c>
      <c r="C1078" s="90" t="s">
        <v>875</v>
      </c>
      <c r="D1078" s="90" t="s">
        <v>28</v>
      </c>
      <c r="E1078" s="90" t="s">
        <v>673</v>
      </c>
      <c r="F1078" s="90" t="s">
        <v>686</v>
      </c>
      <c r="G1078" s="93">
        <v>344.46</v>
      </c>
      <c r="H1078" s="92"/>
      <c r="I1078" s="92"/>
      <c r="J1078" s="92"/>
      <c r="K1078" s="92"/>
      <c r="L1078" s="92"/>
      <c r="M1078" s="92"/>
      <c r="N1078" s="92"/>
      <c r="O1078" s="92"/>
      <c r="P1078" s="92"/>
      <c r="Q1078" s="92"/>
      <c r="R1078" s="92"/>
      <c r="S1078" s="92"/>
      <c r="T1078" s="92"/>
      <c r="U1078" s="92"/>
      <c r="V1078" s="92"/>
      <c r="W1078" s="92"/>
      <c r="X1078" s="93">
        <v>344.46</v>
      </c>
      <c r="Y1078" s="92"/>
      <c r="Z1078" s="92"/>
      <c r="AA1078" s="92"/>
      <c r="AB1078" s="92"/>
      <c r="AC1078" s="92"/>
      <c r="AD1078" s="93">
        <v>2.46</v>
      </c>
      <c r="AE1078" s="92"/>
      <c r="AF1078" s="92"/>
      <c r="AG1078" s="93">
        <v>346.92</v>
      </c>
      <c r="AH1078" s="93">
        <v>0</v>
      </c>
    </row>
    <row r="1079" spans="1:34" ht="15.75" thickBot="1" x14ac:dyDescent="0.3">
      <c r="A1079" s="90" t="s">
        <v>999</v>
      </c>
      <c r="B1079" s="90" t="s">
        <v>26</v>
      </c>
      <c r="C1079" s="90" t="s">
        <v>875</v>
      </c>
      <c r="D1079" s="90" t="s">
        <v>28</v>
      </c>
      <c r="E1079" s="90" t="s">
        <v>673</v>
      </c>
      <c r="F1079" s="90" t="s">
        <v>697</v>
      </c>
      <c r="G1079" s="95">
        <v>344.46</v>
      </c>
      <c r="H1079" s="94"/>
      <c r="I1079" s="94"/>
      <c r="J1079" s="94"/>
      <c r="K1079" s="94"/>
      <c r="L1079" s="94"/>
      <c r="M1079" s="94"/>
      <c r="N1079" s="94"/>
      <c r="O1079" s="94"/>
      <c r="P1079" s="94"/>
      <c r="Q1079" s="94"/>
      <c r="R1079" s="94"/>
      <c r="S1079" s="94"/>
      <c r="T1079" s="94"/>
      <c r="U1079" s="94"/>
      <c r="V1079" s="94"/>
      <c r="W1079" s="94"/>
      <c r="X1079" s="95">
        <v>344.46</v>
      </c>
      <c r="Y1079" s="94"/>
      <c r="Z1079" s="94"/>
      <c r="AA1079" s="94"/>
      <c r="AB1079" s="94"/>
      <c r="AC1079" s="94"/>
      <c r="AD1079" s="95">
        <v>2.46</v>
      </c>
      <c r="AE1079" s="94"/>
      <c r="AF1079" s="94"/>
      <c r="AG1079" s="95">
        <v>346.92</v>
      </c>
      <c r="AH1079" s="95">
        <v>0</v>
      </c>
    </row>
    <row r="1080" spans="1:34" ht="15.75" thickBot="1" x14ac:dyDescent="0.3">
      <c r="A1080" s="90" t="s">
        <v>999</v>
      </c>
      <c r="B1080" s="90" t="s">
        <v>26</v>
      </c>
      <c r="C1080" s="90" t="s">
        <v>875</v>
      </c>
      <c r="D1080" s="90" t="s">
        <v>28</v>
      </c>
      <c r="E1080" s="90" t="s">
        <v>196</v>
      </c>
      <c r="F1080" s="90" t="s">
        <v>686</v>
      </c>
      <c r="G1080" s="93">
        <v>485.51</v>
      </c>
      <c r="H1080" s="92"/>
      <c r="I1080" s="92"/>
      <c r="J1080" s="92"/>
      <c r="K1080" s="92"/>
      <c r="L1080" s="92"/>
      <c r="M1080" s="92"/>
      <c r="N1080" s="92"/>
      <c r="O1080" s="92"/>
      <c r="P1080" s="93">
        <v>485.51</v>
      </c>
      <c r="Q1080" s="92"/>
      <c r="R1080" s="92"/>
      <c r="S1080" s="92"/>
      <c r="T1080" s="92"/>
      <c r="U1080" s="92"/>
      <c r="V1080" s="92"/>
      <c r="W1080" s="92"/>
      <c r="X1080" s="92"/>
      <c r="Y1080" s="92"/>
      <c r="Z1080" s="92"/>
      <c r="AA1080" s="92"/>
      <c r="AB1080" s="92"/>
      <c r="AC1080" s="92"/>
      <c r="AD1080" s="93">
        <v>1.38</v>
      </c>
      <c r="AE1080" s="92"/>
      <c r="AF1080" s="92"/>
      <c r="AG1080" s="93">
        <v>486.89</v>
      </c>
      <c r="AH1080" s="93">
        <v>0</v>
      </c>
    </row>
    <row r="1081" spans="1:34" ht="15.75" thickBot="1" x14ac:dyDescent="0.3">
      <c r="A1081" s="90" t="s">
        <v>999</v>
      </c>
      <c r="B1081" s="90" t="s">
        <v>26</v>
      </c>
      <c r="C1081" s="90" t="s">
        <v>875</v>
      </c>
      <c r="D1081" s="90" t="s">
        <v>28</v>
      </c>
      <c r="E1081" s="90" t="s">
        <v>196</v>
      </c>
      <c r="F1081" s="90" t="s">
        <v>697</v>
      </c>
      <c r="G1081" s="95">
        <v>485.51</v>
      </c>
      <c r="H1081" s="94"/>
      <c r="I1081" s="94"/>
      <c r="J1081" s="94"/>
      <c r="K1081" s="94"/>
      <c r="L1081" s="94"/>
      <c r="M1081" s="94"/>
      <c r="N1081" s="94"/>
      <c r="O1081" s="94"/>
      <c r="P1081" s="95">
        <v>485.51</v>
      </c>
      <c r="Q1081" s="94"/>
      <c r="R1081" s="94"/>
      <c r="S1081" s="94"/>
      <c r="T1081" s="94"/>
      <c r="U1081" s="94"/>
      <c r="V1081" s="94"/>
      <c r="W1081" s="94"/>
      <c r="X1081" s="94"/>
      <c r="Y1081" s="94"/>
      <c r="Z1081" s="94"/>
      <c r="AA1081" s="94"/>
      <c r="AB1081" s="94"/>
      <c r="AC1081" s="94"/>
      <c r="AD1081" s="95">
        <v>1.38</v>
      </c>
      <c r="AE1081" s="94"/>
      <c r="AF1081" s="94"/>
      <c r="AG1081" s="95">
        <v>486.89</v>
      </c>
      <c r="AH1081" s="95">
        <v>0</v>
      </c>
    </row>
    <row r="1082" spans="1:34" ht="15.75" thickBot="1" x14ac:dyDescent="0.3">
      <c r="A1082" s="90" t="s">
        <v>999</v>
      </c>
      <c r="B1082" s="90" t="s">
        <v>707</v>
      </c>
      <c r="C1082" s="90" t="s">
        <v>876</v>
      </c>
      <c r="D1082" s="90" t="s">
        <v>17</v>
      </c>
      <c r="E1082" s="90" t="s">
        <v>528</v>
      </c>
      <c r="F1082" s="90" t="s">
        <v>686</v>
      </c>
      <c r="G1082" s="93">
        <v>40</v>
      </c>
      <c r="H1082" s="92"/>
      <c r="I1082" s="93">
        <v>40</v>
      </c>
      <c r="J1082" s="92"/>
      <c r="K1082" s="92"/>
      <c r="L1082" s="92"/>
      <c r="M1082" s="92"/>
      <c r="N1082" s="92"/>
      <c r="O1082" s="92"/>
      <c r="P1082" s="92"/>
      <c r="Q1082" s="92"/>
      <c r="R1082" s="92"/>
      <c r="S1082" s="92"/>
      <c r="T1082" s="92"/>
      <c r="U1082" s="92"/>
      <c r="V1082" s="92"/>
      <c r="W1082" s="92"/>
      <c r="X1082" s="92"/>
      <c r="Y1082" s="92"/>
      <c r="Z1082" s="92"/>
      <c r="AA1082" s="92"/>
      <c r="AB1082" s="92"/>
      <c r="AC1082" s="92"/>
      <c r="AD1082" s="93">
        <v>2.41</v>
      </c>
      <c r="AE1082" s="92"/>
      <c r="AF1082" s="92"/>
      <c r="AG1082" s="93">
        <v>42.41</v>
      </c>
      <c r="AH1082" s="93">
        <v>0</v>
      </c>
    </row>
    <row r="1083" spans="1:34" ht="15.75" thickBot="1" x14ac:dyDescent="0.3">
      <c r="A1083" s="90" t="s">
        <v>999</v>
      </c>
      <c r="B1083" s="90" t="s">
        <v>707</v>
      </c>
      <c r="C1083" s="90" t="s">
        <v>876</v>
      </c>
      <c r="D1083" s="90" t="s">
        <v>17</v>
      </c>
      <c r="E1083" s="90" t="s">
        <v>528</v>
      </c>
      <c r="F1083" s="90" t="s">
        <v>697</v>
      </c>
      <c r="G1083" s="95">
        <v>40</v>
      </c>
      <c r="H1083" s="94"/>
      <c r="I1083" s="95">
        <v>40</v>
      </c>
      <c r="J1083" s="94"/>
      <c r="K1083" s="94"/>
      <c r="L1083" s="94"/>
      <c r="M1083" s="94"/>
      <c r="N1083" s="94"/>
      <c r="O1083" s="94"/>
      <c r="P1083" s="94"/>
      <c r="Q1083" s="94"/>
      <c r="R1083" s="94"/>
      <c r="S1083" s="94"/>
      <c r="T1083" s="94"/>
      <c r="U1083" s="94"/>
      <c r="V1083" s="94"/>
      <c r="W1083" s="94"/>
      <c r="X1083" s="94"/>
      <c r="Y1083" s="94"/>
      <c r="Z1083" s="94"/>
      <c r="AA1083" s="94"/>
      <c r="AB1083" s="94"/>
      <c r="AC1083" s="94"/>
      <c r="AD1083" s="95">
        <v>2.41</v>
      </c>
      <c r="AE1083" s="94"/>
      <c r="AF1083" s="94"/>
      <c r="AG1083" s="95">
        <v>42.41</v>
      </c>
      <c r="AH1083" s="95">
        <v>0</v>
      </c>
    </row>
    <row r="1084" spans="1:34" ht="15.75" thickBot="1" x14ac:dyDescent="0.3">
      <c r="A1084" s="90" t="s">
        <v>999</v>
      </c>
      <c r="B1084" s="90" t="s">
        <v>707</v>
      </c>
      <c r="C1084" s="90" t="s">
        <v>876</v>
      </c>
      <c r="D1084" s="90" t="s">
        <v>17</v>
      </c>
      <c r="E1084" s="90" t="s">
        <v>518</v>
      </c>
      <c r="F1084" s="90" t="s">
        <v>686</v>
      </c>
      <c r="G1084" s="93">
        <v>66.23</v>
      </c>
      <c r="H1084" s="93">
        <v>308</v>
      </c>
      <c r="I1084" s="92"/>
      <c r="J1084" s="92"/>
      <c r="K1084" s="93">
        <v>66.23</v>
      </c>
      <c r="L1084" s="92"/>
      <c r="M1084" s="92"/>
      <c r="N1084" s="92"/>
      <c r="O1084" s="92"/>
      <c r="P1084" s="92"/>
      <c r="Q1084" s="92"/>
      <c r="R1084" s="92"/>
      <c r="S1084" s="92"/>
      <c r="T1084" s="92"/>
      <c r="U1084" s="92"/>
      <c r="V1084" s="92"/>
      <c r="W1084" s="92"/>
      <c r="X1084" s="92"/>
      <c r="Y1084" s="92"/>
      <c r="Z1084" s="92"/>
      <c r="AA1084" s="92"/>
      <c r="AB1084" s="92"/>
      <c r="AC1084" s="92"/>
      <c r="AD1084" s="93">
        <v>3.97</v>
      </c>
      <c r="AE1084" s="92"/>
      <c r="AF1084" s="92"/>
      <c r="AG1084" s="93">
        <v>70.2</v>
      </c>
      <c r="AH1084" s="93">
        <v>0</v>
      </c>
    </row>
    <row r="1085" spans="1:34" ht="15.75" thickBot="1" x14ac:dyDescent="0.3">
      <c r="A1085" s="90" t="s">
        <v>999</v>
      </c>
      <c r="B1085" s="90" t="s">
        <v>707</v>
      </c>
      <c r="C1085" s="90" t="s">
        <v>876</v>
      </c>
      <c r="D1085" s="90" t="s">
        <v>17</v>
      </c>
      <c r="E1085" s="90" t="s">
        <v>518</v>
      </c>
      <c r="F1085" s="90" t="s">
        <v>697</v>
      </c>
      <c r="G1085" s="95">
        <v>66.23</v>
      </c>
      <c r="H1085" s="305">
        <v>308</v>
      </c>
      <c r="I1085" s="94"/>
      <c r="J1085" s="94"/>
      <c r="K1085" s="95">
        <v>66.23</v>
      </c>
      <c r="L1085" s="94"/>
      <c r="M1085" s="94"/>
      <c r="N1085" s="94"/>
      <c r="O1085" s="94"/>
      <c r="P1085" s="94"/>
      <c r="Q1085" s="94"/>
      <c r="R1085" s="94"/>
      <c r="S1085" s="94"/>
      <c r="T1085" s="94"/>
      <c r="U1085" s="94"/>
      <c r="V1085" s="94"/>
      <c r="W1085" s="94"/>
      <c r="X1085" s="94"/>
      <c r="Y1085" s="94"/>
      <c r="Z1085" s="94"/>
      <c r="AA1085" s="94"/>
      <c r="AB1085" s="94"/>
      <c r="AC1085" s="94"/>
      <c r="AD1085" s="95">
        <v>3.97</v>
      </c>
      <c r="AE1085" s="94"/>
      <c r="AF1085" s="94"/>
      <c r="AG1085" s="95">
        <v>70.2</v>
      </c>
      <c r="AH1085" s="95">
        <v>0</v>
      </c>
    </row>
    <row r="1086" spans="1:34" ht="15.75" thickBot="1" x14ac:dyDescent="0.3">
      <c r="A1086" s="90" t="s">
        <v>999</v>
      </c>
      <c r="B1086" s="90" t="s">
        <v>707</v>
      </c>
      <c r="C1086" s="90" t="s">
        <v>876</v>
      </c>
      <c r="D1086" s="90" t="s">
        <v>17</v>
      </c>
      <c r="E1086" s="90" t="s">
        <v>727</v>
      </c>
      <c r="F1086" s="90" t="s">
        <v>686</v>
      </c>
      <c r="G1086" s="93">
        <v>0.18</v>
      </c>
      <c r="H1086" s="92"/>
      <c r="I1086" s="92"/>
      <c r="J1086" s="92"/>
      <c r="K1086" s="92"/>
      <c r="L1086" s="92"/>
      <c r="M1086" s="92"/>
      <c r="N1086" s="92"/>
      <c r="O1086" s="93">
        <v>0.18</v>
      </c>
      <c r="P1086" s="92"/>
      <c r="Q1086" s="92"/>
      <c r="R1086" s="92"/>
      <c r="S1086" s="92"/>
      <c r="T1086" s="92"/>
      <c r="U1086" s="92"/>
      <c r="V1086" s="92"/>
      <c r="W1086" s="92"/>
      <c r="X1086" s="92"/>
      <c r="Y1086" s="92"/>
      <c r="Z1086" s="92"/>
      <c r="AA1086" s="92"/>
      <c r="AB1086" s="92"/>
      <c r="AC1086" s="92"/>
      <c r="AD1086" s="93">
        <v>0.01</v>
      </c>
      <c r="AE1086" s="92"/>
      <c r="AF1086" s="92"/>
      <c r="AG1086" s="93">
        <v>0.19</v>
      </c>
      <c r="AH1086" s="93">
        <v>0</v>
      </c>
    </row>
    <row r="1087" spans="1:34" ht="15.75" thickBot="1" x14ac:dyDescent="0.3">
      <c r="A1087" s="90" t="s">
        <v>999</v>
      </c>
      <c r="B1087" s="90" t="s">
        <v>707</v>
      </c>
      <c r="C1087" s="90" t="s">
        <v>876</v>
      </c>
      <c r="D1087" s="90" t="s">
        <v>17</v>
      </c>
      <c r="E1087" s="90" t="s">
        <v>727</v>
      </c>
      <c r="F1087" s="90" t="s">
        <v>697</v>
      </c>
      <c r="G1087" s="95">
        <v>0.18</v>
      </c>
      <c r="H1087" s="94"/>
      <c r="I1087" s="94"/>
      <c r="J1087" s="94"/>
      <c r="K1087" s="94"/>
      <c r="L1087" s="94"/>
      <c r="M1087" s="94"/>
      <c r="N1087" s="94"/>
      <c r="O1087" s="95">
        <v>0.18</v>
      </c>
      <c r="P1087" s="94"/>
      <c r="Q1087" s="94"/>
      <c r="R1087" s="94"/>
      <c r="S1087" s="94"/>
      <c r="T1087" s="94"/>
      <c r="U1087" s="94"/>
      <c r="V1087" s="94"/>
      <c r="W1087" s="94"/>
      <c r="X1087" s="94"/>
      <c r="Y1087" s="94"/>
      <c r="Z1087" s="94"/>
      <c r="AA1087" s="94"/>
      <c r="AB1087" s="94"/>
      <c r="AC1087" s="94"/>
      <c r="AD1087" s="95">
        <v>0.01</v>
      </c>
      <c r="AE1087" s="94"/>
      <c r="AF1087" s="94"/>
      <c r="AG1087" s="95">
        <v>0.19</v>
      </c>
      <c r="AH1087" s="95">
        <v>0</v>
      </c>
    </row>
    <row r="1088" spans="1:34" ht="15.75" thickBot="1" x14ac:dyDescent="0.3">
      <c r="A1088" s="90" t="s">
        <v>999</v>
      </c>
      <c r="B1088" s="90" t="s">
        <v>707</v>
      </c>
      <c r="C1088" s="90" t="s">
        <v>876</v>
      </c>
      <c r="D1088" s="90" t="s">
        <v>17</v>
      </c>
      <c r="E1088" s="90" t="s">
        <v>673</v>
      </c>
      <c r="F1088" s="90" t="s">
        <v>686</v>
      </c>
      <c r="G1088" s="93">
        <v>27.41</v>
      </c>
      <c r="H1088" s="92"/>
      <c r="I1088" s="92"/>
      <c r="J1088" s="92"/>
      <c r="K1088" s="92"/>
      <c r="L1088" s="92"/>
      <c r="M1088" s="92"/>
      <c r="N1088" s="92"/>
      <c r="O1088" s="92"/>
      <c r="P1088" s="92"/>
      <c r="Q1088" s="92"/>
      <c r="R1088" s="92"/>
      <c r="S1088" s="92"/>
      <c r="T1088" s="92"/>
      <c r="U1088" s="92"/>
      <c r="V1088" s="92"/>
      <c r="W1088" s="92"/>
      <c r="X1088" s="93">
        <v>27.41</v>
      </c>
      <c r="Y1088" s="92"/>
      <c r="Z1088" s="92"/>
      <c r="AA1088" s="92"/>
      <c r="AB1088" s="92"/>
      <c r="AC1088" s="92"/>
      <c r="AD1088" s="93">
        <v>1.64</v>
      </c>
      <c r="AE1088" s="92"/>
      <c r="AF1088" s="92"/>
      <c r="AG1088" s="93">
        <v>29.05</v>
      </c>
      <c r="AH1088" s="93">
        <v>0</v>
      </c>
    </row>
    <row r="1089" spans="1:34" ht="15.75" thickBot="1" x14ac:dyDescent="0.3">
      <c r="A1089" s="90" t="s">
        <v>999</v>
      </c>
      <c r="B1089" s="90" t="s">
        <v>707</v>
      </c>
      <c r="C1089" s="90" t="s">
        <v>876</v>
      </c>
      <c r="D1089" s="90" t="s">
        <v>17</v>
      </c>
      <c r="E1089" s="90" t="s">
        <v>673</v>
      </c>
      <c r="F1089" s="90" t="s">
        <v>697</v>
      </c>
      <c r="G1089" s="95">
        <v>27.41</v>
      </c>
      <c r="H1089" s="94"/>
      <c r="I1089" s="94"/>
      <c r="J1089" s="94"/>
      <c r="K1089" s="94"/>
      <c r="L1089" s="94"/>
      <c r="M1089" s="94"/>
      <c r="N1089" s="94"/>
      <c r="O1089" s="94"/>
      <c r="P1089" s="94"/>
      <c r="Q1089" s="94"/>
      <c r="R1089" s="94"/>
      <c r="S1089" s="94"/>
      <c r="T1089" s="94"/>
      <c r="U1089" s="94"/>
      <c r="V1089" s="94"/>
      <c r="W1089" s="94"/>
      <c r="X1089" s="95">
        <v>27.41</v>
      </c>
      <c r="Y1089" s="94"/>
      <c r="Z1089" s="94"/>
      <c r="AA1089" s="94"/>
      <c r="AB1089" s="94"/>
      <c r="AC1089" s="94"/>
      <c r="AD1089" s="95">
        <v>1.64</v>
      </c>
      <c r="AE1089" s="94"/>
      <c r="AF1089" s="94"/>
      <c r="AG1089" s="95">
        <v>29.05</v>
      </c>
      <c r="AH1089" s="95">
        <v>0</v>
      </c>
    </row>
    <row r="1090" spans="1:34" ht="15.75" thickBot="1" x14ac:dyDescent="0.3">
      <c r="A1090" s="90" t="s">
        <v>999</v>
      </c>
      <c r="B1090" s="90" t="s">
        <v>707</v>
      </c>
      <c r="C1090" s="90" t="s">
        <v>876</v>
      </c>
      <c r="D1090" s="90" t="s">
        <v>17</v>
      </c>
      <c r="E1090" s="90" t="s">
        <v>196</v>
      </c>
      <c r="F1090" s="90" t="s">
        <v>686</v>
      </c>
      <c r="G1090" s="93">
        <v>108.2</v>
      </c>
      <c r="H1090" s="92"/>
      <c r="I1090" s="92"/>
      <c r="J1090" s="92"/>
      <c r="K1090" s="92"/>
      <c r="L1090" s="92"/>
      <c r="M1090" s="92"/>
      <c r="N1090" s="92"/>
      <c r="O1090" s="92"/>
      <c r="P1090" s="93">
        <v>108.2</v>
      </c>
      <c r="Q1090" s="92"/>
      <c r="R1090" s="92"/>
      <c r="S1090" s="92"/>
      <c r="T1090" s="92"/>
      <c r="U1090" s="92"/>
      <c r="V1090" s="92"/>
      <c r="W1090" s="92"/>
      <c r="X1090" s="92"/>
      <c r="Y1090" s="92"/>
      <c r="Z1090" s="92"/>
      <c r="AA1090" s="92"/>
      <c r="AB1090" s="92"/>
      <c r="AC1090" s="92"/>
      <c r="AD1090" s="93">
        <v>6.49</v>
      </c>
      <c r="AE1090" s="92"/>
      <c r="AF1090" s="92"/>
      <c r="AG1090" s="93">
        <v>114.69</v>
      </c>
      <c r="AH1090" s="93">
        <v>0</v>
      </c>
    </row>
    <row r="1091" spans="1:34" ht="15.75" thickBot="1" x14ac:dyDescent="0.3">
      <c r="A1091" s="90" t="s">
        <v>999</v>
      </c>
      <c r="B1091" s="90" t="s">
        <v>707</v>
      </c>
      <c r="C1091" s="90" t="s">
        <v>876</v>
      </c>
      <c r="D1091" s="90" t="s">
        <v>17</v>
      </c>
      <c r="E1091" s="90" t="s">
        <v>196</v>
      </c>
      <c r="F1091" s="90" t="s">
        <v>697</v>
      </c>
      <c r="G1091" s="95">
        <v>108.2</v>
      </c>
      <c r="H1091" s="94"/>
      <c r="I1091" s="94"/>
      <c r="J1091" s="94"/>
      <c r="K1091" s="94"/>
      <c r="L1091" s="94"/>
      <c r="M1091" s="94"/>
      <c r="N1091" s="94"/>
      <c r="O1091" s="94"/>
      <c r="P1091" s="95">
        <v>108.2</v>
      </c>
      <c r="Q1091" s="94"/>
      <c r="R1091" s="94"/>
      <c r="S1091" s="94"/>
      <c r="T1091" s="94"/>
      <c r="U1091" s="94"/>
      <c r="V1091" s="94"/>
      <c r="W1091" s="94"/>
      <c r="X1091" s="94"/>
      <c r="Y1091" s="94"/>
      <c r="Z1091" s="94"/>
      <c r="AA1091" s="94"/>
      <c r="AB1091" s="94"/>
      <c r="AC1091" s="94"/>
      <c r="AD1091" s="95">
        <v>6.49</v>
      </c>
      <c r="AE1091" s="94"/>
      <c r="AF1091" s="94"/>
      <c r="AG1091" s="95">
        <v>114.69</v>
      </c>
      <c r="AH1091" s="95">
        <v>0</v>
      </c>
    </row>
    <row r="1092" spans="1:34" ht="15.75" thickBot="1" x14ac:dyDescent="0.3">
      <c r="A1092" s="90" t="s">
        <v>999</v>
      </c>
      <c r="B1092" s="90" t="s">
        <v>18</v>
      </c>
      <c r="C1092" s="90" t="s">
        <v>453</v>
      </c>
      <c r="D1092" s="90" t="s">
        <v>17</v>
      </c>
      <c r="E1092" s="90" t="s">
        <v>528</v>
      </c>
      <c r="F1092" s="90" t="s">
        <v>686</v>
      </c>
      <c r="G1092" s="93">
        <v>400</v>
      </c>
      <c r="H1092" s="92"/>
      <c r="I1092" s="93">
        <v>400</v>
      </c>
      <c r="J1092" s="92"/>
      <c r="K1092" s="92"/>
      <c r="L1092" s="92"/>
      <c r="M1092" s="92"/>
      <c r="N1092" s="92"/>
      <c r="O1092" s="92"/>
      <c r="P1092" s="92"/>
      <c r="Q1092" s="92"/>
      <c r="R1092" s="92"/>
      <c r="S1092" s="92"/>
      <c r="T1092" s="92"/>
      <c r="U1092" s="92"/>
      <c r="V1092" s="92"/>
      <c r="W1092" s="92"/>
      <c r="X1092" s="92"/>
      <c r="Y1092" s="92"/>
      <c r="Z1092" s="92"/>
      <c r="AA1092" s="92"/>
      <c r="AB1092" s="92"/>
      <c r="AC1092" s="92"/>
      <c r="AD1092" s="93">
        <v>24.01</v>
      </c>
      <c r="AE1092" s="92"/>
      <c r="AF1092" s="92"/>
      <c r="AG1092" s="93">
        <v>424.01</v>
      </c>
      <c r="AH1092" s="93">
        <v>0</v>
      </c>
    </row>
    <row r="1093" spans="1:34" ht="15.75" thickBot="1" x14ac:dyDescent="0.3">
      <c r="A1093" s="90" t="s">
        <v>999</v>
      </c>
      <c r="B1093" s="90" t="s">
        <v>18</v>
      </c>
      <c r="C1093" s="90" t="s">
        <v>453</v>
      </c>
      <c r="D1093" s="90" t="s">
        <v>17</v>
      </c>
      <c r="E1093" s="90" t="s">
        <v>528</v>
      </c>
      <c r="F1093" s="90" t="s">
        <v>697</v>
      </c>
      <c r="G1093" s="95">
        <v>400</v>
      </c>
      <c r="H1093" s="94"/>
      <c r="I1093" s="95">
        <v>400</v>
      </c>
      <c r="J1093" s="94"/>
      <c r="K1093" s="94"/>
      <c r="L1093" s="94"/>
      <c r="M1093" s="94"/>
      <c r="N1093" s="94"/>
      <c r="O1093" s="94"/>
      <c r="P1093" s="94"/>
      <c r="Q1093" s="94"/>
      <c r="R1093" s="94"/>
      <c r="S1093" s="94"/>
      <c r="T1093" s="94"/>
      <c r="U1093" s="94"/>
      <c r="V1093" s="94"/>
      <c r="W1093" s="94"/>
      <c r="X1093" s="94"/>
      <c r="Y1093" s="94"/>
      <c r="Z1093" s="94"/>
      <c r="AA1093" s="94"/>
      <c r="AB1093" s="94"/>
      <c r="AC1093" s="94"/>
      <c r="AD1093" s="95">
        <v>24.01</v>
      </c>
      <c r="AE1093" s="94"/>
      <c r="AF1093" s="94"/>
      <c r="AG1093" s="95">
        <v>424.01</v>
      </c>
      <c r="AH1093" s="95">
        <v>0</v>
      </c>
    </row>
    <row r="1094" spans="1:34" ht="15.75" thickBot="1" x14ac:dyDescent="0.3">
      <c r="A1094" s="90" t="s">
        <v>999</v>
      </c>
      <c r="B1094" s="90" t="s">
        <v>18</v>
      </c>
      <c r="C1094" s="90" t="s">
        <v>453</v>
      </c>
      <c r="D1094" s="90" t="s">
        <v>17</v>
      </c>
      <c r="E1094" s="90" t="s">
        <v>518</v>
      </c>
      <c r="F1094" s="90" t="s">
        <v>686</v>
      </c>
      <c r="G1094" s="93">
        <v>807.23</v>
      </c>
      <c r="H1094" s="93">
        <v>11517</v>
      </c>
      <c r="I1094" s="92"/>
      <c r="J1094" s="92"/>
      <c r="K1094" s="93">
        <v>807.23</v>
      </c>
      <c r="L1094" s="92"/>
      <c r="M1094" s="92"/>
      <c r="N1094" s="92"/>
      <c r="O1094" s="92"/>
      <c r="P1094" s="92"/>
      <c r="Q1094" s="92"/>
      <c r="R1094" s="92"/>
      <c r="S1094" s="92"/>
      <c r="T1094" s="92"/>
      <c r="U1094" s="92"/>
      <c r="V1094" s="92"/>
      <c r="W1094" s="92"/>
      <c r="X1094" s="92"/>
      <c r="Y1094" s="92"/>
      <c r="Z1094" s="92"/>
      <c r="AA1094" s="92"/>
      <c r="AB1094" s="92"/>
      <c r="AC1094" s="92"/>
      <c r="AD1094" s="93">
        <v>48.43</v>
      </c>
      <c r="AE1094" s="92"/>
      <c r="AF1094" s="92"/>
      <c r="AG1094" s="93">
        <v>855.66</v>
      </c>
      <c r="AH1094" s="93">
        <v>0</v>
      </c>
    </row>
    <row r="1095" spans="1:34" ht="15.75" thickBot="1" x14ac:dyDescent="0.3">
      <c r="A1095" s="90" t="s">
        <v>999</v>
      </c>
      <c r="B1095" s="90" t="s">
        <v>18</v>
      </c>
      <c r="C1095" s="90" t="s">
        <v>453</v>
      </c>
      <c r="D1095" s="90" t="s">
        <v>17</v>
      </c>
      <c r="E1095" s="90" t="s">
        <v>518</v>
      </c>
      <c r="F1095" s="90" t="s">
        <v>697</v>
      </c>
      <c r="G1095" s="95">
        <v>807.23</v>
      </c>
      <c r="H1095" s="305">
        <v>11517</v>
      </c>
      <c r="I1095" s="94"/>
      <c r="J1095" s="94"/>
      <c r="K1095" s="95">
        <v>807.23</v>
      </c>
      <c r="L1095" s="94"/>
      <c r="M1095" s="94"/>
      <c r="N1095" s="94"/>
      <c r="O1095" s="94"/>
      <c r="P1095" s="94"/>
      <c r="Q1095" s="94"/>
      <c r="R1095" s="94"/>
      <c r="S1095" s="94"/>
      <c r="T1095" s="94"/>
      <c r="U1095" s="94"/>
      <c r="V1095" s="94"/>
      <c r="W1095" s="94"/>
      <c r="X1095" s="94"/>
      <c r="Y1095" s="94"/>
      <c r="Z1095" s="94"/>
      <c r="AA1095" s="94"/>
      <c r="AB1095" s="94"/>
      <c r="AC1095" s="94"/>
      <c r="AD1095" s="95">
        <v>48.43</v>
      </c>
      <c r="AE1095" s="94"/>
      <c r="AF1095" s="94"/>
      <c r="AG1095" s="95">
        <v>855.66</v>
      </c>
      <c r="AH1095" s="95">
        <v>0</v>
      </c>
    </row>
    <row r="1096" spans="1:34" ht="15.75" thickBot="1" x14ac:dyDescent="0.3">
      <c r="A1096" s="90" t="s">
        <v>999</v>
      </c>
      <c r="B1096" s="90" t="s">
        <v>18</v>
      </c>
      <c r="C1096" s="90" t="s">
        <v>453</v>
      </c>
      <c r="D1096" s="90" t="s">
        <v>17</v>
      </c>
      <c r="E1096" s="90" t="s">
        <v>727</v>
      </c>
      <c r="F1096" s="90" t="s">
        <v>686</v>
      </c>
      <c r="G1096" s="93">
        <v>6.56</v>
      </c>
      <c r="H1096" s="92"/>
      <c r="I1096" s="92"/>
      <c r="J1096" s="92"/>
      <c r="K1096" s="92"/>
      <c r="L1096" s="92"/>
      <c r="M1096" s="92"/>
      <c r="N1096" s="92"/>
      <c r="O1096" s="93">
        <v>6.56</v>
      </c>
      <c r="P1096" s="92"/>
      <c r="Q1096" s="92"/>
      <c r="R1096" s="92"/>
      <c r="S1096" s="92"/>
      <c r="T1096" s="92"/>
      <c r="U1096" s="92"/>
      <c r="V1096" s="92"/>
      <c r="W1096" s="92"/>
      <c r="X1096" s="92"/>
      <c r="Y1096" s="92"/>
      <c r="Z1096" s="92"/>
      <c r="AA1096" s="92"/>
      <c r="AB1096" s="92"/>
      <c r="AC1096" s="92"/>
      <c r="AD1096" s="93">
        <v>0.39</v>
      </c>
      <c r="AE1096" s="92"/>
      <c r="AF1096" s="92"/>
      <c r="AG1096" s="93">
        <v>6.95</v>
      </c>
      <c r="AH1096" s="93">
        <v>0</v>
      </c>
    </row>
    <row r="1097" spans="1:34" ht="15.75" thickBot="1" x14ac:dyDescent="0.3">
      <c r="A1097" s="90" t="s">
        <v>999</v>
      </c>
      <c r="B1097" s="90" t="s">
        <v>18</v>
      </c>
      <c r="C1097" s="90" t="s">
        <v>453</v>
      </c>
      <c r="D1097" s="90" t="s">
        <v>17</v>
      </c>
      <c r="E1097" s="90" t="s">
        <v>727</v>
      </c>
      <c r="F1097" s="90" t="s">
        <v>697</v>
      </c>
      <c r="G1097" s="95">
        <v>6.56</v>
      </c>
      <c r="H1097" s="94"/>
      <c r="I1097" s="94"/>
      <c r="J1097" s="94"/>
      <c r="K1097" s="94"/>
      <c r="L1097" s="94"/>
      <c r="M1097" s="94"/>
      <c r="N1097" s="94"/>
      <c r="O1097" s="95">
        <v>6.56</v>
      </c>
      <c r="P1097" s="94"/>
      <c r="Q1097" s="94"/>
      <c r="R1097" s="94"/>
      <c r="S1097" s="94"/>
      <c r="T1097" s="94"/>
      <c r="U1097" s="94"/>
      <c r="V1097" s="94"/>
      <c r="W1097" s="94"/>
      <c r="X1097" s="94"/>
      <c r="Y1097" s="94"/>
      <c r="Z1097" s="94"/>
      <c r="AA1097" s="94"/>
      <c r="AB1097" s="94"/>
      <c r="AC1097" s="94"/>
      <c r="AD1097" s="95">
        <v>0.39</v>
      </c>
      <c r="AE1097" s="94"/>
      <c r="AF1097" s="94"/>
      <c r="AG1097" s="95">
        <v>6.95</v>
      </c>
      <c r="AH1097" s="95">
        <v>0</v>
      </c>
    </row>
    <row r="1098" spans="1:34" ht="15.75" thickBot="1" x14ac:dyDescent="0.3">
      <c r="A1098" s="90" t="s">
        <v>999</v>
      </c>
      <c r="B1098" s="90" t="s">
        <v>18</v>
      </c>
      <c r="C1098" s="90" t="s">
        <v>453</v>
      </c>
      <c r="D1098" s="90" t="s">
        <v>17</v>
      </c>
      <c r="E1098" s="90" t="s">
        <v>673</v>
      </c>
      <c r="F1098" s="90" t="s">
        <v>686</v>
      </c>
      <c r="G1098" s="93">
        <v>2838.87</v>
      </c>
      <c r="H1098" s="92"/>
      <c r="I1098" s="92"/>
      <c r="J1098" s="92"/>
      <c r="K1098" s="92"/>
      <c r="L1098" s="92"/>
      <c r="M1098" s="92"/>
      <c r="N1098" s="92"/>
      <c r="O1098" s="92"/>
      <c r="P1098" s="92"/>
      <c r="Q1098" s="92"/>
      <c r="R1098" s="92"/>
      <c r="S1098" s="92"/>
      <c r="T1098" s="92"/>
      <c r="U1098" s="92"/>
      <c r="V1098" s="92"/>
      <c r="W1098" s="92"/>
      <c r="X1098" s="93">
        <v>2838.87</v>
      </c>
      <c r="Y1098" s="92"/>
      <c r="Z1098" s="92"/>
      <c r="AA1098" s="92"/>
      <c r="AB1098" s="92"/>
      <c r="AC1098" s="92"/>
      <c r="AD1098" s="93">
        <v>170.33</v>
      </c>
      <c r="AE1098" s="92"/>
      <c r="AF1098" s="92"/>
      <c r="AG1098" s="93">
        <v>3009.2</v>
      </c>
      <c r="AH1098" s="93">
        <v>0</v>
      </c>
    </row>
    <row r="1099" spans="1:34" ht="15.75" thickBot="1" x14ac:dyDescent="0.3">
      <c r="A1099" s="90" t="s">
        <v>999</v>
      </c>
      <c r="B1099" s="90" t="s">
        <v>18</v>
      </c>
      <c r="C1099" s="90" t="s">
        <v>453</v>
      </c>
      <c r="D1099" s="90" t="s">
        <v>17</v>
      </c>
      <c r="E1099" s="90" t="s">
        <v>673</v>
      </c>
      <c r="F1099" s="90" t="s">
        <v>697</v>
      </c>
      <c r="G1099" s="95">
        <v>2838.87</v>
      </c>
      <c r="H1099" s="94"/>
      <c r="I1099" s="94"/>
      <c r="J1099" s="94"/>
      <c r="K1099" s="94"/>
      <c r="L1099" s="94"/>
      <c r="M1099" s="94"/>
      <c r="N1099" s="94"/>
      <c r="O1099" s="94"/>
      <c r="P1099" s="94"/>
      <c r="Q1099" s="94"/>
      <c r="R1099" s="94"/>
      <c r="S1099" s="94"/>
      <c r="T1099" s="94"/>
      <c r="U1099" s="94"/>
      <c r="V1099" s="94"/>
      <c r="W1099" s="94"/>
      <c r="X1099" s="95">
        <v>2838.87</v>
      </c>
      <c r="Y1099" s="94"/>
      <c r="Z1099" s="94"/>
      <c r="AA1099" s="94"/>
      <c r="AB1099" s="94"/>
      <c r="AC1099" s="94"/>
      <c r="AD1099" s="95">
        <v>170.33</v>
      </c>
      <c r="AE1099" s="94"/>
      <c r="AF1099" s="94"/>
      <c r="AG1099" s="95">
        <v>3009.2</v>
      </c>
      <c r="AH1099" s="95">
        <v>0</v>
      </c>
    </row>
    <row r="1100" spans="1:34" ht="15.75" thickBot="1" x14ac:dyDescent="0.3">
      <c r="A1100" s="90" t="s">
        <v>999</v>
      </c>
      <c r="B1100" s="90" t="s">
        <v>18</v>
      </c>
      <c r="C1100" s="90" t="s">
        <v>453</v>
      </c>
      <c r="D1100" s="90" t="s">
        <v>17</v>
      </c>
      <c r="E1100" s="90" t="s">
        <v>196</v>
      </c>
      <c r="F1100" s="90" t="s">
        <v>686</v>
      </c>
      <c r="G1100" s="93">
        <v>4045.92</v>
      </c>
      <c r="H1100" s="92"/>
      <c r="I1100" s="92"/>
      <c r="J1100" s="92"/>
      <c r="K1100" s="92"/>
      <c r="L1100" s="92"/>
      <c r="M1100" s="92"/>
      <c r="N1100" s="92"/>
      <c r="O1100" s="92"/>
      <c r="P1100" s="93">
        <v>4045.92</v>
      </c>
      <c r="Q1100" s="92"/>
      <c r="R1100" s="92"/>
      <c r="S1100" s="92"/>
      <c r="T1100" s="92"/>
      <c r="U1100" s="92"/>
      <c r="V1100" s="92"/>
      <c r="W1100" s="92"/>
      <c r="X1100" s="92"/>
      <c r="Y1100" s="92"/>
      <c r="Z1100" s="92"/>
      <c r="AA1100" s="92"/>
      <c r="AB1100" s="92"/>
      <c r="AC1100" s="92"/>
      <c r="AD1100" s="93">
        <v>242.75</v>
      </c>
      <c r="AE1100" s="92"/>
      <c r="AF1100" s="92"/>
      <c r="AG1100" s="93">
        <v>4288.67</v>
      </c>
      <c r="AH1100" s="93">
        <v>0</v>
      </c>
    </row>
    <row r="1101" spans="1:34" ht="15.75" thickBot="1" x14ac:dyDescent="0.3">
      <c r="A1101" s="90" t="s">
        <v>999</v>
      </c>
      <c r="B1101" s="90" t="s">
        <v>18</v>
      </c>
      <c r="C1101" s="90" t="s">
        <v>453</v>
      </c>
      <c r="D1101" s="90" t="s">
        <v>17</v>
      </c>
      <c r="E1101" s="90" t="s">
        <v>196</v>
      </c>
      <c r="F1101" s="90" t="s">
        <v>697</v>
      </c>
      <c r="G1101" s="95">
        <v>4045.92</v>
      </c>
      <c r="H1101" s="94"/>
      <c r="I1101" s="94"/>
      <c r="J1101" s="94"/>
      <c r="K1101" s="94"/>
      <c r="L1101" s="94"/>
      <c r="M1101" s="94"/>
      <c r="N1101" s="94"/>
      <c r="O1101" s="94"/>
      <c r="P1101" s="95">
        <v>4045.92</v>
      </c>
      <c r="Q1101" s="94"/>
      <c r="R1101" s="94"/>
      <c r="S1101" s="94"/>
      <c r="T1101" s="94"/>
      <c r="U1101" s="94"/>
      <c r="V1101" s="94"/>
      <c r="W1101" s="94"/>
      <c r="X1101" s="94"/>
      <c r="Y1101" s="94"/>
      <c r="Z1101" s="94"/>
      <c r="AA1101" s="94"/>
      <c r="AB1101" s="94"/>
      <c r="AC1101" s="94"/>
      <c r="AD1101" s="95">
        <v>242.75</v>
      </c>
      <c r="AE1101" s="94"/>
      <c r="AF1101" s="94"/>
      <c r="AG1101" s="95">
        <v>4288.67</v>
      </c>
      <c r="AH1101" s="95">
        <v>0</v>
      </c>
    </row>
    <row r="1102" spans="1:34" ht="15.75" thickBot="1" x14ac:dyDescent="0.3">
      <c r="A1102" s="90" t="s">
        <v>999</v>
      </c>
      <c r="B1102" s="90" t="s">
        <v>18</v>
      </c>
      <c r="C1102" s="90" t="s">
        <v>453</v>
      </c>
      <c r="D1102" s="90" t="s">
        <v>20</v>
      </c>
      <c r="E1102" s="90" t="s">
        <v>528</v>
      </c>
      <c r="F1102" s="90" t="s">
        <v>686</v>
      </c>
      <c r="G1102" s="93">
        <v>400</v>
      </c>
      <c r="H1102" s="92"/>
      <c r="I1102" s="93">
        <v>400</v>
      </c>
      <c r="J1102" s="92"/>
      <c r="K1102" s="92"/>
      <c r="L1102" s="92"/>
      <c r="M1102" s="92"/>
      <c r="N1102" s="92"/>
      <c r="O1102" s="92"/>
      <c r="P1102" s="92"/>
      <c r="Q1102" s="92"/>
      <c r="R1102" s="92"/>
      <c r="S1102" s="92"/>
      <c r="T1102" s="92"/>
      <c r="U1102" s="92"/>
      <c r="V1102" s="92"/>
      <c r="W1102" s="92"/>
      <c r="X1102" s="92"/>
      <c r="Y1102" s="92"/>
      <c r="Z1102" s="92"/>
      <c r="AA1102" s="92"/>
      <c r="AB1102" s="92"/>
      <c r="AC1102" s="92"/>
      <c r="AD1102" s="93">
        <v>0</v>
      </c>
      <c r="AE1102" s="92"/>
      <c r="AF1102" s="92"/>
      <c r="AG1102" s="93">
        <v>400</v>
      </c>
      <c r="AH1102" s="93">
        <v>0</v>
      </c>
    </row>
    <row r="1103" spans="1:34" ht="15.75" thickBot="1" x14ac:dyDescent="0.3">
      <c r="A1103" s="90" t="s">
        <v>999</v>
      </c>
      <c r="B1103" s="90" t="s">
        <v>18</v>
      </c>
      <c r="C1103" s="90" t="s">
        <v>453</v>
      </c>
      <c r="D1103" s="90" t="s">
        <v>20</v>
      </c>
      <c r="E1103" s="90" t="s">
        <v>528</v>
      </c>
      <c r="F1103" s="90" t="s">
        <v>697</v>
      </c>
      <c r="G1103" s="95">
        <v>400</v>
      </c>
      <c r="H1103" s="94"/>
      <c r="I1103" s="95">
        <v>400</v>
      </c>
      <c r="J1103" s="94"/>
      <c r="K1103" s="94"/>
      <c r="L1103" s="94"/>
      <c r="M1103" s="94"/>
      <c r="N1103" s="94"/>
      <c r="O1103" s="94"/>
      <c r="P1103" s="94"/>
      <c r="Q1103" s="94"/>
      <c r="R1103" s="94"/>
      <c r="S1103" s="94"/>
      <c r="T1103" s="94"/>
      <c r="U1103" s="94"/>
      <c r="V1103" s="94"/>
      <c r="W1103" s="94"/>
      <c r="X1103" s="94"/>
      <c r="Y1103" s="94"/>
      <c r="Z1103" s="94"/>
      <c r="AA1103" s="94"/>
      <c r="AB1103" s="94"/>
      <c r="AC1103" s="94"/>
      <c r="AD1103" s="95">
        <v>0</v>
      </c>
      <c r="AE1103" s="94"/>
      <c r="AF1103" s="94"/>
      <c r="AG1103" s="95">
        <v>400</v>
      </c>
      <c r="AH1103" s="95">
        <v>0</v>
      </c>
    </row>
    <row r="1104" spans="1:34" ht="15.75" thickBot="1" x14ac:dyDescent="0.3">
      <c r="A1104" s="90" t="s">
        <v>999</v>
      </c>
      <c r="B1104" s="90" t="s">
        <v>18</v>
      </c>
      <c r="C1104" s="90" t="s">
        <v>453</v>
      </c>
      <c r="D1104" s="90" t="s">
        <v>20</v>
      </c>
      <c r="E1104" s="90" t="s">
        <v>518</v>
      </c>
      <c r="F1104" s="90" t="s">
        <v>686</v>
      </c>
      <c r="G1104" s="93">
        <v>1060.8800000000001</v>
      </c>
      <c r="H1104" s="93">
        <v>15136</v>
      </c>
      <c r="I1104" s="92"/>
      <c r="J1104" s="92"/>
      <c r="K1104" s="93">
        <v>1060.8800000000001</v>
      </c>
      <c r="L1104" s="92"/>
      <c r="M1104" s="92"/>
      <c r="N1104" s="92"/>
      <c r="O1104" s="92"/>
      <c r="P1104" s="92"/>
      <c r="Q1104" s="92"/>
      <c r="R1104" s="92"/>
      <c r="S1104" s="92"/>
      <c r="T1104" s="92"/>
      <c r="U1104" s="92"/>
      <c r="V1104" s="92"/>
      <c r="W1104" s="92"/>
      <c r="X1104" s="92"/>
      <c r="Y1104" s="92"/>
      <c r="Z1104" s="92"/>
      <c r="AA1104" s="92"/>
      <c r="AB1104" s="92"/>
      <c r="AC1104" s="92"/>
      <c r="AD1104" s="93">
        <v>0</v>
      </c>
      <c r="AE1104" s="92"/>
      <c r="AF1104" s="92"/>
      <c r="AG1104" s="93">
        <v>1060.8800000000001</v>
      </c>
      <c r="AH1104" s="93">
        <v>0</v>
      </c>
    </row>
    <row r="1105" spans="1:34" ht="15.75" thickBot="1" x14ac:dyDescent="0.3">
      <c r="A1105" s="90" t="s">
        <v>999</v>
      </c>
      <c r="B1105" s="90" t="s">
        <v>18</v>
      </c>
      <c r="C1105" s="90" t="s">
        <v>453</v>
      </c>
      <c r="D1105" s="90" t="s">
        <v>20</v>
      </c>
      <c r="E1105" s="90" t="s">
        <v>518</v>
      </c>
      <c r="F1105" s="90" t="s">
        <v>697</v>
      </c>
      <c r="G1105" s="95">
        <v>1060.8800000000001</v>
      </c>
      <c r="H1105" s="305">
        <v>15136</v>
      </c>
      <c r="I1105" s="94"/>
      <c r="J1105" s="94"/>
      <c r="K1105" s="95">
        <v>1060.8800000000001</v>
      </c>
      <c r="L1105" s="94"/>
      <c r="M1105" s="94"/>
      <c r="N1105" s="94"/>
      <c r="O1105" s="94"/>
      <c r="P1105" s="94"/>
      <c r="Q1105" s="94"/>
      <c r="R1105" s="94"/>
      <c r="S1105" s="94"/>
      <c r="T1105" s="94"/>
      <c r="U1105" s="94"/>
      <c r="V1105" s="94"/>
      <c r="W1105" s="94"/>
      <c r="X1105" s="94"/>
      <c r="Y1105" s="94"/>
      <c r="Z1105" s="94"/>
      <c r="AA1105" s="94"/>
      <c r="AB1105" s="94"/>
      <c r="AC1105" s="94"/>
      <c r="AD1105" s="95">
        <v>0</v>
      </c>
      <c r="AE1105" s="94"/>
      <c r="AF1105" s="94"/>
      <c r="AG1105" s="95">
        <v>1060.8800000000001</v>
      </c>
      <c r="AH1105" s="95">
        <v>0</v>
      </c>
    </row>
    <row r="1106" spans="1:34" ht="15.75" thickBot="1" x14ac:dyDescent="0.3">
      <c r="A1106" s="90" t="s">
        <v>999</v>
      </c>
      <c r="B1106" s="90" t="s">
        <v>18</v>
      </c>
      <c r="C1106" s="90" t="s">
        <v>453</v>
      </c>
      <c r="D1106" s="90" t="s">
        <v>20</v>
      </c>
      <c r="E1106" s="90" t="s">
        <v>727</v>
      </c>
      <c r="F1106" s="90" t="s">
        <v>686</v>
      </c>
      <c r="G1106" s="93">
        <v>8.6300000000000008</v>
      </c>
      <c r="H1106" s="92"/>
      <c r="I1106" s="92"/>
      <c r="J1106" s="92"/>
      <c r="K1106" s="92"/>
      <c r="L1106" s="92"/>
      <c r="M1106" s="92"/>
      <c r="N1106" s="92"/>
      <c r="O1106" s="93">
        <v>8.6300000000000008</v>
      </c>
      <c r="P1106" s="92"/>
      <c r="Q1106" s="92"/>
      <c r="R1106" s="92"/>
      <c r="S1106" s="92"/>
      <c r="T1106" s="92"/>
      <c r="U1106" s="92"/>
      <c r="V1106" s="92"/>
      <c r="W1106" s="92"/>
      <c r="X1106" s="92"/>
      <c r="Y1106" s="92"/>
      <c r="Z1106" s="92"/>
      <c r="AA1106" s="92"/>
      <c r="AB1106" s="92"/>
      <c r="AC1106" s="92"/>
      <c r="AD1106" s="93">
        <v>0</v>
      </c>
      <c r="AE1106" s="92"/>
      <c r="AF1106" s="92"/>
      <c r="AG1106" s="93">
        <v>8.6300000000000008</v>
      </c>
      <c r="AH1106" s="93">
        <v>0</v>
      </c>
    </row>
    <row r="1107" spans="1:34" ht="15.75" thickBot="1" x14ac:dyDescent="0.3">
      <c r="A1107" s="90" t="s">
        <v>999</v>
      </c>
      <c r="B1107" s="90" t="s">
        <v>18</v>
      </c>
      <c r="C1107" s="90" t="s">
        <v>453</v>
      </c>
      <c r="D1107" s="90" t="s">
        <v>20</v>
      </c>
      <c r="E1107" s="90" t="s">
        <v>727</v>
      </c>
      <c r="F1107" s="90" t="s">
        <v>697</v>
      </c>
      <c r="G1107" s="95">
        <v>8.6300000000000008</v>
      </c>
      <c r="H1107" s="94"/>
      <c r="I1107" s="94"/>
      <c r="J1107" s="94"/>
      <c r="K1107" s="94"/>
      <c r="L1107" s="94"/>
      <c r="M1107" s="94"/>
      <c r="N1107" s="94"/>
      <c r="O1107" s="95">
        <v>8.6300000000000008</v>
      </c>
      <c r="P1107" s="94"/>
      <c r="Q1107" s="94"/>
      <c r="R1107" s="94"/>
      <c r="S1107" s="94"/>
      <c r="T1107" s="94"/>
      <c r="U1107" s="94"/>
      <c r="V1107" s="94"/>
      <c r="W1107" s="94"/>
      <c r="X1107" s="94"/>
      <c r="Y1107" s="94"/>
      <c r="Z1107" s="94"/>
      <c r="AA1107" s="94"/>
      <c r="AB1107" s="94"/>
      <c r="AC1107" s="94"/>
      <c r="AD1107" s="95">
        <v>0</v>
      </c>
      <c r="AE1107" s="94"/>
      <c r="AF1107" s="94"/>
      <c r="AG1107" s="95">
        <v>8.6300000000000008</v>
      </c>
      <c r="AH1107" s="95">
        <v>0</v>
      </c>
    </row>
    <row r="1108" spans="1:34" ht="15.75" thickBot="1" x14ac:dyDescent="0.3">
      <c r="A1108" s="90" t="s">
        <v>999</v>
      </c>
      <c r="B1108" s="90" t="s">
        <v>18</v>
      </c>
      <c r="C1108" s="90" t="s">
        <v>453</v>
      </c>
      <c r="D1108" s="90" t="s">
        <v>20</v>
      </c>
      <c r="E1108" s="90" t="s">
        <v>673</v>
      </c>
      <c r="F1108" s="90" t="s">
        <v>686</v>
      </c>
      <c r="G1108" s="93">
        <v>2838.87</v>
      </c>
      <c r="H1108" s="92"/>
      <c r="I1108" s="92"/>
      <c r="J1108" s="92"/>
      <c r="K1108" s="92"/>
      <c r="L1108" s="92"/>
      <c r="M1108" s="92"/>
      <c r="N1108" s="92"/>
      <c r="O1108" s="92"/>
      <c r="P1108" s="92"/>
      <c r="Q1108" s="92"/>
      <c r="R1108" s="92"/>
      <c r="S1108" s="92"/>
      <c r="T1108" s="92"/>
      <c r="U1108" s="92"/>
      <c r="V1108" s="92"/>
      <c r="W1108" s="92"/>
      <c r="X1108" s="93">
        <v>2838.87</v>
      </c>
      <c r="Y1108" s="92"/>
      <c r="Z1108" s="92"/>
      <c r="AA1108" s="92"/>
      <c r="AB1108" s="92"/>
      <c r="AC1108" s="92"/>
      <c r="AD1108" s="93">
        <v>0</v>
      </c>
      <c r="AE1108" s="92"/>
      <c r="AF1108" s="92"/>
      <c r="AG1108" s="93">
        <v>2838.87</v>
      </c>
      <c r="AH1108" s="93">
        <v>0</v>
      </c>
    </row>
    <row r="1109" spans="1:34" ht="15.75" thickBot="1" x14ac:dyDescent="0.3">
      <c r="A1109" s="90" t="s">
        <v>999</v>
      </c>
      <c r="B1109" s="90" t="s">
        <v>18</v>
      </c>
      <c r="C1109" s="90" t="s">
        <v>453</v>
      </c>
      <c r="D1109" s="90" t="s">
        <v>20</v>
      </c>
      <c r="E1109" s="90" t="s">
        <v>673</v>
      </c>
      <c r="F1109" s="90" t="s">
        <v>697</v>
      </c>
      <c r="G1109" s="95">
        <v>2838.87</v>
      </c>
      <c r="H1109" s="94"/>
      <c r="I1109" s="94"/>
      <c r="J1109" s="94"/>
      <c r="K1109" s="94"/>
      <c r="L1109" s="94"/>
      <c r="M1109" s="94"/>
      <c r="N1109" s="94"/>
      <c r="O1109" s="94"/>
      <c r="P1109" s="94"/>
      <c r="Q1109" s="94"/>
      <c r="R1109" s="94"/>
      <c r="S1109" s="94"/>
      <c r="T1109" s="94"/>
      <c r="U1109" s="94"/>
      <c r="V1109" s="94"/>
      <c r="W1109" s="94"/>
      <c r="X1109" s="95">
        <v>2838.87</v>
      </c>
      <c r="Y1109" s="94"/>
      <c r="Z1109" s="94"/>
      <c r="AA1109" s="94"/>
      <c r="AB1109" s="94"/>
      <c r="AC1109" s="94"/>
      <c r="AD1109" s="95">
        <v>0</v>
      </c>
      <c r="AE1109" s="94"/>
      <c r="AF1109" s="94"/>
      <c r="AG1109" s="95">
        <v>2838.87</v>
      </c>
      <c r="AH1109" s="95">
        <v>0</v>
      </c>
    </row>
    <row r="1110" spans="1:34" ht="15.75" thickBot="1" x14ac:dyDescent="0.3">
      <c r="A1110" s="90" t="s">
        <v>999</v>
      </c>
      <c r="B1110" s="90" t="s">
        <v>18</v>
      </c>
      <c r="C1110" s="90" t="s">
        <v>453</v>
      </c>
      <c r="D1110" s="90" t="s">
        <v>20</v>
      </c>
      <c r="E1110" s="90" t="s">
        <v>196</v>
      </c>
      <c r="F1110" s="90" t="s">
        <v>686</v>
      </c>
      <c r="G1110" s="93">
        <v>5317.28</v>
      </c>
      <c r="H1110" s="92"/>
      <c r="I1110" s="92"/>
      <c r="J1110" s="92"/>
      <c r="K1110" s="92"/>
      <c r="L1110" s="92"/>
      <c r="M1110" s="92"/>
      <c r="N1110" s="92"/>
      <c r="O1110" s="92"/>
      <c r="P1110" s="93">
        <v>5317.28</v>
      </c>
      <c r="Q1110" s="92"/>
      <c r="R1110" s="92"/>
      <c r="S1110" s="92"/>
      <c r="T1110" s="92"/>
      <c r="U1110" s="92"/>
      <c r="V1110" s="92"/>
      <c r="W1110" s="92"/>
      <c r="X1110" s="92"/>
      <c r="Y1110" s="92"/>
      <c r="Z1110" s="92"/>
      <c r="AA1110" s="92"/>
      <c r="AB1110" s="92"/>
      <c r="AC1110" s="92"/>
      <c r="AD1110" s="93">
        <v>0</v>
      </c>
      <c r="AE1110" s="92"/>
      <c r="AF1110" s="92"/>
      <c r="AG1110" s="93">
        <v>5317.28</v>
      </c>
      <c r="AH1110" s="93">
        <v>0</v>
      </c>
    </row>
    <row r="1111" spans="1:34" ht="15.75" thickBot="1" x14ac:dyDescent="0.3">
      <c r="A1111" s="90" t="s">
        <v>999</v>
      </c>
      <c r="B1111" s="90" t="s">
        <v>18</v>
      </c>
      <c r="C1111" s="90" t="s">
        <v>453</v>
      </c>
      <c r="D1111" s="90" t="s">
        <v>20</v>
      </c>
      <c r="E1111" s="90" t="s">
        <v>196</v>
      </c>
      <c r="F1111" s="90" t="s">
        <v>697</v>
      </c>
      <c r="G1111" s="95">
        <v>5317.28</v>
      </c>
      <c r="H1111" s="94"/>
      <c r="I1111" s="94"/>
      <c r="J1111" s="94"/>
      <c r="K1111" s="94"/>
      <c r="L1111" s="94"/>
      <c r="M1111" s="94"/>
      <c r="N1111" s="94"/>
      <c r="O1111" s="94"/>
      <c r="P1111" s="95">
        <v>5317.28</v>
      </c>
      <c r="Q1111" s="94"/>
      <c r="R1111" s="94"/>
      <c r="S1111" s="94"/>
      <c r="T1111" s="94"/>
      <c r="U1111" s="94"/>
      <c r="V1111" s="94"/>
      <c r="W1111" s="94"/>
      <c r="X1111" s="94"/>
      <c r="Y1111" s="94"/>
      <c r="Z1111" s="94"/>
      <c r="AA1111" s="94"/>
      <c r="AB1111" s="94"/>
      <c r="AC1111" s="94"/>
      <c r="AD1111" s="95">
        <v>0</v>
      </c>
      <c r="AE1111" s="94"/>
      <c r="AF1111" s="94"/>
      <c r="AG1111" s="95">
        <v>5317.28</v>
      </c>
      <c r="AH1111" s="95">
        <v>0</v>
      </c>
    </row>
    <row r="1112" spans="1:34" ht="15.75" thickBot="1" x14ac:dyDescent="0.3">
      <c r="A1112" s="90" t="s">
        <v>999</v>
      </c>
      <c r="B1112" s="90" t="s">
        <v>68</v>
      </c>
      <c r="C1112" s="90" t="s">
        <v>877</v>
      </c>
      <c r="D1112" s="90" t="s">
        <v>17</v>
      </c>
      <c r="E1112" s="90" t="s">
        <v>528</v>
      </c>
      <c r="F1112" s="90" t="s">
        <v>686</v>
      </c>
      <c r="G1112" s="93">
        <v>40</v>
      </c>
      <c r="H1112" s="92"/>
      <c r="I1112" s="93">
        <v>40</v>
      </c>
      <c r="J1112" s="92"/>
      <c r="K1112" s="92"/>
      <c r="L1112" s="92"/>
      <c r="M1112" s="92"/>
      <c r="N1112" s="92"/>
      <c r="O1112" s="92"/>
      <c r="P1112" s="92"/>
      <c r="Q1112" s="92"/>
      <c r="R1112" s="92"/>
      <c r="S1112" s="92"/>
      <c r="T1112" s="92"/>
      <c r="U1112" s="92"/>
      <c r="V1112" s="92"/>
      <c r="W1112" s="92"/>
      <c r="X1112" s="92"/>
      <c r="Y1112" s="92"/>
      <c r="Z1112" s="92"/>
      <c r="AA1112" s="92"/>
      <c r="AB1112" s="92"/>
      <c r="AC1112" s="92"/>
      <c r="AD1112" s="93">
        <v>2.4</v>
      </c>
      <c r="AE1112" s="92"/>
      <c r="AF1112" s="92"/>
      <c r="AG1112" s="93">
        <v>42.4</v>
      </c>
      <c r="AH1112" s="93">
        <v>0</v>
      </c>
    </row>
    <row r="1113" spans="1:34" ht="15.75" thickBot="1" x14ac:dyDescent="0.3">
      <c r="A1113" s="90" t="s">
        <v>999</v>
      </c>
      <c r="B1113" s="90" t="s">
        <v>68</v>
      </c>
      <c r="C1113" s="90" t="s">
        <v>877</v>
      </c>
      <c r="D1113" s="90" t="s">
        <v>17</v>
      </c>
      <c r="E1113" s="90" t="s">
        <v>528</v>
      </c>
      <c r="F1113" s="90" t="s">
        <v>697</v>
      </c>
      <c r="G1113" s="95">
        <v>40</v>
      </c>
      <c r="H1113" s="94"/>
      <c r="I1113" s="95">
        <v>40</v>
      </c>
      <c r="J1113" s="94"/>
      <c r="K1113" s="94"/>
      <c r="L1113" s="94"/>
      <c r="M1113" s="94"/>
      <c r="N1113" s="94"/>
      <c r="O1113" s="94"/>
      <c r="P1113" s="94"/>
      <c r="Q1113" s="94"/>
      <c r="R1113" s="94"/>
      <c r="S1113" s="94"/>
      <c r="T1113" s="94"/>
      <c r="U1113" s="94"/>
      <c r="V1113" s="94"/>
      <c r="W1113" s="94"/>
      <c r="X1113" s="94"/>
      <c r="Y1113" s="94"/>
      <c r="Z1113" s="94"/>
      <c r="AA1113" s="94"/>
      <c r="AB1113" s="94"/>
      <c r="AC1113" s="94"/>
      <c r="AD1113" s="95">
        <v>2.4</v>
      </c>
      <c r="AE1113" s="94"/>
      <c r="AF1113" s="94"/>
      <c r="AG1113" s="95">
        <v>42.4</v>
      </c>
      <c r="AH1113" s="95">
        <v>0</v>
      </c>
    </row>
    <row r="1114" spans="1:34" ht="15.75" thickBot="1" x14ac:dyDescent="0.3">
      <c r="A1114" s="90" t="s">
        <v>999</v>
      </c>
      <c r="B1114" s="90" t="s">
        <v>68</v>
      </c>
      <c r="C1114" s="90" t="s">
        <v>877</v>
      </c>
      <c r="D1114" s="90" t="s">
        <v>17</v>
      </c>
      <c r="E1114" s="90" t="s">
        <v>547</v>
      </c>
      <c r="F1114" s="90" t="s">
        <v>686</v>
      </c>
      <c r="G1114" s="93">
        <v>544</v>
      </c>
      <c r="H1114" s="92"/>
      <c r="I1114" s="92"/>
      <c r="J1114" s="93">
        <v>544</v>
      </c>
      <c r="K1114" s="92"/>
      <c r="L1114" s="92"/>
      <c r="M1114" s="92"/>
      <c r="N1114" s="92"/>
      <c r="O1114" s="92"/>
      <c r="P1114" s="92"/>
      <c r="Q1114" s="92"/>
      <c r="R1114" s="92"/>
      <c r="S1114" s="92"/>
      <c r="T1114" s="92"/>
      <c r="U1114" s="92"/>
      <c r="V1114" s="92"/>
      <c r="W1114" s="92"/>
      <c r="X1114" s="92"/>
      <c r="Y1114" s="92"/>
      <c r="Z1114" s="92"/>
      <c r="AA1114" s="92"/>
      <c r="AB1114" s="92"/>
      <c r="AC1114" s="92"/>
      <c r="AD1114" s="93">
        <v>32.64</v>
      </c>
      <c r="AE1114" s="92"/>
      <c r="AF1114" s="92"/>
      <c r="AG1114" s="93">
        <v>576.64</v>
      </c>
      <c r="AH1114" s="93">
        <v>0</v>
      </c>
    </row>
    <row r="1115" spans="1:34" ht="15.75" thickBot="1" x14ac:dyDescent="0.3">
      <c r="A1115" s="90" t="s">
        <v>999</v>
      </c>
      <c r="B1115" s="90" t="s">
        <v>68</v>
      </c>
      <c r="C1115" s="90" t="s">
        <v>877</v>
      </c>
      <c r="D1115" s="90" t="s">
        <v>17</v>
      </c>
      <c r="E1115" s="90" t="s">
        <v>547</v>
      </c>
      <c r="F1115" s="90" t="s">
        <v>697</v>
      </c>
      <c r="G1115" s="95">
        <v>544</v>
      </c>
      <c r="H1115" s="94"/>
      <c r="I1115" s="94"/>
      <c r="J1115" s="95">
        <v>544</v>
      </c>
      <c r="K1115" s="94"/>
      <c r="L1115" s="94"/>
      <c r="M1115" s="94"/>
      <c r="N1115" s="94"/>
      <c r="O1115" s="94"/>
      <c r="P1115" s="94"/>
      <c r="Q1115" s="94"/>
      <c r="R1115" s="94"/>
      <c r="S1115" s="94"/>
      <c r="T1115" s="94"/>
      <c r="U1115" s="94"/>
      <c r="V1115" s="94"/>
      <c r="W1115" s="94"/>
      <c r="X1115" s="94"/>
      <c r="Y1115" s="94"/>
      <c r="Z1115" s="94"/>
      <c r="AA1115" s="94"/>
      <c r="AB1115" s="94"/>
      <c r="AC1115" s="94"/>
      <c r="AD1115" s="95">
        <v>32.64</v>
      </c>
      <c r="AE1115" s="94"/>
      <c r="AF1115" s="94"/>
      <c r="AG1115" s="95">
        <v>576.64</v>
      </c>
      <c r="AH1115" s="95">
        <v>0</v>
      </c>
    </row>
    <row r="1116" spans="1:34" ht="15.75" thickBot="1" x14ac:dyDescent="0.3">
      <c r="A1116" s="90" t="s">
        <v>999</v>
      </c>
      <c r="B1116" s="90" t="s">
        <v>68</v>
      </c>
      <c r="C1116" s="90" t="s">
        <v>877</v>
      </c>
      <c r="D1116" s="90" t="s">
        <v>17</v>
      </c>
      <c r="E1116" s="90" t="s">
        <v>518</v>
      </c>
      <c r="F1116" s="90" t="s">
        <v>686</v>
      </c>
      <c r="G1116" s="93">
        <v>0.23</v>
      </c>
      <c r="H1116" s="93">
        <v>7</v>
      </c>
      <c r="I1116" s="92"/>
      <c r="J1116" s="92"/>
      <c r="K1116" s="93">
        <v>0.23</v>
      </c>
      <c r="L1116" s="92"/>
      <c r="M1116" s="92"/>
      <c r="N1116" s="92"/>
      <c r="O1116" s="92"/>
      <c r="P1116" s="92"/>
      <c r="Q1116" s="92"/>
      <c r="R1116" s="92"/>
      <c r="S1116" s="92"/>
      <c r="T1116" s="92"/>
      <c r="U1116" s="92"/>
      <c r="V1116" s="92"/>
      <c r="W1116" s="92"/>
      <c r="X1116" s="92"/>
      <c r="Y1116" s="92"/>
      <c r="Z1116" s="92"/>
      <c r="AA1116" s="92"/>
      <c r="AB1116" s="92"/>
      <c r="AC1116" s="92"/>
      <c r="AD1116" s="93">
        <v>0.01</v>
      </c>
      <c r="AE1116" s="92"/>
      <c r="AF1116" s="92"/>
      <c r="AG1116" s="93">
        <v>0.24</v>
      </c>
      <c r="AH1116" s="93">
        <v>0</v>
      </c>
    </row>
    <row r="1117" spans="1:34" ht="15.75" thickBot="1" x14ac:dyDescent="0.3">
      <c r="A1117" s="90" t="s">
        <v>999</v>
      </c>
      <c r="B1117" s="90" t="s">
        <v>68</v>
      </c>
      <c r="C1117" s="90" t="s">
        <v>877</v>
      </c>
      <c r="D1117" s="90" t="s">
        <v>17</v>
      </c>
      <c r="E1117" s="90" t="s">
        <v>518</v>
      </c>
      <c r="F1117" s="90" t="s">
        <v>697</v>
      </c>
      <c r="G1117" s="95">
        <v>0.23</v>
      </c>
      <c r="H1117" s="305">
        <v>7</v>
      </c>
      <c r="I1117" s="94"/>
      <c r="J1117" s="94"/>
      <c r="K1117" s="95">
        <v>0.23</v>
      </c>
      <c r="L1117" s="94"/>
      <c r="M1117" s="94"/>
      <c r="N1117" s="94"/>
      <c r="O1117" s="94"/>
      <c r="P1117" s="94"/>
      <c r="Q1117" s="94"/>
      <c r="R1117" s="94"/>
      <c r="S1117" s="94"/>
      <c r="T1117" s="94"/>
      <c r="U1117" s="94"/>
      <c r="V1117" s="94"/>
      <c r="W1117" s="94"/>
      <c r="X1117" s="94"/>
      <c r="Y1117" s="94"/>
      <c r="Z1117" s="94"/>
      <c r="AA1117" s="94"/>
      <c r="AB1117" s="94"/>
      <c r="AC1117" s="94"/>
      <c r="AD1117" s="95">
        <v>0.01</v>
      </c>
      <c r="AE1117" s="94"/>
      <c r="AF1117" s="94"/>
      <c r="AG1117" s="95">
        <v>0.24</v>
      </c>
      <c r="AH1117" s="95">
        <v>0</v>
      </c>
    </row>
    <row r="1118" spans="1:34" ht="15.75" thickBot="1" x14ac:dyDescent="0.3">
      <c r="A1118" s="90" t="s">
        <v>999</v>
      </c>
      <c r="B1118" s="90" t="s">
        <v>68</v>
      </c>
      <c r="C1118" s="90" t="s">
        <v>877</v>
      </c>
      <c r="D1118" s="90" t="s">
        <v>17</v>
      </c>
      <c r="E1118" s="90" t="s">
        <v>196</v>
      </c>
      <c r="F1118" s="90" t="s">
        <v>686</v>
      </c>
      <c r="G1118" s="93">
        <v>2.46</v>
      </c>
      <c r="H1118" s="92"/>
      <c r="I1118" s="92"/>
      <c r="J1118" s="92"/>
      <c r="K1118" s="92"/>
      <c r="L1118" s="92"/>
      <c r="M1118" s="92"/>
      <c r="N1118" s="92"/>
      <c r="O1118" s="92"/>
      <c r="P1118" s="93">
        <v>2.46</v>
      </c>
      <c r="Q1118" s="92"/>
      <c r="R1118" s="92"/>
      <c r="S1118" s="92"/>
      <c r="T1118" s="92"/>
      <c r="U1118" s="92"/>
      <c r="V1118" s="92"/>
      <c r="W1118" s="92"/>
      <c r="X1118" s="92"/>
      <c r="Y1118" s="92"/>
      <c r="Z1118" s="92"/>
      <c r="AA1118" s="92"/>
      <c r="AB1118" s="92"/>
      <c r="AC1118" s="92"/>
      <c r="AD1118" s="93">
        <v>0.15</v>
      </c>
      <c r="AE1118" s="92"/>
      <c r="AF1118" s="92"/>
      <c r="AG1118" s="93">
        <v>2.61</v>
      </c>
      <c r="AH1118" s="93">
        <v>0</v>
      </c>
    </row>
    <row r="1119" spans="1:34" ht="15.75" thickBot="1" x14ac:dyDescent="0.3">
      <c r="A1119" s="90" t="s">
        <v>999</v>
      </c>
      <c r="B1119" s="90" t="s">
        <v>68</v>
      </c>
      <c r="C1119" s="90" t="s">
        <v>877</v>
      </c>
      <c r="D1119" s="90" t="s">
        <v>17</v>
      </c>
      <c r="E1119" s="90" t="s">
        <v>196</v>
      </c>
      <c r="F1119" s="90" t="s">
        <v>697</v>
      </c>
      <c r="G1119" s="95">
        <v>2.46</v>
      </c>
      <c r="H1119" s="94"/>
      <c r="I1119" s="94"/>
      <c r="J1119" s="94"/>
      <c r="K1119" s="94"/>
      <c r="L1119" s="94"/>
      <c r="M1119" s="94"/>
      <c r="N1119" s="94"/>
      <c r="O1119" s="94"/>
      <c r="P1119" s="95">
        <v>2.46</v>
      </c>
      <c r="Q1119" s="94"/>
      <c r="R1119" s="94"/>
      <c r="S1119" s="94"/>
      <c r="T1119" s="94"/>
      <c r="U1119" s="94"/>
      <c r="V1119" s="94"/>
      <c r="W1119" s="94"/>
      <c r="X1119" s="94"/>
      <c r="Y1119" s="94"/>
      <c r="Z1119" s="94"/>
      <c r="AA1119" s="94"/>
      <c r="AB1119" s="94"/>
      <c r="AC1119" s="94"/>
      <c r="AD1119" s="95">
        <v>0.15</v>
      </c>
      <c r="AE1119" s="94"/>
      <c r="AF1119" s="94"/>
      <c r="AG1119" s="95">
        <v>2.61</v>
      </c>
      <c r="AH1119" s="95">
        <v>0</v>
      </c>
    </row>
    <row r="1120" spans="1:34" ht="15.75" thickBot="1" x14ac:dyDescent="0.3">
      <c r="A1120" s="90" t="s">
        <v>999</v>
      </c>
      <c r="B1120" s="90" t="s">
        <v>50</v>
      </c>
      <c r="C1120" s="90" t="s">
        <v>881</v>
      </c>
      <c r="D1120" s="90" t="s">
        <v>661</v>
      </c>
      <c r="E1120" s="90" t="s">
        <v>198</v>
      </c>
      <c r="F1120" s="90" t="s">
        <v>522</v>
      </c>
      <c r="G1120" s="93">
        <v>233.41</v>
      </c>
      <c r="H1120" s="92"/>
      <c r="I1120" s="92"/>
      <c r="J1120" s="92"/>
      <c r="K1120" s="92"/>
      <c r="L1120" s="92"/>
      <c r="M1120" s="92"/>
      <c r="N1120" s="92"/>
      <c r="O1120" s="93">
        <v>233.41</v>
      </c>
      <c r="P1120" s="92"/>
      <c r="Q1120" s="92"/>
      <c r="R1120" s="92"/>
      <c r="S1120" s="92"/>
      <c r="T1120" s="92"/>
      <c r="U1120" s="92"/>
      <c r="V1120" s="92"/>
      <c r="W1120" s="92"/>
      <c r="X1120" s="92"/>
      <c r="Y1120" s="92"/>
      <c r="Z1120" s="92"/>
      <c r="AA1120" s="92"/>
      <c r="AB1120" s="92"/>
      <c r="AC1120" s="92"/>
      <c r="AD1120" s="93">
        <v>4.3600000000000003</v>
      </c>
      <c r="AE1120" s="92"/>
      <c r="AF1120" s="92"/>
      <c r="AG1120" s="93">
        <v>237.77</v>
      </c>
      <c r="AH1120" s="93">
        <v>0</v>
      </c>
    </row>
    <row r="1121" spans="1:34" ht="15.75" thickBot="1" x14ac:dyDescent="0.3">
      <c r="A1121" s="90" t="s">
        <v>999</v>
      </c>
      <c r="B1121" s="90" t="s">
        <v>50</v>
      </c>
      <c r="C1121" s="90" t="s">
        <v>881</v>
      </c>
      <c r="D1121" s="90" t="s">
        <v>661</v>
      </c>
      <c r="E1121" s="90" t="s">
        <v>198</v>
      </c>
      <c r="F1121" s="90" t="s">
        <v>697</v>
      </c>
      <c r="G1121" s="95">
        <v>233.41</v>
      </c>
      <c r="H1121" s="94"/>
      <c r="I1121" s="94"/>
      <c r="J1121" s="94"/>
      <c r="K1121" s="94"/>
      <c r="L1121" s="94"/>
      <c r="M1121" s="94"/>
      <c r="N1121" s="94"/>
      <c r="O1121" s="95">
        <v>233.41</v>
      </c>
      <c r="P1121" s="94"/>
      <c r="Q1121" s="94"/>
      <c r="R1121" s="94"/>
      <c r="S1121" s="94"/>
      <c r="T1121" s="94"/>
      <c r="U1121" s="94"/>
      <c r="V1121" s="94"/>
      <c r="W1121" s="94"/>
      <c r="X1121" s="94"/>
      <c r="Y1121" s="94"/>
      <c r="Z1121" s="94"/>
      <c r="AA1121" s="94"/>
      <c r="AB1121" s="94"/>
      <c r="AC1121" s="94"/>
      <c r="AD1121" s="95">
        <v>4.3600000000000003</v>
      </c>
      <c r="AE1121" s="94"/>
      <c r="AF1121" s="94"/>
      <c r="AG1121" s="95">
        <v>237.77</v>
      </c>
      <c r="AH1121" s="95">
        <v>0</v>
      </c>
    </row>
    <row r="1122" spans="1:34" ht="15.75" thickBot="1" x14ac:dyDescent="0.3">
      <c r="A1122" s="90" t="s">
        <v>999</v>
      </c>
      <c r="B1122" s="90" t="s">
        <v>50</v>
      </c>
      <c r="C1122" s="90" t="s">
        <v>881</v>
      </c>
      <c r="D1122" s="90" t="s">
        <v>661</v>
      </c>
      <c r="E1122" s="90" t="s">
        <v>518</v>
      </c>
      <c r="F1122" s="90" t="s">
        <v>522</v>
      </c>
      <c r="G1122" s="93">
        <v>17616.740000000002</v>
      </c>
      <c r="H1122" s="93">
        <v>409501</v>
      </c>
      <c r="I1122" s="92"/>
      <c r="J1122" s="92"/>
      <c r="K1122" s="93">
        <v>17616.740000000002</v>
      </c>
      <c r="L1122" s="92"/>
      <c r="M1122" s="92"/>
      <c r="N1122" s="92"/>
      <c r="O1122" s="92"/>
      <c r="P1122" s="92"/>
      <c r="Q1122" s="92"/>
      <c r="R1122" s="92"/>
      <c r="S1122" s="92"/>
      <c r="T1122" s="92"/>
      <c r="U1122" s="92"/>
      <c r="V1122" s="92"/>
      <c r="W1122" s="92"/>
      <c r="X1122" s="92"/>
      <c r="Y1122" s="92"/>
      <c r="Z1122" s="92"/>
      <c r="AA1122" s="92"/>
      <c r="AB1122" s="92"/>
      <c r="AC1122" s="92"/>
      <c r="AD1122" s="93">
        <v>329.51</v>
      </c>
      <c r="AE1122" s="92"/>
      <c r="AF1122" s="92"/>
      <c r="AG1122" s="93">
        <v>17946.25</v>
      </c>
      <c r="AH1122" s="93">
        <v>0</v>
      </c>
    </row>
    <row r="1123" spans="1:34" ht="15.75" thickBot="1" x14ac:dyDescent="0.3">
      <c r="A1123" s="90" t="s">
        <v>999</v>
      </c>
      <c r="B1123" s="90" t="s">
        <v>50</v>
      </c>
      <c r="C1123" s="90" t="s">
        <v>881</v>
      </c>
      <c r="D1123" s="90" t="s">
        <v>661</v>
      </c>
      <c r="E1123" s="90" t="s">
        <v>518</v>
      </c>
      <c r="F1123" s="90" t="s">
        <v>697</v>
      </c>
      <c r="G1123" s="95">
        <v>17616.740000000002</v>
      </c>
      <c r="H1123" s="305">
        <v>409501</v>
      </c>
      <c r="I1123" s="94"/>
      <c r="J1123" s="94"/>
      <c r="K1123" s="95">
        <v>17616.740000000002</v>
      </c>
      <c r="L1123" s="94"/>
      <c r="M1123" s="94"/>
      <c r="N1123" s="94"/>
      <c r="O1123" s="94"/>
      <c r="P1123" s="94"/>
      <c r="Q1123" s="94"/>
      <c r="R1123" s="94"/>
      <c r="S1123" s="94"/>
      <c r="T1123" s="94"/>
      <c r="U1123" s="94"/>
      <c r="V1123" s="94"/>
      <c r="W1123" s="94"/>
      <c r="X1123" s="94"/>
      <c r="Y1123" s="94"/>
      <c r="Z1123" s="94"/>
      <c r="AA1123" s="94"/>
      <c r="AB1123" s="94"/>
      <c r="AC1123" s="94"/>
      <c r="AD1123" s="95">
        <v>329.51</v>
      </c>
      <c r="AE1123" s="94"/>
      <c r="AF1123" s="94"/>
      <c r="AG1123" s="95">
        <v>17946.25</v>
      </c>
      <c r="AH1123" s="95">
        <v>0</v>
      </c>
    </row>
    <row r="1124" spans="1:34" ht="15.75" thickBot="1" x14ac:dyDescent="0.3">
      <c r="A1124" s="90" t="s">
        <v>999</v>
      </c>
      <c r="B1124" s="90" t="s">
        <v>50</v>
      </c>
      <c r="C1124" s="90" t="s">
        <v>881</v>
      </c>
      <c r="D1124" s="90" t="s">
        <v>661</v>
      </c>
      <c r="E1124" s="90" t="s">
        <v>524</v>
      </c>
      <c r="F1124" s="90" t="s">
        <v>522</v>
      </c>
      <c r="G1124" s="93">
        <v>4400</v>
      </c>
      <c r="H1124" s="92"/>
      <c r="I1124" s="93">
        <v>4400</v>
      </c>
      <c r="J1124" s="92"/>
      <c r="K1124" s="92"/>
      <c r="L1124" s="92"/>
      <c r="M1124" s="92"/>
      <c r="N1124" s="92"/>
      <c r="O1124" s="92"/>
      <c r="P1124" s="92"/>
      <c r="Q1124" s="92"/>
      <c r="R1124" s="92"/>
      <c r="S1124" s="92"/>
      <c r="T1124" s="92"/>
      <c r="U1124" s="92"/>
      <c r="V1124" s="92"/>
      <c r="W1124" s="92"/>
      <c r="X1124" s="92"/>
      <c r="Y1124" s="92"/>
      <c r="Z1124" s="92"/>
      <c r="AA1124" s="92"/>
      <c r="AB1124" s="92"/>
      <c r="AC1124" s="92"/>
      <c r="AD1124" s="93">
        <v>66</v>
      </c>
      <c r="AE1124" s="92"/>
      <c r="AF1124" s="92"/>
      <c r="AG1124" s="93">
        <v>4466</v>
      </c>
      <c r="AH1124" s="93">
        <v>0</v>
      </c>
    </row>
    <row r="1125" spans="1:34" ht="15.75" thickBot="1" x14ac:dyDescent="0.3">
      <c r="A1125" s="90" t="s">
        <v>999</v>
      </c>
      <c r="B1125" s="90" t="s">
        <v>50</v>
      </c>
      <c r="C1125" s="90" t="s">
        <v>881</v>
      </c>
      <c r="D1125" s="90" t="s">
        <v>661</v>
      </c>
      <c r="E1125" s="90" t="s">
        <v>524</v>
      </c>
      <c r="F1125" s="90" t="s">
        <v>697</v>
      </c>
      <c r="G1125" s="95">
        <v>4400</v>
      </c>
      <c r="H1125" s="94"/>
      <c r="I1125" s="95">
        <v>4400</v>
      </c>
      <c r="J1125" s="94"/>
      <c r="K1125" s="94"/>
      <c r="L1125" s="94"/>
      <c r="M1125" s="94"/>
      <c r="N1125" s="94"/>
      <c r="O1125" s="94"/>
      <c r="P1125" s="94"/>
      <c r="Q1125" s="94"/>
      <c r="R1125" s="94"/>
      <c r="S1125" s="94"/>
      <c r="T1125" s="94"/>
      <c r="U1125" s="94"/>
      <c r="V1125" s="94"/>
      <c r="W1125" s="94"/>
      <c r="X1125" s="94"/>
      <c r="Y1125" s="94"/>
      <c r="Z1125" s="94"/>
      <c r="AA1125" s="94"/>
      <c r="AB1125" s="94"/>
      <c r="AC1125" s="94"/>
      <c r="AD1125" s="95">
        <v>66</v>
      </c>
      <c r="AE1125" s="94"/>
      <c r="AF1125" s="94"/>
      <c r="AG1125" s="95">
        <v>4466</v>
      </c>
      <c r="AH1125" s="95">
        <v>0</v>
      </c>
    </row>
    <row r="1126" spans="1:34" ht="15.75" thickBot="1" x14ac:dyDescent="0.3">
      <c r="A1126" s="90" t="s">
        <v>999</v>
      </c>
      <c r="B1126" s="90" t="s">
        <v>50</v>
      </c>
      <c r="C1126" s="90" t="s">
        <v>881</v>
      </c>
      <c r="D1126" s="90" t="s">
        <v>662</v>
      </c>
      <c r="E1126" s="90" t="s">
        <v>198</v>
      </c>
      <c r="F1126" s="90" t="s">
        <v>522</v>
      </c>
      <c r="G1126" s="93">
        <v>57.77</v>
      </c>
      <c r="H1126" s="92"/>
      <c r="I1126" s="92"/>
      <c r="J1126" s="92"/>
      <c r="K1126" s="92"/>
      <c r="L1126" s="92"/>
      <c r="M1126" s="92"/>
      <c r="N1126" s="92"/>
      <c r="O1126" s="93">
        <v>57.77</v>
      </c>
      <c r="P1126" s="92"/>
      <c r="Q1126" s="92"/>
      <c r="R1126" s="92"/>
      <c r="S1126" s="92"/>
      <c r="T1126" s="92"/>
      <c r="U1126" s="92"/>
      <c r="V1126" s="92"/>
      <c r="W1126" s="92"/>
      <c r="X1126" s="92"/>
      <c r="Y1126" s="92"/>
      <c r="Z1126" s="92"/>
      <c r="AA1126" s="92"/>
      <c r="AB1126" s="92"/>
      <c r="AC1126" s="92"/>
      <c r="AD1126" s="93">
        <v>1.2</v>
      </c>
      <c r="AE1126" s="92"/>
      <c r="AF1126" s="92"/>
      <c r="AG1126" s="93">
        <v>58.97</v>
      </c>
      <c r="AH1126" s="93">
        <v>0</v>
      </c>
    </row>
    <row r="1127" spans="1:34" ht="15.75" thickBot="1" x14ac:dyDescent="0.3">
      <c r="A1127" s="90" t="s">
        <v>999</v>
      </c>
      <c r="B1127" s="90" t="s">
        <v>50</v>
      </c>
      <c r="C1127" s="90" t="s">
        <v>881</v>
      </c>
      <c r="D1127" s="90" t="s">
        <v>662</v>
      </c>
      <c r="E1127" s="90" t="s">
        <v>198</v>
      </c>
      <c r="F1127" s="90" t="s">
        <v>697</v>
      </c>
      <c r="G1127" s="95">
        <v>57.77</v>
      </c>
      <c r="H1127" s="94"/>
      <c r="I1127" s="94"/>
      <c r="J1127" s="94"/>
      <c r="K1127" s="94"/>
      <c r="L1127" s="94"/>
      <c r="M1127" s="94"/>
      <c r="N1127" s="94"/>
      <c r="O1127" s="95">
        <v>57.77</v>
      </c>
      <c r="P1127" s="94"/>
      <c r="Q1127" s="94"/>
      <c r="R1127" s="94"/>
      <c r="S1127" s="94"/>
      <c r="T1127" s="94"/>
      <c r="U1127" s="94"/>
      <c r="V1127" s="94"/>
      <c r="W1127" s="94"/>
      <c r="X1127" s="94"/>
      <c r="Y1127" s="94"/>
      <c r="Z1127" s="94"/>
      <c r="AA1127" s="94"/>
      <c r="AB1127" s="94"/>
      <c r="AC1127" s="94"/>
      <c r="AD1127" s="95">
        <v>1.2</v>
      </c>
      <c r="AE1127" s="94"/>
      <c r="AF1127" s="94"/>
      <c r="AG1127" s="95">
        <v>58.97</v>
      </c>
      <c r="AH1127" s="95">
        <v>0</v>
      </c>
    </row>
    <row r="1128" spans="1:34" ht="15.75" thickBot="1" x14ac:dyDescent="0.3">
      <c r="A1128" s="90" t="s">
        <v>999</v>
      </c>
      <c r="B1128" s="90" t="s">
        <v>50</v>
      </c>
      <c r="C1128" s="90" t="s">
        <v>881</v>
      </c>
      <c r="D1128" s="90" t="s">
        <v>662</v>
      </c>
      <c r="E1128" s="90" t="s">
        <v>525</v>
      </c>
      <c r="F1128" s="90" t="s">
        <v>690</v>
      </c>
      <c r="G1128" s="93">
        <v>-103.43</v>
      </c>
      <c r="H1128" s="92"/>
      <c r="I1128" s="92"/>
      <c r="J1128" s="92"/>
      <c r="K1128" s="92"/>
      <c r="L1128" s="92"/>
      <c r="M1128" s="92"/>
      <c r="N1128" s="92"/>
      <c r="O1128" s="92"/>
      <c r="P1128" s="92"/>
      <c r="Q1128" s="92"/>
      <c r="R1128" s="93">
        <v>-103.43</v>
      </c>
      <c r="S1128" s="92"/>
      <c r="T1128" s="92"/>
      <c r="U1128" s="92"/>
      <c r="V1128" s="92"/>
      <c r="W1128" s="92"/>
      <c r="X1128" s="92"/>
      <c r="Y1128" s="92"/>
      <c r="Z1128" s="92"/>
      <c r="AA1128" s="92"/>
      <c r="AB1128" s="92"/>
      <c r="AC1128" s="92"/>
      <c r="AD1128" s="93">
        <v>-3.1</v>
      </c>
      <c r="AE1128" s="92"/>
      <c r="AF1128" s="92"/>
      <c r="AG1128" s="93">
        <v>-106.53</v>
      </c>
      <c r="AH1128" s="93">
        <v>0</v>
      </c>
    </row>
    <row r="1129" spans="1:34" ht="15.75" thickBot="1" x14ac:dyDescent="0.3">
      <c r="A1129" s="90" t="s">
        <v>999</v>
      </c>
      <c r="B1129" s="90" t="s">
        <v>50</v>
      </c>
      <c r="C1129" s="90" t="s">
        <v>881</v>
      </c>
      <c r="D1129" s="90" t="s">
        <v>662</v>
      </c>
      <c r="E1129" s="90" t="s">
        <v>525</v>
      </c>
      <c r="F1129" s="90" t="s">
        <v>697</v>
      </c>
      <c r="G1129" s="95">
        <v>-103.43</v>
      </c>
      <c r="H1129" s="94"/>
      <c r="I1129" s="94"/>
      <c r="J1129" s="94"/>
      <c r="K1129" s="94"/>
      <c r="L1129" s="94"/>
      <c r="M1129" s="94"/>
      <c r="N1129" s="94"/>
      <c r="O1129" s="94"/>
      <c r="P1129" s="94"/>
      <c r="Q1129" s="94"/>
      <c r="R1129" s="95">
        <v>-103.43</v>
      </c>
      <c r="S1129" s="94"/>
      <c r="T1129" s="94"/>
      <c r="U1129" s="94"/>
      <c r="V1129" s="94"/>
      <c r="W1129" s="94"/>
      <c r="X1129" s="94"/>
      <c r="Y1129" s="94"/>
      <c r="Z1129" s="94"/>
      <c r="AA1129" s="94"/>
      <c r="AB1129" s="94"/>
      <c r="AC1129" s="94"/>
      <c r="AD1129" s="95">
        <v>-3.1</v>
      </c>
      <c r="AE1129" s="94"/>
      <c r="AF1129" s="94"/>
      <c r="AG1129" s="95">
        <v>-106.53</v>
      </c>
      <c r="AH1129" s="95">
        <v>0</v>
      </c>
    </row>
    <row r="1130" spans="1:34" ht="15.75" thickBot="1" x14ac:dyDescent="0.3">
      <c r="A1130" s="90" t="s">
        <v>999</v>
      </c>
      <c r="B1130" s="90" t="s">
        <v>50</v>
      </c>
      <c r="C1130" s="90" t="s">
        <v>881</v>
      </c>
      <c r="D1130" s="90" t="s">
        <v>662</v>
      </c>
      <c r="E1130" s="90" t="s">
        <v>518</v>
      </c>
      <c r="F1130" s="90" t="s">
        <v>522</v>
      </c>
      <c r="G1130" s="93">
        <v>4359.99</v>
      </c>
      <c r="H1130" s="93">
        <v>101348</v>
      </c>
      <c r="I1130" s="92"/>
      <c r="J1130" s="92"/>
      <c r="K1130" s="93">
        <v>4359.99</v>
      </c>
      <c r="L1130" s="92"/>
      <c r="M1130" s="92"/>
      <c r="N1130" s="92"/>
      <c r="O1130" s="92"/>
      <c r="P1130" s="92"/>
      <c r="Q1130" s="92"/>
      <c r="R1130" s="92"/>
      <c r="S1130" s="92"/>
      <c r="T1130" s="92"/>
      <c r="U1130" s="92"/>
      <c r="V1130" s="92"/>
      <c r="W1130" s="92"/>
      <c r="X1130" s="92"/>
      <c r="Y1130" s="92"/>
      <c r="Z1130" s="92"/>
      <c r="AA1130" s="92"/>
      <c r="AB1130" s="92"/>
      <c r="AC1130" s="92"/>
      <c r="AD1130" s="93">
        <v>90.72</v>
      </c>
      <c r="AE1130" s="92"/>
      <c r="AF1130" s="92"/>
      <c r="AG1130" s="93">
        <v>4450.71</v>
      </c>
      <c r="AH1130" s="93">
        <v>0</v>
      </c>
    </row>
    <row r="1131" spans="1:34" ht="15.75" thickBot="1" x14ac:dyDescent="0.3">
      <c r="A1131" s="90" t="s">
        <v>999</v>
      </c>
      <c r="B1131" s="90" t="s">
        <v>50</v>
      </c>
      <c r="C1131" s="90" t="s">
        <v>881</v>
      </c>
      <c r="D1131" s="90" t="s">
        <v>662</v>
      </c>
      <c r="E1131" s="90" t="s">
        <v>518</v>
      </c>
      <c r="F1131" s="90" t="s">
        <v>697</v>
      </c>
      <c r="G1131" s="95">
        <v>4359.99</v>
      </c>
      <c r="H1131" s="305">
        <v>101348</v>
      </c>
      <c r="I1131" s="94"/>
      <c r="J1131" s="94"/>
      <c r="K1131" s="95">
        <v>4359.99</v>
      </c>
      <c r="L1131" s="94"/>
      <c r="M1131" s="94"/>
      <c r="N1131" s="94"/>
      <c r="O1131" s="94"/>
      <c r="P1131" s="94"/>
      <c r="Q1131" s="94"/>
      <c r="R1131" s="94"/>
      <c r="S1131" s="94"/>
      <c r="T1131" s="94"/>
      <c r="U1131" s="94"/>
      <c r="V1131" s="94"/>
      <c r="W1131" s="94"/>
      <c r="X1131" s="94"/>
      <c r="Y1131" s="94"/>
      <c r="Z1131" s="94"/>
      <c r="AA1131" s="94"/>
      <c r="AB1131" s="94"/>
      <c r="AC1131" s="94"/>
      <c r="AD1131" s="95">
        <v>90.72</v>
      </c>
      <c r="AE1131" s="94"/>
      <c r="AF1131" s="94"/>
      <c r="AG1131" s="95">
        <v>4450.71</v>
      </c>
      <c r="AH1131" s="95">
        <v>0</v>
      </c>
    </row>
    <row r="1132" spans="1:34" ht="15.75" thickBot="1" x14ac:dyDescent="0.3">
      <c r="A1132" s="90" t="s">
        <v>999</v>
      </c>
      <c r="B1132" s="90" t="s">
        <v>50</v>
      </c>
      <c r="C1132" s="90" t="s">
        <v>881</v>
      </c>
      <c r="D1132" s="90" t="s">
        <v>662</v>
      </c>
      <c r="E1132" s="90" t="s">
        <v>527</v>
      </c>
      <c r="F1132" s="90" t="s">
        <v>690</v>
      </c>
      <c r="G1132" s="93">
        <v>549.61</v>
      </c>
      <c r="H1132" s="92"/>
      <c r="I1132" s="92"/>
      <c r="J1132" s="92"/>
      <c r="K1132" s="92"/>
      <c r="L1132" s="92"/>
      <c r="M1132" s="92"/>
      <c r="N1132" s="92"/>
      <c r="O1132" s="92"/>
      <c r="P1132" s="92"/>
      <c r="Q1132" s="92"/>
      <c r="R1132" s="92"/>
      <c r="S1132" s="93">
        <v>549.61</v>
      </c>
      <c r="T1132" s="92"/>
      <c r="U1132" s="92"/>
      <c r="V1132" s="92"/>
      <c r="W1132" s="92"/>
      <c r="X1132" s="92"/>
      <c r="Y1132" s="92"/>
      <c r="Z1132" s="92"/>
      <c r="AA1132" s="92"/>
      <c r="AB1132" s="92"/>
      <c r="AC1132" s="92"/>
      <c r="AD1132" s="93">
        <v>16.489999999999998</v>
      </c>
      <c r="AE1132" s="92"/>
      <c r="AF1132" s="92"/>
      <c r="AG1132" s="93">
        <v>566.1</v>
      </c>
      <c r="AH1132" s="93">
        <v>0</v>
      </c>
    </row>
    <row r="1133" spans="1:34" ht="15.75" thickBot="1" x14ac:dyDescent="0.3">
      <c r="A1133" s="90" t="s">
        <v>999</v>
      </c>
      <c r="B1133" s="90" t="s">
        <v>50</v>
      </c>
      <c r="C1133" s="90" t="s">
        <v>881</v>
      </c>
      <c r="D1133" s="90" t="s">
        <v>662</v>
      </c>
      <c r="E1133" s="90" t="s">
        <v>527</v>
      </c>
      <c r="F1133" s="90" t="s">
        <v>697</v>
      </c>
      <c r="G1133" s="95">
        <v>549.61</v>
      </c>
      <c r="H1133" s="94"/>
      <c r="I1133" s="94"/>
      <c r="J1133" s="94"/>
      <c r="K1133" s="94"/>
      <c r="L1133" s="94"/>
      <c r="M1133" s="94"/>
      <c r="N1133" s="94"/>
      <c r="O1133" s="94"/>
      <c r="P1133" s="94"/>
      <c r="Q1133" s="94"/>
      <c r="R1133" s="94"/>
      <c r="S1133" s="95">
        <v>549.61</v>
      </c>
      <c r="T1133" s="94"/>
      <c r="U1133" s="94"/>
      <c r="V1133" s="94"/>
      <c r="W1133" s="94"/>
      <c r="X1133" s="94"/>
      <c r="Y1133" s="94"/>
      <c r="Z1133" s="94"/>
      <c r="AA1133" s="94"/>
      <c r="AB1133" s="94"/>
      <c r="AC1133" s="94"/>
      <c r="AD1133" s="95">
        <v>16.489999999999998</v>
      </c>
      <c r="AE1133" s="94"/>
      <c r="AF1133" s="94"/>
      <c r="AG1133" s="95">
        <v>566.1</v>
      </c>
      <c r="AH1133" s="95">
        <v>0</v>
      </c>
    </row>
    <row r="1134" spans="1:34" ht="15.75" thickBot="1" x14ac:dyDescent="0.3">
      <c r="A1134" s="90" t="s">
        <v>999</v>
      </c>
      <c r="B1134" s="90" t="s">
        <v>50</v>
      </c>
      <c r="C1134" s="90" t="s">
        <v>881</v>
      </c>
      <c r="D1134" s="90" t="s">
        <v>662</v>
      </c>
      <c r="E1134" s="90" t="s">
        <v>671</v>
      </c>
      <c r="F1134" s="90" t="s">
        <v>522</v>
      </c>
      <c r="G1134" s="93">
        <v>85.44</v>
      </c>
      <c r="H1134" s="92"/>
      <c r="I1134" s="92"/>
      <c r="J1134" s="92"/>
      <c r="K1134" s="92"/>
      <c r="L1134" s="93">
        <v>85.44</v>
      </c>
      <c r="M1134" s="92"/>
      <c r="N1134" s="92"/>
      <c r="O1134" s="92"/>
      <c r="P1134" s="92"/>
      <c r="Q1134" s="92"/>
      <c r="R1134" s="92"/>
      <c r="S1134" s="92"/>
      <c r="T1134" s="92"/>
      <c r="U1134" s="92"/>
      <c r="V1134" s="92"/>
      <c r="W1134" s="92"/>
      <c r="X1134" s="92"/>
      <c r="Y1134" s="92"/>
      <c r="Z1134" s="92"/>
      <c r="AA1134" s="92"/>
      <c r="AB1134" s="92"/>
      <c r="AC1134" s="92"/>
      <c r="AD1134" s="93">
        <v>0</v>
      </c>
      <c r="AE1134" s="92"/>
      <c r="AF1134" s="92"/>
      <c r="AG1134" s="93">
        <v>85.44</v>
      </c>
      <c r="AH1134" s="93">
        <v>0</v>
      </c>
    </row>
    <row r="1135" spans="1:34" ht="15.75" thickBot="1" x14ac:dyDescent="0.3">
      <c r="A1135" s="90" t="s">
        <v>999</v>
      </c>
      <c r="B1135" s="90" t="s">
        <v>50</v>
      </c>
      <c r="C1135" s="90" t="s">
        <v>881</v>
      </c>
      <c r="D1135" s="90" t="s">
        <v>662</v>
      </c>
      <c r="E1135" s="90" t="s">
        <v>671</v>
      </c>
      <c r="F1135" s="90" t="s">
        <v>697</v>
      </c>
      <c r="G1135" s="95">
        <v>85.44</v>
      </c>
      <c r="H1135" s="94"/>
      <c r="I1135" s="94"/>
      <c r="J1135" s="94"/>
      <c r="K1135" s="94"/>
      <c r="L1135" s="95">
        <v>85.44</v>
      </c>
      <c r="M1135" s="94"/>
      <c r="N1135" s="94"/>
      <c r="O1135" s="94"/>
      <c r="P1135" s="94"/>
      <c r="Q1135" s="94"/>
      <c r="R1135" s="94"/>
      <c r="S1135" s="94"/>
      <c r="T1135" s="94"/>
      <c r="U1135" s="94"/>
      <c r="V1135" s="94"/>
      <c r="W1135" s="94"/>
      <c r="X1135" s="94"/>
      <c r="Y1135" s="94"/>
      <c r="Z1135" s="94"/>
      <c r="AA1135" s="94"/>
      <c r="AB1135" s="94"/>
      <c r="AC1135" s="94"/>
      <c r="AD1135" s="95">
        <v>0</v>
      </c>
      <c r="AE1135" s="94"/>
      <c r="AF1135" s="94"/>
      <c r="AG1135" s="95">
        <v>85.44</v>
      </c>
      <c r="AH1135" s="95">
        <v>0</v>
      </c>
    </row>
    <row r="1136" spans="1:34" ht="15.75" thickBot="1" x14ac:dyDescent="0.3">
      <c r="A1136" s="90" t="s">
        <v>999</v>
      </c>
      <c r="B1136" s="90" t="s">
        <v>50</v>
      </c>
      <c r="C1136" s="90" t="s">
        <v>881</v>
      </c>
      <c r="D1136" s="90" t="s">
        <v>662</v>
      </c>
      <c r="E1136" s="90" t="s">
        <v>524</v>
      </c>
      <c r="F1136" s="90" t="s">
        <v>522</v>
      </c>
      <c r="G1136" s="93">
        <v>1100</v>
      </c>
      <c r="H1136" s="92"/>
      <c r="I1136" s="93">
        <v>1100</v>
      </c>
      <c r="J1136" s="92"/>
      <c r="K1136" s="92"/>
      <c r="L1136" s="92"/>
      <c r="M1136" s="92"/>
      <c r="N1136" s="92"/>
      <c r="O1136" s="92"/>
      <c r="P1136" s="92"/>
      <c r="Q1136" s="92"/>
      <c r="R1136" s="92"/>
      <c r="S1136" s="92"/>
      <c r="T1136" s="92"/>
      <c r="U1136" s="92"/>
      <c r="V1136" s="92"/>
      <c r="W1136" s="92"/>
      <c r="X1136" s="92"/>
      <c r="Y1136" s="92"/>
      <c r="Z1136" s="92"/>
      <c r="AA1136" s="92"/>
      <c r="AB1136" s="92"/>
      <c r="AC1136" s="92"/>
      <c r="AD1136" s="93">
        <v>16.489999999999998</v>
      </c>
      <c r="AE1136" s="92"/>
      <c r="AF1136" s="92"/>
      <c r="AG1136" s="93">
        <v>1116.49</v>
      </c>
      <c r="AH1136" s="93">
        <v>0</v>
      </c>
    </row>
    <row r="1137" spans="1:34" ht="15.75" thickBot="1" x14ac:dyDescent="0.3">
      <c r="A1137" s="90" t="s">
        <v>999</v>
      </c>
      <c r="B1137" s="90" t="s">
        <v>50</v>
      </c>
      <c r="C1137" s="90" t="s">
        <v>881</v>
      </c>
      <c r="D1137" s="90" t="s">
        <v>662</v>
      </c>
      <c r="E1137" s="90" t="s">
        <v>524</v>
      </c>
      <c r="F1137" s="90" t="s">
        <v>697</v>
      </c>
      <c r="G1137" s="95">
        <v>1100</v>
      </c>
      <c r="H1137" s="94"/>
      <c r="I1137" s="95">
        <v>1100</v>
      </c>
      <c r="J1137" s="94"/>
      <c r="K1137" s="94"/>
      <c r="L1137" s="94"/>
      <c r="M1137" s="94"/>
      <c r="N1137" s="94"/>
      <c r="O1137" s="94"/>
      <c r="P1137" s="94"/>
      <c r="Q1137" s="94"/>
      <c r="R1137" s="94"/>
      <c r="S1137" s="94"/>
      <c r="T1137" s="94"/>
      <c r="U1137" s="94"/>
      <c r="V1137" s="94"/>
      <c r="W1137" s="94"/>
      <c r="X1137" s="94"/>
      <c r="Y1137" s="94"/>
      <c r="Z1137" s="94"/>
      <c r="AA1137" s="94"/>
      <c r="AB1137" s="94"/>
      <c r="AC1137" s="94"/>
      <c r="AD1137" s="95">
        <v>16.489999999999998</v>
      </c>
      <c r="AE1137" s="94"/>
      <c r="AF1137" s="94"/>
      <c r="AG1137" s="95">
        <v>1116.49</v>
      </c>
      <c r="AH1137" s="95">
        <v>0</v>
      </c>
    </row>
    <row r="1138" spans="1:34" ht="15.75" thickBot="1" x14ac:dyDescent="0.3">
      <c r="A1138" s="90" t="s">
        <v>999</v>
      </c>
      <c r="B1138" s="90" t="s">
        <v>50</v>
      </c>
      <c r="C1138" s="90" t="s">
        <v>881</v>
      </c>
      <c r="D1138" s="90" t="s">
        <v>662</v>
      </c>
      <c r="E1138" s="90" t="s">
        <v>676</v>
      </c>
      <c r="F1138" s="90" t="s">
        <v>522</v>
      </c>
      <c r="G1138" s="93">
        <v>41.86</v>
      </c>
      <c r="H1138" s="92"/>
      <c r="I1138" s="92"/>
      <c r="J1138" s="92"/>
      <c r="K1138" s="92"/>
      <c r="L1138" s="92"/>
      <c r="M1138" s="92"/>
      <c r="N1138" s="92"/>
      <c r="O1138" s="92"/>
      <c r="P1138" s="92"/>
      <c r="Q1138" s="92"/>
      <c r="R1138" s="92"/>
      <c r="S1138" s="92"/>
      <c r="T1138" s="92"/>
      <c r="U1138" s="93">
        <v>41.86</v>
      </c>
      <c r="V1138" s="92"/>
      <c r="W1138" s="92"/>
      <c r="X1138" s="92"/>
      <c r="Y1138" s="92"/>
      <c r="Z1138" s="92"/>
      <c r="AA1138" s="92"/>
      <c r="AB1138" s="92"/>
      <c r="AC1138" s="92"/>
      <c r="AD1138" s="93">
        <v>1.26</v>
      </c>
      <c r="AE1138" s="92"/>
      <c r="AF1138" s="92"/>
      <c r="AG1138" s="93">
        <v>43.12</v>
      </c>
      <c r="AH1138" s="93">
        <v>0</v>
      </c>
    </row>
    <row r="1139" spans="1:34" ht="15.75" thickBot="1" x14ac:dyDescent="0.3">
      <c r="A1139" s="90" t="s">
        <v>999</v>
      </c>
      <c r="B1139" s="90" t="s">
        <v>50</v>
      </c>
      <c r="C1139" s="90" t="s">
        <v>881</v>
      </c>
      <c r="D1139" s="90" t="s">
        <v>662</v>
      </c>
      <c r="E1139" s="90" t="s">
        <v>676</v>
      </c>
      <c r="F1139" s="90" t="s">
        <v>697</v>
      </c>
      <c r="G1139" s="95">
        <v>41.86</v>
      </c>
      <c r="H1139" s="94"/>
      <c r="I1139" s="94"/>
      <c r="J1139" s="94"/>
      <c r="K1139" s="94"/>
      <c r="L1139" s="94"/>
      <c r="M1139" s="94"/>
      <c r="N1139" s="94"/>
      <c r="O1139" s="94"/>
      <c r="P1139" s="94"/>
      <c r="Q1139" s="94"/>
      <c r="R1139" s="94"/>
      <c r="S1139" s="94"/>
      <c r="T1139" s="94"/>
      <c r="U1139" s="95">
        <v>41.86</v>
      </c>
      <c r="V1139" s="94"/>
      <c r="W1139" s="94"/>
      <c r="X1139" s="94"/>
      <c r="Y1139" s="94"/>
      <c r="Z1139" s="94"/>
      <c r="AA1139" s="94"/>
      <c r="AB1139" s="94"/>
      <c r="AC1139" s="94"/>
      <c r="AD1139" s="95">
        <v>1.26</v>
      </c>
      <c r="AE1139" s="94"/>
      <c r="AF1139" s="94"/>
      <c r="AG1139" s="95">
        <v>43.12</v>
      </c>
      <c r="AH1139" s="95">
        <v>0</v>
      </c>
    </row>
    <row r="1140" spans="1:34" ht="15.75" thickBot="1" x14ac:dyDescent="0.3">
      <c r="A1140" s="90" t="s">
        <v>999</v>
      </c>
      <c r="B1140" s="90" t="s">
        <v>50</v>
      </c>
      <c r="C1140" s="90" t="s">
        <v>881</v>
      </c>
      <c r="D1140" s="90" t="s">
        <v>662</v>
      </c>
      <c r="E1140" s="90" t="s">
        <v>677</v>
      </c>
      <c r="F1140" s="90" t="s">
        <v>522</v>
      </c>
      <c r="G1140" s="93">
        <v>45.86</v>
      </c>
      <c r="H1140" s="92"/>
      <c r="I1140" s="92"/>
      <c r="J1140" s="92"/>
      <c r="K1140" s="92"/>
      <c r="L1140" s="92"/>
      <c r="M1140" s="92"/>
      <c r="N1140" s="92"/>
      <c r="O1140" s="92"/>
      <c r="P1140" s="92"/>
      <c r="Q1140" s="92"/>
      <c r="R1140" s="92"/>
      <c r="S1140" s="92"/>
      <c r="T1140" s="92"/>
      <c r="U1140" s="92"/>
      <c r="V1140" s="93">
        <v>45.86</v>
      </c>
      <c r="W1140" s="92"/>
      <c r="X1140" s="92"/>
      <c r="Y1140" s="92"/>
      <c r="Z1140" s="92"/>
      <c r="AA1140" s="92"/>
      <c r="AB1140" s="92"/>
      <c r="AC1140" s="92"/>
      <c r="AD1140" s="93">
        <v>1.38</v>
      </c>
      <c r="AE1140" s="92"/>
      <c r="AF1140" s="92"/>
      <c r="AG1140" s="93">
        <v>47.24</v>
      </c>
      <c r="AH1140" s="93">
        <v>0</v>
      </c>
    </row>
    <row r="1141" spans="1:34" ht="15.75" thickBot="1" x14ac:dyDescent="0.3">
      <c r="A1141" s="90" t="s">
        <v>999</v>
      </c>
      <c r="B1141" s="90" t="s">
        <v>50</v>
      </c>
      <c r="C1141" s="90" t="s">
        <v>881</v>
      </c>
      <c r="D1141" s="90" t="s">
        <v>662</v>
      </c>
      <c r="E1141" s="90" t="s">
        <v>677</v>
      </c>
      <c r="F1141" s="90" t="s">
        <v>697</v>
      </c>
      <c r="G1141" s="95">
        <v>45.86</v>
      </c>
      <c r="H1141" s="94"/>
      <c r="I1141" s="94"/>
      <c r="J1141" s="94"/>
      <c r="K1141" s="94"/>
      <c r="L1141" s="94"/>
      <c r="M1141" s="94"/>
      <c r="N1141" s="94"/>
      <c r="O1141" s="94"/>
      <c r="P1141" s="94"/>
      <c r="Q1141" s="94"/>
      <c r="R1141" s="94"/>
      <c r="S1141" s="94"/>
      <c r="T1141" s="94"/>
      <c r="U1141" s="94"/>
      <c r="V1141" s="95">
        <v>45.86</v>
      </c>
      <c r="W1141" s="94"/>
      <c r="X1141" s="94"/>
      <c r="Y1141" s="94"/>
      <c r="Z1141" s="94"/>
      <c r="AA1141" s="94"/>
      <c r="AB1141" s="94"/>
      <c r="AC1141" s="94"/>
      <c r="AD1141" s="95">
        <v>1.38</v>
      </c>
      <c r="AE1141" s="94"/>
      <c r="AF1141" s="94"/>
      <c r="AG1141" s="95">
        <v>47.24</v>
      </c>
      <c r="AH1141" s="95">
        <v>0</v>
      </c>
    </row>
    <row r="1142" spans="1:34" ht="15.75" thickBot="1" x14ac:dyDescent="0.3">
      <c r="A1142" s="90" t="s">
        <v>999</v>
      </c>
      <c r="B1142" s="90" t="s">
        <v>31</v>
      </c>
      <c r="C1142" s="90" t="s">
        <v>880</v>
      </c>
      <c r="D1142" s="90" t="s">
        <v>21</v>
      </c>
      <c r="E1142" s="90" t="s">
        <v>528</v>
      </c>
      <c r="F1142" s="90" t="s">
        <v>686</v>
      </c>
      <c r="G1142" s="93">
        <v>-80.010000000000005</v>
      </c>
      <c r="H1142" s="92"/>
      <c r="I1142" s="93">
        <v>-80.010000000000005</v>
      </c>
      <c r="J1142" s="92"/>
      <c r="K1142" s="92"/>
      <c r="L1142" s="92"/>
      <c r="M1142" s="92"/>
      <c r="N1142" s="92"/>
      <c r="O1142" s="92"/>
      <c r="P1142" s="92"/>
      <c r="Q1142" s="92"/>
      <c r="R1142" s="92"/>
      <c r="S1142" s="92"/>
      <c r="T1142" s="92"/>
      <c r="U1142" s="92"/>
      <c r="V1142" s="92"/>
      <c r="W1142" s="92"/>
      <c r="X1142" s="92"/>
      <c r="Y1142" s="92"/>
      <c r="Z1142" s="92"/>
      <c r="AA1142" s="92"/>
      <c r="AB1142" s="92"/>
      <c r="AC1142" s="92"/>
      <c r="AD1142" s="93">
        <v>-4.79</v>
      </c>
      <c r="AE1142" s="92"/>
      <c r="AF1142" s="92"/>
      <c r="AG1142" s="93">
        <v>-84.8</v>
      </c>
      <c r="AH1142" s="93">
        <v>0</v>
      </c>
    </row>
    <row r="1143" spans="1:34" ht="15.75" thickBot="1" x14ac:dyDescent="0.3">
      <c r="A1143" s="90" t="s">
        <v>999</v>
      </c>
      <c r="B1143" s="90" t="s">
        <v>31</v>
      </c>
      <c r="C1143" s="90" t="s">
        <v>880</v>
      </c>
      <c r="D1143" s="90" t="s">
        <v>21</v>
      </c>
      <c r="E1143" s="90" t="s">
        <v>528</v>
      </c>
      <c r="F1143" s="90" t="s">
        <v>697</v>
      </c>
      <c r="G1143" s="95">
        <v>-80.010000000000005</v>
      </c>
      <c r="H1143" s="94"/>
      <c r="I1143" s="95">
        <v>-80.010000000000005</v>
      </c>
      <c r="J1143" s="94"/>
      <c r="K1143" s="94"/>
      <c r="L1143" s="94"/>
      <c r="M1143" s="94"/>
      <c r="N1143" s="94"/>
      <c r="O1143" s="94"/>
      <c r="P1143" s="94"/>
      <c r="Q1143" s="94"/>
      <c r="R1143" s="94"/>
      <c r="S1143" s="94"/>
      <c r="T1143" s="94"/>
      <c r="U1143" s="94"/>
      <c r="V1143" s="94"/>
      <c r="W1143" s="94"/>
      <c r="X1143" s="94"/>
      <c r="Y1143" s="94"/>
      <c r="Z1143" s="94"/>
      <c r="AA1143" s="94"/>
      <c r="AB1143" s="94"/>
      <c r="AC1143" s="94"/>
      <c r="AD1143" s="95">
        <v>-4.79</v>
      </c>
      <c r="AE1143" s="94"/>
      <c r="AF1143" s="94"/>
      <c r="AG1143" s="95">
        <v>-84.8</v>
      </c>
      <c r="AH1143" s="95">
        <v>0</v>
      </c>
    </row>
    <row r="1144" spans="1:34" ht="15.75" thickBot="1" x14ac:dyDescent="0.3">
      <c r="A1144" s="90" t="s">
        <v>999</v>
      </c>
      <c r="B1144" s="90" t="s">
        <v>31</v>
      </c>
      <c r="C1144" s="90" t="s">
        <v>880</v>
      </c>
      <c r="D1144" s="90" t="s">
        <v>21</v>
      </c>
      <c r="E1144" s="90" t="s">
        <v>518</v>
      </c>
      <c r="F1144" s="90" t="s">
        <v>686</v>
      </c>
      <c r="G1144" s="93">
        <v>-10412.43</v>
      </c>
      <c r="H1144" s="93">
        <v>-58297</v>
      </c>
      <c r="I1144" s="92"/>
      <c r="J1144" s="92"/>
      <c r="K1144" s="93">
        <v>-10412.43</v>
      </c>
      <c r="L1144" s="92"/>
      <c r="M1144" s="92"/>
      <c r="N1144" s="92"/>
      <c r="O1144" s="92"/>
      <c r="P1144" s="92"/>
      <c r="Q1144" s="92"/>
      <c r="R1144" s="92"/>
      <c r="S1144" s="92"/>
      <c r="T1144" s="92"/>
      <c r="U1144" s="92"/>
      <c r="V1144" s="92"/>
      <c r="W1144" s="92"/>
      <c r="X1144" s="92"/>
      <c r="Y1144" s="92"/>
      <c r="Z1144" s="92"/>
      <c r="AA1144" s="92"/>
      <c r="AB1144" s="92"/>
      <c r="AC1144" s="92"/>
      <c r="AD1144" s="93">
        <v>-624.75</v>
      </c>
      <c r="AE1144" s="92"/>
      <c r="AF1144" s="92"/>
      <c r="AG1144" s="93">
        <v>-11037.18</v>
      </c>
      <c r="AH1144" s="93">
        <v>0</v>
      </c>
    </row>
    <row r="1145" spans="1:34" ht="15.75" thickBot="1" x14ac:dyDescent="0.3">
      <c r="A1145" s="90" t="s">
        <v>999</v>
      </c>
      <c r="B1145" s="90" t="s">
        <v>31</v>
      </c>
      <c r="C1145" s="90" t="s">
        <v>880</v>
      </c>
      <c r="D1145" s="90" t="s">
        <v>21</v>
      </c>
      <c r="E1145" s="90" t="s">
        <v>518</v>
      </c>
      <c r="F1145" s="90" t="s">
        <v>697</v>
      </c>
      <c r="G1145" s="95">
        <v>-10412.43</v>
      </c>
      <c r="H1145" s="305">
        <v>-58297</v>
      </c>
      <c r="I1145" s="94"/>
      <c r="J1145" s="94"/>
      <c r="K1145" s="95">
        <v>-10412.43</v>
      </c>
      <c r="L1145" s="94"/>
      <c r="M1145" s="94"/>
      <c r="N1145" s="94"/>
      <c r="O1145" s="94"/>
      <c r="P1145" s="94"/>
      <c r="Q1145" s="94"/>
      <c r="R1145" s="94"/>
      <c r="S1145" s="94"/>
      <c r="T1145" s="94"/>
      <c r="U1145" s="94"/>
      <c r="V1145" s="94"/>
      <c r="W1145" s="94"/>
      <c r="X1145" s="94"/>
      <c r="Y1145" s="94"/>
      <c r="Z1145" s="94"/>
      <c r="AA1145" s="94"/>
      <c r="AB1145" s="94"/>
      <c r="AC1145" s="94"/>
      <c r="AD1145" s="95">
        <v>-624.75</v>
      </c>
      <c r="AE1145" s="94"/>
      <c r="AF1145" s="94"/>
      <c r="AG1145" s="95">
        <v>-11037.18</v>
      </c>
      <c r="AH1145" s="95">
        <v>0</v>
      </c>
    </row>
    <row r="1146" spans="1:34" ht="15.75" thickBot="1" x14ac:dyDescent="0.3">
      <c r="A1146" s="90" t="s">
        <v>999</v>
      </c>
      <c r="B1146" s="90" t="s">
        <v>31</v>
      </c>
      <c r="C1146" s="90" t="s">
        <v>880</v>
      </c>
      <c r="D1146" s="90" t="s">
        <v>21</v>
      </c>
      <c r="E1146" s="90" t="s">
        <v>673</v>
      </c>
      <c r="F1146" s="90" t="s">
        <v>686</v>
      </c>
      <c r="G1146" s="93">
        <v>-492.16</v>
      </c>
      <c r="H1146" s="92"/>
      <c r="I1146" s="92"/>
      <c r="J1146" s="92"/>
      <c r="K1146" s="92"/>
      <c r="L1146" s="92"/>
      <c r="M1146" s="92"/>
      <c r="N1146" s="92"/>
      <c r="O1146" s="92"/>
      <c r="P1146" s="92"/>
      <c r="Q1146" s="92"/>
      <c r="R1146" s="92"/>
      <c r="S1146" s="92"/>
      <c r="T1146" s="92"/>
      <c r="U1146" s="92"/>
      <c r="V1146" s="92"/>
      <c r="W1146" s="92"/>
      <c r="X1146" s="93">
        <v>-492.16</v>
      </c>
      <c r="Y1146" s="92"/>
      <c r="Z1146" s="92"/>
      <c r="AA1146" s="92"/>
      <c r="AB1146" s="92"/>
      <c r="AC1146" s="92"/>
      <c r="AD1146" s="93">
        <v>-29.54</v>
      </c>
      <c r="AE1146" s="92"/>
      <c r="AF1146" s="92"/>
      <c r="AG1146" s="93">
        <v>-521.70000000000005</v>
      </c>
      <c r="AH1146" s="93">
        <v>0</v>
      </c>
    </row>
    <row r="1147" spans="1:34" ht="15.75" thickBot="1" x14ac:dyDescent="0.3">
      <c r="A1147" s="90" t="s">
        <v>999</v>
      </c>
      <c r="B1147" s="90" t="s">
        <v>31</v>
      </c>
      <c r="C1147" s="90" t="s">
        <v>880</v>
      </c>
      <c r="D1147" s="90" t="s">
        <v>21</v>
      </c>
      <c r="E1147" s="90" t="s">
        <v>673</v>
      </c>
      <c r="F1147" s="90" t="s">
        <v>697</v>
      </c>
      <c r="G1147" s="95">
        <v>-492.16</v>
      </c>
      <c r="H1147" s="94"/>
      <c r="I1147" s="94"/>
      <c r="J1147" s="94"/>
      <c r="K1147" s="94"/>
      <c r="L1147" s="94"/>
      <c r="M1147" s="94"/>
      <c r="N1147" s="94"/>
      <c r="O1147" s="94"/>
      <c r="P1147" s="94"/>
      <c r="Q1147" s="94"/>
      <c r="R1147" s="94"/>
      <c r="S1147" s="94"/>
      <c r="T1147" s="94"/>
      <c r="U1147" s="94"/>
      <c r="V1147" s="94"/>
      <c r="W1147" s="94"/>
      <c r="X1147" s="95">
        <v>-492.16</v>
      </c>
      <c r="Y1147" s="94"/>
      <c r="Z1147" s="94"/>
      <c r="AA1147" s="94"/>
      <c r="AB1147" s="94"/>
      <c r="AC1147" s="94"/>
      <c r="AD1147" s="95">
        <v>-29.54</v>
      </c>
      <c r="AE1147" s="94"/>
      <c r="AF1147" s="94"/>
      <c r="AG1147" s="95">
        <v>-521.70000000000005</v>
      </c>
      <c r="AH1147" s="95">
        <v>0</v>
      </c>
    </row>
    <row r="1148" spans="1:34" ht="15.75" thickBot="1" x14ac:dyDescent="0.3">
      <c r="A1148" s="90" t="s">
        <v>999</v>
      </c>
      <c r="B1148" s="90" t="s">
        <v>31</v>
      </c>
      <c r="C1148" s="90" t="s">
        <v>880</v>
      </c>
      <c r="D1148" s="90" t="s">
        <v>21</v>
      </c>
      <c r="E1148" s="90" t="s">
        <v>196</v>
      </c>
      <c r="F1148" s="90" t="s">
        <v>686</v>
      </c>
      <c r="G1148" s="93">
        <v>-18998.02</v>
      </c>
      <c r="H1148" s="92"/>
      <c r="I1148" s="92"/>
      <c r="J1148" s="92"/>
      <c r="K1148" s="92"/>
      <c r="L1148" s="92"/>
      <c r="M1148" s="92"/>
      <c r="N1148" s="92"/>
      <c r="O1148" s="92"/>
      <c r="P1148" s="93">
        <v>-18998.02</v>
      </c>
      <c r="Q1148" s="92"/>
      <c r="R1148" s="92"/>
      <c r="S1148" s="92"/>
      <c r="T1148" s="92"/>
      <c r="U1148" s="92"/>
      <c r="V1148" s="92"/>
      <c r="W1148" s="92"/>
      <c r="X1148" s="92"/>
      <c r="Y1148" s="92"/>
      <c r="Z1148" s="92"/>
      <c r="AA1148" s="92"/>
      <c r="AB1148" s="92"/>
      <c r="AC1148" s="92"/>
      <c r="AD1148" s="93">
        <v>-1139.8800000000001</v>
      </c>
      <c r="AE1148" s="92"/>
      <c r="AF1148" s="92"/>
      <c r="AG1148" s="93">
        <v>-20137.900000000001</v>
      </c>
      <c r="AH1148" s="93">
        <v>0</v>
      </c>
    </row>
    <row r="1149" spans="1:34" ht="15.75" thickBot="1" x14ac:dyDescent="0.3">
      <c r="A1149" s="90" t="s">
        <v>999</v>
      </c>
      <c r="B1149" s="90" t="s">
        <v>31</v>
      </c>
      <c r="C1149" s="90" t="s">
        <v>880</v>
      </c>
      <c r="D1149" s="90" t="s">
        <v>21</v>
      </c>
      <c r="E1149" s="90" t="s">
        <v>196</v>
      </c>
      <c r="F1149" s="90" t="s">
        <v>697</v>
      </c>
      <c r="G1149" s="95">
        <v>-18998.02</v>
      </c>
      <c r="H1149" s="94"/>
      <c r="I1149" s="94"/>
      <c r="J1149" s="94"/>
      <c r="K1149" s="94"/>
      <c r="L1149" s="94"/>
      <c r="M1149" s="94"/>
      <c r="N1149" s="94"/>
      <c r="O1149" s="94"/>
      <c r="P1149" s="95">
        <v>-18998.02</v>
      </c>
      <c r="Q1149" s="94"/>
      <c r="R1149" s="94"/>
      <c r="S1149" s="94"/>
      <c r="T1149" s="94"/>
      <c r="U1149" s="94"/>
      <c r="V1149" s="94"/>
      <c r="W1149" s="94"/>
      <c r="X1149" s="94"/>
      <c r="Y1149" s="94"/>
      <c r="Z1149" s="94"/>
      <c r="AA1149" s="94"/>
      <c r="AB1149" s="94"/>
      <c r="AC1149" s="94"/>
      <c r="AD1149" s="95">
        <v>-1139.8800000000001</v>
      </c>
      <c r="AE1149" s="94"/>
      <c r="AF1149" s="94"/>
      <c r="AG1149" s="95">
        <v>-20137.900000000001</v>
      </c>
      <c r="AH1149" s="95">
        <v>0</v>
      </c>
    </row>
    <row r="1150" spans="1:34" ht="15.75" thickBot="1" x14ac:dyDescent="0.3">
      <c r="A1150" s="90" t="s">
        <v>999</v>
      </c>
      <c r="B1150" s="90" t="s">
        <v>878</v>
      </c>
      <c r="C1150" s="90" t="s">
        <v>879</v>
      </c>
      <c r="D1150" s="90" t="s">
        <v>21</v>
      </c>
      <c r="E1150" s="90" t="s">
        <v>528</v>
      </c>
      <c r="F1150" s="90" t="s">
        <v>686</v>
      </c>
      <c r="G1150" s="93">
        <v>24204.01</v>
      </c>
      <c r="H1150" s="92"/>
      <c r="I1150" s="93">
        <v>24204.01</v>
      </c>
      <c r="J1150" s="92"/>
      <c r="K1150" s="92"/>
      <c r="L1150" s="92"/>
      <c r="M1150" s="92"/>
      <c r="N1150" s="92"/>
      <c r="O1150" s="92"/>
      <c r="P1150" s="92"/>
      <c r="Q1150" s="92"/>
      <c r="R1150" s="92"/>
      <c r="S1150" s="92"/>
      <c r="T1150" s="92"/>
      <c r="U1150" s="92"/>
      <c r="V1150" s="92"/>
      <c r="W1150" s="92"/>
      <c r="X1150" s="92"/>
      <c r="Y1150" s="92"/>
      <c r="Z1150" s="92"/>
      <c r="AA1150" s="92"/>
      <c r="AB1150" s="92"/>
      <c r="AC1150" s="92"/>
      <c r="AD1150" s="93">
        <v>1353.16</v>
      </c>
      <c r="AE1150" s="92"/>
      <c r="AF1150" s="92"/>
      <c r="AG1150" s="93">
        <v>25557.17</v>
      </c>
      <c r="AH1150" s="93">
        <v>0</v>
      </c>
    </row>
    <row r="1151" spans="1:34" ht="15.75" thickBot="1" x14ac:dyDescent="0.3">
      <c r="A1151" s="90" t="s">
        <v>999</v>
      </c>
      <c r="B1151" s="90" t="s">
        <v>878</v>
      </c>
      <c r="C1151" s="90" t="s">
        <v>879</v>
      </c>
      <c r="D1151" s="90" t="s">
        <v>21</v>
      </c>
      <c r="E1151" s="90" t="s">
        <v>528</v>
      </c>
      <c r="F1151" s="90" t="s">
        <v>697</v>
      </c>
      <c r="G1151" s="95">
        <v>24204.01</v>
      </c>
      <c r="H1151" s="94"/>
      <c r="I1151" s="95">
        <v>24204.01</v>
      </c>
      <c r="J1151" s="94"/>
      <c r="K1151" s="94"/>
      <c r="L1151" s="94"/>
      <c r="M1151" s="94"/>
      <c r="N1151" s="94"/>
      <c r="O1151" s="94"/>
      <c r="P1151" s="94"/>
      <c r="Q1151" s="94"/>
      <c r="R1151" s="94"/>
      <c r="S1151" s="94"/>
      <c r="T1151" s="94"/>
      <c r="U1151" s="94"/>
      <c r="V1151" s="94"/>
      <c r="W1151" s="94"/>
      <c r="X1151" s="94"/>
      <c r="Y1151" s="94"/>
      <c r="Z1151" s="94"/>
      <c r="AA1151" s="94"/>
      <c r="AB1151" s="94"/>
      <c r="AC1151" s="94"/>
      <c r="AD1151" s="95">
        <v>1353.16</v>
      </c>
      <c r="AE1151" s="94"/>
      <c r="AF1151" s="94"/>
      <c r="AG1151" s="95">
        <v>25557.17</v>
      </c>
      <c r="AH1151" s="95">
        <v>0</v>
      </c>
    </row>
    <row r="1152" spans="1:34" ht="15.75" thickBot="1" x14ac:dyDescent="0.3">
      <c r="A1152" s="90" t="s">
        <v>999</v>
      </c>
      <c r="B1152" s="90" t="s">
        <v>878</v>
      </c>
      <c r="C1152" s="90" t="s">
        <v>879</v>
      </c>
      <c r="D1152" s="90" t="s">
        <v>21</v>
      </c>
      <c r="E1152" s="90" t="s">
        <v>518</v>
      </c>
      <c r="F1152" s="90" t="s">
        <v>686</v>
      </c>
      <c r="G1152" s="93">
        <v>155960.25</v>
      </c>
      <c r="H1152" s="93">
        <v>853108</v>
      </c>
      <c r="I1152" s="92"/>
      <c r="J1152" s="92"/>
      <c r="K1152" s="93">
        <v>155960.25</v>
      </c>
      <c r="L1152" s="92"/>
      <c r="M1152" s="92"/>
      <c r="N1152" s="92"/>
      <c r="O1152" s="92"/>
      <c r="P1152" s="92"/>
      <c r="Q1152" s="92"/>
      <c r="R1152" s="92"/>
      <c r="S1152" s="92"/>
      <c r="T1152" s="92"/>
      <c r="U1152" s="92"/>
      <c r="V1152" s="92"/>
      <c r="W1152" s="92"/>
      <c r="X1152" s="92"/>
      <c r="Y1152" s="92"/>
      <c r="Z1152" s="92"/>
      <c r="AA1152" s="92"/>
      <c r="AB1152" s="92"/>
      <c r="AC1152" s="92"/>
      <c r="AD1152" s="93">
        <v>7733.11</v>
      </c>
      <c r="AE1152" s="92"/>
      <c r="AF1152" s="92"/>
      <c r="AG1152" s="93">
        <v>163693.35999999999</v>
      </c>
      <c r="AH1152" s="93">
        <v>0</v>
      </c>
    </row>
    <row r="1153" spans="1:34" ht="15.75" thickBot="1" x14ac:dyDescent="0.3">
      <c r="A1153" s="90" t="s">
        <v>999</v>
      </c>
      <c r="B1153" s="90" t="s">
        <v>878</v>
      </c>
      <c r="C1153" s="90" t="s">
        <v>879</v>
      </c>
      <c r="D1153" s="90" t="s">
        <v>21</v>
      </c>
      <c r="E1153" s="90" t="s">
        <v>518</v>
      </c>
      <c r="F1153" s="90" t="s">
        <v>697</v>
      </c>
      <c r="G1153" s="95">
        <v>155960.25</v>
      </c>
      <c r="H1153" s="305">
        <v>853108</v>
      </c>
      <c r="I1153" s="94"/>
      <c r="J1153" s="94"/>
      <c r="K1153" s="95">
        <v>155960.25</v>
      </c>
      <c r="L1153" s="94"/>
      <c r="M1153" s="94"/>
      <c r="N1153" s="94"/>
      <c r="O1153" s="94"/>
      <c r="P1153" s="94"/>
      <c r="Q1153" s="94"/>
      <c r="R1153" s="94"/>
      <c r="S1153" s="94"/>
      <c r="T1153" s="94"/>
      <c r="U1153" s="94"/>
      <c r="V1153" s="94"/>
      <c r="W1153" s="94"/>
      <c r="X1153" s="94"/>
      <c r="Y1153" s="94"/>
      <c r="Z1153" s="94"/>
      <c r="AA1153" s="94"/>
      <c r="AB1153" s="94"/>
      <c r="AC1153" s="94"/>
      <c r="AD1153" s="95">
        <v>7733.11</v>
      </c>
      <c r="AE1153" s="94"/>
      <c r="AF1153" s="94"/>
      <c r="AG1153" s="95">
        <v>163693.35999999999</v>
      </c>
      <c r="AH1153" s="95">
        <v>0</v>
      </c>
    </row>
    <row r="1154" spans="1:34" ht="15.75" thickBot="1" x14ac:dyDescent="0.3">
      <c r="A1154" s="90" t="s">
        <v>999</v>
      </c>
      <c r="B1154" s="90" t="s">
        <v>878</v>
      </c>
      <c r="C1154" s="90" t="s">
        <v>879</v>
      </c>
      <c r="D1154" s="90" t="s">
        <v>21</v>
      </c>
      <c r="E1154" s="90" t="s">
        <v>673</v>
      </c>
      <c r="F1154" s="90" t="s">
        <v>686</v>
      </c>
      <c r="G1154" s="93">
        <v>56761.4</v>
      </c>
      <c r="H1154" s="92"/>
      <c r="I1154" s="92"/>
      <c r="J1154" s="92"/>
      <c r="K1154" s="92"/>
      <c r="L1154" s="92"/>
      <c r="M1154" s="92"/>
      <c r="N1154" s="92"/>
      <c r="O1154" s="92"/>
      <c r="P1154" s="92"/>
      <c r="Q1154" s="92"/>
      <c r="R1154" s="92"/>
      <c r="S1154" s="92"/>
      <c r="T1154" s="92"/>
      <c r="U1154" s="92"/>
      <c r="V1154" s="92"/>
      <c r="W1154" s="92"/>
      <c r="X1154" s="93">
        <v>56761.4</v>
      </c>
      <c r="Y1154" s="92"/>
      <c r="Z1154" s="92"/>
      <c r="AA1154" s="92"/>
      <c r="AB1154" s="92"/>
      <c r="AC1154" s="92"/>
      <c r="AD1154" s="93">
        <v>3233.88</v>
      </c>
      <c r="AE1154" s="92"/>
      <c r="AF1154" s="92"/>
      <c r="AG1154" s="93">
        <v>59995.28</v>
      </c>
      <c r="AH1154" s="93">
        <v>0</v>
      </c>
    </row>
    <row r="1155" spans="1:34" ht="15.75" thickBot="1" x14ac:dyDescent="0.3">
      <c r="A1155" s="90" t="s">
        <v>999</v>
      </c>
      <c r="B1155" s="90" t="s">
        <v>878</v>
      </c>
      <c r="C1155" s="90" t="s">
        <v>879</v>
      </c>
      <c r="D1155" s="90" t="s">
        <v>21</v>
      </c>
      <c r="E1155" s="90" t="s">
        <v>673</v>
      </c>
      <c r="F1155" s="90" t="s">
        <v>697</v>
      </c>
      <c r="G1155" s="95">
        <v>56761.4</v>
      </c>
      <c r="H1155" s="94"/>
      <c r="I1155" s="94"/>
      <c r="J1155" s="94"/>
      <c r="K1155" s="94"/>
      <c r="L1155" s="94"/>
      <c r="M1155" s="94"/>
      <c r="N1155" s="94"/>
      <c r="O1155" s="94"/>
      <c r="P1155" s="94"/>
      <c r="Q1155" s="94"/>
      <c r="R1155" s="94"/>
      <c r="S1155" s="94"/>
      <c r="T1155" s="94"/>
      <c r="U1155" s="94"/>
      <c r="V1155" s="94"/>
      <c r="W1155" s="94"/>
      <c r="X1155" s="95">
        <v>56761.4</v>
      </c>
      <c r="Y1155" s="94"/>
      <c r="Z1155" s="94"/>
      <c r="AA1155" s="94"/>
      <c r="AB1155" s="94"/>
      <c r="AC1155" s="94"/>
      <c r="AD1155" s="95">
        <v>3233.88</v>
      </c>
      <c r="AE1155" s="94"/>
      <c r="AF1155" s="94"/>
      <c r="AG1155" s="95">
        <v>59995.28</v>
      </c>
      <c r="AH1155" s="95">
        <v>0</v>
      </c>
    </row>
    <row r="1156" spans="1:34" ht="15.75" thickBot="1" x14ac:dyDescent="0.3">
      <c r="A1156" s="90" t="s">
        <v>999</v>
      </c>
      <c r="B1156" s="90" t="s">
        <v>878</v>
      </c>
      <c r="C1156" s="90" t="s">
        <v>879</v>
      </c>
      <c r="D1156" s="90" t="s">
        <v>21</v>
      </c>
      <c r="E1156" s="90" t="s">
        <v>196</v>
      </c>
      <c r="F1156" s="90" t="s">
        <v>686</v>
      </c>
      <c r="G1156" s="93">
        <v>299690.40000000002</v>
      </c>
      <c r="H1156" s="92"/>
      <c r="I1156" s="92"/>
      <c r="J1156" s="92"/>
      <c r="K1156" s="92"/>
      <c r="L1156" s="92"/>
      <c r="M1156" s="92"/>
      <c r="N1156" s="92"/>
      <c r="O1156" s="92"/>
      <c r="P1156" s="93">
        <v>299690.40000000002</v>
      </c>
      <c r="Q1156" s="92"/>
      <c r="R1156" s="92"/>
      <c r="S1156" s="92"/>
      <c r="T1156" s="92"/>
      <c r="U1156" s="92"/>
      <c r="V1156" s="92"/>
      <c r="W1156" s="92"/>
      <c r="X1156" s="92"/>
      <c r="Y1156" s="92"/>
      <c r="Z1156" s="92"/>
      <c r="AA1156" s="92"/>
      <c r="AB1156" s="92"/>
      <c r="AC1156" s="92"/>
      <c r="AD1156" s="93">
        <v>14828.38</v>
      </c>
      <c r="AE1156" s="92"/>
      <c r="AF1156" s="92"/>
      <c r="AG1156" s="93">
        <v>314518.78000000003</v>
      </c>
      <c r="AH1156" s="93">
        <v>0</v>
      </c>
    </row>
    <row r="1157" spans="1:34" ht="15.75" thickBot="1" x14ac:dyDescent="0.3">
      <c r="A1157" s="90" t="s">
        <v>999</v>
      </c>
      <c r="B1157" s="90" t="s">
        <v>878</v>
      </c>
      <c r="C1157" s="90" t="s">
        <v>879</v>
      </c>
      <c r="D1157" s="90" t="s">
        <v>21</v>
      </c>
      <c r="E1157" s="90" t="s">
        <v>196</v>
      </c>
      <c r="F1157" s="90" t="s">
        <v>697</v>
      </c>
      <c r="G1157" s="95">
        <v>299690.40000000002</v>
      </c>
      <c r="H1157" s="94"/>
      <c r="I1157" s="94"/>
      <c r="J1157" s="94"/>
      <c r="K1157" s="94"/>
      <c r="L1157" s="94"/>
      <c r="M1157" s="94"/>
      <c r="N1157" s="94"/>
      <c r="O1157" s="94"/>
      <c r="P1157" s="95">
        <v>299690.40000000002</v>
      </c>
      <c r="Q1157" s="94"/>
      <c r="R1157" s="94"/>
      <c r="S1157" s="94"/>
      <c r="T1157" s="94"/>
      <c r="U1157" s="94"/>
      <c r="V1157" s="94"/>
      <c r="W1157" s="94"/>
      <c r="X1157" s="94"/>
      <c r="Y1157" s="94"/>
      <c r="Z1157" s="94"/>
      <c r="AA1157" s="94"/>
      <c r="AB1157" s="94"/>
      <c r="AC1157" s="94"/>
      <c r="AD1157" s="95">
        <v>14828.38</v>
      </c>
      <c r="AE1157" s="94"/>
      <c r="AF1157" s="94"/>
      <c r="AG1157" s="95">
        <v>314518.78000000003</v>
      </c>
      <c r="AH1157" s="95">
        <v>0</v>
      </c>
    </row>
    <row r="1158" spans="1:34" ht="15.75" thickBot="1" x14ac:dyDescent="0.3">
      <c r="A1158" s="90" t="s">
        <v>999</v>
      </c>
      <c r="B1158" s="90" t="s">
        <v>878</v>
      </c>
      <c r="C1158" s="90" t="s">
        <v>879</v>
      </c>
      <c r="D1158" s="90" t="s">
        <v>17</v>
      </c>
      <c r="E1158" s="90" t="s">
        <v>528</v>
      </c>
      <c r="F1158" s="90" t="s">
        <v>686</v>
      </c>
      <c r="G1158" s="93">
        <v>1540</v>
      </c>
      <c r="H1158" s="92"/>
      <c r="I1158" s="93">
        <v>1540</v>
      </c>
      <c r="J1158" s="92"/>
      <c r="K1158" s="92"/>
      <c r="L1158" s="92"/>
      <c r="M1158" s="92"/>
      <c r="N1158" s="92"/>
      <c r="O1158" s="92"/>
      <c r="P1158" s="92"/>
      <c r="Q1158" s="92"/>
      <c r="R1158" s="92"/>
      <c r="S1158" s="92"/>
      <c r="T1158" s="92"/>
      <c r="U1158" s="92"/>
      <c r="V1158" s="92"/>
      <c r="W1158" s="92"/>
      <c r="X1158" s="92"/>
      <c r="Y1158" s="92"/>
      <c r="Z1158" s="92"/>
      <c r="AA1158" s="92"/>
      <c r="AB1158" s="92"/>
      <c r="AC1158" s="92"/>
      <c r="AD1158" s="93">
        <v>87.35</v>
      </c>
      <c r="AE1158" s="92"/>
      <c r="AF1158" s="92"/>
      <c r="AG1158" s="93">
        <v>1627.35</v>
      </c>
      <c r="AH1158" s="93">
        <v>0</v>
      </c>
    </row>
    <row r="1159" spans="1:34" ht="15.75" thickBot="1" x14ac:dyDescent="0.3">
      <c r="A1159" s="90" t="s">
        <v>999</v>
      </c>
      <c r="B1159" s="90" t="s">
        <v>878</v>
      </c>
      <c r="C1159" s="90" t="s">
        <v>879</v>
      </c>
      <c r="D1159" s="90" t="s">
        <v>17</v>
      </c>
      <c r="E1159" s="90" t="s">
        <v>528</v>
      </c>
      <c r="F1159" s="90" t="s">
        <v>697</v>
      </c>
      <c r="G1159" s="95">
        <v>1540</v>
      </c>
      <c r="H1159" s="94"/>
      <c r="I1159" s="95">
        <v>1540</v>
      </c>
      <c r="J1159" s="94"/>
      <c r="K1159" s="94"/>
      <c r="L1159" s="94"/>
      <c r="M1159" s="94"/>
      <c r="N1159" s="94"/>
      <c r="O1159" s="94"/>
      <c r="P1159" s="94"/>
      <c r="Q1159" s="94"/>
      <c r="R1159" s="94"/>
      <c r="S1159" s="94"/>
      <c r="T1159" s="94"/>
      <c r="U1159" s="94"/>
      <c r="V1159" s="94"/>
      <c r="W1159" s="94"/>
      <c r="X1159" s="94"/>
      <c r="Y1159" s="94"/>
      <c r="Z1159" s="94"/>
      <c r="AA1159" s="94"/>
      <c r="AB1159" s="94"/>
      <c r="AC1159" s="94"/>
      <c r="AD1159" s="95">
        <v>87.35</v>
      </c>
      <c r="AE1159" s="94"/>
      <c r="AF1159" s="94"/>
      <c r="AG1159" s="95">
        <v>1627.35</v>
      </c>
      <c r="AH1159" s="95">
        <v>0</v>
      </c>
    </row>
    <row r="1160" spans="1:34" ht="15.75" thickBot="1" x14ac:dyDescent="0.3">
      <c r="A1160" s="90" t="s">
        <v>999</v>
      </c>
      <c r="B1160" s="90" t="s">
        <v>878</v>
      </c>
      <c r="C1160" s="90" t="s">
        <v>879</v>
      </c>
      <c r="D1160" s="90" t="s">
        <v>17</v>
      </c>
      <c r="E1160" s="90" t="s">
        <v>518</v>
      </c>
      <c r="F1160" s="90" t="s">
        <v>686</v>
      </c>
      <c r="G1160" s="93">
        <v>5181.8500000000004</v>
      </c>
      <c r="H1160" s="93">
        <v>27294</v>
      </c>
      <c r="I1160" s="92"/>
      <c r="J1160" s="92"/>
      <c r="K1160" s="93">
        <v>5181.8500000000004</v>
      </c>
      <c r="L1160" s="92"/>
      <c r="M1160" s="92"/>
      <c r="N1160" s="92"/>
      <c r="O1160" s="92"/>
      <c r="P1160" s="92"/>
      <c r="Q1160" s="92"/>
      <c r="R1160" s="92"/>
      <c r="S1160" s="92"/>
      <c r="T1160" s="92"/>
      <c r="U1160" s="92"/>
      <c r="V1160" s="92"/>
      <c r="W1160" s="92"/>
      <c r="X1160" s="92"/>
      <c r="Y1160" s="92"/>
      <c r="Z1160" s="92"/>
      <c r="AA1160" s="92"/>
      <c r="AB1160" s="92"/>
      <c r="AC1160" s="92"/>
      <c r="AD1160" s="93">
        <v>241.41</v>
      </c>
      <c r="AE1160" s="92"/>
      <c r="AF1160" s="92"/>
      <c r="AG1160" s="93">
        <v>5423.26</v>
      </c>
      <c r="AH1160" s="93">
        <v>0</v>
      </c>
    </row>
    <row r="1161" spans="1:34" ht="15.75" thickBot="1" x14ac:dyDescent="0.3">
      <c r="A1161" s="90" t="s">
        <v>999</v>
      </c>
      <c r="B1161" s="90" t="s">
        <v>878</v>
      </c>
      <c r="C1161" s="90" t="s">
        <v>879</v>
      </c>
      <c r="D1161" s="90" t="s">
        <v>17</v>
      </c>
      <c r="E1161" s="90" t="s">
        <v>518</v>
      </c>
      <c r="F1161" s="90" t="s">
        <v>697</v>
      </c>
      <c r="G1161" s="95">
        <v>5181.8500000000004</v>
      </c>
      <c r="H1161" s="305">
        <v>27294</v>
      </c>
      <c r="I1161" s="94"/>
      <c r="J1161" s="94"/>
      <c r="K1161" s="95">
        <v>5181.8500000000004</v>
      </c>
      <c r="L1161" s="94"/>
      <c r="M1161" s="94"/>
      <c r="N1161" s="94"/>
      <c r="O1161" s="94"/>
      <c r="P1161" s="94"/>
      <c r="Q1161" s="94"/>
      <c r="R1161" s="94"/>
      <c r="S1161" s="94"/>
      <c r="T1161" s="94"/>
      <c r="U1161" s="94"/>
      <c r="V1161" s="94"/>
      <c r="W1161" s="94"/>
      <c r="X1161" s="94"/>
      <c r="Y1161" s="94"/>
      <c r="Z1161" s="94"/>
      <c r="AA1161" s="94"/>
      <c r="AB1161" s="94"/>
      <c r="AC1161" s="94"/>
      <c r="AD1161" s="95">
        <v>241.41</v>
      </c>
      <c r="AE1161" s="94"/>
      <c r="AF1161" s="94"/>
      <c r="AG1161" s="95">
        <v>5423.26</v>
      </c>
      <c r="AH1161" s="95">
        <v>0</v>
      </c>
    </row>
    <row r="1162" spans="1:34" ht="15.75" thickBot="1" x14ac:dyDescent="0.3">
      <c r="A1162" s="90" t="s">
        <v>999</v>
      </c>
      <c r="B1162" s="90" t="s">
        <v>878</v>
      </c>
      <c r="C1162" s="90" t="s">
        <v>879</v>
      </c>
      <c r="D1162" s="90" t="s">
        <v>17</v>
      </c>
      <c r="E1162" s="90" t="s">
        <v>673</v>
      </c>
      <c r="F1162" s="90" t="s">
        <v>686</v>
      </c>
      <c r="G1162" s="93">
        <v>5450.34</v>
      </c>
      <c r="H1162" s="92"/>
      <c r="I1162" s="92"/>
      <c r="J1162" s="92"/>
      <c r="K1162" s="92"/>
      <c r="L1162" s="92"/>
      <c r="M1162" s="92"/>
      <c r="N1162" s="92"/>
      <c r="O1162" s="92"/>
      <c r="P1162" s="92"/>
      <c r="Q1162" s="92"/>
      <c r="R1162" s="92"/>
      <c r="S1162" s="92"/>
      <c r="T1162" s="92"/>
      <c r="U1162" s="92"/>
      <c r="V1162" s="92"/>
      <c r="W1162" s="92"/>
      <c r="X1162" s="93">
        <v>5450.34</v>
      </c>
      <c r="Y1162" s="92"/>
      <c r="Z1162" s="92"/>
      <c r="AA1162" s="92"/>
      <c r="AB1162" s="92"/>
      <c r="AC1162" s="92"/>
      <c r="AD1162" s="93">
        <v>319.68</v>
      </c>
      <c r="AE1162" s="92"/>
      <c r="AF1162" s="92"/>
      <c r="AG1162" s="93">
        <v>5770.02</v>
      </c>
      <c r="AH1162" s="93">
        <v>0</v>
      </c>
    </row>
    <row r="1163" spans="1:34" ht="15.75" thickBot="1" x14ac:dyDescent="0.3">
      <c r="A1163" s="90" t="s">
        <v>999</v>
      </c>
      <c r="B1163" s="90" t="s">
        <v>878</v>
      </c>
      <c r="C1163" s="90" t="s">
        <v>879</v>
      </c>
      <c r="D1163" s="90" t="s">
        <v>17</v>
      </c>
      <c r="E1163" s="90" t="s">
        <v>673</v>
      </c>
      <c r="F1163" s="90" t="s">
        <v>697</v>
      </c>
      <c r="G1163" s="95">
        <v>5450.34</v>
      </c>
      <c r="H1163" s="94"/>
      <c r="I1163" s="94"/>
      <c r="J1163" s="94"/>
      <c r="K1163" s="94"/>
      <c r="L1163" s="94"/>
      <c r="M1163" s="94"/>
      <c r="N1163" s="94"/>
      <c r="O1163" s="94"/>
      <c r="P1163" s="94"/>
      <c r="Q1163" s="94"/>
      <c r="R1163" s="94"/>
      <c r="S1163" s="94"/>
      <c r="T1163" s="94"/>
      <c r="U1163" s="94"/>
      <c r="V1163" s="94"/>
      <c r="W1163" s="94"/>
      <c r="X1163" s="95">
        <v>5450.34</v>
      </c>
      <c r="Y1163" s="94"/>
      <c r="Z1163" s="94"/>
      <c r="AA1163" s="94"/>
      <c r="AB1163" s="94"/>
      <c r="AC1163" s="94"/>
      <c r="AD1163" s="95">
        <v>319.68</v>
      </c>
      <c r="AE1163" s="94"/>
      <c r="AF1163" s="94"/>
      <c r="AG1163" s="95">
        <v>5770.02</v>
      </c>
      <c r="AH1163" s="95">
        <v>0</v>
      </c>
    </row>
    <row r="1164" spans="1:34" ht="15.75" thickBot="1" x14ac:dyDescent="0.3">
      <c r="A1164" s="90" t="s">
        <v>999</v>
      </c>
      <c r="B1164" s="90" t="s">
        <v>878</v>
      </c>
      <c r="C1164" s="90" t="s">
        <v>879</v>
      </c>
      <c r="D1164" s="90" t="s">
        <v>17</v>
      </c>
      <c r="E1164" s="90" t="s">
        <v>196</v>
      </c>
      <c r="F1164" s="90" t="s">
        <v>686</v>
      </c>
      <c r="G1164" s="93">
        <v>9588.3700000000008</v>
      </c>
      <c r="H1164" s="92"/>
      <c r="I1164" s="92"/>
      <c r="J1164" s="92"/>
      <c r="K1164" s="92"/>
      <c r="L1164" s="92"/>
      <c r="M1164" s="92"/>
      <c r="N1164" s="92"/>
      <c r="O1164" s="92"/>
      <c r="P1164" s="93">
        <v>9588.3700000000008</v>
      </c>
      <c r="Q1164" s="92"/>
      <c r="R1164" s="92"/>
      <c r="S1164" s="92"/>
      <c r="T1164" s="92"/>
      <c r="U1164" s="92"/>
      <c r="V1164" s="92"/>
      <c r="W1164" s="92"/>
      <c r="X1164" s="92"/>
      <c r="Y1164" s="92"/>
      <c r="Z1164" s="92"/>
      <c r="AA1164" s="92"/>
      <c r="AB1164" s="92"/>
      <c r="AC1164" s="92"/>
      <c r="AD1164" s="93">
        <v>440.72</v>
      </c>
      <c r="AE1164" s="92"/>
      <c r="AF1164" s="92"/>
      <c r="AG1164" s="93">
        <v>10029.09</v>
      </c>
      <c r="AH1164" s="93">
        <v>0</v>
      </c>
    </row>
    <row r="1165" spans="1:34" ht="15.75" thickBot="1" x14ac:dyDescent="0.3">
      <c r="A1165" s="90" t="s">
        <v>999</v>
      </c>
      <c r="B1165" s="90" t="s">
        <v>878</v>
      </c>
      <c r="C1165" s="90" t="s">
        <v>879</v>
      </c>
      <c r="D1165" s="90" t="s">
        <v>17</v>
      </c>
      <c r="E1165" s="90" t="s">
        <v>196</v>
      </c>
      <c r="F1165" s="90" t="s">
        <v>697</v>
      </c>
      <c r="G1165" s="95">
        <v>9588.3700000000008</v>
      </c>
      <c r="H1165" s="94"/>
      <c r="I1165" s="94"/>
      <c r="J1165" s="94"/>
      <c r="K1165" s="94"/>
      <c r="L1165" s="94"/>
      <c r="M1165" s="94"/>
      <c r="N1165" s="94"/>
      <c r="O1165" s="94"/>
      <c r="P1165" s="95">
        <v>9588.3700000000008</v>
      </c>
      <c r="Q1165" s="94"/>
      <c r="R1165" s="94"/>
      <c r="S1165" s="94"/>
      <c r="T1165" s="94"/>
      <c r="U1165" s="94"/>
      <c r="V1165" s="94"/>
      <c r="W1165" s="94"/>
      <c r="X1165" s="94"/>
      <c r="Y1165" s="94"/>
      <c r="Z1165" s="94"/>
      <c r="AA1165" s="94"/>
      <c r="AB1165" s="94"/>
      <c r="AC1165" s="94"/>
      <c r="AD1165" s="95">
        <v>440.72</v>
      </c>
      <c r="AE1165" s="94"/>
      <c r="AF1165" s="94"/>
      <c r="AG1165" s="95">
        <v>10029.09</v>
      </c>
      <c r="AH1165" s="95">
        <v>0</v>
      </c>
    </row>
    <row r="1166" spans="1:34" ht="15.75" thickBot="1" x14ac:dyDescent="0.3">
      <c r="A1166" s="90" t="s">
        <v>999</v>
      </c>
      <c r="B1166" s="90" t="s">
        <v>872</v>
      </c>
      <c r="C1166" s="90" t="s">
        <v>873</v>
      </c>
      <c r="D1166" s="90" t="s">
        <v>21</v>
      </c>
      <c r="E1166" s="90" t="s">
        <v>528</v>
      </c>
      <c r="F1166" s="90" t="s">
        <v>686</v>
      </c>
      <c r="G1166" s="93">
        <v>800</v>
      </c>
      <c r="H1166" s="92"/>
      <c r="I1166" s="93">
        <v>800</v>
      </c>
      <c r="J1166" s="92"/>
      <c r="K1166" s="92"/>
      <c r="L1166" s="92"/>
      <c r="M1166" s="92"/>
      <c r="N1166" s="92"/>
      <c r="O1166" s="92"/>
      <c r="P1166" s="92"/>
      <c r="Q1166" s="92"/>
      <c r="R1166" s="92"/>
      <c r="S1166" s="92"/>
      <c r="T1166" s="92"/>
      <c r="U1166" s="92"/>
      <c r="V1166" s="92"/>
      <c r="W1166" s="92"/>
      <c r="X1166" s="92"/>
      <c r="Y1166" s="92"/>
      <c r="Z1166" s="92"/>
      <c r="AA1166" s="92"/>
      <c r="AB1166" s="92"/>
      <c r="AC1166" s="92"/>
      <c r="AD1166" s="93">
        <v>0</v>
      </c>
      <c r="AE1166" s="92"/>
      <c r="AF1166" s="92"/>
      <c r="AG1166" s="93">
        <v>800</v>
      </c>
      <c r="AH1166" s="93">
        <v>0</v>
      </c>
    </row>
    <row r="1167" spans="1:34" ht="15.75" thickBot="1" x14ac:dyDescent="0.3">
      <c r="A1167" s="90" t="s">
        <v>999</v>
      </c>
      <c r="B1167" s="90" t="s">
        <v>872</v>
      </c>
      <c r="C1167" s="90" t="s">
        <v>873</v>
      </c>
      <c r="D1167" s="90" t="s">
        <v>21</v>
      </c>
      <c r="E1167" s="90" t="s">
        <v>528</v>
      </c>
      <c r="F1167" s="90" t="s">
        <v>697</v>
      </c>
      <c r="G1167" s="95">
        <v>800</v>
      </c>
      <c r="H1167" s="94"/>
      <c r="I1167" s="95">
        <v>800</v>
      </c>
      <c r="J1167" s="94"/>
      <c r="K1167" s="94"/>
      <c r="L1167" s="94"/>
      <c r="M1167" s="94"/>
      <c r="N1167" s="94"/>
      <c r="O1167" s="94"/>
      <c r="P1167" s="94"/>
      <c r="Q1167" s="94"/>
      <c r="R1167" s="94"/>
      <c r="S1167" s="94"/>
      <c r="T1167" s="94"/>
      <c r="U1167" s="94"/>
      <c r="V1167" s="94"/>
      <c r="W1167" s="94"/>
      <c r="X1167" s="94"/>
      <c r="Y1167" s="94"/>
      <c r="Z1167" s="94"/>
      <c r="AA1167" s="94"/>
      <c r="AB1167" s="94"/>
      <c r="AC1167" s="94"/>
      <c r="AD1167" s="95">
        <v>0</v>
      </c>
      <c r="AE1167" s="94"/>
      <c r="AF1167" s="94"/>
      <c r="AG1167" s="95">
        <v>800</v>
      </c>
      <c r="AH1167" s="95">
        <v>0</v>
      </c>
    </row>
    <row r="1168" spans="1:34" ht="15.75" thickBot="1" x14ac:dyDescent="0.3">
      <c r="A1168" s="90" t="s">
        <v>999</v>
      </c>
      <c r="B1168" s="90" t="s">
        <v>872</v>
      </c>
      <c r="C1168" s="90" t="s">
        <v>873</v>
      </c>
      <c r="D1168" s="90" t="s">
        <v>21</v>
      </c>
      <c r="E1168" s="90" t="s">
        <v>518</v>
      </c>
      <c r="F1168" s="90" t="s">
        <v>686</v>
      </c>
      <c r="G1168" s="93">
        <v>5297.68</v>
      </c>
      <c r="H1168" s="93">
        <v>75584</v>
      </c>
      <c r="I1168" s="92"/>
      <c r="J1168" s="92"/>
      <c r="K1168" s="93">
        <v>5297.68</v>
      </c>
      <c r="L1168" s="92"/>
      <c r="M1168" s="92"/>
      <c r="N1168" s="92"/>
      <c r="O1168" s="92"/>
      <c r="P1168" s="92"/>
      <c r="Q1168" s="92"/>
      <c r="R1168" s="92"/>
      <c r="S1168" s="92"/>
      <c r="T1168" s="92"/>
      <c r="U1168" s="92"/>
      <c r="V1168" s="92"/>
      <c r="W1168" s="92"/>
      <c r="X1168" s="92"/>
      <c r="Y1168" s="92"/>
      <c r="Z1168" s="92"/>
      <c r="AA1168" s="92"/>
      <c r="AB1168" s="92"/>
      <c r="AC1168" s="92"/>
      <c r="AD1168" s="93">
        <v>0</v>
      </c>
      <c r="AE1168" s="92"/>
      <c r="AF1168" s="92"/>
      <c r="AG1168" s="93">
        <v>5297.68</v>
      </c>
      <c r="AH1168" s="93">
        <v>0</v>
      </c>
    </row>
    <row r="1169" spans="1:34" ht="15.75" thickBot="1" x14ac:dyDescent="0.3">
      <c r="A1169" s="90" t="s">
        <v>999</v>
      </c>
      <c r="B1169" s="90" t="s">
        <v>872</v>
      </c>
      <c r="C1169" s="90" t="s">
        <v>873</v>
      </c>
      <c r="D1169" s="90" t="s">
        <v>21</v>
      </c>
      <c r="E1169" s="90" t="s">
        <v>518</v>
      </c>
      <c r="F1169" s="90" t="s">
        <v>697</v>
      </c>
      <c r="G1169" s="95">
        <v>5297.68</v>
      </c>
      <c r="H1169" s="305">
        <v>75584</v>
      </c>
      <c r="I1169" s="94"/>
      <c r="J1169" s="94"/>
      <c r="K1169" s="95">
        <v>5297.68</v>
      </c>
      <c r="L1169" s="94"/>
      <c r="M1169" s="94"/>
      <c r="N1169" s="94"/>
      <c r="O1169" s="94"/>
      <c r="P1169" s="94"/>
      <c r="Q1169" s="94"/>
      <c r="R1169" s="94"/>
      <c r="S1169" s="94"/>
      <c r="T1169" s="94"/>
      <c r="U1169" s="94"/>
      <c r="V1169" s="94"/>
      <c r="W1169" s="94"/>
      <c r="X1169" s="94"/>
      <c r="Y1169" s="94"/>
      <c r="Z1169" s="94"/>
      <c r="AA1169" s="94"/>
      <c r="AB1169" s="94"/>
      <c r="AC1169" s="94"/>
      <c r="AD1169" s="95">
        <v>0</v>
      </c>
      <c r="AE1169" s="94"/>
      <c r="AF1169" s="94"/>
      <c r="AG1169" s="95">
        <v>5297.68</v>
      </c>
      <c r="AH1169" s="95">
        <v>0</v>
      </c>
    </row>
    <row r="1170" spans="1:34" ht="15.75" thickBot="1" x14ac:dyDescent="0.3">
      <c r="A1170" s="90" t="s">
        <v>999</v>
      </c>
      <c r="B1170" s="90" t="s">
        <v>872</v>
      </c>
      <c r="C1170" s="90" t="s">
        <v>873</v>
      </c>
      <c r="D1170" s="90" t="s">
        <v>21</v>
      </c>
      <c r="E1170" s="90" t="s">
        <v>673</v>
      </c>
      <c r="F1170" s="90" t="s">
        <v>686</v>
      </c>
      <c r="G1170" s="93">
        <v>5677.74</v>
      </c>
      <c r="H1170" s="92"/>
      <c r="I1170" s="92"/>
      <c r="J1170" s="92"/>
      <c r="K1170" s="92"/>
      <c r="L1170" s="92"/>
      <c r="M1170" s="92"/>
      <c r="N1170" s="92"/>
      <c r="O1170" s="92"/>
      <c r="P1170" s="92"/>
      <c r="Q1170" s="92"/>
      <c r="R1170" s="92"/>
      <c r="S1170" s="92"/>
      <c r="T1170" s="92"/>
      <c r="U1170" s="92"/>
      <c r="V1170" s="92"/>
      <c r="W1170" s="92"/>
      <c r="X1170" s="93">
        <v>5677.74</v>
      </c>
      <c r="Y1170" s="92"/>
      <c r="Z1170" s="92"/>
      <c r="AA1170" s="92"/>
      <c r="AB1170" s="92"/>
      <c r="AC1170" s="92"/>
      <c r="AD1170" s="93">
        <v>0</v>
      </c>
      <c r="AE1170" s="92"/>
      <c r="AF1170" s="92"/>
      <c r="AG1170" s="93">
        <v>5677.74</v>
      </c>
      <c r="AH1170" s="93">
        <v>0</v>
      </c>
    </row>
    <row r="1171" spans="1:34" ht="15.75" thickBot="1" x14ac:dyDescent="0.3">
      <c r="A1171" s="90" t="s">
        <v>999</v>
      </c>
      <c r="B1171" s="90" t="s">
        <v>872</v>
      </c>
      <c r="C1171" s="90" t="s">
        <v>873</v>
      </c>
      <c r="D1171" s="90" t="s">
        <v>21</v>
      </c>
      <c r="E1171" s="90" t="s">
        <v>673</v>
      </c>
      <c r="F1171" s="90" t="s">
        <v>697</v>
      </c>
      <c r="G1171" s="95">
        <v>5677.74</v>
      </c>
      <c r="H1171" s="94"/>
      <c r="I1171" s="94"/>
      <c r="J1171" s="94"/>
      <c r="K1171" s="94"/>
      <c r="L1171" s="94"/>
      <c r="M1171" s="94"/>
      <c r="N1171" s="94"/>
      <c r="O1171" s="94"/>
      <c r="P1171" s="94"/>
      <c r="Q1171" s="94"/>
      <c r="R1171" s="94"/>
      <c r="S1171" s="94"/>
      <c r="T1171" s="94"/>
      <c r="U1171" s="94"/>
      <c r="V1171" s="94"/>
      <c r="W1171" s="94"/>
      <c r="X1171" s="95">
        <v>5677.74</v>
      </c>
      <c r="Y1171" s="94"/>
      <c r="Z1171" s="94"/>
      <c r="AA1171" s="94"/>
      <c r="AB1171" s="94"/>
      <c r="AC1171" s="94"/>
      <c r="AD1171" s="95">
        <v>0</v>
      </c>
      <c r="AE1171" s="94"/>
      <c r="AF1171" s="94"/>
      <c r="AG1171" s="95">
        <v>5677.74</v>
      </c>
      <c r="AH1171" s="95">
        <v>0</v>
      </c>
    </row>
    <row r="1172" spans="1:34" ht="15.75" thickBot="1" x14ac:dyDescent="0.3">
      <c r="A1172" s="90" t="s">
        <v>999</v>
      </c>
      <c r="B1172" s="90" t="s">
        <v>872</v>
      </c>
      <c r="C1172" s="90" t="s">
        <v>873</v>
      </c>
      <c r="D1172" s="90" t="s">
        <v>21</v>
      </c>
      <c r="E1172" s="90" t="s">
        <v>196</v>
      </c>
      <c r="F1172" s="90" t="s">
        <v>686</v>
      </c>
      <c r="G1172" s="93">
        <v>26552.66</v>
      </c>
      <c r="H1172" s="92"/>
      <c r="I1172" s="92"/>
      <c r="J1172" s="92"/>
      <c r="K1172" s="92"/>
      <c r="L1172" s="92"/>
      <c r="M1172" s="92"/>
      <c r="N1172" s="92"/>
      <c r="O1172" s="92"/>
      <c r="P1172" s="93">
        <v>26552.66</v>
      </c>
      <c r="Q1172" s="92"/>
      <c r="R1172" s="92"/>
      <c r="S1172" s="92"/>
      <c r="T1172" s="92"/>
      <c r="U1172" s="92"/>
      <c r="V1172" s="92"/>
      <c r="W1172" s="92"/>
      <c r="X1172" s="92"/>
      <c r="Y1172" s="92"/>
      <c r="Z1172" s="92"/>
      <c r="AA1172" s="92"/>
      <c r="AB1172" s="92"/>
      <c r="AC1172" s="92"/>
      <c r="AD1172" s="93">
        <v>0</v>
      </c>
      <c r="AE1172" s="92"/>
      <c r="AF1172" s="92"/>
      <c r="AG1172" s="93">
        <v>26552.66</v>
      </c>
      <c r="AH1172" s="93">
        <v>0</v>
      </c>
    </row>
    <row r="1173" spans="1:34" ht="15.75" thickBot="1" x14ac:dyDescent="0.3">
      <c r="A1173" s="90" t="s">
        <v>999</v>
      </c>
      <c r="B1173" s="90" t="s">
        <v>872</v>
      </c>
      <c r="C1173" s="90" t="s">
        <v>873</v>
      </c>
      <c r="D1173" s="90" t="s">
        <v>21</v>
      </c>
      <c r="E1173" s="90" t="s">
        <v>196</v>
      </c>
      <c r="F1173" s="90" t="s">
        <v>697</v>
      </c>
      <c r="G1173" s="95">
        <v>26552.66</v>
      </c>
      <c r="H1173" s="94"/>
      <c r="I1173" s="94"/>
      <c r="J1173" s="94"/>
      <c r="K1173" s="94"/>
      <c r="L1173" s="94"/>
      <c r="M1173" s="94"/>
      <c r="N1173" s="94"/>
      <c r="O1173" s="94"/>
      <c r="P1173" s="95">
        <v>26552.66</v>
      </c>
      <c r="Q1173" s="94"/>
      <c r="R1173" s="94"/>
      <c r="S1173" s="94"/>
      <c r="T1173" s="94"/>
      <c r="U1173" s="94"/>
      <c r="V1173" s="94"/>
      <c r="W1173" s="94"/>
      <c r="X1173" s="94"/>
      <c r="Y1173" s="94"/>
      <c r="Z1173" s="94"/>
      <c r="AA1173" s="94"/>
      <c r="AB1173" s="94"/>
      <c r="AC1173" s="94"/>
      <c r="AD1173" s="95">
        <v>0</v>
      </c>
      <c r="AE1173" s="94"/>
      <c r="AF1173" s="94"/>
      <c r="AG1173" s="95">
        <v>26552.66</v>
      </c>
      <c r="AH1173" s="95">
        <v>0</v>
      </c>
    </row>
    <row r="1174" spans="1:34" ht="15.75" thickBot="1" x14ac:dyDescent="0.3">
      <c r="A1174" s="90" t="s">
        <v>999</v>
      </c>
      <c r="B1174" s="90" t="s">
        <v>1001</v>
      </c>
      <c r="C1174" s="90" t="s">
        <v>1002</v>
      </c>
      <c r="D1174" s="90" t="s">
        <v>663</v>
      </c>
      <c r="E1174" s="90" t="s">
        <v>729</v>
      </c>
      <c r="F1174" s="90" t="s">
        <v>686</v>
      </c>
      <c r="G1174" s="93">
        <v>3679.92</v>
      </c>
      <c r="H1174" s="92"/>
      <c r="I1174" s="92"/>
      <c r="J1174" s="92"/>
      <c r="K1174" s="92"/>
      <c r="L1174" s="92"/>
      <c r="M1174" s="92"/>
      <c r="N1174" s="92"/>
      <c r="O1174" s="92"/>
      <c r="P1174" s="92"/>
      <c r="Q1174" s="93">
        <v>3679.92</v>
      </c>
      <c r="R1174" s="92"/>
      <c r="S1174" s="92"/>
      <c r="T1174" s="92"/>
      <c r="U1174" s="92"/>
      <c r="V1174" s="92"/>
      <c r="W1174" s="92"/>
      <c r="X1174" s="92"/>
      <c r="Y1174" s="92"/>
      <c r="Z1174" s="92"/>
      <c r="AA1174" s="92"/>
      <c r="AB1174" s="92"/>
      <c r="AC1174" s="92"/>
      <c r="AD1174" s="93">
        <v>43.38</v>
      </c>
      <c r="AE1174" s="92"/>
      <c r="AF1174" s="92"/>
      <c r="AG1174" s="93">
        <v>3723.3</v>
      </c>
      <c r="AH1174" s="93">
        <v>0</v>
      </c>
    </row>
    <row r="1175" spans="1:34" ht="15.75" thickBot="1" x14ac:dyDescent="0.3">
      <c r="A1175" s="90" t="s">
        <v>999</v>
      </c>
      <c r="B1175" s="90" t="s">
        <v>1001</v>
      </c>
      <c r="C1175" s="90" t="s">
        <v>1002</v>
      </c>
      <c r="D1175" s="90" t="s">
        <v>663</v>
      </c>
      <c r="E1175" s="90" t="s">
        <v>729</v>
      </c>
      <c r="F1175" s="90" t="s">
        <v>697</v>
      </c>
      <c r="G1175" s="95">
        <v>3679.92</v>
      </c>
      <c r="H1175" s="94"/>
      <c r="I1175" s="94"/>
      <c r="J1175" s="94"/>
      <c r="K1175" s="94"/>
      <c r="L1175" s="94"/>
      <c r="M1175" s="94"/>
      <c r="N1175" s="94"/>
      <c r="O1175" s="94"/>
      <c r="P1175" s="94"/>
      <c r="Q1175" s="95">
        <v>3679.92</v>
      </c>
      <c r="R1175" s="94"/>
      <c r="S1175" s="94"/>
      <c r="T1175" s="94"/>
      <c r="U1175" s="94"/>
      <c r="V1175" s="94"/>
      <c r="W1175" s="94"/>
      <c r="X1175" s="94"/>
      <c r="Y1175" s="94"/>
      <c r="Z1175" s="94"/>
      <c r="AA1175" s="94"/>
      <c r="AB1175" s="94"/>
      <c r="AC1175" s="94"/>
      <c r="AD1175" s="95">
        <v>43.38</v>
      </c>
      <c r="AE1175" s="94"/>
      <c r="AF1175" s="94"/>
      <c r="AG1175" s="95">
        <v>3723.3</v>
      </c>
      <c r="AH1175" s="95">
        <v>0</v>
      </c>
    </row>
    <row r="1176" spans="1:34" ht="15.75" thickBot="1" x14ac:dyDescent="0.3">
      <c r="A1176" s="90" t="s">
        <v>999</v>
      </c>
      <c r="B1176" s="90" t="s">
        <v>1001</v>
      </c>
      <c r="C1176" s="90" t="s">
        <v>1002</v>
      </c>
      <c r="D1176" s="90" t="s">
        <v>663</v>
      </c>
      <c r="E1176" s="90" t="s">
        <v>528</v>
      </c>
      <c r="F1176" s="90" t="s">
        <v>686</v>
      </c>
      <c r="G1176" s="93">
        <v>720</v>
      </c>
      <c r="H1176" s="92"/>
      <c r="I1176" s="93">
        <v>720</v>
      </c>
      <c r="J1176" s="92"/>
      <c r="K1176" s="92"/>
      <c r="L1176" s="92"/>
      <c r="M1176" s="92"/>
      <c r="N1176" s="92"/>
      <c r="O1176" s="92"/>
      <c r="P1176" s="92"/>
      <c r="Q1176" s="92"/>
      <c r="R1176" s="92"/>
      <c r="S1176" s="92"/>
      <c r="T1176" s="92"/>
      <c r="U1176" s="92"/>
      <c r="V1176" s="92"/>
      <c r="W1176" s="92"/>
      <c r="X1176" s="92"/>
      <c r="Y1176" s="92"/>
      <c r="Z1176" s="92"/>
      <c r="AA1176" s="92"/>
      <c r="AB1176" s="92"/>
      <c r="AC1176" s="92"/>
      <c r="AD1176" s="93">
        <v>16.2</v>
      </c>
      <c r="AE1176" s="92"/>
      <c r="AF1176" s="92"/>
      <c r="AG1176" s="93">
        <v>736.2</v>
      </c>
      <c r="AH1176" s="93">
        <v>0</v>
      </c>
    </row>
    <row r="1177" spans="1:34" ht="15.75" thickBot="1" x14ac:dyDescent="0.3">
      <c r="A1177" s="90" t="s">
        <v>999</v>
      </c>
      <c r="B1177" s="90" t="s">
        <v>1001</v>
      </c>
      <c r="C1177" s="90" t="s">
        <v>1002</v>
      </c>
      <c r="D1177" s="90" t="s">
        <v>663</v>
      </c>
      <c r="E1177" s="90" t="s">
        <v>528</v>
      </c>
      <c r="F1177" s="90" t="s">
        <v>697</v>
      </c>
      <c r="G1177" s="95">
        <v>720</v>
      </c>
      <c r="H1177" s="94"/>
      <c r="I1177" s="95">
        <v>720</v>
      </c>
      <c r="J1177" s="94"/>
      <c r="K1177" s="94"/>
      <c r="L1177" s="94"/>
      <c r="M1177" s="94"/>
      <c r="N1177" s="94"/>
      <c r="O1177" s="94"/>
      <c r="P1177" s="94"/>
      <c r="Q1177" s="94"/>
      <c r="R1177" s="94"/>
      <c r="S1177" s="94"/>
      <c r="T1177" s="94"/>
      <c r="U1177" s="94"/>
      <c r="V1177" s="94"/>
      <c r="W1177" s="94"/>
      <c r="X1177" s="94"/>
      <c r="Y1177" s="94"/>
      <c r="Z1177" s="94"/>
      <c r="AA1177" s="94"/>
      <c r="AB1177" s="94"/>
      <c r="AC1177" s="94"/>
      <c r="AD1177" s="95">
        <v>16.2</v>
      </c>
      <c r="AE1177" s="94"/>
      <c r="AF1177" s="94"/>
      <c r="AG1177" s="95">
        <v>736.2</v>
      </c>
      <c r="AH1177" s="95">
        <v>0</v>
      </c>
    </row>
    <row r="1178" spans="1:34" ht="15.75" thickBot="1" x14ac:dyDescent="0.3">
      <c r="A1178" s="90" t="s">
        <v>999</v>
      </c>
      <c r="B1178" s="90" t="s">
        <v>1001</v>
      </c>
      <c r="C1178" s="90" t="s">
        <v>1002</v>
      </c>
      <c r="D1178" s="90" t="s">
        <v>663</v>
      </c>
      <c r="E1178" s="90" t="s">
        <v>518</v>
      </c>
      <c r="F1178" s="90" t="s">
        <v>686</v>
      </c>
      <c r="G1178" s="93">
        <v>48718.35</v>
      </c>
      <c r="H1178" s="93">
        <v>272897</v>
      </c>
      <c r="I1178" s="92"/>
      <c r="J1178" s="92"/>
      <c r="K1178" s="93">
        <v>48718.35</v>
      </c>
      <c r="L1178" s="92"/>
      <c r="M1178" s="92"/>
      <c r="N1178" s="92"/>
      <c r="O1178" s="92"/>
      <c r="P1178" s="92"/>
      <c r="Q1178" s="92"/>
      <c r="R1178" s="92"/>
      <c r="S1178" s="92"/>
      <c r="T1178" s="92"/>
      <c r="U1178" s="92"/>
      <c r="V1178" s="92"/>
      <c r="W1178" s="92"/>
      <c r="X1178" s="92"/>
      <c r="Y1178" s="92"/>
      <c r="Z1178" s="92"/>
      <c r="AA1178" s="92"/>
      <c r="AB1178" s="92"/>
      <c r="AC1178" s="92"/>
      <c r="AD1178" s="93">
        <v>656.67</v>
      </c>
      <c r="AE1178" s="92"/>
      <c r="AF1178" s="92"/>
      <c r="AG1178" s="93">
        <v>49375.02</v>
      </c>
      <c r="AH1178" s="93">
        <v>0</v>
      </c>
    </row>
    <row r="1179" spans="1:34" ht="15.75" thickBot="1" x14ac:dyDescent="0.3">
      <c r="A1179" s="90" t="s">
        <v>999</v>
      </c>
      <c r="B1179" s="90" t="s">
        <v>1001</v>
      </c>
      <c r="C1179" s="90" t="s">
        <v>1002</v>
      </c>
      <c r="D1179" s="90" t="s">
        <v>663</v>
      </c>
      <c r="E1179" s="90" t="s">
        <v>518</v>
      </c>
      <c r="F1179" s="90" t="s">
        <v>697</v>
      </c>
      <c r="G1179" s="95">
        <v>48718.35</v>
      </c>
      <c r="H1179" s="305">
        <v>272897</v>
      </c>
      <c r="I1179" s="94"/>
      <c r="J1179" s="94"/>
      <c r="K1179" s="95">
        <v>48718.35</v>
      </c>
      <c r="L1179" s="94"/>
      <c r="M1179" s="94"/>
      <c r="N1179" s="94"/>
      <c r="O1179" s="94"/>
      <c r="P1179" s="94"/>
      <c r="Q1179" s="94"/>
      <c r="R1179" s="94"/>
      <c r="S1179" s="94"/>
      <c r="T1179" s="94"/>
      <c r="U1179" s="94"/>
      <c r="V1179" s="94"/>
      <c r="W1179" s="94"/>
      <c r="X1179" s="94"/>
      <c r="Y1179" s="94"/>
      <c r="Z1179" s="94"/>
      <c r="AA1179" s="94"/>
      <c r="AB1179" s="94"/>
      <c r="AC1179" s="94"/>
      <c r="AD1179" s="95">
        <v>656.67</v>
      </c>
      <c r="AE1179" s="94"/>
      <c r="AF1179" s="94"/>
      <c r="AG1179" s="95">
        <v>49375.02</v>
      </c>
      <c r="AH1179" s="95">
        <v>0</v>
      </c>
    </row>
    <row r="1180" spans="1:34" ht="15.75" thickBot="1" x14ac:dyDescent="0.3">
      <c r="A1180" s="90" t="s">
        <v>999</v>
      </c>
      <c r="B1180" s="90" t="s">
        <v>1001</v>
      </c>
      <c r="C1180" s="90" t="s">
        <v>1002</v>
      </c>
      <c r="D1180" s="90" t="s">
        <v>663</v>
      </c>
      <c r="E1180" s="90" t="s">
        <v>673</v>
      </c>
      <c r="F1180" s="90" t="s">
        <v>686</v>
      </c>
      <c r="G1180" s="93">
        <v>1038.1600000000001</v>
      </c>
      <c r="H1180" s="92"/>
      <c r="I1180" s="92"/>
      <c r="J1180" s="92"/>
      <c r="K1180" s="92"/>
      <c r="L1180" s="92"/>
      <c r="M1180" s="92"/>
      <c r="N1180" s="92"/>
      <c r="O1180" s="92"/>
      <c r="P1180" s="92"/>
      <c r="Q1180" s="92"/>
      <c r="R1180" s="92"/>
      <c r="S1180" s="92"/>
      <c r="T1180" s="92"/>
      <c r="U1180" s="92"/>
      <c r="V1180" s="92"/>
      <c r="W1180" s="92"/>
      <c r="X1180" s="93">
        <v>1038.1600000000001</v>
      </c>
      <c r="Y1180" s="92"/>
      <c r="Z1180" s="92"/>
      <c r="AA1180" s="92"/>
      <c r="AB1180" s="92"/>
      <c r="AC1180" s="92"/>
      <c r="AD1180" s="93">
        <v>23.36</v>
      </c>
      <c r="AE1180" s="92"/>
      <c r="AF1180" s="92"/>
      <c r="AG1180" s="93">
        <v>1061.52</v>
      </c>
      <c r="AH1180" s="93">
        <v>0</v>
      </c>
    </row>
    <row r="1181" spans="1:34" ht="15.75" thickBot="1" x14ac:dyDescent="0.3">
      <c r="A1181" s="90" t="s">
        <v>999</v>
      </c>
      <c r="B1181" s="90" t="s">
        <v>1001</v>
      </c>
      <c r="C1181" s="90" t="s">
        <v>1002</v>
      </c>
      <c r="D1181" s="90" t="s">
        <v>663</v>
      </c>
      <c r="E1181" s="90" t="s">
        <v>673</v>
      </c>
      <c r="F1181" s="90" t="s">
        <v>697</v>
      </c>
      <c r="G1181" s="95">
        <v>1038.1600000000001</v>
      </c>
      <c r="H1181" s="94"/>
      <c r="I1181" s="94"/>
      <c r="J1181" s="94"/>
      <c r="K1181" s="94"/>
      <c r="L1181" s="94"/>
      <c r="M1181" s="94"/>
      <c r="N1181" s="94"/>
      <c r="O1181" s="94"/>
      <c r="P1181" s="94"/>
      <c r="Q1181" s="94"/>
      <c r="R1181" s="94"/>
      <c r="S1181" s="94"/>
      <c r="T1181" s="94"/>
      <c r="U1181" s="94"/>
      <c r="V1181" s="94"/>
      <c r="W1181" s="94"/>
      <c r="X1181" s="95">
        <v>1038.1600000000001</v>
      </c>
      <c r="Y1181" s="94"/>
      <c r="Z1181" s="94"/>
      <c r="AA1181" s="94"/>
      <c r="AB1181" s="94"/>
      <c r="AC1181" s="94"/>
      <c r="AD1181" s="95">
        <v>23.36</v>
      </c>
      <c r="AE1181" s="94"/>
      <c r="AF1181" s="94"/>
      <c r="AG1181" s="95">
        <v>1061.52</v>
      </c>
      <c r="AH1181" s="95">
        <v>0</v>
      </c>
    </row>
    <row r="1182" spans="1:34" ht="15.75" thickBot="1" x14ac:dyDescent="0.3">
      <c r="A1182" s="90" t="s">
        <v>999</v>
      </c>
      <c r="B1182" s="90" t="s">
        <v>1001</v>
      </c>
      <c r="C1182" s="90" t="s">
        <v>1002</v>
      </c>
      <c r="D1182" s="90" t="s">
        <v>663</v>
      </c>
      <c r="E1182" s="90" t="s">
        <v>530</v>
      </c>
      <c r="F1182" s="90" t="s">
        <v>686</v>
      </c>
      <c r="G1182" s="93">
        <v>23037.96</v>
      </c>
      <c r="H1182" s="92"/>
      <c r="I1182" s="92"/>
      <c r="J1182" s="92"/>
      <c r="K1182" s="92"/>
      <c r="L1182" s="92"/>
      <c r="M1182" s="92"/>
      <c r="N1182" s="92"/>
      <c r="O1182" s="92"/>
      <c r="P1182" s="92"/>
      <c r="Q1182" s="92"/>
      <c r="R1182" s="92"/>
      <c r="S1182" s="92"/>
      <c r="T1182" s="92"/>
      <c r="U1182" s="92"/>
      <c r="V1182" s="92"/>
      <c r="W1182" s="93">
        <v>23037.96</v>
      </c>
      <c r="X1182" s="92"/>
      <c r="Y1182" s="92"/>
      <c r="Z1182" s="92"/>
      <c r="AA1182" s="92"/>
      <c r="AB1182" s="92"/>
      <c r="AC1182" s="92"/>
      <c r="AD1182" s="93">
        <v>309.67</v>
      </c>
      <c r="AE1182" s="92"/>
      <c r="AF1182" s="92"/>
      <c r="AG1182" s="93">
        <v>23347.63</v>
      </c>
      <c r="AH1182" s="93">
        <v>0</v>
      </c>
    </row>
    <row r="1183" spans="1:34" ht="15.75" thickBot="1" x14ac:dyDescent="0.3">
      <c r="A1183" s="90" t="s">
        <v>999</v>
      </c>
      <c r="B1183" s="90" t="s">
        <v>1001</v>
      </c>
      <c r="C1183" s="90" t="s">
        <v>1002</v>
      </c>
      <c r="D1183" s="90" t="s">
        <v>663</v>
      </c>
      <c r="E1183" s="90" t="s">
        <v>530</v>
      </c>
      <c r="F1183" s="90" t="s">
        <v>697</v>
      </c>
      <c r="G1183" s="95">
        <v>23037.96</v>
      </c>
      <c r="H1183" s="94"/>
      <c r="I1183" s="94"/>
      <c r="J1183" s="94"/>
      <c r="K1183" s="94"/>
      <c r="L1183" s="94"/>
      <c r="M1183" s="94"/>
      <c r="N1183" s="94"/>
      <c r="O1183" s="94"/>
      <c r="P1183" s="94"/>
      <c r="Q1183" s="94"/>
      <c r="R1183" s="94"/>
      <c r="S1183" s="94"/>
      <c r="T1183" s="94"/>
      <c r="U1183" s="94"/>
      <c r="V1183" s="94"/>
      <c r="W1183" s="95">
        <v>23037.96</v>
      </c>
      <c r="X1183" s="94"/>
      <c r="Y1183" s="94"/>
      <c r="Z1183" s="94"/>
      <c r="AA1183" s="94"/>
      <c r="AB1183" s="94"/>
      <c r="AC1183" s="94"/>
      <c r="AD1183" s="95">
        <v>309.67</v>
      </c>
      <c r="AE1183" s="94"/>
      <c r="AF1183" s="94"/>
      <c r="AG1183" s="95">
        <v>23347.63</v>
      </c>
      <c r="AH1183" s="95">
        <v>0</v>
      </c>
    </row>
    <row r="1184" spans="1:34" ht="15.75" thickBot="1" x14ac:dyDescent="0.3">
      <c r="A1184" s="90" t="s">
        <v>999</v>
      </c>
      <c r="B1184" s="90" t="s">
        <v>1001</v>
      </c>
      <c r="C1184" s="90" t="s">
        <v>1002</v>
      </c>
      <c r="D1184" s="90" t="s">
        <v>663</v>
      </c>
      <c r="E1184" s="90" t="s">
        <v>524</v>
      </c>
      <c r="F1184" s="90" t="s">
        <v>686</v>
      </c>
      <c r="G1184" s="93">
        <v>2200</v>
      </c>
      <c r="H1184" s="92"/>
      <c r="I1184" s="93">
        <v>2200</v>
      </c>
      <c r="J1184" s="92"/>
      <c r="K1184" s="92"/>
      <c r="L1184" s="92"/>
      <c r="M1184" s="92"/>
      <c r="N1184" s="92"/>
      <c r="O1184" s="92"/>
      <c r="P1184" s="92"/>
      <c r="Q1184" s="92"/>
      <c r="R1184" s="92"/>
      <c r="S1184" s="92"/>
      <c r="T1184" s="92"/>
      <c r="U1184" s="92"/>
      <c r="V1184" s="92"/>
      <c r="W1184" s="92"/>
      <c r="X1184" s="92"/>
      <c r="Y1184" s="92"/>
      <c r="Z1184" s="92"/>
      <c r="AA1184" s="92"/>
      <c r="AB1184" s="92"/>
      <c r="AC1184" s="92"/>
      <c r="AD1184" s="93">
        <v>49.5</v>
      </c>
      <c r="AE1184" s="92"/>
      <c r="AF1184" s="92"/>
      <c r="AG1184" s="93">
        <v>2249.5</v>
      </c>
      <c r="AH1184" s="93">
        <v>0</v>
      </c>
    </row>
    <row r="1185" spans="1:34" ht="15.75" thickBot="1" x14ac:dyDescent="0.3">
      <c r="A1185" s="90" t="s">
        <v>999</v>
      </c>
      <c r="B1185" s="90" t="s">
        <v>1001</v>
      </c>
      <c r="C1185" s="90" t="s">
        <v>1002</v>
      </c>
      <c r="D1185" s="90" t="s">
        <v>663</v>
      </c>
      <c r="E1185" s="90" t="s">
        <v>524</v>
      </c>
      <c r="F1185" s="90" t="s">
        <v>697</v>
      </c>
      <c r="G1185" s="95">
        <v>2200</v>
      </c>
      <c r="H1185" s="94"/>
      <c r="I1185" s="95">
        <v>2200</v>
      </c>
      <c r="J1185" s="94"/>
      <c r="K1185" s="94"/>
      <c r="L1185" s="94"/>
      <c r="M1185" s="94"/>
      <c r="N1185" s="94"/>
      <c r="O1185" s="94"/>
      <c r="P1185" s="94"/>
      <c r="Q1185" s="94"/>
      <c r="R1185" s="94"/>
      <c r="S1185" s="94"/>
      <c r="T1185" s="94"/>
      <c r="U1185" s="94"/>
      <c r="V1185" s="94"/>
      <c r="W1185" s="94"/>
      <c r="X1185" s="94"/>
      <c r="Y1185" s="94"/>
      <c r="Z1185" s="94"/>
      <c r="AA1185" s="94"/>
      <c r="AB1185" s="94"/>
      <c r="AC1185" s="94"/>
      <c r="AD1185" s="95">
        <v>49.5</v>
      </c>
      <c r="AE1185" s="94"/>
      <c r="AF1185" s="94"/>
      <c r="AG1185" s="95">
        <v>2249.5</v>
      </c>
      <c r="AH1185" s="95">
        <v>0</v>
      </c>
    </row>
    <row r="1186" spans="1:34" ht="15.75" thickBot="1" x14ac:dyDescent="0.3">
      <c r="A1186" s="90" t="s">
        <v>999</v>
      </c>
      <c r="B1186" s="90" t="s">
        <v>1001</v>
      </c>
      <c r="C1186" s="90" t="s">
        <v>1002</v>
      </c>
      <c r="D1186" s="90" t="s">
        <v>662</v>
      </c>
      <c r="E1186" s="90" t="s">
        <v>729</v>
      </c>
      <c r="F1186" s="90" t="s">
        <v>686</v>
      </c>
      <c r="G1186" s="93">
        <v>7189.07</v>
      </c>
      <c r="H1186" s="92"/>
      <c r="I1186" s="92"/>
      <c r="J1186" s="92"/>
      <c r="K1186" s="92"/>
      <c r="L1186" s="92"/>
      <c r="M1186" s="92"/>
      <c r="N1186" s="92"/>
      <c r="O1186" s="92"/>
      <c r="P1186" s="92"/>
      <c r="Q1186" s="93">
        <v>7189.07</v>
      </c>
      <c r="R1186" s="92"/>
      <c r="S1186" s="92"/>
      <c r="T1186" s="92"/>
      <c r="U1186" s="92"/>
      <c r="V1186" s="92"/>
      <c r="W1186" s="92"/>
      <c r="X1186" s="92"/>
      <c r="Y1186" s="92"/>
      <c r="Z1186" s="92"/>
      <c r="AA1186" s="92"/>
      <c r="AB1186" s="92"/>
      <c r="AC1186" s="92"/>
      <c r="AD1186" s="93">
        <v>0</v>
      </c>
      <c r="AE1186" s="92"/>
      <c r="AF1186" s="92"/>
      <c r="AG1186" s="93">
        <v>7189.07</v>
      </c>
      <c r="AH1186" s="93">
        <v>0</v>
      </c>
    </row>
    <row r="1187" spans="1:34" ht="15.75" thickBot="1" x14ac:dyDescent="0.3">
      <c r="A1187" s="90" t="s">
        <v>999</v>
      </c>
      <c r="B1187" s="90" t="s">
        <v>1001</v>
      </c>
      <c r="C1187" s="90" t="s">
        <v>1002</v>
      </c>
      <c r="D1187" s="90" t="s">
        <v>662</v>
      </c>
      <c r="E1187" s="90" t="s">
        <v>729</v>
      </c>
      <c r="F1187" s="90" t="s">
        <v>697</v>
      </c>
      <c r="G1187" s="95">
        <v>7189.07</v>
      </c>
      <c r="H1187" s="94"/>
      <c r="I1187" s="94"/>
      <c r="J1187" s="94"/>
      <c r="K1187" s="94"/>
      <c r="L1187" s="94"/>
      <c r="M1187" s="94"/>
      <c r="N1187" s="94"/>
      <c r="O1187" s="94"/>
      <c r="P1187" s="94"/>
      <c r="Q1187" s="95">
        <v>7189.07</v>
      </c>
      <c r="R1187" s="94"/>
      <c r="S1187" s="94"/>
      <c r="T1187" s="94"/>
      <c r="U1187" s="94"/>
      <c r="V1187" s="94"/>
      <c r="W1187" s="94"/>
      <c r="X1187" s="94"/>
      <c r="Y1187" s="94"/>
      <c r="Z1187" s="94"/>
      <c r="AA1187" s="94"/>
      <c r="AB1187" s="94"/>
      <c r="AC1187" s="94"/>
      <c r="AD1187" s="95">
        <v>0</v>
      </c>
      <c r="AE1187" s="94"/>
      <c r="AF1187" s="94"/>
      <c r="AG1187" s="95">
        <v>7189.07</v>
      </c>
      <c r="AH1187" s="95">
        <v>0</v>
      </c>
    </row>
    <row r="1188" spans="1:34" ht="15.75" thickBot="1" x14ac:dyDescent="0.3">
      <c r="A1188" s="90" t="s">
        <v>999</v>
      </c>
      <c r="B1188" s="90" t="s">
        <v>1001</v>
      </c>
      <c r="C1188" s="90" t="s">
        <v>1002</v>
      </c>
      <c r="D1188" s="90" t="s">
        <v>662</v>
      </c>
      <c r="E1188" s="90" t="s">
        <v>528</v>
      </c>
      <c r="F1188" s="90" t="s">
        <v>686</v>
      </c>
      <c r="G1188" s="93">
        <v>180</v>
      </c>
      <c r="H1188" s="92"/>
      <c r="I1188" s="93">
        <v>180</v>
      </c>
      <c r="J1188" s="92"/>
      <c r="K1188" s="92"/>
      <c r="L1188" s="92"/>
      <c r="M1188" s="92"/>
      <c r="N1188" s="92"/>
      <c r="O1188" s="92"/>
      <c r="P1188" s="92"/>
      <c r="Q1188" s="92"/>
      <c r="R1188" s="92"/>
      <c r="S1188" s="92"/>
      <c r="T1188" s="92"/>
      <c r="U1188" s="92"/>
      <c r="V1188" s="92"/>
      <c r="W1188" s="92"/>
      <c r="X1188" s="92"/>
      <c r="Y1188" s="92"/>
      <c r="Z1188" s="92"/>
      <c r="AA1188" s="92"/>
      <c r="AB1188" s="92"/>
      <c r="AC1188" s="92"/>
      <c r="AD1188" s="93">
        <v>0</v>
      </c>
      <c r="AE1188" s="92"/>
      <c r="AF1188" s="92"/>
      <c r="AG1188" s="93">
        <v>180</v>
      </c>
      <c r="AH1188" s="93">
        <v>0</v>
      </c>
    </row>
    <row r="1189" spans="1:34" ht="15.75" thickBot="1" x14ac:dyDescent="0.3">
      <c r="A1189" s="90" t="s">
        <v>999</v>
      </c>
      <c r="B1189" s="90" t="s">
        <v>1001</v>
      </c>
      <c r="C1189" s="90" t="s">
        <v>1002</v>
      </c>
      <c r="D1189" s="90" t="s">
        <v>662</v>
      </c>
      <c r="E1189" s="90" t="s">
        <v>528</v>
      </c>
      <c r="F1189" s="90" t="s">
        <v>697</v>
      </c>
      <c r="G1189" s="95">
        <v>180</v>
      </c>
      <c r="H1189" s="94"/>
      <c r="I1189" s="95">
        <v>180</v>
      </c>
      <c r="J1189" s="94"/>
      <c r="K1189" s="94"/>
      <c r="L1189" s="94"/>
      <c r="M1189" s="94"/>
      <c r="N1189" s="94"/>
      <c r="O1189" s="94"/>
      <c r="P1189" s="94"/>
      <c r="Q1189" s="94"/>
      <c r="R1189" s="94"/>
      <c r="S1189" s="94"/>
      <c r="T1189" s="94"/>
      <c r="U1189" s="94"/>
      <c r="V1189" s="94"/>
      <c r="W1189" s="94"/>
      <c r="X1189" s="94"/>
      <c r="Y1189" s="94"/>
      <c r="Z1189" s="94"/>
      <c r="AA1189" s="94"/>
      <c r="AB1189" s="94"/>
      <c r="AC1189" s="94"/>
      <c r="AD1189" s="95">
        <v>0</v>
      </c>
      <c r="AE1189" s="94"/>
      <c r="AF1189" s="94"/>
      <c r="AG1189" s="95">
        <v>180</v>
      </c>
      <c r="AH1189" s="95">
        <v>0</v>
      </c>
    </row>
    <row r="1190" spans="1:34" ht="15.75" thickBot="1" x14ac:dyDescent="0.3">
      <c r="A1190" s="90" t="s">
        <v>999</v>
      </c>
      <c r="B1190" s="90" t="s">
        <v>1001</v>
      </c>
      <c r="C1190" s="90" t="s">
        <v>1002</v>
      </c>
      <c r="D1190" s="90" t="s">
        <v>662</v>
      </c>
      <c r="E1190" s="90" t="s">
        <v>518</v>
      </c>
      <c r="F1190" s="90" t="s">
        <v>686</v>
      </c>
      <c r="G1190" s="93">
        <v>27519.27</v>
      </c>
      <c r="H1190" s="93">
        <v>154504</v>
      </c>
      <c r="I1190" s="92"/>
      <c r="J1190" s="92"/>
      <c r="K1190" s="93">
        <v>27519.27</v>
      </c>
      <c r="L1190" s="92"/>
      <c r="M1190" s="92"/>
      <c r="N1190" s="92"/>
      <c r="O1190" s="92"/>
      <c r="P1190" s="92"/>
      <c r="Q1190" s="92"/>
      <c r="R1190" s="92"/>
      <c r="S1190" s="92"/>
      <c r="T1190" s="92"/>
      <c r="U1190" s="92"/>
      <c r="V1190" s="92"/>
      <c r="W1190" s="92"/>
      <c r="X1190" s="92"/>
      <c r="Y1190" s="92"/>
      <c r="Z1190" s="92"/>
      <c r="AA1190" s="92"/>
      <c r="AB1190" s="92"/>
      <c r="AC1190" s="92"/>
      <c r="AD1190" s="93">
        <v>0</v>
      </c>
      <c r="AE1190" s="92"/>
      <c r="AF1190" s="92"/>
      <c r="AG1190" s="93">
        <v>27519.27</v>
      </c>
      <c r="AH1190" s="93">
        <v>0</v>
      </c>
    </row>
    <row r="1191" spans="1:34" ht="15.75" thickBot="1" x14ac:dyDescent="0.3">
      <c r="A1191" s="90" t="s">
        <v>999</v>
      </c>
      <c r="B1191" s="90" t="s">
        <v>1001</v>
      </c>
      <c r="C1191" s="90" t="s">
        <v>1002</v>
      </c>
      <c r="D1191" s="90" t="s">
        <v>662</v>
      </c>
      <c r="E1191" s="90" t="s">
        <v>518</v>
      </c>
      <c r="F1191" s="90" t="s">
        <v>697</v>
      </c>
      <c r="G1191" s="95">
        <v>27519.27</v>
      </c>
      <c r="H1191" s="305">
        <v>154504</v>
      </c>
      <c r="I1191" s="94"/>
      <c r="J1191" s="94"/>
      <c r="K1191" s="95">
        <v>27519.27</v>
      </c>
      <c r="L1191" s="94"/>
      <c r="M1191" s="94"/>
      <c r="N1191" s="94"/>
      <c r="O1191" s="94"/>
      <c r="P1191" s="94"/>
      <c r="Q1191" s="94"/>
      <c r="R1191" s="94"/>
      <c r="S1191" s="94"/>
      <c r="T1191" s="94"/>
      <c r="U1191" s="94"/>
      <c r="V1191" s="94"/>
      <c r="W1191" s="94"/>
      <c r="X1191" s="94"/>
      <c r="Y1191" s="94"/>
      <c r="Z1191" s="94"/>
      <c r="AA1191" s="94"/>
      <c r="AB1191" s="94"/>
      <c r="AC1191" s="94"/>
      <c r="AD1191" s="95">
        <v>0</v>
      </c>
      <c r="AE1191" s="94"/>
      <c r="AF1191" s="94"/>
      <c r="AG1191" s="95">
        <v>27519.27</v>
      </c>
      <c r="AH1191" s="95">
        <v>0</v>
      </c>
    </row>
    <row r="1192" spans="1:34" ht="15.75" thickBot="1" x14ac:dyDescent="0.3">
      <c r="A1192" s="90" t="s">
        <v>999</v>
      </c>
      <c r="B1192" s="90" t="s">
        <v>1001</v>
      </c>
      <c r="C1192" s="90" t="s">
        <v>1002</v>
      </c>
      <c r="D1192" s="90" t="s">
        <v>662</v>
      </c>
      <c r="E1192" s="90" t="s">
        <v>673</v>
      </c>
      <c r="F1192" s="90" t="s">
        <v>686</v>
      </c>
      <c r="G1192" s="93">
        <v>259.54000000000002</v>
      </c>
      <c r="H1192" s="92"/>
      <c r="I1192" s="92"/>
      <c r="J1192" s="92"/>
      <c r="K1192" s="92"/>
      <c r="L1192" s="92"/>
      <c r="M1192" s="92"/>
      <c r="N1192" s="92"/>
      <c r="O1192" s="92"/>
      <c r="P1192" s="92"/>
      <c r="Q1192" s="92"/>
      <c r="R1192" s="92"/>
      <c r="S1192" s="92"/>
      <c r="T1192" s="92"/>
      <c r="U1192" s="92"/>
      <c r="V1192" s="92"/>
      <c r="W1192" s="92"/>
      <c r="X1192" s="93">
        <v>259.54000000000002</v>
      </c>
      <c r="Y1192" s="92"/>
      <c r="Z1192" s="92"/>
      <c r="AA1192" s="92"/>
      <c r="AB1192" s="92"/>
      <c r="AC1192" s="92"/>
      <c r="AD1192" s="93">
        <v>0</v>
      </c>
      <c r="AE1192" s="92"/>
      <c r="AF1192" s="92"/>
      <c r="AG1192" s="93">
        <v>259.54000000000002</v>
      </c>
      <c r="AH1192" s="93">
        <v>0</v>
      </c>
    </row>
    <row r="1193" spans="1:34" ht="15.75" thickBot="1" x14ac:dyDescent="0.3">
      <c r="A1193" s="90" t="s">
        <v>999</v>
      </c>
      <c r="B1193" s="90" t="s">
        <v>1001</v>
      </c>
      <c r="C1193" s="90" t="s">
        <v>1002</v>
      </c>
      <c r="D1193" s="90" t="s">
        <v>662</v>
      </c>
      <c r="E1193" s="90" t="s">
        <v>673</v>
      </c>
      <c r="F1193" s="90" t="s">
        <v>697</v>
      </c>
      <c r="G1193" s="95">
        <v>259.54000000000002</v>
      </c>
      <c r="H1193" s="94"/>
      <c r="I1193" s="94"/>
      <c r="J1193" s="94"/>
      <c r="K1193" s="94"/>
      <c r="L1193" s="94"/>
      <c r="M1193" s="94"/>
      <c r="N1193" s="94"/>
      <c r="O1193" s="94"/>
      <c r="P1193" s="94"/>
      <c r="Q1193" s="94"/>
      <c r="R1193" s="94"/>
      <c r="S1193" s="94"/>
      <c r="T1193" s="94"/>
      <c r="U1193" s="94"/>
      <c r="V1193" s="94"/>
      <c r="W1193" s="94"/>
      <c r="X1193" s="95">
        <v>259.54000000000002</v>
      </c>
      <c r="Y1193" s="94"/>
      <c r="Z1193" s="94"/>
      <c r="AA1193" s="94"/>
      <c r="AB1193" s="94"/>
      <c r="AC1193" s="94"/>
      <c r="AD1193" s="95">
        <v>0</v>
      </c>
      <c r="AE1193" s="94"/>
      <c r="AF1193" s="94"/>
      <c r="AG1193" s="95">
        <v>259.54000000000002</v>
      </c>
      <c r="AH1193" s="95">
        <v>0</v>
      </c>
    </row>
    <row r="1194" spans="1:34" ht="15.75" thickBot="1" x14ac:dyDescent="0.3">
      <c r="A1194" s="90" t="s">
        <v>999</v>
      </c>
      <c r="B1194" s="90" t="s">
        <v>1001</v>
      </c>
      <c r="C1194" s="90" t="s">
        <v>1002</v>
      </c>
      <c r="D1194" s="90" t="s">
        <v>662</v>
      </c>
      <c r="E1194" s="90" t="s">
        <v>530</v>
      </c>
      <c r="F1194" s="90" t="s">
        <v>686</v>
      </c>
      <c r="G1194" s="93">
        <v>13043.23</v>
      </c>
      <c r="H1194" s="92"/>
      <c r="I1194" s="92"/>
      <c r="J1194" s="92"/>
      <c r="K1194" s="92"/>
      <c r="L1194" s="92"/>
      <c r="M1194" s="92"/>
      <c r="N1194" s="92"/>
      <c r="O1194" s="92"/>
      <c r="P1194" s="92"/>
      <c r="Q1194" s="92"/>
      <c r="R1194" s="92"/>
      <c r="S1194" s="92"/>
      <c r="T1194" s="92"/>
      <c r="U1194" s="92"/>
      <c r="V1194" s="92"/>
      <c r="W1194" s="93">
        <v>13043.23</v>
      </c>
      <c r="X1194" s="92"/>
      <c r="Y1194" s="92"/>
      <c r="Z1194" s="92"/>
      <c r="AA1194" s="92"/>
      <c r="AB1194" s="92"/>
      <c r="AC1194" s="92"/>
      <c r="AD1194" s="93">
        <v>0</v>
      </c>
      <c r="AE1194" s="92"/>
      <c r="AF1194" s="92"/>
      <c r="AG1194" s="93">
        <v>13043.23</v>
      </c>
      <c r="AH1194" s="93">
        <v>0</v>
      </c>
    </row>
    <row r="1195" spans="1:34" ht="15.75" thickBot="1" x14ac:dyDescent="0.3">
      <c r="A1195" s="90" t="s">
        <v>999</v>
      </c>
      <c r="B1195" s="90" t="s">
        <v>1001</v>
      </c>
      <c r="C1195" s="90" t="s">
        <v>1002</v>
      </c>
      <c r="D1195" s="90" t="s">
        <v>662</v>
      </c>
      <c r="E1195" s="90" t="s">
        <v>530</v>
      </c>
      <c r="F1195" s="90" t="s">
        <v>697</v>
      </c>
      <c r="G1195" s="95">
        <v>13043.23</v>
      </c>
      <c r="H1195" s="94"/>
      <c r="I1195" s="94"/>
      <c r="J1195" s="94"/>
      <c r="K1195" s="94"/>
      <c r="L1195" s="94"/>
      <c r="M1195" s="94"/>
      <c r="N1195" s="94"/>
      <c r="O1195" s="94"/>
      <c r="P1195" s="94"/>
      <c r="Q1195" s="94"/>
      <c r="R1195" s="94"/>
      <c r="S1195" s="94"/>
      <c r="T1195" s="94"/>
      <c r="U1195" s="94"/>
      <c r="V1195" s="94"/>
      <c r="W1195" s="95">
        <v>13043.23</v>
      </c>
      <c r="X1195" s="94"/>
      <c r="Y1195" s="94"/>
      <c r="Z1195" s="94"/>
      <c r="AA1195" s="94"/>
      <c r="AB1195" s="94"/>
      <c r="AC1195" s="94"/>
      <c r="AD1195" s="95">
        <v>0</v>
      </c>
      <c r="AE1195" s="94"/>
      <c r="AF1195" s="94"/>
      <c r="AG1195" s="95">
        <v>13043.23</v>
      </c>
      <c r="AH1195" s="95">
        <v>0</v>
      </c>
    </row>
    <row r="1196" spans="1:34" ht="15.75" thickBot="1" x14ac:dyDescent="0.3">
      <c r="A1196" s="90" t="s">
        <v>999</v>
      </c>
      <c r="B1196" s="90" t="s">
        <v>1001</v>
      </c>
      <c r="C1196" s="90" t="s">
        <v>1002</v>
      </c>
      <c r="D1196" s="90" t="s">
        <v>662</v>
      </c>
      <c r="E1196" s="90" t="s">
        <v>524</v>
      </c>
      <c r="F1196" s="90" t="s">
        <v>686</v>
      </c>
      <c r="G1196" s="93">
        <v>550</v>
      </c>
      <c r="H1196" s="92"/>
      <c r="I1196" s="93">
        <v>550</v>
      </c>
      <c r="J1196" s="92"/>
      <c r="K1196" s="92"/>
      <c r="L1196" s="92"/>
      <c r="M1196" s="92"/>
      <c r="N1196" s="92"/>
      <c r="O1196" s="92"/>
      <c r="P1196" s="92"/>
      <c r="Q1196" s="92"/>
      <c r="R1196" s="92"/>
      <c r="S1196" s="92"/>
      <c r="T1196" s="92"/>
      <c r="U1196" s="92"/>
      <c r="V1196" s="92"/>
      <c r="W1196" s="92"/>
      <c r="X1196" s="92"/>
      <c r="Y1196" s="92"/>
      <c r="Z1196" s="92"/>
      <c r="AA1196" s="92"/>
      <c r="AB1196" s="92"/>
      <c r="AC1196" s="92"/>
      <c r="AD1196" s="93">
        <v>0</v>
      </c>
      <c r="AE1196" s="92"/>
      <c r="AF1196" s="92"/>
      <c r="AG1196" s="93">
        <v>550</v>
      </c>
      <c r="AH1196" s="93">
        <v>0</v>
      </c>
    </row>
    <row r="1197" spans="1:34" ht="15.75" thickBot="1" x14ac:dyDescent="0.3">
      <c r="A1197" s="90" t="s">
        <v>999</v>
      </c>
      <c r="B1197" s="90" t="s">
        <v>1001</v>
      </c>
      <c r="C1197" s="90" t="s">
        <v>1002</v>
      </c>
      <c r="D1197" s="90" t="s">
        <v>662</v>
      </c>
      <c r="E1197" s="90" t="s">
        <v>524</v>
      </c>
      <c r="F1197" s="90" t="s">
        <v>697</v>
      </c>
      <c r="G1197" s="95">
        <v>550</v>
      </c>
      <c r="H1197" s="94"/>
      <c r="I1197" s="95">
        <v>550</v>
      </c>
      <c r="J1197" s="94"/>
      <c r="K1197" s="94"/>
      <c r="L1197" s="94"/>
      <c r="M1197" s="94"/>
      <c r="N1197" s="94"/>
      <c r="O1197" s="94"/>
      <c r="P1197" s="94"/>
      <c r="Q1197" s="94"/>
      <c r="R1197" s="94"/>
      <c r="S1197" s="94"/>
      <c r="T1197" s="94"/>
      <c r="U1197" s="94"/>
      <c r="V1197" s="94"/>
      <c r="W1197" s="94"/>
      <c r="X1197" s="94"/>
      <c r="Y1197" s="94"/>
      <c r="Z1197" s="94"/>
      <c r="AA1197" s="94"/>
      <c r="AB1197" s="94"/>
      <c r="AC1197" s="94"/>
      <c r="AD1197" s="95">
        <v>0</v>
      </c>
      <c r="AE1197" s="94"/>
      <c r="AF1197" s="94"/>
      <c r="AG1197" s="95">
        <v>550</v>
      </c>
      <c r="AH1197" s="95">
        <v>0</v>
      </c>
    </row>
    <row r="1198" spans="1:34" ht="15.75" thickBot="1" x14ac:dyDescent="0.3">
      <c r="A1198" s="90" t="s">
        <v>999</v>
      </c>
      <c r="B1198" s="90" t="s">
        <v>93</v>
      </c>
      <c r="C1198" s="90" t="s">
        <v>719</v>
      </c>
      <c r="D1198" s="90" t="s">
        <v>663</v>
      </c>
      <c r="E1198" s="90" t="s">
        <v>525</v>
      </c>
      <c r="F1198" s="90" t="s">
        <v>690</v>
      </c>
      <c r="G1198" s="93">
        <v>2500.69</v>
      </c>
      <c r="H1198" s="92"/>
      <c r="I1198" s="92"/>
      <c r="J1198" s="92"/>
      <c r="K1198" s="92"/>
      <c r="L1198" s="92"/>
      <c r="M1198" s="92"/>
      <c r="N1198" s="92"/>
      <c r="O1198" s="92"/>
      <c r="P1198" s="92"/>
      <c r="Q1198" s="92"/>
      <c r="R1198" s="93">
        <v>2500.69</v>
      </c>
      <c r="S1198" s="92"/>
      <c r="T1198" s="92"/>
      <c r="U1198" s="92"/>
      <c r="V1198" s="92"/>
      <c r="W1198" s="92"/>
      <c r="X1198" s="92"/>
      <c r="Y1198" s="92"/>
      <c r="Z1198" s="92"/>
      <c r="AA1198" s="92"/>
      <c r="AB1198" s="92"/>
      <c r="AC1198" s="92"/>
      <c r="AD1198" s="93">
        <v>0</v>
      </c>
      <c r="AE1198" s="92"/>
      <c r="AF1198" s="92"/>
      <c r="AG1198" s="93">
        <v>2500.69</v>
      </c>
      <c r="AH1198" s="93">
        <v>0</v>
      </c>
    </row>
    <row r="1199" spans="1:34" ht="15.75" thickBot="1" x14ac:dyDescent="0.3">
      <c r="A1199" s="90" t="s">
        <v>999</v>
      </c>
      <c r="B1199" s="90" t="s">
        <v>93</v>
      </c>
      <c r="C1199" s="90" t="s">
        <v>719</v>
      </c>
      <c r="D1199" s="90" t="s">
        <v>663</v>
      </c>
      <c r="E1199" s="90" t="s">
        <v>525</v>
      </c>
      <c r="F1199" s="90" t="s">
        <v>697</v>
      </c>
      <c r="G1199" s="95">
        <v>2500.69</v>
      </c>
      <c r="H1199" s="94"/>
      <c r="I1199" s="94"/>
      <c r="J1199" s="94"/>
      <c r="K1199" s="94"/>
      <c r="L1199" s="94"/>
      <c r="M1199" s="94"/>
      <c r="N1199" s="94"/>
      <c r="O1199" s="94"/>
      <c r="P1199" s="94"/>
      <c r="Q1199" s="94"/>
      <c r="R1199" s="95">
        <v>2500.69</v>
      </c>
      <c r="S1199" s="94"/>
      <c r="T1199" s="94"/>
      <c r="U1199" s="94"/>
      <c r="V1199" s="94"/>
      <c r="W1199" s="94"/>
      <c r="X1199" s="94"/>
      <c r="Y1199" s="94"/>
      <c r="Z1199" s="94"/>
      <c r="AA1199" s="94"/>
      <c r="AB1199" s="94"/>
      <c r="AC1199" s="94"/>
      <c r="AD1199" s="95">
        <v>0</v>
      </c>
      <c r="AE1199" s="94"/>
      <c r="AF1199" s="94"/>
      <c r="AG1199" s="95">
        <v>2500.69</v>
      </c>
      <c r="AH1199" s="95">
        <v>0</v>
      </c>
    </row>
    <row r="1200" spans="1:34" ht="15.75" thickBot="1" x14ac:dyDescent="0.3">
      <c r="A1200" s="90" t="s">
        <v>999</v>
      </c>
      <c r="B1200" s="90" t="s">
        <v>93</v>
      </c>
      <c r="C1200" s="90" t="s">
        <v>719</v>
      </c>
      <c r="D1200" s="90" t="s">
        <v>663</v>
      </c>
      <c r="E1200" s="90" t="s">
        <v>527</v>
      </c>
      <c r="F1200" s="90" t="s">
        <v>690</v>
      </c>
      <c r="G1200" s="93">
        <v>3202.82</v>
      </c>
      <c r="H1200" s="92"/>
      <c r="I1200" s="92"/>
      <c r="J1200" s="92"/>
      <c r="K1200" s="92"/>
      <c r="L1200" s="92"/>
      <c r="M1200" s="92"/>
      <c r="N1200" s="92"/>
      <c r="O1200" s="92"/>
      <c r="P1200" s="92"/>
      <c r="Q1200" s="92"/>
      <c r="R1200" s="92"/>
      <c r="S1200" s="93">
        <v>3202.82</v>
      </c>
      <c r="T1200" s="92"/>
      <c r="U1200" s="92"/>
      <c r="V1200" s="92"/>
      <c r="W1200" s="92"/>
      <c r="X1200" s="92"/>
      <c r="Y1200" s="92"/>
      <c r="Z1200" s="92"/>
      <c r="AA1200" s="92"/>
      <c r="AB1200" s="92"/>
      <c r="AC1200" s="92"/>
      <c r="AD1200" s="93">
        <v>0</v>
      </c>
      <c r="AE1200" s="92"/>
      <c r="AF1200" s="92"/>
      <c r="AG1200" s="93">
        <v>3202.82</v>
      </c>
      <c r="AH1200" s="93">
        <v>0</v>
      </c>
    </row>
    <row r="1201" spans="1:34" ht="15.75" thickBot="1" x14ac:dyDescent="0.3">
      <c r="A1201" s="90" t="s">
        <v>999</v>
      </c>
      <c r="B1201" s="90" t="s">
        <v>93</v>
      </c>
      <c r="C1201" s="90" t="s">
        <v>719</v>
      </c>
      <c r="D1201" s="90" t="s">
        <v>663</v>
      </c>
      <c r="E1201" s="90" t="s">
        <v>527</v>
      </c>
      <c r="F1201" s="90" t="s">
        <v>697</v>
      </c>
      <c r="G1201" s="95">
        <v>3202.82</v>
      </c>
      <c r="H1201" s="94"/>
      <c r="I1201" s="94"/>
      <c r="J1201" s="94"/>
      <c r="K1201" s="94"/>
      <c r="L1201" s="94"/>
      <c r="M1201" s="94"/>
      <c r="N1201" s="94"/>
      <c r="O1201" s="94"/>
      <c r="P1201" s="94"/>
      <c r="Q1201" s="94"/>
      <c r="R1201" s="94"/>
      <c r="S1201" s="95">
        <v>3202.82</v>
      </c>
      <c r="T1201" s="94"/>
      <c r="U1201" s="94"/>
      <c r="V1201" s="94"/>
      <c r="W1201" s="94"/>
      <c r="X1201" s="94"/>
      <c r="Y1201" s="94"/>
      <c r="Z1201" s="94"/>
      <c r="AA1201" s="94"/>
      <c r="AB1201" s="94"/>
      <c r="AC1201" s="94"/>
      <c r="AD1201" s="95">
        <v>0</v>
      </c>
      <c r="AE1201" s="94"/>
      <c r="AF1201" s="94"/>
      <c r="AG1201" s="95">
        <v>3202.82</v>
      </c>
      <c r="AH1201" s="95">
        <v>0</v>
      </c>
    </row>
    <row r="1202" spans="1:34" ht="15.75" thickBot="1" x14ac:dyDescent="0.3">
      <c r="A1202" s="90" t="s">
        <v>999</v>
      </c>
      <c r="B1202" s="90" t="s">
        <v>93</v>
      </c>
      <c r="C1202" s="90" t="s">
        <v>719</v>
      </c>
      <c r="D1202" s="90" t="s">
        <v>663</v>
      </c>
      <c r="E1202" s="90" t="s">
        <v>524</v>
      </c>
      <c r="F1202" s="90" t="s">
        <v>522</v>
      </c>
      <c r="G1202" s="93">
        <v>525</v>
      </c>
      <c r="H1202" s="92"/>
      <c r="I1202" s="93">
        <v>525</v>
      </c>
      <c r="J1202" s="92"/>
      <c r="K1202" s="92"/>
      <c r="L1202" s="92"/>
      <c r="M1202" s="92"/>
      <c r="N1202" s="92"/>
      <c r="O1202" s="92"/>
      <c r="P1202" s="92"/>
      <c r="Q1202" s="92"/>
      <c r="R1202" s="92"/>
      <c r="S1202" s="92"/>
      <c r="T1202" s="92"/>
      <c r="U1202" s="92"/>
      <c r="V1202" s="92"/>
      <c r="W1202" s="92"/>
      <c r="X1202" s="92"/>
      <c r="Y1202" s="92"/>
      <c r="Z1202" s="92"/>
      <c r="AA1202" s="92"/>
      <c r="AB1202" s="92"/>
      <c r="AC1202" s="92"/>
      <c r="AD1202" s="93">
        <v>0</v>
      </c>
      <c r="AE1202" s="92"/>
      <c r="AF1202" s="92"/>
      <c r="AG1202" s="93">
        <v>525</v>
      </c>
      <c r="AH1202" s="93">
        <v>0</v>
      </c>
    </row>
    <row r="1203" spans="1:34" ht="15.75" thickBot="1" x14ac:dyDescent="0.3">
      <c r="A1203" s="90" t="s">
        <v>999</v>
      </c>
      <c r="B1203" s="90" t="s">
        <v>93</v>
      </c>
      <c r="C1203" s="90" t="s">
        <v>719</v>
      </c>
      <c r="D1203" s="90" t="s">
        <v>663</v>
      </c>
      <c r="E1203" s="90" t="s">
        <v>524</v>
      </c>
      <c r="F1203" s="90" t="s">
        <v>697</v>
      </c>
      <c r="G1203" s="95">
        <v>525</v>
      </c>
      <c r="H1203" s="94"/>
      <c r="I1203" s="95">
        <v>525</v>
      </c>
      <c r="J1203" s="94"/>
      <c r="K1203" s="94"/>
      <c r="L1203" s="94"/>
      <c r="M1203" s="94"/>
      <c r="N1203" s="94"/>
      <c r="O1203" s="94"/>
      <c r="P1203" s="94"/>
      <c r="Q1203" s="94"/>
      <c r="R1203" s="94"/>
      <c r="S1203" s="94"/>
      <c r="T1203" s="94"/>
      <c r="U1203" s="94"/>
      <c r="V1203" s="94"/>
      <c r="W1203" s="94"/>
      <c r="X1203" s="94"/>
      <c r="Y1203" s="94"/>
      <c r="Z1203" s="94"/>
      <c r="AA1203" s="94"/>
      <c r="AB1203" s="94"/>
      <c r="AC1203" s="94"/>
      <c r="AD1203" s="95">
        <v>0</v>
      </c>
      <c r="AE1203" s="94"/>
      <c r="AF1203" s="94"/>
      <c r="AG1203" s="95">
        <v>525</v>
      </c>
      <c r="AH1203" s="95">
        <v>0</v>
      </c>
    </row>
    <row r="1204" spans="1:34" ht="15.75" thickBot="1" x14ac:dyDescent="0.3">
      <c r="A1204" s="90" t="s">
        <v>999</v>
      </c>
      <c r="B1204" s="90" t="s">
        <v>1003</v>
      </c>
      <c r="C1204" s="90" t="s">
        <v>1004</v>
      </c>
      <c r="D1204" s="90" t="s">
        <v>663</v>
      </c>
      <c r="E1204" s="90" t="s">
        <v>528</v>
      </c>
      <c r="F1204" s="90" t="s">
        <v>686</v>
      </c>
      <c r="G1204" s="95">
        <v>400</v>
      </c>
      <c r="H1204" s="94"/>
      <c r="I1204" s="95">
        <v>400</v>
      </c>
      <c r="J1204" s="94"/>
      <c r="K1204" s="94"/>
      <c r="L1204" s="94"/>
      <c r="M1204" s="94"/>
      <c r="N1204" s="94"/>
      <c r="O1204" s="94"/>
      <c r="P1204" s="94"/>
      <c r="Q1204" s="94"/>
      <c r="R1204" s="94"/>
      <c r="S1204" s="94"/>
      <c r="T1204" s="94"/>
      <c r="U1204" s="94"/>
      <c r="V1204" s="94"/>
      <c r="W1204" s="94"/>
      <c r="X1204" s="94"/>
      <c r="Y1204" s="94"/>
      <c r="Z1204" s="94"/>
      <c r="AA1204" s="94"/>
      <c r="AB1204" s="94"/>
      <c r="AC1204" s="94"/>
      <c r="AD1204" s="95">
        <v>0</v>
      </c>
      <c r="AE1204" s="94"/>
      <c r="AF1204" s="94"/>
      <c r="AG1204" s="95">
        <v>400</v>
      </c>
      <c r="AH1204" s="95">
        <v>0</v>
      </c>
    </row>
    <row r="1205" spans="1:34" ht="15.75" thickBot="1" x14ac:dyDescent="0.3">
      <c r="A1205" s="90" t="s">
        <v>999</v>
      </c>
      <c r="B1205" s="90" t="s">
        <v>1003</v>
      </c>
      <c r="C1205" s="90" t="s">
        <v>1004</v>
      </c>
      <c r="D1205" s="90" t="s">
        <v>663</v>
      </c>
      <c r="E1205" s="90" t="s">
        <v>528</v>
      </c>
      <c r="F1205" s="90" t="s">
        <v>697</v>
      </c>
      <c r="G1205" s="93">
        <v>400</v>
      </c>
      <c r="H1205" s="92"/>
      <c r="I1205" s="93">
        <v>400</v>
      </c>
      <c r="J1205" s="92"/>
      <c r="K1205" s="92"/>
      <c r="L1205" s="92"/>
      <c r="M1205" s="92"/>
      <c r="N1205" s="92"/>
      <c r="O1205" s="92"/>
      <c r="P1205" s="92"/>
      <c r="Q1205" s="92"/>
      <c r="R1205" s="92"/>
      <c r="S1205" s="92"/>
      <c r="T1205" s="92"/>
      <c r="U1205" s="92"/>
      <c r="V1205" s="92"/>
      <c r="W1205" s="92"/>
      <c r="X1205" s="92"/>
      <c r="Y1205" s="92"/>
      <c r="Z1205" s="92"/>
      <c r="AA1205" s="92"/>
      <c r="AB1205" s="92"/>
      <c r="AC1205" s="92"/>
      <c r="AD1205" s="93">
        <v>0</v>
      </c>
      <c r="AE1205" s="92"/>
      <c r="AF1205" s="92"/>
      <c r="AG1205" s="93">
        <v>400</v>
      </c>
      <c r="AH1205" s="93">
        <v>0</v>
      </c>
    </row>
    <row r="1206" spans="1:34" ht="15.75" thickBot="1" x14ac:dyDescent="0.3">
      <c r="A1206" s="90" t="s">
        <v>999</v>
      </c>
      <c r="B1206" s="90" t="s">
        <v>1003</v>
      </c>
      <c r="C1206" s="90" t="s">
        <v>1004</v>
      </c>
      <c r="D1206" s="90" t="s">
        <v>663</v>
      </c>
      <c r="E1206" s="90" t="s">
        <v>518</v>
      </c>
      <c r="F1206" s="90" t="s">
        <v>686</v>
      </c>
      <c r="G1206" s="95">
        <v>2102</v>
      </c>
      <c r="H1206" s="95">
        <v>29990</v>
      </c>
      <c r="I1206" s="94"/>
      <c r="J1206" s="94"/>
      <c r="K1206" s="95">
        <v>2102</v>
      </c>
      <c r="L1206" s="94"/>
      <c r="M1206" s="94"/>
      <c r="N1206" s="94"/>
      <c r="O1206" s="94"/>
      <c r="P1206" s="94"/>
      <c r="Q1206" s="94"/>
      <c r="R1206" s="94"/>
      <c r="S1206" s="94"/>
      <c r="T1206" s="94"/>
      <c r="U1206" s="94"/>
      <c r="V1206" s="94"/>
      <c r="W1206" s="94"/>
      <c r="X1206" s="94"/>
      <c r="Y1206" s="94"/>
      <c r="Z1206" s="94"/>
      <c r="AA1206" s="94"/>
      <c r="AB1206" s="94"/>
      <c r="AC1206" s="94"/>
      <c r="AD1206" s="95">
        <v>0</v>
      </c>
      <c r="AE1206" s="94"/>
      <c r="AF1206" s="94"/>
      <c r="AG1206" s="95">
        <v>2102</v>
      </c>
      <c r="AH1206" s="95">
        <v>0</v>
      </c>
    </row>
    <row r="1207" spans="1:34" ht="15.75" thickBot="1" x14ac:dyDescent="0.3">
      <c r="A1207" s="90" t="s">
        <v>999</v>
      </c>
      <c r="B1207" s="90" t="s">
        <v>1003</v>
      </c>
      <c r="C1207" s="90" t="s">
        <v>1004</v>
      </c>
      <c r="D1207" s="90" t="s">
        <v>663</v>
      </c>
      <c r="E1207" s="90" t="s">
        <v>518</v>
      </c>
      <c r="F1207" s="90" t="s">
        <v>697</v>
      </c>
      <c r="G1207" s="93">
        <v>2102</v>
      </c>
      <c r="H1207" s="304">
        <v>29990</v>
      </c>
      <c r="I1207" s="92"/>
      <c r="J1207" s="92"/>
      <c r="K1207" s="93">
        <v>2102</v>
      </c>
      <c r="L1207" s="92"/>
      <c r="M1207" s="92"/>
      <c r="N1207" s="92"/>
      <c r="O1207" s="92"/>
      <c r="P1207" s="92"/>
      <c r="Q1207" s="92"/>
      <c r="R1207" s="92"/>
      <c r="S1207" s="92"/>
      <c r="T1207" s="92"/>
      <c r="U1207" s="92"/>
      <c r="V1207" s="92"/>
      <c r="W1207" s="92"/>
      <c r="X1207" s="92"/>
      <c r="Y1207" s="92"/>
      <c r="Z1207" s="92"/>
      <c r="AA1207" s="92"/>
      <c r="AB1207" s="92"/>
      <c r="AC1207" s="92"/>
      <c r="AD1207" s="93">
        <v>0</v>
      </c>
      <c r="AE1207" s="92"/>
      <c r="AF1207" s="92"/>
      <c r="AG1207" s="93">
        <v>2102</v>
      </c>
      <c r="AH1207" s="93">
        <v>0</v>
      </c>
    </row>
    <row r="1208" spans="1:34" ht="15.75" thickBot="1" x14ac:dyDescent="0.3">
      <c r="A1208" s="90" t="s">
        <v>999</v>
      </c>
      <c r="B1208" s="90" t="s">
        <v>1003</v>
      </c>
      <c r="C1208" s="90" t="s">
        <v>1004</v>
      </c>
      <c r="D1208" s="90" t="s">
        <v>663</v>
      </c>
      <c r="E1208" s="90" t="s">
        <v>673</v>
      </c>
      <c r="F1208" s="90" t="s">
        <v>686</v>
      </c>
      <c r="G1208" s="95">
        <v>2838.87</v>
      </c>
      <c r="H1208" s="94"/>
      <c r="I1208" s="94"/>
      <c r="J1208" s="94"/>
      <c r="K1208" s="94"/>
      <c r="L1208" s="94"/>
      <c r="M1208" s="94"/>
      <c r="N1208" s="94"/>
      <c r="O1208" s="94"/>
      <c r="P1208" s="94"/>
      <c r="Q1208" s="94"/>
      <c r="R1208" s="94"/>
      <c r="S1208" s="94"/>
      <c r="T1208" s="94"/>
      <c r="U1208" s="94"/>
      <c r="V1208" s="94"/>
      <c r="W1208" s="94"/>
      <c r="X1208" s="95">
        <v>2838.87</v>
      </c>
      <c r="Y1208" s="94"/>
      <c r="Z1208" s="94"/>
      <c r="AA1208" s="94"/>
      <c r="AB1208" s="94"/>
      <c r="AC1208" s="94"/>
      <c r="AD1208" s="95">
        <v>0</v>
      </c>
      <c r="AE1208" s="94"/>
      <c r="AF1208" s="94"/>
      <c r="AG1208" s="95">
        <v>2838.87</v>
      </c>
      <c r="AH1208" s="95">
        <v>0</v>
      </c>
    </row>
    <row r="1209" spans="1:34" ht="15.75" thickBot="1" x14ac:dyDescent="0.3">
      <c r="A1209" s="90" t="s">
        <v>999</v>
      </c>
      <c r="B1209" s="90" t="s">
        <v>1003</v>
      </c>
      <c r="C1209" s="90" t="s">
        <v>1004</v>
      </c>
      <c r="D1209" s="90" t="s">
        <v>663</v>
      </c>
      <c r="E1209" s="90" t="s">
        <v>673</v>
      </c>
      <c r="F1209" s="90" t="s">
        <v>697</v>
      </c>
      <c r="G1209" s="93">
        <v>2838.87</v>
      </c>
      <c r="H1209" s="92"/>
      <c r="I1209" s="92"/>
      <c r="J1209" s="92"/>
      <c r="K1209" s="92"/>
      <c r="L1209" s="92"/>
      <c r="M1209" s="92"/>
      <c r="N1209" s="92"/>
      <c r="O1209" s="92"/>
      <c r="P1209" s="92"/>
      <c r="Q1209" s="92"/>
      <c r="R1209" s="92"/>
      <c r="S1209" s="92"/>
      <c r="T1209" s="92"/>
      <c r="U1209" s="92"/>
      <c r="V1209" s="92"/>
      <c r="W1209" s="92"/>
      <c r="X1209" s="93">
        <v>2838.87</v>
      </c>
      <c r="Y1209" s="92"/>
      <c r="Z1209" s="92"/>
      <c r="AA1209" s="92"/>
      <c r="AB1209" s="92"/>
      <c r="AC1209" s="92"/>
      <c r="AD1209" s="93">
        <v>0</v>
      </c>
      <c r="AE1209" s="92"/>
      <c r="AF1209" s="92"/>
      <c r="AG1209" s="93">
        <v>2838.87</v>
      </c>
      <c r="AH1209" s="93">
        <v>0</v>
      </c>
    </row>
    <row r="1210" spans="1:34" ht="15.75" thickBot="1" x14ac:dyDescent="0.3">
      <c r="A1210" s="90" t="s">
        <v>999</v>
      </c>
      <c r="B1210" s="90" t="s">
        <v>1003</v>
      </c>
      <c r="C1210" s="90" t="s">
        <v>1004</v>
      </c>
      <c r="D1210" s="90" t="s">
        <v>663</v>
      </c>
      <c r="E1210" s="90" t="s">
        <v>530</v>
      </c>
      <c r="F1210" s="90" t="s">
        <v>686</v>
      </c>
      <c r="G1210" s="95">
        <v>2531.7600000000002</v>
      </c>
      <c r="H1210" s="94"/>
      <c r="I1210" s="94"/>
      <c r="J1210" s="94"/>
      <c r="K1210" s="94"/>
      <c r="L1210" s="94"/>
      <c r="M1210" s="94"/>
      <c r="N1210" s="94"/>
      <c r="O1210" s="94"/>
      <c r="P1210" s="94"/>
      <c r="Q1210" s="94"/>
      <c r="R1210" s="94"/>
      <c r="S1210" s="94"/>
      <c r="T1210" s="94"/>
      <c r="U1210" s="94"/>
      <c r="V1210" s="94"/>
      <c r="W1210" s="95">
        <v>2531.7600000000002</v>
      </c>
      <c r="X1210" s="94"/>
      <c r="Y1210" s="94"/>
      <c r="Z1210" s="94"/>
      <c r="AA1210" s="94"/>
      <c r="AB1210" s="94"/>
      <c r="AC1210" s="94"/>
      <c r="AD1210" s="95">
        <v>0</v>
      </c>
      <c r="AE1210" s="94"/>
      <c r="AF1210" s="94"/>
      <c r="AG1210" s="95">
        <v>2531.7600000000002</v>
      </c>
      <c r="AH1210" s="95">
        <v>0</v>
      </c>
    </row>
    <row r="1211" spans="1:34" ht="15.75" thickBot="1" x14ac:dyDescent="0.3">
      <c r="A1211" s="90" t="s">
        <v>999</v>
      </c>
      <c r="B1211" s="90" t="s">
        <v>1003</v>
      </c>
      <c r="C1211" s="90" t="s">
        <v>1004</v>
      </c>
      <c r="D1211" s="90" t="s">
        <v>663</v>
      </c>
      <c r="E1211" s="90" t="s">
        <v>530</v>
      </c>
      <c r="F1211" s="90" t="s">
        <v>697</v>
      </c>
      <c r="G1211" s="93">
        <v>2531.7600000000002</v>
      </c>
      <c r="H1211" s="92"/>
      <c r="I1211" s="92"/>
      <c r="J1211" s="92"/>
      <c r="K1211" s="92"/>
      <c r="L1211" s="92"/>
      <c r="M1211" s="92"/>
      <c r="N1211" s="92"/>
      <c r="O1211" s="92"/>
      <c r="P1211" s="92"/>
      <c r="Q1211" s="92"/>
      <c r="R1211" s="92"/>
      <c r="S1211" s="92"/>
      <c r="T1211" s="92"/>
      <c r="U1211" s="92"/>
      <c r="V1211" s="92"/>
      <c r="W1211" s="93">
        <v>2531.7600000000002</v>
      </c>
      <c r="X1211" s="92"/>
      <c r="Y1211" s="92"/>
      <c r="Z1211" s="92"/>
      <c r="AA1211" s="92"/>
      <c r="AB1211" s="92"/>
      <c r="AC1211" s="92"/>
      <c r="AD1211" s="93">
        <v>0</v>
      </c>
      <c r="AE1211" s="92"/>
      <c r="AF1211" s="92"/>
      <c r="AG1211" s="93">
        <v>2531.7600000000002</v>
      </c>
      <c r="AH1211" s="93">
        <v>0</v>
      </c>
    </row>
    <row r="1212" spans="1:34" ht="15.75" thickBot="1" x14ac:dyDescent="0.3">
      <c r="A1212" s="90" t="s">
        <v>999</v>
      </c>
      <c r="B1212" s="90" t="s">
        <v>1003</v>
      </c>
      <c r="C1212" s="90" t="s">
        <v>1004</v>
      </c>
      <c r="D1212" s="90" t="s">
        <v>663</v>
      </c>
      <c r="E1212" s="90" t="s">
        <v>524</v>
      </c>
      <c r="F1212" s="90" t="s">
        <v>686</v>
      </c>
      <c r="G1212" s="95">
        <v>550</v>
      </c>
      <c r="H1212" s="94"/>
      <c r="I1212" s="95">
        <v>550</v>
      </c>
      <c r="J1212" s="94"/>
      <c r="K1212" s="94"/>
      <c r="L1212" s="94"/>
      <c r="M1212" s="94"/>
      <c r="N1212" s="94"/>
      <c r="O1212" s="94"/>
      <c r="P1212" s="94"/>
      <c r="Q1212" s="94"/>
      <c r="R1212" s="94"/>
      <c r="S1212" s="94"/>
      <c r="T1212" s="94"/>
      <c r="U1212" s="94"/>
      <c r="V1212" s="94"/>
      <c r="W1212" s="94"/>
      <c r="X1212" s="94"/>
      <c r="Y1212" s="94"/>
      <c r="Z1212" s="94"/>
      <c r="AA1212" s="94"/>
      <c r="AB1212" s="94"/>
      <c r="AC1212" s="94"/>
      <c r="AD1212" s="95">
        <v>0</v>
      </c>
      <c r="AE1212" s="94"/>
      <c r="AF1212" s="94"/>
      <c r="AG1212" s="95">
        <v>550</v>
      </c>
      <c r="AH1212" s="95">
        <v>0</v>
      </c>
    </row>
    <row r="1213" spans="1:34" ht="15.75" thickBot="1" x14ac:dyDescent="0.3">
      <c r="A1213" s="90" t="s">
        <v>999</v>
      </c>
      <c r="B1213" s="90" t="s">
        <v>1003</v>
      </c>
      <c r="C1213" s="90" t="s">
        <v>1004</v>
      </c>
      <c r="D1213" s="90" t="s">
        <v>663</v>
      </c>
      <c r="E1213" s="90" t="s">
        <v>524</v>
      </c>
      <c r="F1213" s="90" t="s">
        <v>697</v>
      </c>
      <c r="G1213" s="93">
        <v>550</v>
      </c>
      <c r="H1213" s="92"/>
      <c r="I1213" s="93">
        <v>550</v>
      </c>
      <c r="J1213" s="92"/>
      <c r="K1213" s="92"/>
      <c r="L1213" s="92"/>
      <c r="M1213" s="92"/>
      <c r="N1213" s="92"/>
      <c r="O1213" s="92"/>
      <c r="P1213" s="92"/>
      <c r="Q1213" s="92"/>
      <c r="R1213" s="92"/>
      <c r="S1213" s="92"/>
      <c r="T1213" s="92"/>
      <c r="U1213" s="92"/>
      <c r="V1213" s="92"/>
      <c r="W1213" s="92"/>
      <c r="X1213" s="92"/>
      <c r="Y1213" s="92"/>
      <c r="Z1213" s="92"/>
      <c r="AA1213" s="92"/>
      <c r="AB1213" s="92"/>
      <c r="AC1213" s="92"/>
      <c r="AD1213" s="93">
        <v>0</v>
      </c>
      <c r="AE1213" s="92"/>
      <c r="AF1213" s="92"/>
      <c r="AG1213" s="93">
        <v>550</v>
      </c>
      <c r="AH1213" s="93">
        <v>0</v>
      </c>
    </row>
    <row r="1214" spans="1:34" ht="15.75" thickBot="1" x14ac:dyDescent="0.3">
      <c r="A1214" s="90" t="s">
        <v>999</v>
      </c>
      <c r="B1214" s="90" t="s">
        <v>1003</v>
      </c>
      <c r="C1214" s="90" t="s">
        <v>1004</v>
      </c>
      <c r="D1214" s="90" t="s">
        <v>662</v>
      </c>
      <c r="E1214" s="90" t="s">
        <v>729</v>
      </c>
      <c r="F1214" s="90" t="s">
        <v>686</v>
      </c>
      <c r="G1214" s="95">
        <v>6650.35</v>
      </c>
      <c r="H1214" s="94"/>
      <c r="I1214" s="94"/>
      <c r="J1214" s="94"/>
      <c r="K1214" s="94"/>
      <c r="L1214" s="94"/>
      <c r="M1214" s="94"/>
      <c r="N1214" s="94"/>
      <c r="O1214" s="94"/>
      <c r="P1214" s="94"/>
      <c r="Q1214" s="95">
        <v>6650.35</v>
      </c>
      <c r="R1214" s="94"/>
      <c r="S1214" s="94"/>
      <c r="T1214" s="94"/>
      <c r="U1214" s="94"/>
      <c r="V1214" s="94"/>
      <c r="W1214" s="94"/>
      <c r="X1214" s="94"/>
      <c r="Y1214" s="94"/>
      <c r="Z1214" s="94"/>
      <c r="AA1214" s="94"/>
      <c r="AB1214" s="94"/>
      <c r="AC1214" s="94"/>
      <c r="AD1214" s="95">
        <v>0</v>
      </c>
      <c r="AE1214" s="94"/>
      <c r="AF1214" s="94"/>
      <c r="AG1214" s="95">
        <v>6650.35</v>
      </c>
      <c r="AH1214" s="95">
        <v>0</v>
      </c>
    </row>
    <row r="1215" spans="1:34" ht="15.75" thickBot="1" x14ac:dyDescent="0.3">
      <c r="A1215" s="90" t="s">
        <v>999</v>
      </c>
      <c r="B1215" s="90" t="s">
        <v>1003</v>
      </c>
      <c r="C1215" s="90" t="s">
        <v>1004</v>
      </c>
      <c r="D1215" s="90" t="s">
        <v>662</v>
      </c>
      <c r="E1215" s="90" t="s">
        <v>729</v>
      </c>
      <c r="F1215" s="90" t="s">
        <v>697</v>
      </c>
      <c r="G1215" s="93">
        <v>6650.35</v>
      </c>
      <c r="H1215" s="92"/>
      <c r="I1215" s="92"/>
      <c r="J1215" s="92"/>
      <c r="K1215" s="92"/>
      <c r="L1215" s="92"/>
      <c r="M1215" s="92"/>
      <c r="N1215" s="92"/>
      <c r="O1215" s="92"/>
      <c r="P1215" s="92"/>
      <c r="Q1215" s="93">
        <v>6650.35</v>
      </c>
      <c r="R1215" s="92"/>
      <c r="S1215" s="92"/>
      <c r="T1215" s="92"/>
      <c r="U1215" s="92"/>
      <c r="V1215" s="92"/>
      <c r="W1215" s="92"/>
      <c r="X1215" s="92"/>
      <c r="Y1215" s="92"/>
      <c r="Z1215" s="92"/>
      <c r="AA1215" s="92"/>
      <c r="AB1215" s="92"/>
      <c r="AC1215" s="92"/>
      <c r="AD1215" s="93">
        <v>0</v>
      </c>
      <c r="AE1215" s="92"/>
      <c r="AF1215" s="92"/>
      <c r="AG1215" s="93">
        <v>6650.35</v>
      </c>
      <c r="AH1215" s="93">
        <v>0</v>
      </c>
    </row>
    <row r="1216" spans="1:34" ht="15.75" thickBot="1" x14ac:dyDescent="0.3">
      <c r="A1216" s="90" t="s">
        <v>999</v>
      </c>
      <c r="B1216" s="90" t="s">
        <v>1003</v>
      </c>
      <c r="C1216" s="90" t="s">
        <v>1004</v>
      </c>
      <c r="D1216" s="90" t="s">
        <v>662</v>
      </c>
      <c r="E1216" s="90" t="s">
        <v>528</v>
      </c>
      <c r="F1216" s="90" t="s">
        <v>686</v>
      </c>
      <c r="G1216" s="95">
        <v>400</v>
      </c>
      <c r="H1216" s="94"/>
      <c r="I1216" s="95">
        <v>400</v>
      </c>
      <c r="J1216" s="94"/>
      <c r="K1216" s="94"/>
      <c r="L1216" s="94"/>
      <c r="M1216" s="94"/>
      <c r="N1216" s="94"/>
      <c r="O1216" s="94"/>
      <c r="P1216" s="94"/>
      <c r="Q1216" s="94"/>
      <c r="R1216" s="94"/>
      <c r="S1216" s="94"/>
      <c r="T1216" s="94"/>
      <c r="U1216" s="94"/>
      <c r="V1216" s="94"/>
      <c r="W1216" s="94"/>
      <c r="X1216" s="94"/>
      <c r="Y1216" s="94"/>
      <c r="Z1216" s="94"/>
      <c r="AA1216" s="94"/>
      <c r="AB1216" s="94"/>
      <c r="AC1216" s="94"/>
      <c r="AD1216" s="95">
        <v>0</v>
      </c>
      <c r="AE1216" s="94"/>
      <c r="AF1216" s="94"/>
      <c r="AG1216" s="95">
        <v>400</v>
      </c>
      <c r="AH1216" s="95">
        <v>0</v>
      </c>
    </row>
    <row r="1217" spans="1:34" ht="15.75" thickBot="1" x14ac:dyDescent="0.3">
      <c r="A1217" s="90" t="s">
        <v>999</v>
      </c>
      <c r="B1217" s="90" t="s">
        <v>1003</v>
      </c>
      <c r="C1217" s="90" t="s">
        <v>1004</v>
      </c>
      <c r="D1217" s="90" t="s">
        <v>662</v>
      </c>
      <c r="E1217" s="90" t="s">
        <v>528</v>
      </c>
      <c r="F1217" s="90" t="s">
        <v>697</v>
      </c>
      <c r="G1217" s="93">
        <v>400</v>
      </c>
      <c r="H1217" s="92"/>
      <c r="I1217" s="93">
        <v>400</v>
      </c>
      <c r="J1217" s="92"/>
      <c r="K1217" s="92"/>
      <c r="L1217" s="92"/>
      <c r="M1217" s="92"/>
      <c r="N1217" s="92"/>
      <c r="O1217" s="92"/>
      <c r="P1217" s="92"/>
      <c r="Q1217" s="92"/>
      <c r="R1217" s="92"/>
      <c r="S1217" s="92"/>
      <c r="T1217" s="92"/>
      <c r="U1217" s="92"/>
      <c r="V1217" s="92"/>
      <c r="W1217" s="92"/>
      <c r="X1217" s="92"/>
      <c r="Y1217" s="92"/>
      <c r="Z1217" s="92"/>
      <c r="AA1217" s="92"/>
      <c r="AB1217" s="92"/>
      <c r="AC1217" s="92"/>
      <c r="AD1217" s="93">
        <v>0</v>
      </c>
      <c r="AE1217" s="92"/>
      <c r="AF1217" s="92"/>
      <c r="AG1217" s="93">
        <v>400</v>
      </c>
      <c r="AH1217" s="93">
        <v>0</v>
      </c>
    </row>
    <row r="1218" spans="1:34" ht="15.75" thickBot="1" x14ac:dyDescent="0.3">
      <c r="A1218" s="90" t="s">
        <v>999</v>
      </c>
      <c r="B1218" s="90" t="s">
        <v>1003</v>
      </c>
      <c r="C1218" s="90" t="s">
        <v>1004</v>
      </c>
      <c r="D1218" s="90" t="s">
        <v>662</v>
      </c>
      <c r="E1218" s="90" t="s">
        <v>518</v>
      </c>
      <c r="F1218" s="90" t="s">
        <v>686</v>
      </c>
      <c r="G1218" s="95">
        <v>10017.68</v>
      </c>
      <c r="H1218" s="95">
        <v>142926</v>
      </c>
      <c r="I1218" s="94"/>
      <c r="J1218" s="94"/>
      <c r="K1218" s="95">
        <v>10017.68</v>
      </c>
      <c r="L1218" s="94"/>
      <c r="M1218" s="94"/>
      <c r="N1218" s="94"/>
      <c r="O1218" s="94"/>
      <c r="P1218" s="94"/>
      <c r="Q1218" s="94"/>
      <c r="R1218" s="94"/>
      <c r="S1218" s="94"/>
      <c r="T1218" s="94"/>
      <c r="U1218" s="94"/>
      <c r="V1218" s="94"/>
      <c r="W1218" s="94"/>
      <c r="X1218" s="94"/>
      <c r="Y1218" s="94"/>
      <c r="Z1218" s="94"/>
      <c r="AA1218" s="94"/>
      <c r="AB1218" s="94"/>
      <c r="AC1218" s="94"/>
      <c r="AD1218" s="95">
        <v>0</v>
      </c>
      <c r="AE1218" s="94"/>
      <c r="AF1218" s="94"/>
      <c r="AG1218" s="95">
        <v>10017.68</v>
      </c>
      <c r="AH1218" s="95">
        <v>0</v>
      </c>
    </row>
    <row r="1219" spans="1:34" ht="15.75" thickBot="1" x14ac:dyDescent="0.3">
      <c r="A1219" s="90" t="s">
        <v>999</v>
      </c>
      <c r="B1219" s="90" t="s">
        <v>1003</v>
      </c>
      <c r="C1219" s="90" t="s">
        <v>1004</v>
      </c>
      <c r="D1219" s="90" t="s">
        <v>662</v>
      </c>
      <c r="E1219" s="90" t="s">
        <v>518</v>
      </c>
      <c r="F1219" s="90" t="s">
        <v>697</v>
      </c>
      <c r="G1219" s="93">
        <v>10017.68</v>
      </c>
      <c r="H1219" s="304">
        <v>142926</v>
      </c>
      <c r="I1219" s="92"/>
      <c r="J1219" s="92"/>
      <c r="K1219" s="93">
        <v>10017.68</v>
      </c>
      <c r="L1219" s="92"/>
      <c r="M1219" s="92"/>
      <c r="N1219" s="92"/>
      <c r="O1219" s="92"/>
      <c r="P1219" s="92"/>
      <c r="Q1219" s="92"/>
      <c r="R1219" s="92"/>
      <c r="S1219" s="92"/>
      <c r="T1219" s="92"/>
      <c r="U1219" s="92"/>
      <c r="V1219" s="92"/>
      <c r="W1219" s="92"/>
      <c r="X1219" s="92"/>
      <c r="Y1219" s="92"/>
      <c r="Z1219" s="92"/>
      <c r="AA1219" s="92"/>
      <c r="AB1219" s="92"/>
      <c r="AC1219" s="92"/>
      <c r="AD1219" s="93">
        <v>0</v>
      </c>
      <c r="AE1219" s="92"/>
      <c r="AF1219" s="92"/>
      <c r="AG1219" s="93">
        <v>10017.68</v>
      </c>
      <c r="AH1219" s="93">
        <v>0</v>
      </c>
    </row>
    <row r="1220" spans="1:34" ht="15.75" thickBot="1" x14ac:dyDescent="0.3">
      <c r="A1220" s="90" t="s">
        <v>999</v>
      </c>
      <c r="B1220" s="90" t="s">
        <v>1003</v>
      </c>
      <c r="C1220" s="90" t="s">
        <v>1004</v>
      </c>
      <c r="D1220" s="90" t="s">
        <v>662</v>
      </c>
      <c r="E1220" s="90" t="s">
        <v>673</v>
      </c>
      <c r="F1220" s="90" t="s">
        <v>686</v>
      </c>
      <c r="G1220" s="95">
        <v>2838.87</v>
      </c>
      <c r="H1220" s="94"/>
      <c r="I1220" s="94"/>
      <c r="J1220" s="94"/>
      <c r="K1220" s="94"/>
      <c r="L1220" s="94"/>
      <c r="M1220" s="94"/>
      <c r="N1220" s="94"/>
      <c r="O1220" s="94"/>
      <c r="P1220" s="94"/>
      <c r="Q1220" s="94"/>
      <c r="R1220" s="94"/>
      <c r="S1220" s="94"/>
      <c r="T1220" s="94"/>
      <c r="U1220" s="94"/>
      <c r="V1220" s="94"/>
      <c r="W1220" s="94"/>
      <c r="X1220" s="95">
        <v>2838.87</v>
      </c>
      <c r="Y1220" s="94"/>
      <c r="Z1220" s="94"/>
      <c r="AA1220" s="94"/>
      <c r="AB1220" s="94"/>
      <c r="AC1220" s="94"/>
      <c r="AD1220" s="95">
        <v>0</v>
      </c>
      <c r="AE1220" s="94"/>
      <c r="AF1220" s="94"/>
      <c r="AG1220" s="95">
        <v>2838.87</v>
      </c>
      <c r="AH1220" s="95">
        <v>0</v>
      </c>
    </row>
    <row r="1221" spans="1:34" ht="15.75" thickBot="1" x14ac:dyDescent="0.3">
      <c r="A1221" s="90" t="s">
        <v>999</v>
      </c>
      <c r="B1221" s="90" t="s">
        <v>1003</v>
      </c>
      <c r="C1221" s="90" t="s">
        <v>1004</v>
      </c>
      <c r="D1221" s="90" t="s">
        <v>662</v>
      </c>
      <c r="E1221" s="90" t="s">
        <v>673</v>
      </c>
      <c r="F1221" s="90" t="s">
        <v>697</v>
      </c>
      <c r="G1221" s="93">
        <v>2838.87</v>
      </c>
      <c r="H1221" s="92"/>
      <c r="I1221" s="92"/>
      <c r="J1221" s="92"/>
      <c r="K1221" s="92"/>
      <c r="L1221" s="92"/>
      <c r="M1221" s="92"/>
      <c r="N1221" s="92"/>
      <c r="O1221" s="92"/>
      <c r="P1221" s="92"/>
      <c r="Q1221" s="92"/>
      <c r="R1221" s="92"/>
      <c r="S1221" s="92"/>
      <c r="T1221" s="92"/>
      <c r="U1221" s="92"/>
      <c r="V1221" s="92"/>
      <c r="W1221" s="92"/>
      <c r="X1221" s="93">
        <v>2838.87</v>
      </c>
      <c r="Y1221" s="92"/>
      <c r="Z1221" s="92"/>
      <c r="AA1221" s="92"/>
      <c r="AB1221" s="92"/>
      <c r="AC1221" s="92"/>
      <c r="AD1221" s="93">
        <v>0</v>
      </c>
      <c r="AE1221" s="92"/>
      <c r="AF1221" s="92"/>
      <c r="AG1221" s="93">
        <v>2838.87</v>
      </c>
      <c r="AH1221" s="93">
        <v>0</v>
      </c>
    </row>
    <row r="1222" spans="1:34" ht="15.75" thickBot="1" x14ac:dyDescent="0.3">
      <c r="A1222" s="90" t="s">
        <v>999</v>
      </c>
      <c r="B1222" s="90" t="s">
        <v>1003</v>
      </c>
      <c r="C1222" s="90" t="s">
        <v>1004</v>
      </c>
      <c r="D1222" s="90" t="s">
        <v>662</v>
      </c>
      <c r="E1222" s="90" t="s">
        <v>530</v>
      </c>
      <c r="F1222" s="90" t="s">
        <v>686</v>
      </c>
      <c r="G1222" s="95">
        <v>12065.81</v>
      </c>
      <c r="H1222" s="94"/>
      <c r="I1222" s="94"/>
      <c r="J1222" s="94"/>
      <c r="K1222" s="94"/>
      <c r="L1222" s="94"/>
      <c r="M1222" s="94"/>
      <c r="N1222" s="94"/>
      <c r="O1222" s="94"/>
      <c r="P1222" s="94"/>
      <c r="Q1222" s="94"/>
      <c r="R1222" s="94"/>
      <c r="S1222" s="94"/>
      <c r="T1222" s="94"/>
      <c r="U1222" s="94"/>
      <c r="V1222" s="94"/>
      <c r="W1222" s="95">
        <v>12065.81</v>
      </c>
      <c r="X1222" s="94"/>
      <c r="Y1222" s="94"/>
      <c r="Z1222" s="94"/>
      <c r="AA1222" s="94"/>
      <c r="AB1222" s="94"/>
      <c r="AC1222" s="94"/>
      <c r="AD1222" s="95">
        <v>0</v>
      </c>
      <c r="AE1222" s="94"/>
      <c r="AF1222" s="94"/>
      <c r="AG1222" s="95">
        <v>12065.81</v>
      </c>
      <c r="AH1222" s="95">
        <v>0</v>
      </c>
    </row>
    <row r="1223" spans="1:34" ht="15.75" thickBot="1" x14ac:dyDescent="0.3">
      <c r="A1223" s="90" t="s">
        <v>999</v>
      </c>
      <c r="B1223" s="90" t="s">
        <v>1003</v>
      </c>
      <c r="C1223" s="90" t="s">
        <v>1004</v>
      </c>
      <c r="D1223" s="90" t="s">
        <v>662</v>
      </c>
      <c r="E1223" s="90" t="s">
        <v>530</v>
      </c>
      <c r="F1223" s="90" t="s">
        <v>697</v>
      </c>
      <c r="G1223" s="93">
        <v>12065.81</v>
      </c>
      <c r="H1223" s="92"/>
      <c r="I1223" s="92"/>
      <c r="J1223" s="92"/>
      <c r="K1223" s="92"/>
      <c r="L1223" s="92"/>
      <c r="M1223" s="92"/>
      <c r="N1223" s="92"/>
      <c r="O1223" s="92"/>
      <c r="P1223" s="92"/>
      <c r="Q1223" s="92"/>
      <c r="R1223" s="92"/>
      <c r="S1223" s="92"/>
      <c r="T1223" s="92"/>
      <c r="U1223" s="92"/>
      <c r="V1223" s="92"/>
      <c r="W1223" s="93">
        <v>12065.81</v>
      </c>
      <c r="X1223" s="92"/>
      <c r="Y1223" s="92"/>
      <c r="Z1223" s="92"/>
      <c r="AA1223" s="92"/>
      <c r="AB1223" s="92"/>
      <c r="AC1223" s="92"/>
      <c r="AD1223" s="93">
        <v>0</v>
      </c>
      <c r="AE1223" s="92"/>
      <c r="AF1223" s="92"/>
      <c r="AG1223" s="93">
        <v>12065.81</v>
      </c>
      <c r="AH1223" s="93">
        <v>0</v>
      </c>
    </row>
    <row r="1224" spans="1:34" ht="15.75" thickBot="1" x14ac:dyDescent="0.3">
      <c r="A1224" s="90" t="s">
        <v>999</v>
      </c>
      <c r="B1224" s="90" t="s">
        <v>1003</v>
      </c>
      <c r="C1224" s="90" t="s">
        <v>1004</v>
      </c>
      <c r="D1224" s="90" t="s">
        <v>662</v>
      </c>
      <c r="E1224" s="90" t="s">
        <v>524</v>
      </c>
      <c r="F1224" s="90" t="s">
        <v>686</v>
      </c>
      <c r="G1224" s="95">
        <v>550</v>
      </c>
      <c r="H1224" s="94"/>
      <c r="I1224" s="95">
        <v>550</v>
      </c>
      <c r="J1224" s="94"/>
      <c r="K1224" s="94"/>
      <c r="L1224" s="94"/>
      <c r="M1224" s="94"/>
      <c r="N1224" s="94"/>
      <c r="O1224" s="94"/>
      <c r="P1224" s="94"/>
      <c r="Q1224" s="94"/>
      <c r="R1224" s="94"/>
      <c r="S1224" s="94"/>
      <c r="T1224" s="94"/>
      <c r="U1224" s="94"/>
      <c r="V1224" s="94"/>
      <c r="W1224" s="94"/>
      <c r="X1224" s="94"/>
      <c r="Y1224" s="94"/>
      <c r="Z1224" s="94"/>
      <c r="AA1224" s="94"/>
      <c r="AB1224" s="94"/>
      <c r="AC1224" s="94"/>
      <c r="AD1224" s="95">
        <v>0</v>
      </c>
      <c r="AE1224" s="94"/>
      <c r="AF1224" s="94"/>
      <c r="AG1224" s="95">
        <v>550</v>
      </c>
      <c r="AH1224" s="95">
        <v>0</v>
      </c>
    </row>
    <row r="1225" spans="1:34" ht="15.75" thickBot="1" x14ac:dyDescent="0.3">
      <c r="A1225" s="90" t="s">
        <v>999</v>
      </c>
      <c r="B1225" s="90" t="s">
        <v>1003</v>
      </c>
      <c r="C1225" s="90" t="s">
        <v>1004</v>
      </c>
      <c r="D1225" s="90" t="s">
        <v>662</v>
      </c>
      <c r="E1225" s="90" t="s">
        <v>524</v>
      </c>
      <c r="F1225" s="90" t="s">
        <v>697</v>
      </c>
      <c r="G1225" s="93">
        <v>550</v>
      </c>
      <c r="H1225" s="92"/>
      <c r="I1225" s="93">
        <v>550</v>
      </c>
      <c r="J1225" s="92"/>
      <c r="K1225" s="92"/>
      <c r="L1225" s="92"/>
      <c r="M1225" s="92"/>
      <c r="N1225" s="92"/>
      <c r="O1225" s="92"/>
      <c r="P1225" s="92"/>
      <c r="Q1225" s="92"/>
      <c r="R1225" s="92"/>
      <c r="S1225" s="92"/>
      <c r="T1225" s="92"/>
      <c r="U1225" s="92"/>
      <c r="V1225" s="92"/>
      <c r="W1225" s="92"/>
      <c r="X1225" s="92"/>
      <c r="Y1225" s="92"/>
      <c r="Z1225" s="92"/>
      <c r="AA1225" s="92"/>
      <c r="AB1225" s="92"/>
      <c r="AC1225" s="92"/>
      <c r="AD1225" s="93">
        <v>0</v>
      </c>
      <c r="AE1225" s="92"/>
      <c r="AF1225" s="92"/>
      <c r="AG1225" s="93">
        <v>550</v>
      </c>
      <c r="AH1225" s="93">
        <v>0</v>
      </c>
    </row>
    <row r="1226" spans="1:34" ht="15.75" thickBot="1" x14ac:dyDescent="0.3">
      <c r="A1226" s="90" t="s">
        <v>999</v>
      </c>
      <c r="B1226" s="90" t="s">
        <v>933</v>
      </c>
      <c r="C1226" s="90" t="s">
        <v>1005</v>
      </c>
      <c r="D1226" s="90" t="s">
        <v>663</v>
      </c>
      <c r="E1226" s="90" t="s">
        <v>525</v>
      </c>
      <c r="F1226" s="90" t="s">
        <v>686</v>
      </c>
      <c r="G1226" s="95">
        <v>-2840.06</v>
      </c>
      <c r="H1226" s="94"/>
      <c r="I1226" s="94"/>
      <c r="J1226" s="94"/>
      <c r="K1226" s="94"/>
      <c r="L1226" s="94"/>
      <c r="M1226" s="94"/>
      <c r="N1226" s="94"/>
      <c r="O1226" s="94"/>
      <c r="P1226" s="94"/>
      <c r="Q1226" s="94"/>
      <c r="R1226" s="95">
        <v>-2840.06</v>
      </c>
      <c r="S1226" s="94"/>
      <c r="T1226" s="94"/>
      <c r="U1226" s="94"/>
      <c r="V1226" s="94"/>
      <c r="W1226" s="94"/>
      <c r="X1226" s="94"/>
      <c r="Y1226" s="94"/>
      <c r="Z1226" s="94"/>
      <c r="AA1226" s="94"/>
      <c r="AB1226" s="94"/>
      <c r="AC1226" s="94"/>
      <c r="AD1226" s="95">
        <v>-170.4</v>
      </c>
      <c r="AE1226" s="94"/>
      <c r="AF1226" s="94"/>
      <c r="AG1226" s="95">
        <v>-3010.46</v>
      </c>
      <c r="AH1226" s="95">
        <v>0</v>
      </c>
    </row>
    <row r="1227" spans="1:34" ht="15.75" thickBot="1" x14ac:dyDescent="0.3">
      <c r="A1227" s="90" t="s">
        <v>999</v>
      </c>
      <c r="B1227" s="90" t="s">
        <v>933</v>
      </c>
      <c r="C1227" s="90" t="s">
        <v>1005</v>
      </c>
      <c r="D1227" s="90" t="s">
        <v>663</v>
      </c>
      <c r="E1227" s="90" t="s">
        <v>525</v>
      </c>
      <c r="F1227" s="90" t="s">
        <v>697</v>
      </c>
      <c r="G1227" s="93">
        <v>-2840.06</v>
      </c>
      <c r="H1227" s="92"/>
      <c r="I1227" s="92"/>
      <c r="J1227" s="92"/>
      <c r="K1227" s="92"/>
      <c r="L1227" s="92"/>
      <c r="M1227" s="92"/>
      <c r="N1227" s="92"/>
      <c r="O1227" s="92"/>
      <c r="P1227" s="92"/>
      <c r="Q1227" s="92"/>
      <c r="R1227" s="93">
        <v>-2840.06</v>
      </c>
      <c r="S1227" s="92"/>
      <c r="T1227" s="92"/>
      <c r="U1227" s="92"/>
      <c r="V1227" s="92"/>
      <c r="W1227" s="92"/>
      <c r="X1227" s="92"/>
      <c r="Y1227" s="92"/>
      <c r="Z1227" s="92"/>
      <c r="AA1227" s="92"/>
      <c r="AB1227" s="92"/>
      <c r="AC1227" s="92"/>
      <c r="AD1227" s="93">
        <v>-170.4</v>
      </c>
      <c r="AE1227" s="92"/>
      <c r="AF1227" s="92"/>
      <c r="AG1227" s="93">
        <v>-3010.46</v>
      </c>
      <c r="AH1227" s="93">
        <v>0</v>
      </c>
    </row>
    <row r="1228" spans="1:34" ht="15.75" thickBot="1" x14ac:dyDescent="0.3">
      <c r="A1228" s="90" t="s">
        <v>999</v>
      </c>
      <c r="B1228" s="90" t="s">
        <v>933</v>
      </c>
      <c r="C1228" s="90" t="s">
        <v>1005</v>
      </c>
      <c r="D1228" s="90" t="s">
        <v>663</v>
      </c>
      <c r="E1228" s="90" t="s">
        <v>518</v>
      </c>
      <c r="F1228" s="90" t="s">
        <v>686</v>
      </c>
      <c r="G1228" s="95">
        <v>364252.68</v>
      </c>
      <c r="H1228" s="95">
        <v>8467055</v>
      </c>
      <c r="I1228" s="94"/>
      <c r="J1228" s="94"/>
      <c r="K1228" s="95">
        <v>364252.68</v>
      </c>
      <c r="L1228" s="94"/>
      <c r="M1228" s="94"/>
      <c r="N1228" s="94"/>
      <c r="O1228" s="94"/>
      <c r="P1228" s="94"/>
      <c r="Q1228" s="94"/>
      <c r="R1228" s="94"/>
      <c r="S1228" s="94"/>
      <c r="T1228" s="94"/>
      <c r="U1228" s="94"/>
      <c r="V1228" s="94"/>
      <c r="W1228" s="94"/>
      <c r="X1228" s="94"/>
      <c r="Y1228" s="94"/>
      <c r="Z1228" s="94"/>
      <c r="AA1228" s="94"/>
      <c r="AB1228" s="94"/>
      <c r="AC1228" s="94"/>
      <c r="AD1228" s="95">
        <v>16268.28</v>
      </c>
      <c r="AE1228" s="94"/>
      <c r="AF1228" s="94"/>
      <c r="AG1228" s="95">
        <v>380520.96000000002</v>
      </c>
      <c r="AH1228" s="95">
        <v>0</v>
      </c>
    </row>
    <row r="1229" spans="1:34" ht="15.75" thickBot="1" x14ac:dyDescent="0.3">
      <c r="A1229" s="90" t="s">
        <v>999</v>
      </c>
      <c r="B1229" s="90" t="s">
        <v>933</v>
      </c>
      <c r="C1229" s="90" t="s">
        <v>1005</v>
      </c>
      <c r="D1229" s="90" t="s">
        <v>663</v>
      </c>
      <c r="E1229" s="90" t="s">
        <v>518</v>
      </c>
      <c r="F1229" s="90" t="s">
        <v>697</v>
      </c>
      <c r="G1229" s="93">
        <v>364252.68</v>
      </c>
      <c r="H1229" s="304">
        <v>8467055</v>
      </c>
      <c r="I1229" s="92"/>
      <c r="J1229" s="92"/>
      <c r="K1229" s="93">
        <v>364252.68</v>
      </c>
      <c r="L1229" s="92"/>
      <c r="M1229" s="92"/>
      <c r="N1229" s="92"/>
      <c r="O1229" s="92"/>
      <c r="P1229" s="92"/>
      <c r="Q1229" s="92"/>
      <c r="R1229" s="92"/>
      <c r="S1229" s="92"/>
      <c r="T1229" s="92"/>
      <c r="U1229" s="92"/>
      <c r="V1229" s="92"/>
      <c r="W1229" s="92"/>
      <c r="X1229" s="92"/>
      <c r="Y1229" s="92"/>
      <c r="Z1229" s="92"/>
      <c r="AA1229" s="92"/>
      <c r="AB1229" s="92"/>
      <c r="AC1229" s="92"/>
      <c r="AD1229" s="93">
        <v>16268.28</v>
      </c>
      <c r="AE1229" s="92"/>
      <c r="AF1229" s="92"/>
      <c r="AG1229" s="93">
        <v>380520.96000000002</v>
      </c>
      <c r="AH1229" s="93">
        <v>0</v>
      </c>
    </row>
    <row r="1230" spans="1:34" ht="15.75" thickBot="1" x14ac:dyDescent="0.3">
      <c r="A1230" s="90" t="s">
        <v>999</v>
      </c>
      <c r="B1230" s="90" t="s">
        <v>933</v>
      </c>
      <c r="C1230" s="90" t="s">
        <v>1005</v>
      </c>
      <c r="D1230" s="90" t="s">
        <v>663</v>
      </c>
      <c r="E1230" s="90" t="s">
        <v>527</v>
      </c>
      <c r="F1230" s="90" t="s">
        <v>686</v>
      </c>
      <c r="G1230" s="95">
        <v>1758.74</v>
      </c>
      <c r="H1230" s="94"/>
      <c r="I1230" s="94"/>
      <c r="J1230" s="94"/>
      <c r="K1230" s="94"/>
      <c r="L1230" s="94"/>
      <c r="M1230" s="94"/>
      <c r="N1230" s="94"/>
      <c r="O1230" s="94"/>
      <c r="P1230" s="94"/>
      <c r="Q1230" s="94"/>
      <c r="R1230" s="94"/>
      <c r="S1230" s="95">
        <v>1758.74</v>
      </c>
      <c r="T1230" s="94"/>
      <c r="U1230" s="94"/>
      <c r="V1230" s="94"/>
      <c r="W1230" s="94"/>
      <c r="X1230" s="94"/>
      <c r="Y1230" s="94"/>
      <c r="Z1230" s="94"/>
      <c r="AA1230" s="94"/>
      <c r="AB1230" s="94"/>
      <c r="AC1230" s="94"/>
      <c r="AD1230" s="95">
        <v>105.52</v>
      </c>
      <c r="AE1230" s="94"/>
      <c r="AF1230" s="94"/>
      <c r="AG1230" s="95">
        <v>1864.26</v>
      </c>
      <c r="AH1230" s="95">
        <v>0</v>
      </c>
    </row>
    <row r="1231" spans="1:34" ht="15.75" thickBot="1" x14ac:dyDescent="0.3">
      <c r="A1231" s="90" t="s">
        <v>999</v>
      </c>
      <c r="B1231" s="90" t="s">
        <v>933</v>
      </c>
      <c r="C1231" s="90" t="s">
        <v>1005</v>
      </c>
      <c r="D1231" s="90" t="s">
        <v>663</v>
      </c>
      <c r="E1231" s="90" t="s">
        <v>527</v>
      </c>
      <c r="F1231" s="90" t="s">
        <v>697</v>
      </c>
      <c r="G1231" s="93">
        <v>1758.74</v>
      </c>
      <c r="H1231" s="92"/>
      <c r="I1231" s="92"/>
      <c r="J1231" s="92"/>
      <c r="K1231" s="92"/>
      <c r="L1231" s="92"/>
      <c r="M1231" s="92"/>
      <c r="N1231" s="92"/>
      <c r="O1231" s="92"/>
      <c r="P1231" s="92"/>
      <c r="Q1231" s="92"/>
      <c r="R1231" s="92"/>
      <c r="S1231" s="93">
        <v>1758.74</v>
      </c>
      <c r="T1231" s="92"/>
      <c r="U1231" s="92"/>
      <c r="V1231" s="92"/>
      <c r="W1231" s="92"/>
      <c r="X1231" s="92"/>
      <c r="Y1231" s="92"/>
      <c r="Z1231" s="92"/>
      <c r="AA1231" s="92"/>
      <c r="AB1231" s="92"/>
      <c r="AC1231" s="92"/>
      <c r="AD1231" s="93">
        <v>105.52</v>
      </c>
      <c r="AE1231" s="92"/>
      <c r="AF1231" s="92"/>
      <c r="AG1231" s="93">
        <v>1864.26</v>
      </c>
      <c r="AH1231" s="93">
        <v>0</v>
      </c>
    </row>
    <row r="1232" spans="1:34" ht="15.75" thickBot="1" x14ac:dyDescent="0.3">
      <c r="A1232" s="90" t="s">
        <v>999</v>
      </c>
      <c r="B1232" s="90" t="s">
        <v>933</v>
      </c>
      <c r="C1232" s="90" t="s">
        <v>1005</v>
      </c>
      <c r="D1232" s="90" t="s">
        <v>663</v>
      </c>
      <c r="E1232" s="90" t="s">
        <v>671</v>
      </c>
      <c r="F1232" s="90" t="s">
        <v>686</v>
      </c>
      <c r="G1232" s="95">
        <v>2516.8000000000002</v>
      </c>
      <c r="H1232" s="94"/>
      <c r="I1232" s="94"/>
      <c r="J1232" s="94"/>
      <c r="K1232" s="94"/>
      <c r="L1232" s="95">
        <v>2516.8000000000002</v>
      </c>
      <c r="M1232" s="94"/>
      <c r="N1232" s="94"/>
      <c r="O1232" s="94"/>
      <c r="P1232" s="94"/>
      <c r="Q1232" s="94"/>
      <c r="R1232" s="94"/>
      <c r="S1232" s="94"/>
      <c r="T1232" s="94"/>
      <c r="U1232" s="94"/>
      <c r="V1232" s="94"/>
      <c r="W1232" s="94"/>
      <c r="X1232" s="94"/>
      <c r="Y1232" s="94"/>
      <c r="Z1232" s="94"/>
      <c r="AA1232" s="94"/>
      <c r="AB1232" s="94"/>
      <c r="AC1232" s="94"/>
      <c r="AD1232" s="95">
        <v>144.53</v>
      </c>
      <c r="AE1232" s="94"/>
      <c r="AF1232" s="94"/>
      <c r="AG1232" s="95">
        <v>2661.33</v>
      </c>
      <c r="AH1232" s="95">
        <v>0</v>
      </c>
    </row>
    <row r="1233" spans="1:34" ht="15.75" thickBot="1" x14ac:dyDescent="0.3">
      <c r="A1233" s="90" t="s">
        <v>999</v>
      </c>
      <c r="B1233" s="90" t="s">
        <v>933</v>
      </c>
      <c r="C1233" s="90" t="s">
        <v>1005</v>
      </c>
      <c r="D1233" s="90" t="s">
        <v>663</v>
      </c>
      <c r="E1233" s="90" t="s">
        <v>671</v>
      </c>
      <c r="F1233" s="90" t="s">
        <v>697</v>
      </c>
      <c r="G1233" s="93">
        <v>2516.8000000000002</v>
      </c>
      <c r="H1233" s="92"/>
      <c r="I1233" s="92"/>
      <c r="J1233" s="92"/>
      <c r="K1233" s="92"/>
      <c r="L1233" s="93">
        <v>2516.8000000000002</v>
      </c>
      <c r="M1233" s="92"/>
      <c r="N1233" s="92"/>
      <c r="O1233" s="92"/>
      <c r="P1233" s="92"/>
      <c r="Q1233" s="92"/>
      <c r="R1233" s="92"/>
      <c r="S1233" s="92"/>
      <c r="T1233" s="92"/>
      <c r="U1233" s="92"/>
      <c r="V1233" s="92"/>
      <c r="W1233" s="92"/>
      <c r="X1233" s="92"/>
      <c r="Y1233" s="92"/>
      <c r="Z1233" s="92"/>
      <c r="AA1233" s="92"/>
      <c r="AB1233" s="92"/>
      <c r="AC1233" s="92"/>
      <c r="AD1233" s="93">
        <v>144.53</v>
      </c>
      <c r="AE1233" s="92"/>
      <c r="AF1233" s="92"/>
      <c r="AG1233" s="93">
        <v>2661.33</v>
      </c>
      <c r="AH1233" s="93">
        <v>0</v>
      </c>
    </row>
    <row r="1234" spans="1:34" ht="15.75" thickBot="1" x14ac:dyDescent="0.3">
      <c r="A1234" s="90" t="s">
        <v>999</v>
      </c>
      <c r="B1234" s="90" t="s">
        <v>933</v>
      </c>
      <c r="C1234" s="90" t="s">
        <v>1005</v>
      </c>
      <c r="D1234" s="90" t="s">
        <v>663</v>
      </c>
      <c r="E1234" s="90" t="s">
        <v>524</v>
      </c>
      <c r="F1234" s="90" t="s">
        <v>686</v>
      </c>
      <c r="G1234" s="95">
        <v>35750</v>
      </c>
      <c r="H1234" s="94"/>
      <c r="I1234" s="95">
        <v>35750</v>
      </c>
      <c r="J1234" s="94"/>
      <c r="K1234" s="94"/>
      <c r="L1234" s="94"/>
      <c r="M1234" s="94"/>
      <c r="N1234" s="94"/>
      <c r="O1234" s="94"/>
      <c r="P1234" s="94"/>
      <c r="Q1234" s="94"/>
      <c r="R1234" s="94"/>
      <c r="S1234" s="94"/>
      <c r="T1234" s="94"/>
      <c r="U1234" s="94"/>
      <c r="V1234" s="94"/>
      <c r="W1234" s="94"/>
      <c r="X1234" s="94"/>
      <c r="Y1234" s="94"/>
      <c r="Z1234" s="94"/>
      <c r="AA1234" s="94"/>
      <c r="AB1234" s="94"/>
      <c r="AC1234" s="94"/>
      <c r="AD1234" s="95">
        <v>1773.42</v>
      </c>
      <c r="AE1234" s="94"/>
      <c r="AF1234" s="94"/>
      <c r="AG1234" s="95">
        <v>37523.42</v>
      </c>
      <c r="AH1234" s="95">
        <v>0</v>
      </c>
    </row>
    <row r="1235" spans="1:34" ht="15.75" thickBot="1" x14ac:dyDescent="0.3">
      <c r="A1235" s="90" t="s">
        <v>999</v>
      </c>
      <c r="B1235" s="90" t="s">
        <v>933</v>
      </c>
      <c r="C1235" s="90" t="s">
        <v>1005</v>
      </c>
      <c r="D1235" s="90" t="s">
        <v>663</v>
      </c>
      <c r="E1235" s="90" t="s">
        <v>524</v>
      </c>
      <c r="F1235" s="90" t="s">
        <v>697</v>
      </c>
      <c r="G1235" s="93">
        <v>35750</v>
      </c>
      <c r="H1235" s="92"/>
      <c r="I1235" s="93">
        <v>35750</v>
      </c>
      <c r="J1235" s="92"/>
      <c r="K1235" s="92"/>
      <c r="L1235" s="92"/>
      <c r="M1235" s="92"/>
      <c r="N1235" s="92"/>
      <c r="O1235" s="92"/>
      <c r="P1235" s="92"/>
      <c r="Q1235" s="92"/>
      <c r="R1235" s="92"/>
      <c r="S1235" s="92"/>
      <c r="T1235" s="92"/>
      <c r="U1235" s="92"/>
      <c r="V1235" s="92"/>
      <c r="W1235" s="92"/>
      <c r="X1235" s="92"/>
      <c r="Y1235" s="92"/>
      <c r="Z1235" s="92"/>
      <c r="AA1235" s="92"/>
      <c r="AB1235" s="92"/>
      <c r="AC1235" s="92"/>
      <c r="AD1235" s="93">
        <v>1773.42</v>
      </c>
      <c r="AE1235" s="92"/>
      <c r="AF1235" s="92"/>
      <c r="AG1235" s="93">
        <v>37523.42</v>
      </c>
      <c r="AH1235" s="93">
        <v>0</v>
      </c>
    </row>
    <row r="1236" spans="1:34" ht="15.75" thickBot="1" x14ac:dyDescent="0.3">
      <c r="A1236" s="90" t="s">
        <v>999</v>
      </c>
      <c r="B1236" s="90" t="s">
        <v>933</v>
      </c>
      <c r="C1236" s="90" t="s">
        <v>1005</v>
      </c>
      <c r="D1236" s="90" t="s">
        <v>663</v>
      </c>
      <c r="E1236" s="90" t="s">
        <v>676</v>
      </c>
      <c r="F1236" s="90" t="s">
        <v>686</v>
      </c>
      <c r="G1236" s="95">
        <v>533.41999999999996</v>
      </c>
      <c r="H1236" s="94"/>
      <c r="I1236" s="94"/>
      <c r="J1236" s="94"/>
      <c r="K1236" s="94"/>
      <c r="L1236" s="94"/>
      <c r="M1236" s="94"/>
      <c r="N1236" s="94"/>
      <c r="O1236" s="94"/>
      <c r="P1236" s="94"/>
      <c r="Q1236" s="94"/>
      <c r="R1236" s="94"/>
      <c r="S1236" s="94"/>
      <c r="T1236" s="94"/>
      <c r="U1236" s="95">
        <v>533.41999999999996</v>
      </c>
      <c r="V1236" s="94"/>
      <c r="W1236" s="94"/>
      <c r="X1236" s="94"/>
      <c r="Y1236" s="94"/>
      <c r="Z1236" s="94"/>
      <c r="AA1236" s="94"/>
      <c r="AB1236" s="94"/>
      <c r="AC1236" s="94"/>
      <c r="AD1236" s="95">
        <v>32.01</v>
      </c>
      <c r="AE1236" s="94"/>
      <c r="AF1236" s="94"/>
      <c r="AG1236" s="95">
        <v>565.42999999999995</v>
      </c>
      <c r="AH1236" s="95">
        <v>0</v>
      </c>
    </row>
    <row r="1237" spans="1:34" ht="15.75" thickBot="1" x14ac:dyDescent="0.3">
      <c r="A1237" s="90" t="s">
        <v>999</v>
      </c>
      <c r="B1237" s="90" t="s">
        <v>933</v>
      </c>
      <c r="C1237" s="90" t="s">
        <v>1005</v>
      </c>
      <c r="D1237" s="90" t="s">
        <v>663</v>
      </c>
      <c r="E1237" s="90" t="s">
        <v>676</v>
      </c>
      <c r="F1237" s="90" t="s">
        <v>697</v>
      </c>
      <c r="G1237" s="93">
        <v>533.41999999999996</v>
      </c>
      <c r="H1237" s="92"/>
      <c r="I1237" s="92"/>
      <c r="J1237" s="92"/>
      <c r="K1237" s="92"/>
      <c r="L1237" s="92"/>
      <c r="M1237" s="92"/>
      <c r="N1237" s="92"/>
      <c r="O1237" s="92"/>
      <c r="P1237" s="92"/>
      <c r="Q1237" s="92"/>
      <c r="R1237" s="92"/>
      <c r="S1237" s="92"/>
      <c r="T1237" s="92"/>
      <c r="U1237" s="93">
        <v>533.41999999999996</v>
      </c>
      <c r="V1237" s="92"/>
      <c r="W1237" s="92"/>
      <c r="X1237" s="92"/>
      <c r="Y1237" s="92"/>
      <c r="Z1237" s="92"/>
      <c r="AA1237" s="92"/>
      <c r="AB1237" s="92"/>
      <c r="AC1237" s="92"/>
      <c r="AD1237" s="93">
        <v>32.01</v>
      </c>
      <c r="AE1237" s="92"/>
      <c r="AF1237" s="92"/>
      <c r="AG1237" s="93">
        <v>565.42999999999995</v>
      </c>
      <c r="AH1237" s="93">
        <v>0</v>
      </c>
    </row>
    <row r="1238" spans="1:34" ht="15.75" thickBot="1" x14ac:dyDescent="0.3">
      <c r="A1238" s="90" t="s">
        <v>999</v>
      </c>
      <c r="B1238" s="90" t="s">
        <v>933</v>
      </c>
      <c r="C1238" s="90" t="s">
        <v>1005</v>
      </c>
      <c r="D1238" s="90" t="s">
        <v>663</v>
      </c>
      <c r="E1238" s="90" t="s">
        <v>677</v>
      </c>
      <c r="F1238" s="90" t="s">
        <v>686</v>
      </c>
      <c r="G1238" s="95">
        <v>584.42999999999995</v>
      </c>
      <c r="H1238" s="94"/>
      <c r="I1238" s="94"/>
      <c r="J1238" s="94"/>
      <c r="K1238" s="94"/>
      <c r="L1238" s="94"/>
      <c r="M1238" s="94"/>
      <c r="N1238" s="94"/>
      <c r="O1238" s="94"/>
      <c r="P1238" s="94"/>
      <c r="Q1238" s="94"/>
      <c r="R1238" s="94"/>
      <c r="S1238" s="94"/>
      <c r="T1238" s="94"/>
      <c r="U1238" s="94"/>
      <c r="V1238" s="95">
        <v>584.42999999999995</v>
      </c>
      <c r="W1238" s="94"/>
      <c r="X1238" s="94"/>
      <c r="Y1238" s="94"/>
      <c r="Z1238" s="94"/>
      <c r="AA1238" s="94"/>
      <c r="AB1238" s="94"/>
      <c r="AC1238" s="94"/>
      <c r="AD1238" s="95">
        <v>35.06</v>
      </c>
      <c r="AE1238" s="94"/>
      <c r="AF1238" s="94"/>
      <c r="AG1238" s="95">
        <v>619.49</v>
      </c>
      <c r="AH1238" s="95">
        <v>0</v>
      </c>
    </row>
    <row r="1239" spans="1:34" ht="15.75" thickBot="1" x14ac:dyDescent="0.3">
      <c r="A1239" s="90" t="s">
        <v>999</v>
      </c>
      <c r="B1239" s="90" t="s">
        <v>933</v>
      </c>
      <c r="C1239" s="90" t="s">
        <v>1005</v>
      </c>
      <c r="D1239" s="90" t="s">
        <v>663</v>
      </c>
      <c r="E1239" s="90" t="s">
        <v>677</v>
      </c>
      <c r="F1239" s="90" t="s">
        <v>697</v>
      </c>
      <c r="G1239" s="93">
        <v>584.42999999999995</v>
      </c>
      <c r="H1239" s="92"/>
      <c r="I1239" s="92"/>
      <c r="J1239" s="92"/>
      <c r="K1239" s="92"/>
      <c r="L1239" s="92"/>
      <c r="M1239" s="92"/>
      <c r="N1239" s="92"/>
      <c r="O1239" s="92"/>
      <c r="P1239" s="92"/>
      <c r="Q1239" s="92"/>
      <c r="R1239" s="92"/>
      <c r="S1239" s="92"/>
      <c r="T1239" s="92"/>
      <c r="U1239" s="92"/>
      <c r="V1239" s="93">
        <v>584.42999999999995</v>
      </c>
      <c r="W1239" s="92"/>
      <c r="X1239" s="92"/>
      <c r="Y1239" s="92"/>
      <c r="Z1239" s="92"/>
      <c r="AA1239" s="92"/>
      <c r="AB1239" s="92"/>
      <c r="AC1239" s="92"/>
      <c r="AD1239" s="93">
        <v>35.06</v>
      </c>
      <c r="AE1239" s="92"/>
      <c r="AF1239" s="92"/>
      <c r="AG1239" s="93">
        <v>619.49</v>
      </c>
      <c r="AH1239" s="93">
        <v>0</v>
      </c>
    </row>
    <row r="1240" spans="1:34" ht="15.75" thickBot="1" x14ac:dyDescent="0.3">
      <c r="A1240" s="90" t="s">
        <v>999</v>
      </c>
      <c r="B1240" s="90" t="s">
        <v>933</v>
      </c>
      <c r="C1240" s="90" t="s">
        <v>1005</v>
      </c>
      <c r="D1240" s="90" t="s">
        <v>662</v>
      </c>
      <c r="E1240" s="90" t="s">
        <v>518</v>
      </c>
      <c r="F1240" s="90" t="s">
        <v>686</v>
      </c>
      <c r="G1240" s="95">
        <v>8296.75</v>
      </c>
      <c r="H1240" s="95">
        <v>192858</v>
      </c>
      <c r="I1240" s="94"/>
      <c r="J1240" s="94"/>
      <c r="K1240" s="95">
        <v>8296.75</v>
      </c>
      <c r="L1240" s="94"/>
      <c r="M1240" s="94"/>
      <c r="N1240" s="94"/>
      <c r="O1240" s="94"/>
      <c r="P1240" s="94"/>
      <c r="Q1240" s="94"/>
      <c r="R1240" s="94"/>
      <c r="S1240" s="94"/>
      <c r="T1240" s="94"/>
      <c r="U1240" s="94"/>
      <c r="V1240" s="94"/>
      <c r="W1240" s="94"/>
      <c r="X1240" s="94"/>
      <c r="Y1240" s="94"/>
      <c r="Z1240" s="94"/>
      <c r="AA1240" s="94"/>
      <c r="AB1240" s="94"/>
      <c r="AC1240" s="94"/>
      <c r="AD1240" s="95">
        <v>0</v>
      </c>
      <c r="AE1240" s="94"/>
      <c r="AF1240" s="94"/>
      <c r="AG1240" s="95">
        <v>8296.75</v>
      </c>
      <c r="AH1240" s="95">
        <v>0</v>
      </c>
    </row>
    <row r="1241" spans="1:34" ht="15.75" thickBot="1" x14ac:dyDescent="0.3">
      <c r="A1241" s="90" t="s">
        <v>999</v>
      </c>
      <c r="B1241" s="90" t="s">
        <v>933</v>
      </c>
      <c r="C1241" s="90" t="s">
        <v>1005</v>
      </c>
      <c r="D1241" s="90" t="s">
        <v>662</v>
      </c>
      <c r="E1241" s="90" t="s">
        <v>518</v>
      </c>
      <c r="F1241" s="90" t="s">
        <v>697</v>
      </c>
      <c r="G1241" s="93">
        <v>8296.75</v>
      </c>
      <c r="H1241" s="304">
        <v>192858</v>
      </c>
      <c r="I1241" s="92"/>
      <c r="J1241" s="92"/>
      <c r="K1241" s="93">
        <v>8296.75</v>
      </c>
      <c r="L1241" s="92"/>
      <c r="M1241" s="92"/>
      <c r="N1241" s="92"/>
      <c r="O1241" s="92"/>
      <c r="P1241" s="92"/>
      <c r="Q1241" s="92"/>
      <c r="R1241" s="92"/>
      <c r="S1241" s="92"/>
      <c r="T1241" s="92"/>
      <c r="U1241" s="92"/>
      <c r="V1241" s="92"/>
      <c r="W1241" s="92"/>
      <c r="X1241" s="92"/>
      <c r="Y1241" s="92"/>
      <c r="Z1241" s="92"/>
      <c r="AA1241" s="92"/>
      <c r="AB1241" s="92"/>
      <c r="AC1241" s="92"/>
      <c r="AD1241" s="93">
        <v>0</v>
      </c>
      <c r="AE1241" s="92"/>
      <c r="AF1241" s="92"/>
      <c r="AG1241" s="93">
        <v>8296.75</v>
      </c>
      <c r="AH1241" s="93">
        <v>0</v>
      </c>
    </row>
    <row r="1242" spans="1:34" ht="15.75" thickBot="1" x14ac:dyDescent="0.3">
      <c r="A1242" s="90" t="s">
        <v>999</v>
      </c>
      <c r="B1242" s="90" t="s">
        <v>933</v>
      </c>
      <c r="C1242" s="90" t="s">
        <v>1005</v>
      </c>
      <c r="D1242" s="90" t="s">
        <v>662</v>
      </c>
      <c r="E1242" s="90" t="s">
        <v>524</v>
      </c>
      <c r="F1242" s="90" t="s">
        <v>686</v>
      </c>
      <c r="G1242" s="95">
        <v>550</v>
      </c>
      <c r="H1242" s="94"/>
      <c r="I1242" s="95">
        <v>550</v>
      </c>
      <c r="J1242" s="94"/>
      <c r="K1242" s="94"/>
      <c r="L1242" s="94"/>
      <c r="M1242" s="94"/>
      <c r="N1242" s="94"/>
      <c r="O1242" s="94"/>
      <c r="P1242" s="94"/>
      <c r="Q1242" s="94"/>
      <c r="R1242" s="94"/>
      <c r="S1242" s="94"/>
      <c r="T1242" s="94"/>
      <c r="U1242" s="94"/>
      <c r="V1242" s="94"/>
      <c r="W1242" s="94"/>
      <c r="X1242" s="94"/>
      <c r="Y1242" s="94"/>
      <c r="Z1242" s="94"/>
      <c r="AA1242" s="94"/>
      <c r="AB1242" s="94"/>
      <c r="AC1242" s="94"/>
      <c r="AD1242" s="95">
        <v>0</v>
      </c>
      <c r="AE1242" s="94"/>
      <c r="AF1242" s="94"/>
      <c r="AG1242" s="95">
        <v>550</v>
      </c>
      <c r="AH1242" s="95">
        <v>0</v>
      </c>
    </row>
    <row r="1243" spans="1:34" ht="15.75" thickBot="1" x14ac:dyDescent="0.3">
      <c r="A1243" s="90" t="s">
        <v>999</v>
      </c>
      <c r="B1243" s="90" t="s">
        <v>933</v>
      </c>
      <c r="C1243" s="90" t="s">
        <v>1005</v>
      </c>
      <c r="D1243" s="90" t="s">
        <v>662</v>
      </c>
      <c r="E1243" s="90" t="s">
        <v>524</v>
      </c>
      <c r="F1243" s="90" t="s">
        <v>697</v>
      </c>
      <c r="G1243" s="93">
        <v>550</v>
      </c>
      <c r="H1243" s="92"/>
      <c r="I1243" s="93">
        <v>550</v>
      </c>
      <c r="J1243" s="92"/>
      <c r="K1243" s="92"/>
      <c r="L1243" s="92"/>
      <c r="M1243" s="92"/>
      <c r="N1243" s="92"/>
      <c r="O1243" s="92"/>
      <c r="P1243" s="92"/>
      <c r="Q1243" s="92"/>
      <c r="R1243" s="92"/>
      <c r="S1243" s="92"/>
      <c r="T1243" s="92"/>
      <c r="U1243" s="92"/>
      <c r="V1243" s="92"/>
      <c r="W1243" s="92"/>
      <c r="X1243" s="92"/>
      <c r="Y1243" s="92"/>
      <c r="Z1243" s="92"/>
      <c r="AA1243" s="92"/>
      <c r="AB1243" s="92"/>
      <c r="AC1243" s="92"/>
      <c r="AD1243" s="93">
        <v>0</v>
      </c>
      <c r="AE1243" s="92"/>
      <c r="AF1243" s="92"/>
      <c r="AG1243" s="93">
        <v>550</v>
      </c>
      <c r="AH1243" s="93">
        <v>0</v>
      </c>
    </row>
    <row r="1244" spans="1:34" ht="15.75" thickBot="1" x14ac:dyDescent="0.3">
      <c r="A1244" s="90" t="s">
        <v>999</v>
      </c>
      <c r="B1244" s="90" t="s">
        <v>54</v>
      </c>
      <c r="C1244" s="90" t="s">
        <v>55</v>
      </c>
      <c r="D1244" s="90" t="s">
        <v>663</v>
      </c>
      <c r="E1244" s="90" t="s">
        <v>525</v>
      </c>
      <c r="F1244" s="90" t="s">
        <v>690</v>
      </c>
      <c r="G1244" s="95">
        <v>-3887.73</v>
      </c>
      <c r="H1244" s="94"/>
      <c r="I1244" s="94"/>
      <c r="J1244" s="94"/>
      <c r="K1244" s="94"/>
      <c r="L1244" s="94"/>
      <c r="M1244" s="94"/>
      <c r="N1244" s="94"/>
      <c r="O1244" s="94"/>
      <c r="P1244" s="94"/>
      <c r="Q1244" s="94"/>
      <c r="R1244" s="95">
        <v>-3887.73</v>
      </c>
      <c r="S1244" s="94"/>
      <c r="T1244" s="94"/>
      <c r="U1244" s="94"/>
      <c r="V1244" s="94"/>
      <c r="W1244" s="94"/>
      <c r="X1244" s="94"/>
      <c r="Y1244" s="94"/>
      <c r="Z1244" s="94"/>
      <c r="AA1244" s="94"/>
      <c r="AB1244" s="94"/>
      <c r="AC1244" s="94"/>
      <c r="AD1244" s="95">
        <v>335.64</v>
      </c>
      <c r="AE1244" s="94"/>
      <c r="AF1244" s="94"/>
      <c r="AG1244" s="95">
        <v>-3552.09</v>
      </c>
      <c r="AH1244" s="95">
        <v>0</v>
      </c>
    </row>
    <row r="1245" spans="1:34" ht="15.75" thickBot="1" x14ac:dyDescent="0.3">
      <c r="A1245" s="90" t="s">
        <v>999</v>
      </c>
      <c r="B1245" s="90" t="s">
        <v>54</v>
      </c>
      <c r="C1245" s="90" t="s">
        <v>55</v>
      </c>
      <c r="D1245" s="90" t="s">
        <v>663</v>
      </c>
      <c r="E1245" s="90" t="s">
        <v>525</v>
      </c>
      <c r="F1245" s="90" t="s">
        <v>697</v>
      </c>
      <c r="G1245" s="93">
        <v>-3887.73</v>
      </c>
      <c r="H1245" s="92"/>
      <c r="I1245" s="92"/>
      <c r="J1245" s="92"/>
      <c r="K1245" s="92"/>
      <c r="L1245" s="92"/>
      <c r="M1245" s="92"/>
      <c r="N1245" s="92"/>
      <c r="O1245" s="92"/>
      <c r="P1245" s="92"/>
      <c r="Q1245" s="92"/>
      <c r="R1245" s="93">
        <v>-3887.73</v>
      </c>
      <c r="S1245" s="92"/>
      <c r="T1245" s="92"/>
      <c r="U1245" s="92"/>
      <c r="V1245" s="92"/>
      <c r="W1245" s="92"/>
      <c r="X1245" s="92"/>
      <c r="Y1245" s="92"/>
      <c r="Z1245" s="92"/>
      <c r="AA1245" s="92"/>
      <c r="AB1245" s="92"/>
      <c r="AC1245" s="92"/>
      <c r="AD1245" s="93">
        <v>335.64</v>
      </c>
      <c r="AE1245" s="92"/>
      <c r="AF1245" s="92"/>
      <c r="AG1245" s="93">
        <v>-3552.09</v>
      </c>
      <c r="AH1245" s="93">
        <v>0</v>
      </c>
    </row>
    <row r="1246" spans="1:34" ht="15.75" thickBot="1" x14ac:dyDescent="0.3">
      <c r="A1246" s="90" t="s">
        <v>999</v>
      </c>
      <c r="B1246" s="90" t="s">
        <v>54</v>
      </c>
      <c r="C1246" s="90" t="s">
        <v>55</v>
      </c>
      <c r="D1246" s="90" t="s">
        <v>663</v>
      </c>
      <c r="E1246" s="90" t="s">
        <v>527</v>
      </c>
      <c r="F1246" s="90" t="s">
        <v>690</v>
      </c>
      <c r="G1246" s="95">
        <v>89253.52</v>
      </c>
      <c r="H1246" s="94"/>
      <c r="I1246" s="94"/>
      <c r="J1246" s="94"/>
      <c r="K1246" s="94"/>
      <c r="L1246" s="94"/>
      <c r="M1246" s="94"/>
      <c r="N1246" s="94"/>
      <c r="O1246" s="94"/>
      <c r="P1246" s="94"/>
      <c r="Q1246" s="94"/>
      <c r="R1246" s="94"/>
      <c r="S1246" s="95">
        <v>89253.52</v>
      </c>
      <c r="T1246" s="94"/>
      <c r="U1246" s="94"/>
      <c r="V1246" s="94"/>
      <c r="W1246" s="94"/>
      <c r="X1246" s="94"/>
      <c r="Y1246" s="94"/>
      <c r="Z1246" s="94"/>
      <c r="AA1246" s="94"/>
      <c r="AB1246" s="94"/>
      <c r="AC1246" s="94"/>
      <c r="AD1246" s="95">
        <v>883.04</v>
      </c>
      <c r="AE1246" s="94"/>
      <c r="AF1246" s="94"/>
      <c r="AG1246" s="95">
        <v>90136.56</v>
      </c>
      <c r="AH1246" s="95">
        <v>0</v>
      </c>
    </row>
    <row r="1247" spans="1:34" ht="15.75" thickBot="1" x14ac:dyDescent="0.3">
      <c r="A1247" s="90" t="s">
        <v>999</v>
      </c>
      <c r="B1247" s="90" t="s">
        <v>54</v>
      </c>
      <c r="C1247" s="90" t="s">
        <v>55</v>
      </c>
      <c r="D1247" s="90" t="s">
        <v>663</v>
      </c>
      <c r="E1247" s="90" t="s">
        <v>527</v>
      </c>
      <c r="F1247" s="90" t="s">
        <v>697</v>
      </c>
      <c r="G1247" s="93">
        <v>89253.52</v>
      </c>
      <c r="H1247" s="92"/>
      <c r="I1247" s="92"/>
      <c r="J1247" s="92"/>
      <c r="K1247" s="92"/>
      <c r="L1247" s="92"/>
      <c r="M1247" s="92"/>
      <c r="N1247" s="92"/>
      <c r="O1247" s="92"/>
      <c r="P1247" s="92"/>
      <c r="Q1247" s="92"/>
      <c r="R1247" s="92"/>
      <c r="S1247" s="93">
        <v>89253.52</v>
      </c>
      <c r="T1247" s="92"/>
      <c r="U1247" s="92"/>
      <c r="V1247" s="92"/>
      <c r="W1247" s="92"/>
      <c r="X1247" s="92"/>
      <c r="Y1247" s="92"/>
      <c r="Z1247" s="92"/>
      <c r="AA1247" s="92"/>
      <c r="AB1247" s="92"/>
      <c r="AC1247" s="92"/>
      <c r="AD1247" s="93">
        <v>883.04</v>
      </c>
      <c r="AE1247" s="92"/>
      <c r="AF1247" s="92"/>
      <c r="AG1247" s="93">
        <v>90136.56</v>
      </c>
      <c r="AH1247" s="93">
        <v>0</v>
      </c>
    </row>
    <row r="1248" spans="1:34" ht="15.75" thickBot="1" x14ac:dyDescent="0.3">
      <c r="A1248" s="90" t="s">
        <v>999</v>
      </c>
      <c r="B1248" s="90" t="s">
        <v>54</v>
      </c>
      <c r="C1248" s="90" t="s">
        <v>55</v>
      </c>
      <c r="D1248" s="90" t="s">
        <v>663</v>
      </c>
      <c r="E1248" s="90" t="s">
        <v>524</v>
      </c>
      <c r="F1248" s="90" t="s">
        <v>522</v>
      </c>
      <c r="G1248" s="95">
        <v>8925</v>
      </c>
      <c r="H1248" s="94"/>
      <c r="I1248" s="95">
        <v>8925</v>
      </c>
      <c r="J1248" s="94"/>
      <c r="K1248" s="94"/>
      <c r="L1248" s="94"/>
      <c r="M1248" s="94"/>
      <c r="N1248" s="94"/>
      <c r="O1248" s="94"/>
      <c r="P1248" s="94"/>
      <c r="Q1248" s="94"/>
      <c r="R1248" s="94"/>
      <c r="S1248" s="94"/>
      <c r="T1248" s="94"/>
      <c r="U1248" s="94"/>
      <c r="V1248" s="94"/>
      <c r="W1248" s="94"/>
      <c r="X1248" s="94"/>
      <c r="Y1248" s="94"/>
      <c r="Z1248" s="94"/>
      <c r="AA1248" s="94"/>
      <c r="AB1248" s="94"/>
      <c r="AC1248" s="94"/>
      <c r="AD1248" s="95">
        <v>9</v>
      </c>
      <c r="AE1248" s="94"/>
      <c r="AF1248" s="94"/>
      <c r="AG1248" s="95">
        <v>8934</v>
      </c>
      <c r="AH1248" s="95">
        <v>0</v>
      </c>
    </row>
    <row r="1249" spans="1:34" ht="15.75" thickBot="1" x14ac:dyDescent="0.3">
      <c r="A1249" s="90" t="s">
        <v>999</v>
      </c>
      <c r="B1249" s="90" t="s">
        <v>54</v>
      </c>
      <c r="C1249" s="90" t="s">
        <v>55</v>
      </c>
      <c r="D1249" s="90" t="s">
        <v>663</v>
      </c>
      <c r="E1249" s="90" t="s">
        <v>524</v>
      </c>
      <c r="F1249" s="90" t="s">
        <v>697</v>
      </c>
      <c r="G1249" s="93">
        <v>8925</v>
      </c>
      <c r="H1249" s="92"/>
      <c r="I1249" s="93">
        <v>8925</v>
      </c>
      <c r="J1249" s="92"/>
      <c r="K1249" s="92"/>
      <c r="L1249" s="92"/>
      <c r="M1249" s="92"/>
      <c r="N1249" s="92"/>
      <c r="O1249" s="92"/>
      <c r="P1249" s="92"/>
      <c r="Q1249" s="92"/>
      <c r="R1249" s="92"/>
      <c r="S1249" s="92"/>
      <c r="T1249" s="92"/>
      <c r="U1249" s="92"/>
      <c r="V1249" s="92"/>
      <c r="W1249" s="92"/>
      <c r="X1249" s="92"/>
      <c r="Y1249" s="92"/>
      <c r="Z1249" s="92"/>
      <c r="AA1249" s="92"/>
      <c r="AB1249" s="92"/>
      <c r="AC1249" s="92"/>
      <c r="AD1249" s="93">
        <v>9</v>
      </c>
      <c r="AE1249" s="92"/>
      <c r="AF1249" s="92"/>
      <c r="AG1249" s="93">
        <v>8934</v>
      </c>
      <c r="AH1249" s="93">
        <v>0</v>
      </c>
    </row>
    <row r="1250" spans="1:34" ht="15.75" thickBot="1" x14ac:dyDescent="0.3">
      <c r="A1250" s="90" t="s">
        <v>999</v>
      </c>
      <c r="B1250" s="90" t="s">
        <v>54</v>
      </c>
      <c r="C1250" s="90" t="s">
        <v>55</v>
      </c>
      <c r="D1250" s="90" t="s">
        <v>663</v>
      </c>
      <c r="E1250" s="90" t="s">
        <v>676</v>
      </c>
      <c r="F1250" s="90" t="s">
        <v>522</v>
      </c>
      <c r="G1250" s="95">
        <v>17205.259999999998</v>
      </c>
      <c r="H1250" s="94"/>
      <c r="I1250" s="94"/>
      <c r="J1250" s="94"/>
      <c r="K1250" s="94"/>
      <c r="L1250" s="94"/>
      <c r="M1250" s="94"/>
      <c r="N1250" s="94"/>
      <c r="O1250" s="94"/>
      <c r="P1250" s="94"/>
      <c r="Q1250" s="94"/>
      <c r="R1250" s="94"/>
      <c r="S1250" s="94"/>
      <c r="T1250" s="94"/>
      <c r="U1250" s="95">
        <v>17205.259999999998</v>
      </c>
      <c r="V1250" s="94"/>
      <c r="W1250" s="94"/>
      <c r="X1250" s="94"/>
      <c r="Y1250" s="94"/>
      <c r="Z1250" s="94"/>
      <c r="AA1250" s="94"/>
      <c r="AB1250" s="94"/>
      <c r="AC1250" s="94"/>
      <c r="AD1250" s="95">
        <v>182.6</v>
      </c>
      <c r="AE1250" s="94"/>
      <c r="AF1250" s="94"/>
      <c r="AG1250" s="95">
        <v>17387.86</v>
      </c>
      <c r="AH1250" s="95">
        <v>0</v>
      </c>
    </row>
    <row r="1251" spans="1:34" ht="15.75" thickBot="1" x14ac:dyDescent="0.3">
      <c r="A1251" s="90" t="s">
        <v>999</v>
      </c>
      <c r="B1251" s="90" t="s">
        <v>54</v>
      </c>
      <c r="C1251" s="90" t="s">
        <v>55</v>
      </c>
      <c r="D1251" s="90" t="s">
        <v>663</v>
      </c>
      <c r="E1251" s="90" t="s">
        <v>676</v>
      </c>
      <c r="F1251" s="90" t="s">
        <v>697</v>
      </c>
      <c r="G1251" s="93">
        <v>17205.259999999998</v>
      </c>
      <c r="H1251" s="92"/>
      <c r="I1251" s="92"/>
      <c r="J1251" s="92"/>
      <c r="K1251" s="92"/>
      <c r="L1251" s="92"/>
      <c r="M1251" s="92"/>
      <c r="N1251" s="92"/>
      <c r="O1251" s="92"/>
      <c r="P1251" s="92"/>
      <c r="Q1251" s="92"/>
      <c r="R1251" s="92"/>
      <c r="S1251" s="92"/>
      <c r="T1251" s="92"/>
      <c r="U1251" s="93">
        <v>17205.259999999998</v>
      </c>
      <c r="V1251" s="92"/>
      <c r="W1251" s="92"/>
      <c r="X1251" s="92"/>
      <c r="Y1251" s="92"/>
      <c r="Z1251" s="92"/>
      <c r="AA1251" s="92"/>
      <c r="AB1251" s="92"/>
      <c r="AC1251" s="92"/>
      <c r="AD1251" s="93">
        <v>182.6</v>
      </c>
      <c r="AE1251" s="92"/>
      <c r="AF1251" s="92"/>
      <c r="AG1251" s="93">
        <v>17387.86</v>
      </c>
      <c r="AH1251" s="93">
        <v>0</v>
      </c>
    </row>
    <row r="1252" spans="1:34" ht="15.75" thickBot="1" x14ac:dyDescent="0.3">
      <c r="A1252" s="90" t="s">
        <v>999</v>
      </c>
      <c r="B1252" s="90" t="s">
        <v>54</v>
      </c>
      <c r="C1252" s="90" t="s">
        <v>55</v>
      </c>
      <c r="D1252" s="90" t="s">
        <v>663</v>
      </c>
      <c r="E1252" s="90" t="s">
        <v>677</v>
      </c>
      <c r="F1252" s="90" t="s">
        <v>522</v>
      </c>
      <c r="G1252" s="95">
        <v>18850.72</v>
      </c>
      <c r="H1252" s="94"/>
      <c r="I1252" s="94"/>
      <c r="J1252" s="94"/>
      <c r="K1252" s="94"/>
      <c r="L1252" s="94"/>
      <c r="M1252" s="94"/>
      <c r="N1252" s="94"/>
      <c r="O1252" s="94"/>
      <c r="P1252" s="94"/>
      <c r="Q1252" s="94"/>
      <c r="R1252" s="94"/>
      <c r="S1252" s="94"/>
      <c r="T1252" s="94"/>
      <c r="U1252" s="94"/>
      <c r="V1252" s="95">
        <v>18850.72</v>
      </c>
      <c r="W1252" s="94"/>
      <c r="X1252" s="94"/>
      <c r="Y1252" s="94"/>
      <c r="Z1252" s="94"/>
      <c r="AA1252" s="94"/>
      <c r="AB1252" s="94"/>
      <c r="AC1252" s="94"/>
      <c r="AD1252" s="95">
        <v>200.06</v>
      </c>
      <c r="AE1252" s="94"/>
      <c r="AF1252" s="94"/>
      <c r="AG1252" s="95">
        <v>19050.78</v>
      </c>
      <c r="AH1252" s="95">
        <v>0</v>
      </c>
    </row>
    <row r="1253" spans="1:34" ht="15.75" thickBot="1" x14ac:dyDescent="0.3">
      <c r="A1253" s="90" t="s">
        <v>999</v>
      </c>
      <c r="B1253" s="90" t="s">
        <v>54</v>
      </c>
      <c r="C1253" s="90" t="s">
        <v>55</v>
      </c>
      <c r="D1253" s="90" t="s">
        <v>663</v>
      </c>
      <c r="E1253" s="90" t="s">
        <v>677</v>
      </c>
      <c r="F1253" s="90" t="s">
        <v>697</v>
      </c>
      <c r="G1253" s="93">
        <v>18850.72</v>
      </c>
      <c r="H1253" s="92"/>
      <c r="I1253" s="92"/>
      <c r="J1253" s="92"/>
      <c r="K1253" s="92"/>
      <c r="L1253" s="92"/>
      <c r="M1253" s="92"/>
      <c r="N1253" s="92"/>
      <c r="O1253" s="92"/>
      <c r="P1253" s="92"/>
      <c r="Q1253" s="92"/>
      <c r="R1253" s="92"/>
      <c r="S1253" s="92"/>
      <c r="T1253" s="92"/>
      <c r="U1253" s="92"/>
      <c r="V1253" s="93">
        <v>18850.72</v>
      </c>
      <c r="W1253" s="92"/>
      <c r="X1253" s="92"/>
      <c r="Y1253" s="92"/>
      <c r="Z1253" s="92"/>
      <c r="AA1253" s="92"/>
      <c r="AB1253" s="92"/>
      <c r="AC1253" s="92"/>
      <c r="AD1253" s="93">
        <v>200.06</v>
      </c>
      <c r="AE1253" s="92"/>
      <c r="AF1253" s="92"/>
      <c r="AG1253" s="93">
        <v>19050.78</v>
      </c>
      <c r="AH1253" s="93">
        <v>0</v>
      </c>
    </row>
    <row r="1254" spans="1:34" ht="15.75" thickBot="1" x14ac:dyDescent="0.3">
      <c r="A1254" s="90" t="s">
        <v>999</v>
      </c>
      <c r="B1254" s="90" t="s">
        <v>45</v>
      </c>
      <c r="C1254" s="90" t="s">
        <v>46</v>
      </c>
      <c r="D1254" s="90" t="s">
        <v>165</v>
      </c>
      <c r="E1254" s="90" t="s">
        <v>528</v>
      </c>
      <c r="F1254" s="90" t="s">
        <v>698</v>
      </c>
      <c r="G1254" s="93">
        <v>180</v>
      </c>
      <c r="H1254" s="92"/>
      <c r="I1254" s="93">
        <v>180</v>
      </c>
      <c r="J1254" s="92"/>
      <c r="K1254" s="92"/>
      <c r="L1254" s="92"/>
      <c r="M1254" s="92"/>
      <c r="N1254" s="92"/>
      <c r="O1254" s="92"/>
      <c r="P1254" s="92"/>
      <c r="Q1254" s="92"/>
      <c r="R1254" s="92"/>
      <c r="S1254" s="92"/>
      <c r="T1254" s="92"/>
      <c r="U1254" s="92"/>
      <c r="V1254" s="92"/>
      <c r="W1254" s="92"/>
      <c r="X1254" s="92"/>
      <c r="Y1254" s="92"/>
      <c r="Z1254" s="92"/>
      <c r="AA1254" s="92"/>
      <c r="AB1254" s="92"/>
      <c r="AC1254" s="92"/>
      <c r="AD1254" s="93">
        <v>0</v>
      </c>
      <c r="AE1254" s="92"/>
      <c r="AF1254" s="92"/>
      <c r="AG1254" s="93">
        <v>180</v>
      </c>
      <c r="AH1254" s="93">
        <v>0</v>
      </c>
    </row>
    <row r="1255" spans="1:34" ht="15.75" thickBot="1" x14ac:dyDescent="0.3">
      <c r="A1255" s="90" t="s">
        <v>999</v>
      </c>
      <c r="B1255" s="90" t="s">
        <v>45</v>
      </c>
      <c r="C1255" s="90" t="s">
        <v>46</v>
      </c>
      <c r="D1255" s="90" t="s">
        <v>165</v>
      </c>
      <c r="E1255" s="90" t="s">
        <v>528</v>
      </c>
      <c r="F1255" s="90" t="s">
        <v>697</v>
      </c>
      <c r="G1255" s="95">
        <v>180</v>
      </c>
      <c r="H1255" s="94"/>
      <c r="I1255" s="95">
        <v>180</v>
      </c>
      <c r="J1255" s="94"/>
      <c r="K1255" s="94"/>
      <c r="L1255" s="94"/>
      <c r="M1255" s="94"/>
      <c r="N1255" s="94"/>
      <c r="O1255" s="94"/>
      <c r="P1255" s="94"/>
      <c r="Q1255" s="94"/>
      <c r="R1255" s="94"/>
      <c r="S1255" s="94"/>
      <c r="T1255" s="94"/>
      <c r="U1255" s="94"/>
      <c r="V1255" s="94"/>
      <c r="W1255" s="94"/>
      <c r="X1255" s="94"/>
      <c r="Y1255" s="94"/>
      <c r="Z1255" s="94"/>
      <c r="AA1255" s="94"/>
      <c r="AB1255" s="94"/>
      <c r="AC1255" s="94"/>
      <c r="AD1255" s="95">
        <v>0</v>
      </c>
      <c r="AE1255" s="94"/>
      <c r="AF1255" s="94"/>
      <c r="AG1255" s="95">
        <v>180</v>
      </c>
      <c r="AH1255" s="95">
        <v>0</v>
      </c>
    </row>
    <row r="1256" spans="1:34" ht="15.75" thickBot="1" x14ac:dyDescent="0.3">
      <c r="A1256" s="90" t="s">
        <v>999</v>
      </c>
      <c r="B1256" s="90" t="s">
        <v>45</v>
      </c>
      <c r="C1256" s="90" t="s">
        <v>46</v>
      </c>
      <c r="D1256" s="90" t="s">
        <v>165</v>
      </c>
      <c r="E1256" s="90" t="s">
        <v>547</v>
      </c>
      <c r="F1256" s="90" t="s">
        <v>698</v>
      </c>
      <c r="G1256" s="93">
        <v>186513.62</v>
      </c>
      <c r="H1256" s="92"/>
      <c r="I1256" s="92"/>
      <c r="J1256" s="93">
        <v>186513.62</v>
      </c>
      <c r="K1256" s="92"/>
      <c r="L1256" s="92"/>
      <c r="M1256" s="92"/>
      <c r="N1256" s="92"/>
      <c r="O1256" s="92"/>
      <c r="P1256" s="92"/>
      <c r="Q1256" s="92"/>
      <c r="R1256" s="92"/>
      <c r="S1256" s="92"/>
      <c r="T1256" s="92"/>
      <c r="U1256" s="92"/>
      <c r="V1256" s="92"/>
      <c r="W1256" s="92"/>
      <c r="X1256" s="92"/>
      <c r="Y1256" s="92"/>
      <c r="Z1256" s="92"/>
      <c r="AA1256" s="92"/>
      <c r="AB1256" s="92"/>
      <c r="AC1256" s="92"/>
      <c r="AD1256" s="93">
        <v>0</v>
      </c>
      <c r="AE1256" s="92"/>
      <c r="AF1256" s="92"/>
      <c r="AG1256" s="93">
        <v>186513.62</v>
      </c>
      <c r="AH1256" s="93">
        <v>0</v>
      </c>
    </row>
    <row r="1257" spans="1:34" ht="15.75" thickBot="1" x14ac:dyDescent="0.3">
      <c r="A1257" s="90" t="s">
        <v>999</v>
      </c>
      <c r="B1257" s="90" t="s">
        <v>45</v>
      </c>
      <c r="C1257" s="90" t="s">
        <v>46</v>
      </c>
      <c r="D1257" s="90" t="s">
        <v>165</v>
      </c>
      <c r="E1257" s="90" t="s">
        <v>547</v>
      </c>
      <c r="F1257" s="90" t="s">
        <v>697</v>
      </c>
      <c r="G1257" s="95">
        <v>186513.62</v>
      </c>
      <c r="H1257" s="94"/>
      <c r="I1257" s="94"/>
      <c r="J1257" s="95">
        <v>186513.62</v>
      </c>
      <c r="K1257" s="94"/>
      <c r="L1257" s="94"/>
      <c r="M1257" s="94"/>
      <c r="N1257" s="94"/>
      <c r="O1257" s="94"/>
      <c r="P1257" s="94"/>
      <c r="Q1257" s="94"/>
      <c r="R1257" s="94"/>
      <c r="S1257" s="94"/>
      <c r="T1257" s="94"/>
      <c r="U1257" s="94"/>
      <c r="V1257" s="94"/>
      <c r="W1257" s="94"/>
      <c r="X1257" s="94"/>
      <c r="Y1257" s="94"/>
      <c r="Z1257" s="94"/>
      <c r="AA1257" s="94"/>
      <c r="AB1257" s="94"/>
      <c r="AC1257" s="94"/>
      <c r="AD1257" s="95">
        <v>0</v>
      </c>
      <c r="AE1257" s="94"/>
      <c r="AF1257" s="94"/>
      <c r="AG1257" s="95">
        <v>186513.62</v>
      </c>
      <c r="AH1257" s="95">
        <v>0</v>
      </c>
    </row>
    <row r="1258" spans="1:34" ht="15.75" thickBot="1" x14ac:dyDescent="0.3">
      <c r="A1258" s="90" t="s">
        <v>999</v>
      </c>
      <c r="B1258" s="90" t="s">
        <v>45</v>
      </c>
      <c r="C1258" s="90" t="s">
        <v>46</v>
      </c>
      <c r="D1258" s="90" t="s">
        <v>165</v>
      </c>
      <c r="E1258" s="90" t="s">
        <v>518</v>
      </c>
      <c r="F1258" s="90" t="s">
        <v>698</v>
      </c>
      <c r="G1258" s="93">
        <v>8926.11</v>
      </c>
      <c r="H1258" s="93">
        <v>268132</v>
      </c>
      <c r="I1258" s="92"/>
      <c r="J1258" s="92"/>
      <c r="K1258" s="93">
        <v>8926.11</v>
      </c>
      <c r="L1258" s="92"/>
      <c r="M1258" s="92"/>
      <c r="N1258" s="92"/>
      <c r="O1258" s="92"/>
      <c r="P1258" s="92"/>
      <c r="Q1258" s="92"/>
      <c r="R1258" s="92"/>
      <c r="S1258" s="92"/>
      <c r="T1258" s="92"/>
      <c r="U1258" s="92"/>
      <c r="V1258" s="92"/>
      <c r="W1258" s="92"/>
      <c r="X1258" s="92"/>
      <c r="Y1258" s="92"/>
      <c r="Z1258" s="92"/>
      <c r="AA1258" s="92"/>
      <c r="AB1258" s="92"/>
      <c r="AC1258" s="92"/>
      <c r="AD1258" s="93">
        <v>0</v>
      </c>
      <c r="AE1258" s="92"/>
      <c r="AF1258" s="92"/>
      <c r="AG1258" s="93">
        <v>8926.11</v>
      </c>
      <c r="AH1258" s="93">
        <v>0</v>
      </c>
    </row>
    <row r="1259" spans="1:34" ht="15.75" thickBot="1" x14ac:dyDescent="0.3">
      <c r="A1259" s="90" t="s">
        <v>999</v>
      </c>
      <c r="B1259" s="90" t="s">
        <v>45</v>
      </c>
      <c r="C1259" s="90" t="s">
        <v>46</v>
      </c>
      <c r="D1259" s="90" t="s">
        <v>165</v>
      </c>
      <c r="E1259" s="90" t="s">
        <v>518</v>
      </c>
      <c r="F1259" s="90" t="s">
        <v>697</v>
      </c>
      <c r="G1259" s="95">
        <v>8926.11</v>
      </c>
      <c r="H1259" s="305">
        <v>268132</v>
      </c>
      <c r="I1259" s="94"/>
      <c r="J1259" s="94"/>
      <c r="K1259" s="95">
        <v>8926.11</v>
      </c>
      <c r="L1259" s="94"/>
      <c r="M1259" s="94"/>
      <c r="N1259" s="94"/>
      <c r="O1259" s="94"/>
      <c r="P1259" s="94"/>
      <c r="Q1259" s="94"/>
      <c r="R1259" s="94"/>
      <c r="S1259" s="94"/>
      <c r="T1259" s="94"/>
      <c r="U1259" s="94"/>
      <c r="V1259" s="94"/>
      <c r="W1259" s="94"/>
      <c r="X1259" s="94"/>
      <c r="Y1259" s="94"/>
      <c r="Z1259" s="94"/>
      <c r="AA1259" s="94"/>
      <c r="AB1259" s="94"/>
      <c r="AC1259" s="94"/>
      <c r="AD1259" s="95">
        <v>0</v>
      </c>
      <c r="AE1259" s="94"/>
      <c r="AF1259" s="94"/>
      <c r="AG1259" s="95">
        <v>8926.11</v>
      </c>
      <c r="AH1259" s="95">
        <v>0</v>
      </c>
    </row>
    <row r="1260" spans="1:34" ht="15.75" thickBot="1" x14ac:dyDescent="0.3">
      <c r="A1260" s="90" t="s">
        <v>999</v>
      </c>
      <c r="B1260" s="90" t="s">
        <v>45</v>
      </c>
      <c r="C1260" s="90" t="s">
        <v>46</v>
      </c>
      <c r="D1260" s="90" t="s">
        <v>165</v>
      </c>
      <c r="E1260" s="90" t="s">
        <v>673</v>
      </c>
      <c r="F1260" s="90" t="s">
        <v>511</v>
      </c>
      <c r="G1260" s="93">
        <v>259.54000000000002</v>
      </c>
      <c r="H1260" s="92"/>
      <c r="I1260" s="92"/>
      <c r="J1260" s="92"/>
      <c r="K1260" s="92"/>
      <c r="L1260" s="92"/>
      <c r="M1260" s="92"/>
      <c r="N1260" s="92"/>
      <c r="O1260" s="92"/>
      <c r="P1260" s="92"/>
      <c r="Q1260" s="92"/>
      <c r="R1260" s="92"/>
      <c r="S1260" s="92"/>
      <c r="T1260" s="92"/>
      <c r="U1260" s="92"/>
      <c r="V1260" s="92"/>
      <c r="W1260" s="92"/>
      <c r="X1260" s="93">
        <v>259.54000000000002</v>
      </c>
      <c r="Y1260" s="92"/>
      <c r="Z1260" s="92"/>
      <c r="AA1260" s="92"/>
      <c r="AB1260" s="92"/>
      <c r="AC1260" s="92"/>
      <c r="AD1260" s="93">
        <v>0</v>
      </c>
      <c r="AE1260" s="92"/>
      <c r="AF1260" s="92"/>
      <c r="AG1260" s="93">
        <v>259.54000000000002</v>
      </c>
      <c r="AH1260" s="93">
        <v>0</v>
      </c>
    </row>
    <row r="1261" spans="1:34" ht="15.75" thickBot="1" x14ac:dyDescent="0.3">
      <c r="A1261" s="90" t="s">
        <v>999</v>
      </c>
      <c r="B1261" s="90" t="s">
        <v>45</v>
      </c>
      <c r="C1261" s="90" t="s">
        <v>46</v>
      </c>
      <c r="D1261" s="90" t="s">
        <v>165</v>
      </c>
      <c r="E1261" s="90" t="s">
        <v>673</v>
      </c>
      <c r="F1261" s="90" t="s">
        <v>697</v>
      </c>
      <c r="G1261" s="95">
        <v>259.54000000000002</v>
      </c>
      <c r="H1261" s="94"/>
      <c r="I1261" s="94"/>
      <c r="J1261" s="94"/>
      <c r="K1261" s="94"/>
      <c r="L1261" s="94"/>
      <c r="M1261" s="94"/>
      <c r="N1261" s="94"/>
      <c r="O1261" s="94"/>
      <c r="P1261" s="94"/>
      <c r="Q1261" s="94"/>
      <c r="R1261" s="94"/>
      <c r="S1261" s="94"/>
      <c r="T1261" s="94"/>
      <c r="U1261" s="94"/>
      <c r="V1261" s="94"/>
      <c r="W1261" s="94"/>
      <c r="X1261" s="95">
        <v>259.54000000000002</v>
      </c>
      <c r="Y1261" s="94"/>
      <c r="Z1261" s="94"/>
      <c r="AA1261" s="94"/>
      <c r="AB1261" s="94"/>
      <c r="AC1261" s="94"/>
      <c r="AD1261" s="95">
        <v>0</v>
      </c>
      <c r="AE1261" s="94"/>
      <c r="AF1261" s="94"/>
      <c r="AG1261" s="95">
        <v>259.54000000000002</v>
      </c>
      <c r="AH1261" s="95">
        <v>0</v>
      </c>
    </row>
    <row r="1262" spans="1:34" ht="15.75" thickBot="1" x14ac:dyDescent="0.3">
      <c r="A1262" s="90" t="s">
        <v>999</v>
      </c>
      <c r="B1262" s="90" t="s">
        <v>45</v>
      </c>
      <c r="C1262" s="90" t="s">
        <v>46</v>
      </c>
      <c r="D1262" s="90" t="s">
        <v>165</v>
      </c>
      <c r="E1262" s="90" t="s">
        <v>196</v>
      </c>
      <c r="F1262" s="90" t="s">
        <v>511</v>
      </c>
      <c r="G1262" s="93">
        <v>94194.77</v>
      </c>
      <c r="H1262" s="92"/>
      <c r="I1262" s="92"/>
      <c r="J1262" s="92"/>
      <c r="K1262" s="92"/>
      <c r="L1262" s="92"/>
      <c r="M1262" s="92"/>
      <c r="N1262" s="92"/>
      <c r="O1262" s="92"/>
      <c r="P1262" s="93">
        <v>94194.77</v>
      </c>
      <c r="Q1262" s="92"/>
      <c r="R1262" s="92"/>
      <c r="S1262" s="92"/>
      <c r="T1262" s="92"/>
      <c r="U1262" s="92"/>
      <c r="V1262" s="92"/>
      <c r="W1262" s="92"/>
      <c r="X1262" s="92"/>
      <c r="Y1262" s="92"/>
      <c r="Z1262" s="92"/>
      <c r="AA1262" s="92"/>
      <c r="AB1262" s="92"/>
      <c r="AC1262" s="92"/>
      <c r="AD1262" s="93">
        <v>0</v>
      </c>
      <c r="AE1262" s="92"/>
      <c r="AF1262" s="92"/>
      <c r="AG1262" s="93">
        <v>94194.77</v>
      </c>
      <c r="AH1262" s="93">
        <v>0</v>
      </c>
    </row>
    <row r="1263" spans="1:34" ht="15.75" thickBot="1" x14ac:dyDescent="0.3">
      <c r="A1263" s="90" t="s">
        <v>999</v>
      </c>
      <c r="B1263" s="90" t="s">
        <v>45</v>
      </c>
      <c r="C1263" s="90" t="s">
        <v>46</v>
      </c>
      <c r="D1263" s="90" t="s">
        <v>165</v>
      </c>
      <c r="E1263" s="90" t="s">
        <v>196</v>
      </c>
      <c r="F1263" s="90" t="s">
        <v>697</v>
      </c>
      <c r="G1263" s="95">
        <v>94194.77</v>
      </c>
      <c r="H1263" s="94"/>
      <c r="I1263" s="94"/>
      <c r="J1263" s="94"/>
      <c r="K1263" s="94"/>
      <c r="L1263" s="94"/>
      <c r="M1263" s="94"/>
      <c r="N1263" s="94"/>
      <c r="O1263" s="94"/>
      <c r="P1263" s="95">
        <v>94194.77</v>
      </c>
      <c r="Q1263" s="94"/>
      <c r="R1263" s="94"/>
      <c r="S1263" s="94"/>
      <c r="T1263" s="94"/>
      <c r="U1263" s="94"/>
      <c r="V1263" s="94"/>
      <c r="W1263" s="94"/>
      <c r="X1263" s="94"/>
      <c r="Y1263" s="94"/>
      <c r="Z1263" s="94"/>
      <c r="AA1263" s="94"/>
      <c r="AB1263" s="94"/>
      <c r="AC1263" s="94"/>
      <c r="AD1263" s="95">
        <v>0</v>
      </c>
      <c r="AE1263" s="94"/>
      <c r="AF1263" s="94"/>
      <c r="AG1263" s="95">
        <v>94194.77</v>
      </c>
      <c r="AH1263" s="95">
        <v>0</v>
      </c>
    </row>
    <row r="1264" spans="1:34" ht="15.75" thickBot="1" x14ac:dyDescent="0.3">
      <c r="A1264" s="90" t="s">
        <v>999</v>
      </c>
      <c r="B1264" s="90" t="s">
        <v>57</v>
      </c>
      <c r="C1264" s="90" t="s">
        <v>58</v>
      </c>
      <c r="D1264" s="90" t="s">
        <v>664</v>
      </c>
      <c r="E1264" s="90" t="s">
        <v>525</v>
      </c>
      <c r="F1264" s="90" t="s">
        <v>698</v>
      </c>
      <c r="G1264" s="95">
        <v>-728.37</v>
      </c>
      <c r="H1264" s="94"/>
      <c r="I1264" s="94"/>
      <c r="J1264" s="94"/>
      <c r="K1264" s="94"/>
      <c r="L1264" s="94"/>
      <c r="M1264" s="94"/>
      <c r="N1264" s="94"/>
      <c r="O1264" s="94"/>
      <c r="P1264" s="94"/>
      <c r="Q1264" s="94"/>
      <c r="R1264" s="95">
        <v>-728.37</v>
      </c>
      <c r="S1264" s="94"/>
      <c r="T1264" s="94"/>
      <c r="U1264" s="94"/>
      <c r="V1264" s="94"/>
      <c r="W1264" s="94"/>
      <c r="X1264" s="94"/>
      <c r="Y1264" s="94"/>
      <c r="Z1264" s="94"/>
      <c r="AA1264" s="94"/>
      <c r="AB1264" s="94"/>
      <c r="AC1264" s="94"/>
      <c r="AD1264" s="95">
        <v>0</v>
      </c>
      <c r="AE1264" s="94"/>
      <c r="AF1264" s="94"/>
      <c r="AG1264" s="95">
        <v>-728.37</v>
      </c>
      <c r="AH1264" s="95">
        <v>0</v>
      </c>
    </row>
    <row r="1265" spans="1:34" ht="15.75" thickBot="1" x14ac:dyDescent="0.3">
      <c r="A1265" s="90" t="s">
        <v>999</v>
      </c>
      <c r="B1265" s="90" t="s">
        <v>57</v>
      </c>
      <c r="C1265" s="90" t="s">
        <v>58</v>
      </c>
      <c r="D1265" s="90" t="s">
        <v>664</v>
      </c>
      <c r="E1265" s="90" t="s">
        <v>525</v>
      </c>
      <c r="F1265" s="90" t="s">
        <v>697</v>
      </c>
      <c r="G1265" s="93">
        <v>-728.37</v>
      </c>
      <c r="H1265" s="92"/>
      <c r="I1265" s="92"/>
      <c r="J1265" s="92"/>
      <c r="K1265" s="92"/>
      <c r="L1265" s="92"/>
      <c r="M1265" s="92"/>
      <c r="N1265" s="92"/>
      <c r="O1265" s="92"/>
      <c r="P1265" s="92"/>
      <c r="Q1265" s="92"/>
      <c r="R1265" s="93">
        <v>-728.37</v>
      </c>
      <c r="S1265" s="92"/>
      <c r="T1265" s="92"/>
      <c r="U1265" s="92"/>
      <c r="V1265" s="92"/>
      <c r="W1265" s="92"/>
      <c r="X1265" s="92"/>
      <c r="Y1265" s="92"/>
      <c r="Z1265" s="92"/>
      <c r="AA1265" s="92"/>
      <c r="AB1265" s="92"/>
      <c r="AC1265" s="92"/>
      <c r="AD1265" s="93">
        <v>0</v>
      </c>
      <c r="AE1265" s="92"/>
      <c r="AF1265" s="92"/>
      <c r="AG1265" s="93">
        <v>-728.37</v>
      </c>
      <c r="AH1265" s="93">
        <v>0</v>
      </c>
    </row>
    <row r="1266" spans="1:34" ht="15.75" thickBot="1" x14ac:dyDescent="0.3">
      <c r="A1266" s="90" t="s">
        <v>999</v>
      </c>
      <c r="B1266" s="90" t="s">
        <v>57</v>
      </c>
      <c r="C1266" s="90" t="s">
        <v>58</v>
      </c>
      <c r="D1266" s="90" t="s">
        <v>664</v>
      </c>
      <c r="E1266" s="90" t="s">
        <v>528</v>
      </c>
      <c r="F1266" s="90" t="s">
        <v>698</v>
      </c>
      <c r="G1266" s="95">
        <v>800</v>
      </c>
      <c r="H1266" s="94"/>
      <c r="I1266" s="95">
        <v>800</v>
      </c>
      <c r="J1266" s="94"/>
      <c r="K1266" s="94"/>
      <c r="L1266" s="94"/>
      <c r="M1266" s="94"/>
      <c r="N1266" s="94"/>
      <c r="O1266" s="94"/>
      <c r="P1266" s="94"/>
      <c r="Q1266" s="94"/>
      <c r="R1266" s="94"/>
      <c r="S1266" s="94"/>
      <c r="T1266" s="94"/>
      <c r="U1266" s="94"/>
      <c r="V1266" s="94"/>
      <c r="W1266" s="94"/>
      <c r="X1266" s="94"/>
      <c r="Y1266" s="94"/>
      <c r="Z1266" s="94"/>
      <c r="AA1266" s="94"/>
      <c r="AB1266" s="94"/>
      <c r="AC1266" s="94"/>
      <c r="AD1266" s="95">
        <v>0</v>
      </c>
      <c r="AE1266" s="94"/>
      <c r="AF1266" s="94"/>
      <c r="AG1266" s="95">
        <v>800</v>
      </c>
      <c r="AH1266" s="95">
        <v>0</v>
      </c>
    </row>
    <row r="1267" spans="1:34" ht="15.75" thickBot="1" x14ac:dyDescent="0.3">
      <c r="A1267" s="90" t="s">
        <v>999</v>
      </c>
      <c r="B1267" s="90" t="s">
        <v>57</v>
      </c>
      <c r="C1267" s="90" t="s">
        <v>58</v>
      </c>
      <c r="D1267" s="90" t="s">
        <v>664</v>
      </c>
      <c r="E1267" s="90" t="s">
        <v>528</v>
      </c>
      <c r="F1267" s="90" t="s">
        <v>697</v>
      </c>
      <c r="G1267" s="93">
        <v>800</v>
      </c>
      <c r="H1267" s="92"/>
      <c r="I1267" s="93">
        <v>800</v>
      </c>
      <c r="J1267" s="92"/>
      <c r="K1267" s="92"/>
      <c r="L1267" s="92"/>
      <c r="M1267" s="92"/>
      <c r="N1267" s="92"/>
      <c r="O1267" s="92"/>
      <c r="P1267" s="92"/>
      <c r="Q1267" s="92"/>
      <c r="R1267" s="92"/>
      <c r="S1267" s="92"/>
      <c r="T1267" s="92"/>
      <c r="U1267" s="92"/>
      <c r="V1267" s="92"/>
      <c r="W1267" s="92"/>
      <c r="X1267" s="92"/>
      <c r="Y1267" s="92"/>
      <c r="Z1267" s="92"/>
      <c r="AA1267" s="92"/>
      <c r="AB1267" s="92"/>
      <c r="AC1267" s="92"/>
      <c r="AD1267" s="93">
        <v>0</v>
      </c>
      <c r="AE1267" s="92"/>
      <c r="AF1267" s="92"/>
      <c r="AG1267" s="93">
        <v>800</v>
      </c>
      <c r="AH1267" s="93">
        <v>0</v>
      </c>
    </row>
    <row r="1268" spans="1:34" ht="15.75" thickBot="1" x14ac:dyDescent="0.3">
      <c r="A1268" s="90" t="s">
        <v>999</v>
      </c>
      <c r="B1268" s="90" t="s">
        <v>57</v>
      </c>
      <c r="C1268" s="90" t="s">
        <v>58</v>
      </c>
      <c r="D1268" s="90" t="s">
        <v>664</v>
      </c>
      <c r="E1268" s="90" t="s">
        <v>518</v>
      </c>
      <c r="F1268" s="90" t="s">
        <v>511</v>
      </c>
      <c r="G1268" s="95">
        <v>4727.8500000000004</v>
      </c>
      <c r="H1268" s="95">
        <v>951278</v>
      </c>
      <c r="I1268" s="94"/>
      <c r="J1268" s="94"/>
      <c r="K1268" s="95">
        <v>4727.8500000000004</v>
      </c>
      <c r="L1268" s="94"/>
      <c r="M1268" s="94"/>
      <c r="N1268" s="94"/>
      <c r="O1268" s="94"/>
      <c r="P1268" s="94"/>
      <c r="Q1268" s="94"/>
      <c r="R1268" s="94"/>
      <c r="S1268" s="94"/>
      <c r="T1268" s="94"/>
      <c r="U1268" s="94"/>
      <c r="V1268" s="94"/>
      <c r="W1268" s="94"/>
      <c r="X1268" s="94"/>
      <c r="Y1268" s="94"/>
      <c r="Z1268" s="94"/>
      <c r="AA1268" s="94"/>
      <c r="AB1268" s="94"/>
      <c r="AC1268" s="94"/>
      <c r="AD1268" s="95">
        <v>0</v>
      </c>
      <c r="AE1268" s="94"/>
      <c r="AF1268" s="94"/>
      <c r="AG1268" s="95">
        <v>4727.8500000000004</v>
      </c>
      <c r="AH1268" s="95">
        <v>0</v>
      </c>
    </row>
    <row r="1269" spans="1:34" ht="15.75" thickBot="1" x14ac:dyDescent="0.3">
      <c r="A1269" s="90" t="s">
        <v>999</v>
      </c>
      <c r="B1269" s="90" t="s">
        <v>57</v>
      </c>
      <c r="C1269" s="90" t="s">
        <v>58</v>
      </c>
      <c r="D1269" s="90" t="s">
        <v>664</v>
      </c>
      <c r="E1269" s="90" t="s">
        <v>518</v>
      </c>
      <c r="F1269" s="90" t="s">
        <v>697</v>
      </c>
      <c r="G1269" s="93">
        <v>4727.8500000000004</v>
      </c>
      <c r="H1269" s="304">
        <v>951278</v>
      </c>
      <c r="I1269" s="92"/>
      <c r="J1269" s="92"/>
      <c r="K1269" s="93">
        <v>4727.8500000000004</v>
      </c>
      <c r="L1269" s="92"/>
      <c r="M1269" s="92"/>
      <c r="N1269" s="92"/>
      <c r="O1269" s="92"/>
      <c r="P1269" s="92"/>
      <c r="Q1269" s="92"/>
      <c r="R1269" s="92"/>
      <c r="S1269" s="92"/>
      <c r="T1269" s="92"/>
      <c r="U1269" s="92"/>
      <c r="V1269" s="92"/>
      <c r="W1269" s="92"/>
      <c r="X1269" s="92"/>
      <c r="Y1269" s="92"/>
      <c r="Z1269" s="92"/>
      <c r="AA1269" s="92"/>
      <c r="AB1269" s="92"/>
      <c r="AC1269" s="92"/>
      <c r="AD1269" s="93">
        <v>0</v>
      </c>
      <c r="AE1269" s="92"/>
      <c r="AF1269" s="92"/>
      <c r="AG1269" s="93">
        <v>4727.8500000000004</v>
      </c>
      <c r="AH1269" s="93">
        <v>0</v>
      </c>
    </row>
    <row r="1270" spans="1:34" ht="15.75" thickBot="1" x14ac:dyDescent="0.3">
      <c r="A1270" s="90" t="s">
        <v>999</v>
      </c>
      <c r="B1270" s="90" t="s">
        <v>57</v>
      </c>
      <c r="C1270" s="90" t="s">
        <v>58</v>
      </c>
      <c r="D1270" s="90" t="s">
        <v>664</v>
      </c>
      <c r="E1270" s="90" t="s">
        <v>527</v>
      </c>
      <c r="F1270" s="90" t="s">
        <v>698</v>
      </c>
      <c r="G1270" s="95">
        <v>1120.8399999999999</v>
      </c>
      <c r="H1270" s="94"/>
      <c r="I1270" s="94"/>
      <c r="J1270" s="94"/>
      <c r="K1270" s="94"/>
      <c r="L1270" s="94"/>
      <c r="M1270" s="94"/>
      <c r="N1270" s="94"/>
      <c r="O1270" s="94"/>
      <c r="P1270" s="94"/>
      <c r="Q1270" s="94"/>
      <c r="R1270" s="94"/>
      <c r="S1270" s="95">
        <v>1120.8399999999999</v>
      </c>
      <c r="T1270" s="94"/>
      <c r="U1270" s="94"/>
      <c r="V1270" s="94"/>
      <c r="W1270" s="94"/>
      <c r="X1270" s="94"/>
      <c r="Y1270" s="94"/>
      <c r="Z1270" s="94"/>
      <c r="AA1270" s="94"/>
      <c r="AB1270" s="94"/>
      <c r="AC1270" s="94"/>
      <c r="AD1270" s="95">
        <v>0</v>
      </c>
      <c r="AE1270" s="94"/>
      <c r="AF1270" s="94"/>
      <c r="AG1270" s="95">
        <v>1120.8399999999999</v>
      </c>
      <c r="AH1270" s="95">
        <v>0</v>
      </c>
    </row>
    <row r="1271" spans="1:34" ht="15.75" thickBot="1" x14ac:dyDescent="0.3">
      <c r="A1271" s="90" t="s">
        <v>999</v>
      </c>
      <c r="B1271" s="90" t="s">
        <v>57</v>
      </c>
      <c r="C1271" s="90" t="s">
        <v>58</v>
      </c>
      <c r="D1271" s="90" t="s">
        <v>664</v>
      </c>
      <c r="E1271" s="90" t="s">
        <v>527</v>
      </c>
      <c r="F1271" s="90" t="s">
        <v>697</v>
      </c>
      <c r="G1271" s="93">
        <v>1120.8399999999999</v>
      </c>
      <c r="H1271" s="92"/>
      <c r="I1271" s="92"/>
      <c r="J1271" s="92"/>
      <c r="K1271" s="92"/>
      <c r="L1271" s="92"/>
      <c r="M1271" s="92"/>
      <c r="N1271" s="92"/>
      <c r="O1271" s="92"/>
      <c r="P1271" s="92"/>
      <c r="Q1271" s="92"/>
      <c r="R1271" s="92"/>
      <c r="S1271" s="93">
        <v>1120.8399999999999</v>
      </c>
      <c r="T1271" s="92"/>
      <c r="U1271" s="92"/>
      <c r="V1271" s="92"/>
      <c r="W1271" s="92"/>
      <c r="X1271" s="92"/>
      <c r="Y1271" s="92"/>
      <c r="Z1271" s="92"/>
      <c r="AA1271" s="92"/>
      <c r="AB1271" s="92"/>
      <c r="AC1271" s="92"/>
      <c r="AD1271" s="93">
        <v>0</v>
      </c>
      <c r="AE1271" s="92"/>
      <c r="AF1271" s="92"/>
      <c r="AG1271" s="93">
        <v>1120.8399999999999</v>
      </c>
      <c r="AH1271" s="93">
        <v>0</v>
      </c>
    </row>
    <row r="1272" spans="1:34" ht="15.75" thickBot="1" x14ac:dyDescent="0.3">
      <c r="A1272" s="90" t="s">
        <v>999</v>
      </c>
      <c r="B1272" s="90" t="s">
        <v>57</v>
      </c>
      <c r="C1272" s="90" t="s">
        <v>58</v>
      </c>
      <c r="D1272" s="90" t="s">
        <v>664</v>
      </c>
      <c r="E1272" s="90" t="s">
        <v>529</v>
      </c>
      <c r="F1272" s="90" t="s">
        <v>511</v>
      </c>
      <c r="G1272" s="95">
        <v>107140.32</v>
      </c>
      <c r="H1272" s="94"/>
      <c r="I1272" s="94"/>
      <c r="J1272" s="95">
        <v>107140.32</v>
      </c>
      <c r="K1272" s="94"/>
      <c r="L1272" s="94"/>
      <c r="M1272" s="94"/>
      <c r="N1272" s="94"/>
      <c r="O1272" s="94"/>
      <c r="P1272" s="94"/>
      <c r="Q1272" s="94"/>
      <c r="R1272" s="94"/>
      <c r="S1272" s="94"/>
      <c r="T1272" s="94"/>
      <c r="U1272" s="94"/>
      <c r="V1272" s="94"/>
      <c r="W1272" s="94"/>
      <c r="X1272" s="94"/>
      <c r="Y1272" s="94"/>
      <c r="Z1272" s="94"/>
      <c r="AA1272" s="94"/>
      <c r="AB1272" s="94"/>
      <c r="AC1272" s="94"/>
      <c r="AD1272" s="95">
        <v>0</v>
      </c>
      <c r="AE1272" s="94"/>
      <c r="AF1272" s="94"/>
      <c r="AG1272" s="95">
        <v>107140.32</v>
      </c>
      <c r="AH1272" s="95">
        <v>0</v>
      </c>
    </row>
    <row r="1273" spans="1:34" ht="15.75" thickBot="1" x14ac:dyDescent="0.3">
      <c r="A1273" s="90" t="s">
        <v>999</v>
      </c>
      <c r="B1273" s="90" t="s">
        <v>57</v>
      </c>
      <c r="C1273" s="90" t="s">
        <v>58</v>
      </c>
      <c r="D1273" s="90" t="s">
        <v>664</v>
      </c>
      <c r="E1273" s="90" t="s">
        <v>529</v>
      </c>
      <c r="F1273" s="90" t="s">
        <v>697</v>
      </c>
      <c r="G1273" s="93">
        <v>107140.32</v>
      </c>
      <c r="H1273" s="92"/>
      <c r="I1273" s="92"/>
      <c r="J1273" s="93">
        <v>107140.32</v>
      </c>
      <c r="K1273" s="92"/>
      <c r="L1273" s="92"/>
      <c r="M1273" s="92"/>
      <c r="N1273" s="92"/>
      <c r="O1273" s="92"/>
      <c r="P1273" s="92"/>
      <c r="Q1273" s="92"/>
      <c r="R1273" s="92"/>
      <c r="S1273" s="92"/>
      <c r="T1273" s="92"/>
      <c r="U1273" s="92"/>
      <c r="V1273" s="92"/>
      <c r="W1273" s="92"/>
      <c r="X1273" s="92"/>
      <c r="Y1273" s="92"/>
      <c r="Z1273" s="92"/>
      <c r="AA1273" s="92"/>
      <c r="AB1273" s="92"/>
      <c r="AC1273" s="92"/>
      <c r="AD1273" s="93">
        <v>0</v>
      </c>
      <c r="AE1273" s="92"/>
      <c r="AF1273" s="92"/>
      <c r="AG1273" s="93">
        <v>107140.32</v>
      </c>
      <c r="AH1273" s="93">
        <v>0</v>
      </c>
    </row>
    <row r="1274" spans="1:34" ht="15.75" thickBot="1" x14ac:dyDescent="0.3">
      <c r="A1274" s="90" t="s">
        <v>999</v>
      </c>
      <c r="B1274" s="90" t="s">
        <v>57</v>
      </c>
      <c r="C1274" s="90" t="s">
        <v>58</v>
      </c>
      <c r="D1274" s="90" t="s">
        <v>664</v>
      </c>
      <c r="E1274" s="90" t="s">
        <v>676</v>
      </c>
      <c r="F1274" s="90" t="s">
        <v>511</v>
      </c>
      <c r="G1274" s="95">
        <v>99.69</v>
      </c>
      <c r="H1274" s="94"/>
      <c r="I1274" s="94"/>
      <c r="J1274" s="94"/>
      <c r="K1274" s="94"/>
      <c r="L1274" s="94"/>
      <c r="M1274" s="94"/>
      <c r="N1274" s="94"/>
      <c r="O1274" s="94"/>
      <c r="P1274" s="94"/>
      <c r="Q1274" s="94"/>
      <c r="R1274" s="94"/>
      <c r="S1274" s="94"/>
      <c r="T1274" s="94"/>
      <c r="U1274" s="95">
        <v>99.69</v>
      </c>
      <c r="V1274" s="94"/>
      <c r="W1274" s="94"/>
      <c r="X1274" s="94"/>
      <c r="Y1274" s="94"/>
      <c r="Z1274" s="94"/>
      <c r="AA1274" s="94"/>
      <c r="AB1274" s="94"/>
      <c r="AC1274" s="94"/>
      <c r="AD1274" s="95">
        <v>0</v>
      </c>
      <c r="AE1274" s="94"/>
      <c r="AF1274" s="94"/>
      <c r="AG1274" s="95">
        <v>99.69</v>
      </c>
      <c r="AH1274" s="95">
        <v>0</v>
      </c>
    </row>
    <row r="1275" spans="1:34" ht="15.75" thickBot="1" x14ac:dyDescent="0.3">
      <c r="A1275" s="90" t="s">
        <v>999</v>
      </c>
      <c r="B1275" s="90" t="s">
        <v>57</v>
      </c>
      <c r="C1275" s="90" t="s">
        <v>58</v>
      </c>
      <c r="D1275" s="90" t="s">
        <v>664</v>
      </c>
      <c r="E1275" s="90" t="s">
        <v>676</v>
      </c>
      <c r="F1275" s="90" t="s">
        <v>697</v>
      </c>
      <c r="G1275" s="93">
        <v>99.69</v>
      </c>
      <c r="H1275" s="92"/>
      <c r="I1275" s="92"/>
      <c r="J1275" s="92"/>
      <c r="K1275" s="92"/>
      <c r="L1275" s="92"/>
      <c r="M1275" s="92"/>
      <c r="N1275" s="92"/>
      <c r="O1275" s="92"/>
      <c r="P1275" s="92"/>
      <c r="Q1275" s="92"/>
      <c r="R1275" s="92"/>
      <c r="S1275" s="92"/>
      <c r="T1275" s="92"/>
      <c r="U1275" s="93">
        <v>99.69</v>
      </c>
      <c r="V1275" s="92"/>
      <c r="W1275" s="92"/>
      <c r="X1275" s="92"/>
      <c r="Y1275" s="92"/>
      <c r="Z1275" s="92"/>
      <c r="AA1275" s="92"/>
      <c r="AB1275" s="92"/>
      <c r="AC1275" s="92"/>
      <c r="AD1275" s="93">
        <v>0</v>
      </c>
      <c r="AE1275" s="92"/>
      <c r="AF1275" s="92"/>
      <c r="AG1275" s="93">
        <v>99.69</v>
      </c>
      <c r="AH1275" s="93">
        <v>0</v>
      </c>
    </row>
    <row r="1276" spans="1:34" ht="15.75" thickBot="1" x14ac:dyDescent="0.3">
      <c r="A1276" s="90" t="s">
        <v>999</v>
      </c>
      <c r="B1276" s="90" t="s">
        <v>57</v>
      </c>
      <c r="C1276" s="90" t="s">
        <v>58</v>
      </c>
      <c r="D1276" s="90" t="s">
        <v>664</v>
      </c>
      <c r="E1276" s="90" t="s">
        <v>677</v>
      </c>
      <c r="F1276" s="90" t="s">
        <v>511</v>
      </c>
      <c r="G1276" s="95">
        <v>109.23</v>
      </c>
      <c r="H1276" s="94"/>
      <c r="I1276" s="94"/>
      <c r="J1276" s="94"/>
      <c r="K1276" s="94"/>
      <c r="L1276" s="94"/>
      <c r="M1276" s="94"/>
      <c r="N1276" s="94"/>
      <c r="O1276" s="94"/>
      <c r="P1276" s="94"/>
      <c r="Q1276" s="94"/>
      <c r="R1276" s="94"/>
      <c r="S1276" s="94"/>
      <c r="T1276" s="94"/>
      <c r="U1276" s="94"/>
      <c r="V1276" s="95">
        <v>109.23</v>
      </c>
      <c r="W1276" s="94"/>
      <c r="X1276" s="94"/>
      <c r="Y1276" s="94"/>
      <c r="Z1276" s="94"/>
      <c r="AA1276" s="94"/>
      <c r="AB1276" s="94"/>
      <c r="AC1276" s="94"/>
      <c r="AD1276" s="95">
        <v>0</v>
      </c>
      <c r="AE1276" s="94"/>
      <c r="AF1276" s="94"/>
      <c r="AG1276" s="95">
        <v>109.23</v>
      </c>
      <c r="AH1276" s="95">
        <v>0</v>
      </c>
    </row>
    <row r="1277" spans="1:34" ht="15.75" thickBot="1" x14ac:dyDescent="0.3">
      <c r="A1277" s="90" t="s">
        <v>999</v>
      </c>
      <c r="B1277" s="90" t="s">
        <v>57</v>
      </c>
      <c r="C1277" s="90" t="s">
        <v>58</v>
      </c>
      <c r="D1277" s="90" t="s">
        <v>664</v>
      </c>
      <c r="E1277" s="90" t="s">
        <v>677</v>
      </c>
      <c r="F1277" s="90" t="s">
        <v>697</v>
      </c>
      <c r="G1277" s="93">
        <v>109.23</v>
      </c>
      <c r="H1277" s="92"/>
      <c r="I1277" s="92"/>
      <c r="J1277" s="92"/>
      <c r="K1277" s="92"/>
      <c r="L1277" s="92"/>
      <c r="M1277" s="92"/>
      <c r="N1277" s="92"/>
      <c r="O1277" s="92"/>
      <c r="P1277" s="92"/>
      <c r="Q1277" s="92"/>
      <c r="R1277" s="92"/>
      <c r="S1277" s="92"/>
      <c r="T1277" s="92"/>
      <c r="U1277" s="92"/>
      <c r="V1277" s="93">
        <v>109.23</v>
      </c>
      <c r="W1277" s="92"/>
      <c r="X1277" s="92"/>
      <c r="Y1277" s="92"/>
      <c r="Z1277" s="92"/>
      <c r="AA1277" s="92"/>
      <c r="AB1277" s="92"/>
      <c r="AC1277" s="92"/>
      <c r="AD1277" s="93">
        <v>0</v>
      </c>
      <c r="AE1277" s="92"/>
      <c r="AF1277" s="92"/>
      <c r="AG1277" s="93">
        <v>109.23</v>
      </c>
      <c r="AH1277" s="93">
        <v>0</v>
      </c>
    </row>
    <row r="1278" spans="1:34" ht="15.75" thickBot="1" x14ac:dyDescent="0.3">
      <c r="A1278" s="90" t="s">
        <v>999</v>
      </c>
      <c r="B1278" s="90" t="s">
        <v>35</v>
      </c>
      <c r="C1278" s="90" t="s">
        <v>36</v>
      </c>
      <c r="D1278" s="90" t="s">
        <v>17</v>
      </c>
      <c r="E1278" s="90" t="s">
        <v>528</v>
      </c>
      <c r="F1278" s="90" t="s">
        <v>686</v>
      </c>
      <c r="G1278" s="93">
        <v>148.5</v>
      </c>
      <c r="H1278" s="92"/>
      <c r="I1278" s="93">
        <v>148.5</v>
      </c>
      <c r="J1278" s="92"/>
      <c r="K1278" s="92"/>
      <c r="L1278" s="92"/>
      <c r="M1278" s="92"/>
      <c r="N1278" s="92"/>
      <c r="O1278" s="92"/>
      <c r="P1278" s="92"/>
      <c r="Q1278" s="92"/>
      <c r="R1278" s="92"/>
      <c r="S1278" s="92"/>
      <c r="T1278" s="92"/>
      <c r="U1278" s="92"/>
      <c r="V1278" s="92"/>
      <c r="W1278" s="92"/>
      <c r="X1278" s="92"/>
      <c r="Y1278" s="92"/>
      <c r="Z1278" s="92"/>
      <c r="AA1278" s="92"/>
      <c r="AB1278" s="92"/>
      <c r="AC1278" s="92"/>
      <c r="AD1278" s="93">
        <v>8.09</v>
      </c>
      <c r="AE1278" s="92"/>
      <c r="AF1278" s="92"/>
      <c r="AG1278" s="93">
        <v>156.59</v>
      </c>
      <c r="AH1278" s="93">
        <v>0</v>
      </c>
    </row>
    <row r="1279" spans="1:34" ht="15.75" thickBot="1" x14ac:dyDescent="0.3">
      <c r="A1279" s="90" t="s">
        <v>999</v>
      </c>
      <c r="B1279" s="90" t="s">
        <v>35</v>
      </c>
      <c r="C1279" s="90" t="s">
        <v>36</v>
      </c>
      <c r="D1279" s="90" t="s">
        <v>17</v>
      </c>
      <c r="E1279" s="90" t="s">
        <v>528</v>
      </c>
      <c r="F1279" s="90" t="s">
        <v>697</v>
      </c>
      <c r="G1279" s="95">
        <v>148.5</v>
      </c>
      <c r="H1279" s="94"/>
      <c r="I1279" s="95">
        <v>148.5</v>
      </c>
      <c r="J1279" s="94"/>
      <c r="K1279" s="94"/>
      <c r="L1279" s="94"/>
      <c r="M1279" s="94"/>
      <c r="N1279" s="94"/>
      <c r="O1279" s="94"/>
      <c r="P1279" s="94"/>
      <c r="Q1279" s="94"/>
      <c r="R1279" s="94"/>
      <c r="S1279" s="94"/>
      <c r="T1279" s="94"/>
      <c r="U1279" s="94"/>
      <c r="V1279" s="94"/>
      <c r="W1279" s="94"/>
      <c r="X1279" s="94"/>
      <c r="Y1279" s="94"/>
      <c r="Z1279" s="94"/>
      <c r="AA1279" s="94"/>
      <c r="AB1279" s="94"/>
      <c r="AC1279" s="94"/>
      <c r="AD1279" s="95">
        <v>8.09</v>
      </c>
      <c r="AE1279" s="94"/>
      <c r="AF1279" s="94"/>
      <c r="AG1279" s="95">
        <v>156.59</v>
      </c>
      <c r="AH1279" s="95">
        <v>0</v>
      </c>
    </row>
    <row r="1280" spans="1:34" ht="15.75" thickBot="1" x14ac:dyDescent="0.3">
      <c r="A1280" s="90" t="s">
        <v>999</v>
      </c>
      <c r="B1280" s="90" t="s">
        <v>35</v>
      </c>
      <c r="C1280" s="90" t="s">
        <v>36</v>
      </c>
      <c r="D1280" s="90" t="s">
        <v>17</v>
      </c>
      <c r="E1280" s="90" t="s">
        <v>518</v>
      </c>
      <c r="F1280" s="90" t="s">
        <v>686</v>
      </c>
      <c r="G1280" s="93">
        <v>31.55</v>
      </c>
      <c r="H1280" s="93">
        <v>110</v>
      </c>
      <c r="I1280" s="92"/>
      <c r="J1280" s="92"/>
      <c r="K1280" s="93">
        <v>31.55</v>
      </c>
      <c r="L1280" s="92"/>
      <c r="M1280" s="92"/>
      <c r="N1280" s="92"/>
      <c r="O1280" s="92"/>
      <c r="P1280" s="92"/>
      <c r="Q1280" s="92"/>
      <c r="R1280" s="92"/>
      <c r="S1280" s="92"/>
      <c r="T1280" s="92"/>
      <c r="U1280" s="92"/>
      <c r="V1280" s="92"/>
      <c r="W1280" s="92"/>
      <c r="X1280" s="92"/>
      <c r="Y1280" s="92"/>
      <c r="Z1280" s="92"/>
      <c r="AA1280" s="92"/>
      <c r="AB1280" s="92"/>
      <c r="AC1280" s="92"/>
      <c r="AD1280" s="93">
        <v>1.58</v>
      </c>
      <c r="AE1280" s="92"/>
      <c r="AF1280" s="92"/>
      <c r="AG1280" s="93">
        <v>33.130000000000003</v>
      </c>
      <c r="AH1280" s="93">
        <v>0</v>
      </c>
    </row>
    <row r="1281" spans="1:34" ht="15.75" thickBot="1" x14ac:dyDescent="0.3">
      <c r="A1281" s="90" t="s">
        <v>999</v>
      </c>
      <c r="B1281" s="90" t="s">
        <v>35</v>
      </c>
      <c r="C1281" s="90" t="s">
        <v>36</v>
      </c>
      <c r="D1281" s="90" t="s">
        <v>17</v>
      </c>
      <c r="E1281" s="90" t="s">
        <v>518</v>
      </c>
      <c r="F1281" s="90" t="s">
        <v>697</v>
      </c>
      <c r="G1281" s="95">
        <v>31.55</v>
      </c>
      <c r="H1281" s="305">
        <v>110</v>
      </c>
      <c r="I1281" s="94"/>
      <c r="J1281" s="94"/>
      <c r="K1281" s="95">
        <v>31.55</v>
      </c>
      <c r="L1281" s="94"/>
      <c r="M1281" s="94"/>
      <c r="N1281" s="94"/>
      <c r="O1281" s="94"/>
      <c r="P1281" s="94"/>
      <c r="Q1281" s="94"/>
      <c r="R1281" s="94"/>
      <c r="S1281" s="94"/>
      <c r="T1281" s="94"/>
      <c r="U1281" s="94"/>
      <c r="V1281" s="94"/>
      <c r="W1281" s="94"/>
      <c r="X1281" s="94"/>
      <c r="Y1281" s="94"/>
      <c r="Z1281" s="94"/>
      <c r="AA1281" s="94"/>
      <c r="AB1281" s="94"/>
      <c r="AC1281" s="94"/>
      <c r="AD1281" s="95">
        <v>1.58</v>
      </c>
      <c r="AE1281" s="94"/>
      <c r="AF1281" s="94"/>
      <c r="AG1281" s="95">
        <v>33.130000000000003</v>
      </c>
      <c r="AH1281" s="95">
        <v>0</v>
      </c>
    </row>
    <row r="1282" spans="1:34" ht="15.75" thickBot="1" x14ac:dyDescent="0.3">
      <c r="A1282" s="90" t="s">
        <v>999</v>
      </c>
      <c r="B1282" s="90" t="s">
        <v>35</v>
      </c>
      <c r="C1282" s="90" t="s">
        <v>36</v>
      </c>
      <c r="D1282" s="90" t="s">
        <v>17</v>
      </c>
      <c r="E1282" s="90" t="s">
        <v>727</v>
      </c>
      <c r="F1282" s="90" t="s">
        <v>686</v>
      </c>
      <c r="G1282" s="93">
        <v>1.18</v>
      </c>
      <c r="H1282" s="92"/>
      <c r="I1282" s="92"/>
      <c r="J1282" s="92"/>
      <c r="K1282" s="92"/>
      <c r="L1282" s="92"/>
      <c r="M1282" s="92"/>
      <c r="N1282" s="92"/>
      <c r="O1282" s="93">
        <v>1.18</v>
      </c>
      <c r="P1282" s="92"/>
      <c r="Q1282" s="92"/>
      <c r="R1282" s="92"/>
      <c r="S1282" s="92"/>
      <c r="T1282" s="92"/>
      <c r="U1282" s="92"/>
      <c r="V1282" s="92"/>
      <c r="W1282" s="92"/>
      <c r="X1282" s="92"/>
      <c r="Y1282" s="92"/>
      <c r="Z1282" s="92"/>
      <c r="AA1282" s="92"/>
      <c r="AB1282" s="92"/>
      <c r="AC1282" s="92"/>
      <c r="AD1282" s="93">
        <v>0.06</v>
      </c>
      <c r="AE1282" s="92"/>
      <c r="AF1282" s="92"/>
      <c r="AG1282" s="93">
        <v>1.24</v>
      </c>
      <c r="AH1282" s="93">
        <v>0</v>
      </c>
    </row>
    <row r="1283" spans="1:34" ht="15.75" thickBot="1" x14ac:dyDescent="0.3">
      <c r="A1283" s="90" t="s">
        <v>999</v>
      </c>
      <c r="B1283" s="90" t="s">
        <v>35</v>
      </c>
      <c r="C1283" s="90" t="s">
        <v>36</v>
      </c>
      <c r="D1283" s="90" t="s">
        <v>17</v>
      </c>
      <c r="E1283" s="90" t="s">
        <v>727</v>
      </c>
      <c r="F1283" s="90" t="s">
        <v>697</v>
      </c>
      <c r="G1283" s="95">
        <v>1.18</v>
      </c>
      <c r="H1283" s="94"/>
      <c r="I1283" s="94"/>
      <c r="J1283" s="94"/>
      <c r="K1283" s="94"/>
      <c r="L1283" s="94"/>
      <c r="M1283" s="94"/>
      <c r="N1283" s="94"/>
      <c r="O1283" s="95">
        <v>1.18</v>
      </c>
      <c r="P1283" s="94"/>
      <c r="Q1283" s="94"/>
      <c r="R1283" s="94"/>
      <c r="S1283" s="94"/>
      <c r="T1283" s="94"/>
      <c r="U1283" s="94"/>
      <c r="V1283" s="94"/>
      <c r="W1283" s="94"/>
      <c r="X1283" s="94"/>
      <c r="Y1283" s="94"/>
      <c r="Z1283" s="94"/>
      <c r="AA1283" s="94"/>
      <c r="AB1283" s="94"/>
      <c r="AC1283" s="94"/>
      <c r="AD1283" s="95">
        <v>0.06</v>
      </c>
      <c r="AE1283" s="94"/>
      <c r="AF1283" s="94"/>
      <c r="AG1283" s="95">
        <v>1.24</v>
      </c>
      <c r="AH1283" s="95">
        <v>0</v>
      </c>
    </row>
    <row r="1284" spans="1:34" ht="15.75" thickBot="1" x14ac:dyDescent="0.3">
      <c r="A1284" s="90" t="s">
        <v>999</v>
      </c>
      <c r="B1284" s="90" t="s">
        <v>35</v>
      </c>
      <c r="C1284" s="90" t="s">
        <v>36</v>
      </c>
      <c r="D1284" s="90" t="s">
        <v>17</v>
      </c>
      <c r="E1284" s="90" t="s">
        <v>728</v>
      </c>
      <c r="F1284" s="90" t="s">
        <v>686</v>
      </c>
      <c r="G1284" s="92"/>
      <c r="H1284" s="92"/>
      <c r="I1284" s="92"/>
      <c r="J1284" s="92"/>
      <c r="K1284" s="92"/>
      <c r="L1284" s="92"/>
      <c r="M1284" s="92"/>
      <c r="N1284" s="92"/>
      <c r="O1284" s="92"/>
      <c r="P1284" s="92"/>
      <c r="Q1284" s="92"/>
      <c r="R1284" s="92"/>
      <c r="S1284" s="92"/>
      <c r="T1284" s="92"/>
      <c r="U1284" s="92"/>
      <c r="V1284" s="92"/>
      <c r="W1284" s="92"/>
      <c r="X1284" s="92"/>
      <c r="Y1284" s="92"/>
      <c r="Z1284" s="92"/>
      <c r="AA1284" s="92"/>
      <c r="AB1284" s="93">
        <v>2.75</v>
      </c>
      <c r="AC1284" s="92"/>
      <c r="AD1284" s="93">
        <v>0</v>
      </c>
      <c r="AE1284" s="92"/>
      <c r="AF1284" s="92"/>
      <c r="AG1284" s="93">
        <v>2.75</v>
      </c>
      <c r="AH1284" s="93">
        <v>0</v>
      </c>
    </row>
    <row r="1285" spans="1:34" ht="15.75" thickBot="1" x14ac:dyDescent="0.3">
      <c r="A1285" s="90" t="s">
        <v>999</v>
      </c>
      <c r="B1285" s="90" t="s">
        <v>35</v>
      </c>
      <c r="C1285" s="90" t="s">
        <v>36</v>
      </c>
      <c r="D1285" s="90" t="s">
        <v>17</v>
      </c>
      <c r="E1285" s="90" t="s">
        <v>728</v>
      </c>
      <c r="F1285" s="90" t="s">
        <v>697</v>
      </c>
      <c r="G1285" s="94"/>
      <c r="H1285" s="94"/>
      <c r="I1285" s="94"/>
      <c r="J1285" s="94"/>
      <c r="K1285" s="94"/>
      <c r="L1285" s="94"/>
      <c r="M1285" s="94"/>
      <c r="N1285" s="94"/>
      <c r="O1285" s="94"/>
      <c r="P1285" s="94"/>
      <c r="Q1285" s="94"/>
      <c r="R1285" s="94"/>
      <c r="S1285" s="94"/>
      <c r="T1285" s="94"/>
      <c r="U1285" s="94"/>
      <c r="V1285" s="94"/>
      <c r="W1285" s="94"/>
      <c r="X1285" s="94"/>
      <c r="Y1285" s="94"/>
      <c r="Z1285" s="94"/>
      <c r="AA1285" s="94"/>
      <c r="AB1285" s="95">
        <v>2.75</v>
      </c>
      <c r="AC1285" s="94"/>
      <c r="AD1285" s="95">
        <v>0</v>
      </c>
      <c r="AE1285" s="94"/>
      <c r="AF1285" s="94"/>
      <c r="AG1285" s="95">
        <v>2.75</v>
      </c>
      <c r="AH1285" s="95">
        <v>0</v>
      </c>
    </row>
    <row r="1286" spans="1:34" ht="15.75" thickBot="1" x14ac:dyDescent="0.3">
      <c r="A1286" s="90" t="s">
        <v>999</v>
      </c>
      <c r="B1286" s="90" t="s">
        <v>35</v>
      </c>
      <c r="C1286" s="90" t="s">
        <v>36</v>
      </c>
      <c r="D1286" s="90" t="s">
        <v>17</v>
      </c>
      <c r="E1286" s="90" t="s">
        <v>673</v>
      </c>
      <c r="F1286" s="90" t="s">
        <v>686</v>
      </c>
      <c r="G1286" s="93">
        <v>56.54</v>
      </c>
      <c r="H1286" s="92"/>
      <c r="I1286" s="92"/>
      <c r="J1286" s="92"/>
      <c r="K1286" s="92"/>
      <c r="L1286" s="92"/>
      <c r="M1286" s="92"/>
      <c r="N1286" s="92"/>
      <c r="O1286" s="92"/>
      <c r="P1286" s="92"/>
      <c r="Q1286" s="92"/>
      <c r="R1286" s="92"/>
      <c r="S1286" s="92"/>
      <c r="T1286" s="92"/>
      <c r="U1286" s="92"/>
      <c r="V1286" s="92"/>
      <c r="W1286" s="92"/>
      <c r="X1286" s="93">
        <v>56.54</v>
      </c>
      <c r="Y1286" s="92"/>
      <c r="Z1286" s="92"/>
      <c r="AA1286" s="92"/>
      <c r="AB1286" s="92"/>
      <c r="AC1286" s="92"/>
      <c r="AD1286" s="93">
        <v>3.1</v>
      </c>
      <c r="AE1286" s="92"/>
      <c r="AF1286" s="92"/>
      <c r="AG1286" s="93">
        <v>59.64</v>
      </c>
      <c r="AH1286" s="93">
        <v>0</v>
      </c>
    </row>
    <row r="1287" spans="1:34" ht="15.75" thickBot="1" x14ac:dyDescent="0.3">
      <c r="A1287" s="90" t="s">
        <v>999</v>
      </c>
      <c r="B1287" s="90" t="s">
        <v>35</v>
      </c>
      <c r="C1287" s="90" t="s">
        <v>36</v>
      </c>
      <c r="D1287" s="90" t="s">
        <v>17</v>
      </c>
      <c r="E1287" s="90" t="s">
        <v>673</v>
      </c>
      <c r="F1287" s="90" t="s">
        <v>697</v>
      </c>
      <c r="G1287" s="95">
        <v>56.54</v>
      </c>
      <c r="H1287" s="94"/>
      <c r="I1287" s="94"/>
      <c r="J1287" s="94"/>
      <c r="K1287" s="94"/>
      <c r="L1287" s="94"/>
      <c r="M1287" s="94"/>
      <c r="N1287" s="94"/>
      <c r="O1287" s="94"/>
      <c r="P1287" s="94"/>
      <c r="Q1287" s="94"/>
      <c r="R1287" s="94"/>
      <c r="S1287" s="94"/>
      <c r="T1287" s="94"/>
      <c r="U1287" s="94"/>
      <c r="V1287" s="94"/>
      <c r="W1287" s="94"/>
      <c r="X1287" s="95">
        <v>56.54</v>
      </c>
      <c r="Y1287" s="94"/>
      <c r="Z1287" s="94"/>
      <c r="AA1287" s="94"/>
      <c r="AB1287" s="94"/>
      <c r="AC1287" s="94"/>
      <c r="AD1287" s="95">
        <v>3.1</v>
      </c>
      <c r="AE1287" s="94"/>
      <c r="AF1287" s="94"/>
      <c r="AG1287" s="95">
        <v>59.64</v>
      </c>
      <c r="AH1287" s="95">
        <v>0</v>
      </c>
    </row>
    <row r="1288" spans="1:34" ht="15.75" thickBot="1" x14ac:dyDescent="0.3">
      <c r="A1288" s="90" t="s">
        <v>999</v>
      </c>
      <c r="B1288" s="90" t="s">
        <v>35</v>
      </c>
      <c r="C1288" s="90" t="s">
        <v>36</v>
      </c>
      <c r="D1288" s="90" t="s">
        <v>17</v>
      </c>
      <c r="E1288" s="90" t="s">
        <v>196</v>
      </c>
      <c r="F1288" s="90" t="s">
        <v>686</v>
      </c>
      <c r="G1288" s="93">
        <v>38.65</v>
      </c>
      <c r="H1288" s="92"/>
      <c r="I1288" s="92"/>
      <c r="J1288" s="92"/>
      <c r="K1288" s="92"/>
      <c r="L1288" s="92"/>
      <c r="M1288" s="92"/>
      <c r="N1288" s="92"/>
      <c r="O1288" s="92"/>
      <c r="P1288" s="93">
        <v>38.65</v>
      </c>
      <c r="Q1288" s="92"/>
      <c r="R1288" s="92"/>
      <c r="S1288" s="92"/>
      <c r="T1288" s="92"/>
      <c r="U1288" s="92"/>
      <c r="V1288" s="92"/>
      <c r="W1288" s="92"/>
      <c r="X1288" s="92"/>
      <c r="Y1288" s="92"/>
      <c r="Z1288" s="92"/>
      <c r="AA1288" s="92"/>
      <c r="AB1288" s="92"/>
      <c r="AC1288" s="92"/>
      <c r="AD1288" s="93">
        <v>1.95</v>
      </c>
      <c r="AE1288" s="92"/>
      <c r="AF1288" s="92"/>
      <c r="AG1288" s="93">
        <v>40.6</v>
      </c>
      <c r="AH1288" s="93">
        <v>0</v>
      </c>
    </row>
    <row r="1289" spans="1:34" ht="15.75" thickBot="1" x14ac:dyDescent="0.3">
      <c r="A1289" s="90" t="s">
        <v>999</v>
      </c>
      <c r="B1289" s="90" t="s">
        <v>35</v>
      </c>
      <c r="C1289" s="90" t="s">
        <v>36</v>
      </c>
      <c r="D1289" s="90" t="s">
        <v>17</v>
      </c>
      <c r="E1289" s="90" t="s">
        <v>196</v>
      </c>
      <c r="F1289" s="90" t="s">
        <v>697</v>
      </c>
      <c r="G1289" s="95">
        <v>38.65</v>
      </c>
      <c r="H1289" s="94"/>
      <c r="I1289" s="94"/>
      <c r="J1289" s="94"/>
      <c r="K1289" s="94"/>
      <c r="L1289" s="94"/>
      <c r="M1289" s="94"/>
      <c r="N1289" s="94"/>
      <c r="O1289" s="94"/>
      <c r="P1289" s="95">
        <v>38.65</v>
      </c>
      <c r="Q1289" s="94"/>
      <c r="R1289" s="94"/>
      <c r="S1289" s="94"/>
      <c r="T1289" s="94"/>
      <c r="U1289" s="94"/>
      <c r="V1289" s="94"/>
      <c r="W1289" s="94"/>
      <c r="X1289" s="94"/>
      <c r="Y1289" s="94"/>
      <c r="Z1289" s="94"/>
      <c r="AA1289" s="94"/>
      <c r="AB1289" s="94"/>
      <c r="AC1289" s="94"/>
      <c r="AD1289" s="95">
        <v>1.95</v>
      </c>
      <c r="AE1289" s="94"/>
      <c r="AF1289" s="94"/>
      <c r="AG1289" s="95">
        <v>40.6</v>
      </c>
      <c r="AH1289" s="95">
        <v>0</v>
      </c>
    </row>
    <row r="1290" spans="1:34" ht="15.75" thickBot="1" x14ac:dyDescent="0.3">
      <c r="A1290" s="90" t="s">
        <v>999</v>
      </c>
      <c r="B1290" s="90" t="s">
        <v>35</v>
      </c>
      <c r="C1290" s="90" t="s">
        <v>36</v>
      </c>
      <c r="D1290" s="90" t="s">
        <v>20</v>
      </c>
      <c r="E1290" s="90" t="s">
        <v>528</v>
      </c>
      <c r="F1290" s="90" t="s">
        <v>686</v>
      </c>
      <c r="G1290" s="93">
        <v>841.5</v>
      </c>
      <c r="H1290" s="92"/>
      <c r="I1290" s="93">
        <v>841.5</v>
      </c>
      <c r="J1290" s="92"/>
      <c r="K1290" s="92"/>
      <c r="L1290" s="92"/>
      <c r="M1290" s="92"/>
      <c r="N1290" s="92"/>
      <c r="O1290" s="92"/>
      <c r="P1290" s="92"/>
      <c r="Q1290" s="92"/>
      <c r="R1290" s="92"/>
      <c r="S1290" s="92"/>
      <c r="T1290" s="92"/>
      <c r="U1290" s="92"/>
      <c r="V1290" s="92"/>
      <c r="W1290" s="92"/>
      <c r="X1290" s="92"/>
      <c r="Y1290" s="92"/>
      <c r="Z1290" s="92"/>
      <c r="AA1290" s="92"/>
      <c r="AB1290" s="92"/>
      <c r="AC1290" s="92"/>
      <c r="AD1290" s="93">
        <v>0.82</v>
      </c>
      <c r="AE1290" s="92"/>
      <c r="AF1290" s="92"/>
      <c r="AG1290" s="93">
        <v>842.32</v>
      </c>
      <c r="AH1290" s="93">
        <v>0</v>
      </c>
    </row>
    <row r="1291" spans="1:34" ht="15.75" thickBot="1" x14ac:dyDescent="0.3">
      <c r="A1291" s="90" t="s">
        <v>999</v>
      </c>
      <c r="B1291" s="90" t="s">
        <v>35</v>
      </c>
      <c r="C1291" s="90" t="s">
        <v>36</v>
      </c>
      <c r="D1291" s="90" t="s">
        <v>20</v>
      </c>
      <c r="E1291" s="90" t="s">
        <v>528</v>
      </c>
      <c r="F1291" s="90" t="s">
        <v>697</v>
      </c>
      <c r="G1291" s="95">
        <v>841.5</v>
      </c>
      <c r="H1291" s="94"/>
      <c r="I1291" s="95">
        <v>841.5</v>
      </c>
      <c r="J1291" s="94"/>
      <c r="K1291" s="94"/>
      <c r="L1291" s="94"/>
      <c r="M1291" s="94"/>
      <c r="N1291" s="94"/>
      <c r="O1291" s="94"/>
      <c r="P1291" s="94"/>
      <c r="Q1291" s="94"/>
      <c r="R1291" s="94"/>
      <c r="S1291" s="94"/>
      <c r="T1291" s="94"/>
      <c r="U1291" s="94"/>
      <c r="V1291" s="94"/>
      <c r="W1291" s="94"/>
      <c r="X1291" s="94"/>
      <c r="Y1291" s="94"/>
      <c r="Z1291" s="94"/>
      <c r="AA1291" s="94"/>
      <c r="AB1291" s="94"/>
      <c r="AC1291" s="94"/>
      <c r="AD1291" s="95">
        <v>0.82</v>
      </c>
      <c r="AE1291" s="94"/>
      <c r="AF1291" s="94"/>
      <c r="AG1291" s="95">
        <v>842.32</v>
      </c>
      <c r="AH1291" s="95">
        <v>0</v>
      </c>
    </row>
    <row r="1292" spans="1:34" ht="15.75" thickBot="1" x14ac:dyDescent="0.3">
      <c r="A1292" s="90" t="s">
        <v>999</v>
      </c>
      <c r="B1292" s="90" t="s">
        <v>35</v>
      </c>
      <c r="C1292" s="90" t="s">
        <v>36</v>
      </c>
      <c r="D1292" s="90" t="s">
        <v>20</v>
      </c>
      <c r="E1292" s="90" t="s">
        <v>518</v>
      </c>
      <c r="F1292" s="90" t="s">
        <v>686</v>
      </c>
      <c r="G1292" s="93">
        <v>224.95</v>
      </c>
      <c r="H1292" s="93">
        <v>784</v>
      </c>
      <c r="I1292" s="92"/>
      <c r="J1292" s="92"/>
      <c r="K1292" s="93">
        <v>224.95</v>
      </c>
      <c r="L1292" s="92"/>
      <c r="M1292" s="92"/>
      <c r="N1292" s="92"/>
      <c r="O1292" s="92"/>
      <c r="P1292" s="92"/>
      <c r="Q1292" s="92"/>
      <c r="R1292" s="92"/>
      <c r="S1292" s="92"/>
      <c r="T1292" s="92"/>
      <c r="U1292" s="92"/>
      <c r="V1292" s="92"/>
      <c r="W1292" s="92"/>
      <c r="X1292" s="92"/>
      <c r="Y1292" s="92"/>
      <c r="Z1292" s="92"/>
      <c r="AA1292" s="92"/>
      <c r="AB1292" s="92"/>
      <c r="AC1292" s="92"/>
      <c r="AD1292" s="93">
        <v>0.09</v>
      </c>
      <c r="AE1292" s="92"/>
      <c r="AF1292" s="92"/>
      <c r="AG1292" s="93">
        <v>225.04</v>
      </c>
      <c r="AH1292" s="93">
        <v>0</v>
      </c>
    </row>
    <row r="1293" spans="1:34" ht="15.75" thickBot="1" x14ac:dyDescent="0.3">
      <c r="A1293" s="90" t="s">
        <v>999</v>
      </c>
      <c r="B1293" s="90" t="s">
        <v>35</v>
      </c>
      <c r="C1293" s="90" t="s">
        <v>36</v>
      </c>
      <c r="D1293" s="90" t="s">
        <v>20</v>
      </c>
      <c r="E1293" s="90" t="s">
        <v>518</v>
      </c>
      <c r="F1293" s="90" t="s">
        <v>697</v>
      </c>
      <c r="G1293" s="95">
        <v>224.95</v>
      </c>
      <c r="H1293" s="305">
        <v>784</v>
      </c>
      <c r="I1293" s="94"/>
      <c r="J1293" s="94"/>
      <c r="K1293" s="95">
        <v>224.95</v>
      </c>
      <c r="L1293" s="94"/>
      <c r="M1293" s="94"/>
      <c r="N1293" s="94"/>
      <c r="O1293" s="94"/>
      <c r="P1293" s="94"/>
      <c r="Q1293" s="94"/>
      <c r="R1293" s="94"/>
      <c r="S1293" s="94"/>
      <c r="T1293" s="94"/>
      <c r="U1293" s="94"/>
      <c r="V1293" s="94"/>
      <c r="W1293" s="94"/>
      <c r="X1293" s="94"/>
      <c r="Y1293" s="94"/>
      <c r="Z1293" s="94"/>
      <c r="AA1293" s="94"/>
      <c r="AB1293" s="94"/>
      <c r="AC1293" s="94"/>
      <c r="AD1293" s="95">
        <v>0.09</v>
      </c>
      <c r="AE1293" s="94"/>
      <c r="AF1293" s="94"/>
      <c r="AG1293" s="95">
        <v>225.04</v>
      </c>
      <c r="AH1293" s="95">
        <v>0</v>
      </c>
    </row>
    <row r="1294" spans="1:34" ht="15.75" thickBot="1" x14ac:dyDescent="0.3">
      <c r="A1294" s="90" t="s">
        <v>999</v>
      </c>
      <c r="B1294" s="90" t="s">
        <v>35</v>
      </c>
      <c r="C1294" s="90" t="s">
        <v>36</v>
      </c>
      <c r="D1294" s="90" t="s">
        <v>20</v>
      </c>
      <c r="E1294" s="90" t="s">
        <v>727</v>
      </c>
      <c r="F1294" s="90" t="s">
        <v>686</v>
      </c>
      <c r="G1294" s="93">
        <v>8.5</v>
      </c>
      <c r="H1294" s="92"/>
      <c r="I1294" s="92"/>
      <c r="J1294" s="92"/>
      <c r="K1294" s="92"/>
      <c r="L1294" s="92"/>
      <c r="M1294" s="92"/>
      <c r="N1294" s="92"/>
      <c r="O1294" s="93">
        <v>8.5</v>
      </c>
      <c r="P1294" s="92"/>
      <c r="Q1294" s="92"/>
      <c r="R1294" s="92"/>
      <c r="S1294" s="92"/>
      <c r="T1294" s="92"/>
      <c r="U1294" s="92"/>
      <c r="V1294" s="92"/>
      <c r="W1294" s="92"/>
      <c r="X1294" s="92"/>
      <c r="Y1294" s="92"/>
      <c r="Z1294" s="92"/>
      <c r="AA1294" s="92"/>
      <c r="AB1294" s="92"/>
      <c r="AC1294" s="92"/>
      <c r="AD1294" s="93">
        <v>0</v>
      </c>
      <c r="AE1294" s="92"/>
      <c r="AF1294" s="92"/>
      <c r="AG1294" s="93">
        <v>8.5</v>
      </c>
      <c r="AH1294" s="93">
        <v>0</v>
      </c>
    </row>
    <row r="1295" spans="1:34" ht="15.75" thickBot="1" x14ac:dyDescent="0.3">
      <c r="A1295" s="90" t="s">
        <v>999</v>
      </c>
      <c r="B1295" s="90" t="s">
        <v>35</v>
      </c>
      <c r="C1295" s="90" t="s">
        <v>36</v>
      </c>
      <c r="D1295" s="90" t="s">
        <v>20</v>
      </c>
      <c r="E1295" s="90" t="s">
        <v>727</v>
      </c>
      <c r="F1295" s="90" t="s">
        <v>697</v>
      </c>
      <c r="G1295" s="95">
        <v>8.5</v>
      </c>
      <c r="H1295" s="94"/>
      <c r="I1295" s="94"/>
      <c r="J1295" s="94"/>
      <c r="K1295" s="94"/>
      <c r="L1295" s="94"/>
      <c r="M1295" s="94"/>
      <c r="N1295" s="94"/>
      <c r="O1295" s="95">
        <v>8.5</v>
      </c>
      <c r="P1295" s="94"/>
      <c r="Q1295" s="94"/>
      <c r="R1295" s="94"/>
      <c r="S1295" s="94"/>
      <c r="T1295" s="94"/>
      <c r="U1295" s="94"/>
      <c r="V1295" s="94"/>
      <c r="W1295" s="94"/>
      <c r="X1295" s="94"/>
      <c r="Y1295" s="94"/>
      <c r="Z1295" s="94"/>
      <c r="AA1295" s="94"/>
      <c r="AB1295" s="94"/>
      <c r="AC1295" s="94"/>
      <c r="AD1295" s="95">
        <v>0</v>
      </c>
      <c r="AE1295" s="94"/>
      <c r="AF1295" s="94"/>
      <c r="AG1295" s="95">
        <v>8.5</v>
      </c>
      <c r="AH1295" s="95">
        <v>0</v>
      </c>
    </row>
    <row r="1296" spans="1:34" ht="15.75" thickBot="1" x14ac:dyDescent="0.3">
      <c r="A1296" s="90" t="s">
        <v>999</v>
      </c>
      <c r="B1296" s="90" t="s">
        <v>35</v>
      </c>
      <c r="C1296" s="90" t="s">
        <v>36</v>
      </c>
      <c r="D1296" s="90" t="s">
        <v>20</v>
      </c>
      <c r="E1296" s="90" t="s">
        <v>728</v>
      </c>
      <c r="F1296" s="90" t="s">
        <v>686</v>
      </c>
      <c r="G1296" s="92"/>
      <c r="H1296" s="92"/>
      <c r="I1296" s="92"/>
      <c r="J1296" s="92"/>
      <c r="K1296" s="92"/>
      <c r="L1296" s="92"/>
      <c r="M1296" s="92"/>
      <c r="N1296" s="92"/>
      <c r="O1296" s="92"/>
      <c r="P1296" s="92"/>
      <c r="Q1296" s="92"/>
      <c r="R1296" s="92"/>
      <c r="S1296" s="92"/>
      <c r="T1296" s="92"/>
      <c r="U1296" s="92"/>
      <c r="V1296" s="92"/>
      <c r="W1296" s="92"/>
      <c r="X1296" s="92"/>
      <c r="Y1296" s="92"/>
      <c r="Z1296" s="92"/>
      <c r="AA1296" s="92"/>
      <c r="AB1296" s="93">
        <v>15.75</v>
      </c>
      <c r="AC1296" s="92"/>
      <c r="AD1296" s="93">
        <v>0</v>
      </c>
      <c r="AE1296" s="92"/>
      <c r="AF1296" s="92"/>
      <c r="AG1296" s="93">
        <v>15.75</v>
      </c>
      <c r="AH1296" s="93">
        <v>0</v>
      </c>
    </row>
    <row r="1297" spans="1:34" ht="15.75" thickBot="1" x14ac:dyDescent="0.3">
      <c r="A1297" s="90" t="s">
        <v>999</v>
      </c>
      <c r="B1297" s="90" t="s">
        <v>35</v>
      </c>
      <c r="C1297" s="90" t="s">
        <v>36</v>
      </c>
      <c r="D1297" s="90" t="s">
        <v>20</v>
      </c>
      <c r="E1297" s="90" t="s">
        <v>728</v>
      </c>
      <c r="F1297" s="90" t="s">
        <v>697</v>
      </c>
      <c r="G1297" s="94"/>
      <c r="H1297" s="94"/>
      <c r="I1297" s="94"/>
      <c r="J1297" s="94"/>
      <c r="K1297" s="94"/>
      <c r="L1297" s="94"/>
      <c r="M1297" s="94"/>
      <c r="N1297" s="94"/>
      <c r="O1297" s="94"/>
      <c r="P1297" s="94"/>
      <c r="Q1297" s="94"/>
      <c r="R1297" s="94"/>
      <c r="S1297" s="94"/>
      <c r="T1297" s="94"/>
      <c r="U1297" s="94"/>
      <c r="V1297" s="94"/>
      <c r="W1297" s="94"/>
      <c r="X1297" s="94"/>
      <c r="Y1297" s="94"/>
      <c r="Z1297" s="94"/>
      <c r="AA1297" s="94"/>
      <c r="AB1297" s="95">
        <v>15.75</v>
      </c>
      <c r="AC1297" s="94"/>
      <c r="AD1297" s="95">
        <v>0</v>
      </c>
      <c r="AE1297" s="94"/>
      <c r="AF1297" s="94"/>
      <c r="AG1297" s="95">
        <v>15.75</v>
      </c>
      <c r="AH1297" s="95">
        <v>0</v>
      </c>
    </row>
    <row r="1298" spans="1:34" ht="15.75" thickBot="1" x14ac:dyDescent="0.3">
      <c r="A1298" s="90" t="s">
        <v>999</v>
      </c>
      <c r="B1298" s="90" t="s">
        <v>35</v>
      </c>
      <c r="C1298" s="90" t="s">
        <v>36</v>
      </c>
      <c r="D1298" s="90" t="s">
        <v>20</v>
      </c>
      <c r="E1298" s="90" t="s">
        <v>673</v>
      </c>
      <c r="F1298" s="90" t="s">
        <v>686</v>
      </c>
      <c r="G1298" s="93">
        <v>320.31</v>
      </c>
      <c r="H1298" s="92"/>
      <c r="I1298" s="92"/>
      <c r="J1298" s="92"/>
      <c r="K1298" s="92"/>
      <c r="L1298" s="92"/>
      <c r="M1298" s="92"/>
      <c r="N1298" s="92"/>
      <c r="O1298" s="92"/>
      <c r="P1298" s="92"/>
      <c r="Q1298" s="92"/>
      <c r="R1298" s="92"/>
      <c r="S1298" s="92"/>
      <c r="T1298" s="92"/>
      <c r="U1298" s="92"/>
      <c r="V1298" s="92"/>
      <c r="W1298" s="92"/>
      <c r="X1298" s="93">
        <v>320.31</v>
      </c>
      <c r="Y1298" s="92"/>
      <c r="Z1298" s="92"/>
      <c r="AA1298" s="92"/>
      <c r="AB1298" s="92"/>
      <c r="AC1298" s="92"/>
      <c r="AD1298" s="93">
        <v>0.3</v>
      </c>
      <c r="AE1298" s="92"/>
      <c r="AF1298" s="92"/>
      <c r="AG1298" s="93">
        <v>320.61</v>
      </c>
      <c r="AH1298" s="93">
        <v>0</v>
      </c>
    </row>
    <row r="1299" spans="1:34" ht="15.75" thickBot="1" x14ac:dyDescent="0.3">
      <c r="A1299" s="90" t="s">
        <v>999</v>
      </c>
      <c r="B1299" s="90" t="s">
        <v>35</v>
      </c>
      <c r="C1299" s="90" t="s">
        <v>36</v>
      </c>
      <c r="D1299" s="90" t="s">
        <v>20</v>
      </c>
      <c r="E1299" s="90" t="s">
        <v>673</v>
      </c>
      <c r="F1299" s="90" t="s">
        <v>697</v>
      </c>
      <c r="G1299" s="95">
        <v>320.31</v>
      </c>
      <c r="H1299" s="94"/>
      <c r="I1299" s="94"/>
      <c r="J1299" s="94"/>
      <c r="K1299" s="94"/>
      <c r="L1299" s="94"/>
      <c r="M1299" s="94"/>
      <c r="N1299" s="94"/>
      <c r="O1299" s="94"/>
      <c r="P1299" s="94"/>
      <c r="Q1299" s="94"/>
      <c r="R1299" s="94"/>
      <c r="S1299" s="94"/>
      <c r="T1299" s="94"/>
      <c r="U1299" s="94"/>
      <c r="V1299" s="94"/>
      <c r="W1299" s="94"/>
      <c r="X1299" s="95">
        <v>320.31</v>
      </c>
      <c r="Y1299" s="94"/>
      <c r="Z1299" s="94"/>
      <c r="AA1299" s="94"/>
      <c r="AB1299" s="94"/>
      <c r="AC1299" s="94"/>
      <c r="AD1299" s="95">
        <v>0.3</v>
      </c>
      <c r="AE1299" s="94"/>
      <c r="AF1299" s="94"/>
      <c r="AG1299" s="95">
        <v>320.61</v>
      </c>
      <c r="AH1299" s="95">
        <v>0</v>
      </c>
    </row>
    <row r="1300" spans="1:34" ht="15.75" thickBot="1" x14ac:dyDescent="0.3">
      <c r="A1300" s="90" t="s">
        <v>999</v>
      </c>
      <c r="B1300" s="90" t="s">
        <v>35</v>
      </c>
      <c r="C1300" s="90" t="s">
        <v>36</v>
      </c>
      <c r="D1300" s="90" t="s">
        <v>20</v>
      </c>
      <c r="E1300" s="90" t="s">
        <v>196</v>
      </c>
      <c r="F1300" s="90" t="s">
        <v>686</v>
      </c>
      <c r="G1300" s="93">
        <v>275.29000000000002</v>
      </c>
      <c r="H1300" s="92"/>
      <c r="I1300" s="92"/>
      <c r="J1300" s="92"/>
      <c r="K1300" s="92"/>
      <c r="L1300" s="92"/>
      <c r="M1300" s="92"/>
      <c r="N1300" s="92"/>
      <c r="O1300" s="92"/>
      <c r="P1300" s="93">
        <v>275.29000000000002</v>
      </c>
      <c r="Q1300" s="92"/>
      <c r="R1300" s="92"/>
      <c r="S1300" s="92"/>
      <c r="T1300" s="92"/>
      <c r="U1300" s="92"/>
      <c r="V1300" s="92"/>
      <c r="W1300" s="92"/>
      <c r="X1300" s="92"/>
      <c r="Y1300" s="92"/>
      <c r="Z1300" s="92"/>
      <c r="AA1300" s="92"/>
      <c r="AB1300" s="92"/>
      <c r="AC1300" s="92"/>
      <c r="AD1300" s="93">
        <v>0.1</v>
      </c>
      <c r="AE1300" s="92"/>
      <c r="AF1300" s="92"/>
      <c r="AG1300" s="93">
        <v>275.39</v>
      </c>
      <c r="AH1300" s="93">
        <v>0</v>
      </c>
    </row>
    <row r="1301" spans="1:34" ht="15.75" thickBot="1" x14ac:dyDescent="0.3">
      <c r="A1301" s="90" t="s">
        <v>999</v>
      </c>
      <c r="B1301" s="90" t="s">
        <v>35</v>
      </c>
      <c r="C1301" s="90" t="s">
        <v>36</v>
      </c>
      <c r="D1301" s="90" t="s">
        <v>20</v>
      </c>
      <c r="E1301" s="90" t="s">
        <v>196</v>
      </c>
      <c r="F1301" s="90" t="s">
        <v>697</v>
      </c>
      <c r="G1301" s="95">
        <v>275.29000000000002</v>
      </c>
      <c r="H1301" s="94"/>
      <c r="I1301" s="94"/>
      <c r="J1301" s="94"/>
      <c r="K1301" s="94"/>
      <c r="L1301" s="94"/>
      <c r="M1301" s="94"/>
      <c r="N1301" s="94"/>
      <c r="O1301" s="94"/>
      <c r="P1301" s="95">
        <v>275.29000000000002</v>
      </c>
      <c r="Q1301" s="94"/>
      <c r="R1301" s="94"/>
      <c r="S1301" s="94"/>
      <c r="T1301" s="94"/>
      <c r="U1301" s="94"/>
      <c r="V1301" s="94"/>
      <c r="W1301" s="94"/>
      <c r="X1301" s="94"/>
      <c r="Y1301" s="94"/>
      <c r="Z1301" s="94"/>
      <c r="AA1301" s="94"/>
      <c r="AB1301" s="94"/>
      <c r="AC1301" s="94"/>
      <c r="AD1301" s="95">
        <v>0.1</v>
      </c>
      <c r="AE1301" s="94"/>
      <c r="AF1301" s="94"/>
      <c r="AG1301" s="95">
        <v>275.39</v>
      </c>
      <c r="AH1301" s="95">
        <v>0</v>
      </c>
    </row>
    <row r="1302" spans="1:34" ht="15.75" thickBot="1" x14ac:dyDescent="0.3">
      <c r="A1302" s="90" t="s">
        <v>999</v>
      </c>
      <c r="B1302" s="90" t="s">
        <v>35</v>
      </c>
      <c r="C1302" s="90" t="s">
        <v>36</v>
      </c>
      <c r="D1302" s="90" t="s">
        <v>28</v>
      </c>
      <c r="E1302" s="90" t="s">
        <v>919</v>
      </c>
      <c r="F1302" s="90" t="s">
        <v>686</v>
      </c>
      <c r="G1302" s="93">
        <v>0.65</v>
      </c>
      <c r="H1302" s="92"/>
      <c r="I1302" s="93">
        <v>0.65</v>
      </c>
      <c r="J1302" s="92"/>
      <c r="K1302" s="92"/>
      <c r="L1302" s="92"/>
      <c r="M1302" s="92"/>
      <c r="N1302" s="92"/>
      <c r="O1302" s="92"/>
      <c r="P1302" s="92"/>
      <c r="Q1302" s="92"/>
      <c r="R1302" s="92"/>
      <c r="S1302" s="92"/>
      <c r="T1302" s="92"/>
      <c r="U1302" s="92"/>
      <c r="V1302" s="92"/>
      <c r="W1302" s="92"/>
      <c r="X1302" s="92"/>
      <c r="Y1302" s="92"/>
      <c r="Z1302" s="92"/>
      <c r="AA1302" s="92"/>
      <c r="AB1302" s="92"/>
      <c r="AC1302" s="92"/>
      <c r="AD1302" s="93">
        <v>0</v>
      </c>
      <c r="AE1302" s="92"/>
      <c r="AF1302" s="92"/>
      <c r="AG1302" s="93">
        <v>0.65</v>
      </c>
      <c r="AH1302" s="93">
        <v>0</v>
      </c>
    </row>
    <row r="1303" spans="1:34" ht="15.75" thickBot="1" x14ac:dyDescent="0.3">
      <c r="A1303" s="90" t="s">
        <v>999</v>
      </c>
      <c r="B1303" s="90" t="s">
        <v>35</v>
      </c>
      <c r="C1303" s="90" t="s">
        <v>36</v>
      </c>
      <c r="D1303" s="90" t="s">
        <v>28</v>
      </c>
      <c r="E1303" s="90" t="s">
        <v>919</v>
      </c>
      <c r="F1303" s="90" t="s">
        <v>697</v>
      </c>
      <c r="G1303" s="95">
        <v>0.65</v>
      </c>
      <c r="H1303" s="94"/>
      <c r="I1303" s="95">
        <v>0.65</v>
      </c>
      <c r="J1303" s="94"/>
      <c r="K1303" s="94"/>
      <c r="L1303" s="94"/>
      <c r="M1303" s="94"/>
      <c r="N1303" s="94"/>
      <c r="O1303" s="94"/>
      <c r="P1303" s="94"/>
      <c r="Q1303" s="94"/>
      <c r="R1303" s="94"/>
      <c r="S1303" s="94"/>
      <c r="T1303" s="94"/>
      <c r="U1303" s="94"/>
      <c r="V1303" s="94"/>
      <c r="W1303" s="94"/>
      <c r="X1303" s="94"/>
      <c r="Y1303" s="94"/>
      <c r="Z1303" s="94"/>
      <c r="AA1303" s="94"/>
      <c r="AB1303" s="94"/>
      <c r="AC1303" s="94"/>
      <c r="AD1303" s="95">
        <v>0</v>
      </c>
      <c r="AE1303" s="94"/>
      <c r="AF1303" s="94"/>
      <c r="AG1303" s="95">
        <v>0.65</v>
      </c>
      <c r="AH1303" s="95">
        <v>0</v>
      </c>
    </row>
    <row r="1304" spans="1:34" ht="15.75" thickBot="1" x14ac:dyDescent="0.3">
      <c r="A1304" s="90" t="s">
        <v>999</v>
      </c>
      <c r="B1304" s="90" t="s">
        <v>35</v>
      </c>
      <c r="C1304" s="90" t="s">
        <v>36</v>
      </c>
      <c r="D1304" s="90" t="s">
        <v>28</v>
      </c>
      <c r="E1304" s="90" t="s">
        <v>726</v>
      </c>
      <c r="F1304" s="90" t="s">
        <v>686</v>
      </c>
      <c r="G1304" s="92"/>
      <c r="H1304" s="92"/>
      <c r="I1304" s="92"/>
      <c r="J1304" s="92"/>
      <c r="K1304" s="92"/>
      <c r="L1304" s="92"/>
      <c r="M1304" s="92"/>
      <c r="N1304" s="92"/>
      <c r="O1304" s="92"/>
      <c r="P1304" s="92"/>
      <c r="Q1304" s="92"/>
      <c r="R1304" s="92"/>
      <c r="S1304" s="92"/>
      <c r="T1304" s="92"/>
      <c r="U1304" s="92"/>
      <c r="V1304" s="92"/>
      <c r="W1304" s="92"/>
      <c r="X1304" s="92"/>
      <c r="Y1304" s="92"/>
      <c r="Z1304" s="92"/>
      <c r="AA1304" s="92"/>
      <c r="AB1304" s="92"/>
      <c r="AC1304" s="93">
        <v>2108.9699999999998</v>
      </c>
      <c r="AD1304" s="93">
        <v>0</v>
      </c>
      <c r="AE1304" s="92"/>
      <c r="AF1304" s="92"/>
      <c r="AG1304" s="93">
        <v>2108.9699999999998</v>
      </c>
      <c r="AH1304" s="93">
        <v>0</v>
      </c>
    </row>
    <row r="1305" spans="1:34" ht="15.75" thickBot="1" x14ac:dyDescent="0.3">
      <c r="A1305" s="90" t="s">
        <v>999</v>
      </c>
      <c r="B1305" s="90" t="s">
        <v>35</v>
      </c>
      <c r="C1305" s="90" t="s">
        <v>36</v>
      </c>
      <c r="D1305" s="90" t="s">
        <v>28</v>
      </c>
      <c r="E1305" s="90" t="s">
        <v>726</v>
      </c>
      <c r="F1305" s="90" t="s">
        <v>697</v>
      </c>
      <c r="G1305" s="94"/>
      <c r="H1305" s="94"/>
      <c r="I1305" s="94"/>
      <c r="J1305" s="94"/>
      <c r="K1305" s="94"/>
      <c r="L1305" s="94"/>
      <c r="M1305" s="94"/>
      <c r="N1305" s="94"/>
      <c r="O1305" s="94"/>
      <c r="P1305" s="94"/>
      <c r="Q1305" s="94"/>
      <c r="R1305" s="94"/>
      <c r="S1305" s="94"/>
      <c r="T1305" s="94"/>
      <c r="U1305" s="94"/>
      <c r="V1305" s="94"/>
      <c r="W1305" s="94"/>
      <c r="X1305" s="94"/>
      <c r="Y1305" s="94"/>
      <c r="Z1305" s="94"/>
      <c r="AA1305" s="94"/>
      <c r="AB1305" s="94"/>
      <c r="AC1305" s="95">
        <v>2108.9699999999998</v>
      </c>
      <c r="AD1305" s="95">
        <v>0</v>
      </c>
      <c r="AE1305" s="94"/>
      <c r="AF1305" s="94"/>
      <c r="AG1305" s="95">
        <v>2108.9699999999998</v>
      </c>
      <c r="AH1305" s="95">
        <v>0</v>
      </c>
    </row>
    <row r="1306" spans="1:34" ht="15.75" thickBot="1" x14ac:dyDescent="0.3">
      <c r="A1306" s="90" t="s">
        <v>999</v>
      </c>
      <c r="B1306" s="90" t="s">
        <v>35</v>
      </c>
      <c r="C1306" s="90" t="s">
        <v>36</v>
      </c>
      <c r="D1306" s="90" t="s">
        <v>28</v>
      </c>
      <c r="E1306" s="90" t="s">
        <v>528</v>
      </c>
      <c r="F1306" s="90" t="s">
        <v>686</v>
      </c>
      <c r="G1306" s="93">
        <v>3984301.67</v>
      </c>
      <c r="H1306" s="92"/>
      <c r="I1306" s="93">
        <v>3984301.67</v>
      </c>
      <c r="J1306" s="92"/>
      <c r="K1306" s="92"/>
      <c r="L1306" s="92"/>
      <c r="M1306" s="92"/>
      <c r="N1306" s="92"/>
      <c r="O1306" s="92"/>
      <c r="P1306" s="92"/>
      <c r="Q1306" s="92"/>
      <c r="R1306" s="92"/>
      <c r="S1306" s="92"/>
      <c r="T1306" s="92"/>
      <c r="U1306" s="92"/>
      <c r="V1306" s="92"/>
      <c r="W1306" s="92"/>
      <c r="X1306" s="92"/>
      <c r="Y1306" s="92"/>
      <c r="Z1306" s="92"/>
      <c r="AA1306" s="92"/>
      <c r="AB1306" s="92"/>
      <c r="AC1306" s="92"/>
      <c r="AD1306" s="93">
        <v>17009.55</v>
      </c>
      <c r="AE1306" s="92"/>
      <c r="AF1306" s="92"/>
      <c r="AG1306" s="93">
        <v>4001311.22</v>
      </c>
      <c r="AH1306" s="93">
        <v>0</v>
      </c>
    </row>
    <row r="1307" spans="1:34" ht="15.75" thickBot="1" x14ac:dyDescent="0.3">
      <c r="A1307" s="90" t="s">
        <v>999</v>
      </c>
      <c r="B1307" s="90" t="s">
        <v>35</v>
      </c>
      <c r="C1307" s="90" t="s">
        <v>36</v>
      </c>
      <c r="D1307" s="90" t="s">
        <v>28</v>
      </c>
      <c r="E1307" s="90" t="s">
        <v>528</v>
      </c>
      <c r="F1307" s="90" t="s">
        <v>697</v>
      </c>
      <c r="G1307" s="95">
        <v>3984301.67</v>
      </c>
      <c r="H1307" s="94"/>
      <c r="I1307" s="95">
        <v>3984301.67</v>
      </c>
      <c r="J1307" s="94"/>
      <c r="K1307" s="94"/>
      <c r="L1307" s="94"/>
      <c r="M1307" s="94"/>
      <c r="N1307" s="94"/>
      <c r="O1307" s="94"/>
      <c r="P1307" s="94"/>
      <c r="Q1307" s="94"/>
      <c r="R1307" s="94"/>
      <c r="S1307" s="94"/>
      <c r="T1307" s="94"/>
      <c r="U1307" s="94"/>
      <c r="V1307" s="94"/>
      <c r="W1307" s="94"/>
      <c r="X1307" s="94"/>
      <c r="Y1307" s="94"/>
      <c r="Z1307" s="94"/>
      <c r="AA1307" s="94"/>
      <c r="AB1307" s="94"/>
      <c r="AC1307" s="94"/>
      <c r="AD1307" s="95">
        <v>17009.55</v>
      </c>
      <c r="AE1307" s="94"/>
      <c r="AF1307" s="94"/>
      <c r="AG1307" s="95">
        <v>4001311.22</v>
      </c>
      <c r="AH1307" s="95">
        <v>0</v>
      </c>
    </row>
    <row r="1308" spans="1:34" ht="15.75" thickBot="1" x14ac:dyDescent="0.3">
      <c r="A1308" s="90" t="s">
        <v>999</v>
      </c>
      <c r="B1308" s="90" t="s">
        <v>35</v>
      </c>
      <c r="C1308" s="90" t="s">
        <v>36</v>
      </c>
      <c r="D1308" s="90" t="s">
        <v>28</v>
      </c>
      <c r="E1308" s="90" t="s">
        <v>518</v>
      </c>
      <c r="F1308" s="90" t="s">
        <v>686</v>
      </c>
      <c r="G1308" s="93">
        <v>1490343</v>
      </c>
      <c r="H1308" s="93">
        <v>5194154</v>
      </c>
      <c r="I1308" s="92"/>
      <c r="J1308" s="92"/>
      <c r="K1308" s="93">
        <v>1490343</v>
      </c>
      <c r="L1308" s="92"/>
      <c r="M1308" s="92"/>
      <c r="N1308" s="92"/>
      <c r="O1308" s="92"/>
      <c r="P1308" s="92"/>
      <c r="Q1308" s="92"/>
      <c r="R1308" s="92"/>
      <c r="S1308" s="92"/>
      <c r="T1308" s="92"/>
      <c r="U1308" s="92"/>
      <c r="V1308" s="92"/>
      <c r="W1308" s="92"/>
      <c r="X1308" s="92"/>
      <c r="Y1308" s="92"/>
      <c r="Z1308" s="92"/>
      <c r="AA1308" s="92"/>
      <c r="AB1308" s="92"/>
      <c r="AC1308" s="92"/>
      <c r="AD1308" s="93">
        <v>6173</v>
      </c>
      <c r="AE1308" s="92"/>
      <c r="AF1308" s="92"/>
      <c r="AG1308" s="93">
        <v>1496516</v>
      </c>
      <c r="AH1308" s="93">
        <v>0</v>
      </c>
    </row>
    <row r="1309" spans="1:34" ht="15.75" thickBot="1" x14ac:dyDescent="0.3">
      <c r="A1309" s="90" t="s">
        <v>999</v>
      </c>
      <c r="B1309" s="90" t="s">
        <v>35</v>
      </c>
      <c r="C1309" s="90" t="s">
        <v>36</v>
      </c>
      <c r="D1309" s="90" t="s">
        <v>28</v>
      </c>
      <c r="E1309" s="90" t="s">
        <v>518</v>
      </c>
      <c r="F1309" s="90" t="s">
        <v>697</v>
      </c>
      <c r="G1309" s="95">
        <v>1490343</v>
      </c>
      <c r="H1309" s="305">
        <v>5194154</v>
      </c>
      <c r="I1309" s="94"/>
      <c r="J1309" s="94"/>
      <c r="K1309" s="95">
        <v>1490343</v>
      </c>
      <c r="L1309" s="94"/>
      <c r="M1309" s="94"/>
      <c r="N1309" s="94"/>
      <c r="O1309" s="94"/>
      <c r="P1309" s="94"/>
      <c r="Q1309" s="94"/>
      <c r="R1309" s="94"/>
      <c r="S1309" s="94"/>
      <c r="T1309" s="94"/>
      <c r="U1309" s="94"/>
      <c r="V1309" s="94"/>
      <c r="W1309" s="94"/>
      <c r="X1309" s="94"/>
      <c r="Y1309" s="94"/>
      <c r="Z1309" s="94"/>
      <c r="AA1309" s="94"/>
      <c r="AB1309" s="94"/>
      <c r="AC1309" s="94"/>
      <c r="AD1309" s="95">
        <v>6173</v>
      </c>
      <c r="AE1309" s="94"/>
      <c r="AF1309" s="94"/>
      <c r="AG1309" s="95">
        <v>1496516</v>
      </c>
      <c r="AH1309" s="95">
        <v>0</v>
      </c>
    </row>
    <row r="1310" spans="1:34" ht="15.75" thickBot="1" x14ac:dyDescent="0.3">
      <c r="A1310" s="90" t="s">
        <v>999</v>
      </c>
      <c r="B1310" s="90" t="s">
        <v>35</v>
      </c>
      <c r="C1310" s="90" t="s">
        <v>36</v>
      </c>
      <c r="D1310" s="90" t="s">
        <v>28</v>
      </c>
      <c r="E1310" s="90" t="s">
        <v>727</v>
      </c>
      <c r="F1310" s="90" t="s">
        <v>686</v>
      </c>
      <c r="G1310" s="93">
        <v>56386.14</v>
      </c>
      <c r="H1310" s="92"/>
      <c r="I1310" s="92"/>
      <c r="J1310" s="92"/>
      <c r="K1310" s="92"/>
      <c r="L1310" s="92"/>
      <c r="M1310" s="92"/>
      <c r="N1310" s="92"/>
      <c r="O1310" s="93">
        <v>56386.14</v>
      </c>
      <c r="P1310" s="92"/>
      <c r="Q1310" s="92"/>
      <c r="R1310" s="92"/>
      <c r="S1310" s="92"/>
      <c r="T1310" s="92"/>
      <c r="U1310" s="92"/>
      <c r="V1310" s="92"/>
      <c r="W1310" s="92"/>
      <c r="X1310" s="92"/>
      <c r="Y1310" s="92"/>
      <c r="Z1310" s="92"/>
      <c r="AA1310" s="92"/>
      <c r="AB1310" s="92"/>
      <c r="AC1310" s="92"/>
      <c r="AD1310" s="93">
        <v>221.56</v>
      </c>
      <c r="AE1310" s="92"/>
      <c r="AF1310" s="92"/>
      <c r="AG1310" s="93">
        <v>56607.7</v>
      </c>
      <c r="AH1310" s="93">
        <v>0</v>
      </c>
    </row>
    <row r="1311" spans="1:34" ht="15.75" thickBot="1" x14ac:dyDescent="0.3">
      <c r="A1311" s="90" t="s">
        <v>999</v>
      </c>
      <c r="B1311" s="90" t="s">
        <v>35</v>
      </c>
      <c r="C1311" s="90" t="s">
        <v>36</v>
      </c>
      <c r="D1311" s="90" t="s">
        <v>28</v>
      </c>
      <c r="E1311" s="90" t="s">
        <v>727</v>
      </c>
      <c r="F1311" s="90" t="s">
        <v>697</v>
      </c>
      <c r="G1311" s="95">
        <v>56386.14</v>
      </c>
      <c r="H1311" s="94"/>
      <c r="I1311" s="94"/>
      <c r="J1311" s="94"/>
      <c r="K1311" s="94"/>
      <c r="L1311" s="94"/>
      <c r="M1311" s="94"/>
      <c r="N1311" s="94"/>
      <c r="O1311" s="95">
        <v>56386.14</v>
      </c>
      <c r="P1311" s="94"/>
      <c r="Q1311" s="94"/>
      <c r="R1311" s="94"/>
      <c r="S1311" s="94"/>
      <c r="T1311" s="94"/>
      <c r="U1311" s="94"/>
      <c r="V1311" s="94"/>
      <c r="W1311" s="94"/>
      <c r="X1311" s="94"/>
      <c r="Y1311" s="94"/>
      <c r="Z1311" s="94"/>
      <c r="AA1311" s="94"/>
      <c r="AB1311" s="94"/>
      <c r="AC1311" s="94"/>
      <c r="AD1311" s="95">
        <v>221.56</v>
      </c>
      <c r="AE1311" s="94"/>
      <c r="AF1311" s="94"/>
      <c r="AG1311" s="95">
        <v>56607.7</v>
      </c>
      <c r="AH1311" s="95">
        <v>0</v>
      </c>
    </row>
    <row r="1312" spans="1:34" ht="15.75" thickBot="1" x14ac:dyDescent="0.3">
      <c r="A1312" s="90" t="s">
        <v>999</v>
      </c>
      <c r="B1312" s="90" t="s">
        <v>35</v>
      </c>
      <c r="C1312" s="90" t="s">
        <v>36</v>
      </c>
      <c r="D1312" s="90" t="s">
        <v>28</v>
      </c>
      <c r="E1312" s="90" t="s">
        <v>728</v>
      </c>
      <c r="F1312" s="90" t="s">
        <v>686</v>
      </c>
      <c r="G1312" s="92"/>
      <c r="H1312" s="92"/>
      <c r="I1312" s="92"/>
      <c r="J1312" s="92"/>
      <c r="K1312" s="92"/>
      <c r="L1312" s="92"/>
      <c r="M1312" s="92"/>
      <c r="N1312" s="92"/>
      <c r="O1312" s="92"/>
      <c r="P1312" s="92"/>
      <c r="Q1312" s="92"/>
      <c r="R1312" s="92"/>
      <c r="S1312" s="92"/>
      <c r="T1312" s="92"/>
      <c r="U1312" s="92"/>
      <c r="V1312" s="92"/>
      <c r="W1312" s="92"/>
      <c r="X1312" s="92"/>
      <c r="Y1312" s="92"/>
      <c r="Z1312" s="92"/>
      <c r="AA1312" s="92"/>
      <c r="AB1312" s="93">
        <v>74554.25</v>
      </c>
      <c r="AC1312" s="92"/>
      <c r="AD1312" s="93">
        <v>0</v>
      </c>
      <c r="AE1312" s="92"/>
      <c r="AF1312" s="92"/>
      <c r="AG1312" s="93">
        <v>74554.25</v>
      </c>
      <c r="AH1312" s="93">
        <v>0</v>
      </c>
    </row>
    <row r="1313" spans="1:34" ht="15.75" thickBot="1" x14ac:dyDescent="0.3">
      <c r="A1313" s="90" t="s">
        <v>999</v>
      </c>
      <c r="B1313" s="90" t="s">
        <v>35</v>
      </c>
      <c r="C1313" s="90" t="s">
        <v>36</v>
      </c>
      <c r="D1313" s="90" t="s">
        <v>28</v>
      </c>
      <c r="E1313" s="90" t="s">
        <v>728</v>
      </c>
      <c r="F1313" s="90" t="s">
        <v>697</v>
      </c>
      <c r="G1313" s="94"/>
      <c r="H1313" s="94"/>
      <c r="I1313" s="94"/>
      <c r="J1313" s="94"/>
      <c r="K1313" s="94"/>
      <c r="L1313" s="94"/>
      <c r="M1313" s="94"/>
      <c r="N1313" s="94"/>
      <c r="O1313" s="94"/>
      <c r="P1313" s="94"/>
      <c r="Q1313" s="94"/>
      <c r="R1313" s="94"/>
      <c r="S1313" s="94"/>
      <c r="T1313" s="94"/>
      <c r="U1313" s="94"/>
      <c r="V1313" s="94"/>
      <c r="W1313" s="94"/>
      <c r="X1313" s="94"/>
      <c r="Y1313" s="94"/>
      <c r="Z1313" s="94"/>
      <c r="AA1313" s="94"/>
      <c r="AB1313" s="95">
        <v>74554.25</v>
      </c>
      <c r="AC1313" s="94"/>
      <c r="AD1313" s="95">
        <v>0</v>
      </c>
      <c r="AE1313" s="94"/>
      <c r="AF1313" s="94"/>
      <c r="AG1313" s="95">
        <v>74554.25</v>
      </c>
      <c r="AH1313" s="95">
        <v>0</v>
      </c>
    </row>
    <row r="1314" spans="1:34" ht="15.75" thickBot="1" x14ac:dyDescent="0.3">
      <c r="A1314" s="90" t="s">
        <v>999</v>
      </c>
      <c r="B1314" s="90" t="s">
        <v>35</v>
      </c>
      <c r="C1314" s="90" t="s">
        <v>36</v>
      </c>
      <c r="D1314" s="90" t="s">
        <v>28</v>
      </c>
      <c r="E1314" s="90" t="s">
        <v>673</v>
      </c>
      <c r="F1314" s="90" t="s">
        <v>686</v>
      </c>
      <c r="G1314" s="93">
        <v>1516988.21</v>
      </c>
      <c r="H1314" s="92"/>
      <c r="I1314" s="92"/>
      <c r="J1314" s="92"/>
      <c r="K1314" s="92"/>
      <c r="L1314" s="92"/>
      <c r="M1314" s="92"/>
      <c r="N1314" s="92"/>
      <c r="O1314" s="92"/>
      <c r="P1314" s="92"/>
      <c r="Q1314" s="92"/>
      <c r="R1314" s="92"/>
      <c r="S1314" s="92"/>
      <c r="T1314" s="92"/>
      <c r="U1314" s="92"/>
      <c r="V1314" s="92"/>
      <c r="W1314" s="92"/>
      <c r="X1314" s="93">
        <v>1516988.21</v>
      </c>
      <c r="Y1314" s="92"/>
      <c r="Z1314" s="92"/>
      <c r="AA1314" s="92"/>
      <c r="AB1314" s="92"/>
      <c r="AC1314" s="92"/>
      <c r="AD1314" s="93">
        <v>6277.25</v>
      </c>
      <c r="AE1314" s="92"/>
      <c r="AF1314" s="92"/>
      <c r="AG1314" s="93">
        <v>1523265.46</v>
      </c>
      <c r="AH1314" s="93">
        <v>0</v>
      </c>
    </row>
    <row r="1315" spans="1:34" ht="15.75" thickBot="1" x14ac:dyDescent="0.3">
      <c r="A1315" s="90" t="s">
        <v>999</v>
      </c>
      <c r="B1315" s="90" t="s">
        <v>35</v>
      </c>
      <c r="C1315" s="90" t="s">
        <v>36</v>
      </c>
      <c r="D1315" s="90" t="s">
        <v>28</v>
      </c>
      <c r="E1315" s="90" t="s">
        <v>673</v>
      </c>
      <c r="F1315" s="90" t="s">
        <v>697</v>
      </c>
      <c r="G1315" s="95">
        <v>1516988.21</v>
      </c>
      <c r="H1315" s="94"/>
      <c r="I1315" s="94"/>
      <c r="J1315" s="94"/>
      <c r="K1315" s="94"/>
      <c r="L1315" s="94"/>
      <c r="M1315" s="94"/>
      <c r="N1315" s="94"/>
      <c r="O1315" s="94"/>
      <c r="P1315" s="94"/>
      <c r="Q1315" s="94"/>
      <c r="R1315" s="94"/>
      <c r="S1315" s="94"/>
      <c r="T1315" s="94"/>
      <c r="U1315" s="94"/>
      <c r="V1315" s="94"/>
      <c r="W1315" s="94"/>
      <c r="X1315" s="95">
        <v>1516988.21</v>
      </c>
      <c r="Y1315" s="94"/>
      <c r="Z1315" s="94"/>
      <c r="AA1315" s="94"/>
      <c r="AB1315" s="94"/>
      <c r="AC1315" s="94"/>
      <c r="AD1315" s="95">
        <v>6277.25</v>
      </c>
      <c r="AE1315" s="94"/>
      <c r="AF1315" s="94"/>
      <c r="AG1315" s="95">
        <v>1523265.46</v>
      </c>
      <c r="AH1315" s="95">
        <v>0</v>
      </c>
    </row>
    <row r="1316" spans="1:34" ht="15.75" thickBot="1" x14ac:dyDescent="0.3">
      <c r="A1316" s="90" t="s">
        <v>999</v>
      </c>
      <c r="B1316" s="90" t="s">
        <v>35</v>
      </c>
      <c r="C1316" s="90" t="s">
        <v>36</v>
      </c>
      <c r="D1316" s="90" t="s">
        <v>28</v>
      </c>
      <c r="E1316" s="90" t="s">
        <v>196</v>
      </c>
      <c r="F1316" s="90" t="s">
        <v>686</v>
      </c>
      <c r="G1316" s="93">
        <v>1825107.26</v>
      </c>
      <c r="H1316" s="92"/>
      <c r="I1316" s="92"/>
      <c r="J1316" s="92"/>
      <c r="K1316" s="92"/>
      <c r="L1316" s="92"/>
      <c r="M1316" s="92"/>
      <c r="N1316" s="92"/>
      <c r="O1316" s="92"/>
      <c r="P1316" s="93">
        <v>1825107.26</v>
      </c>
      <c r="Q1316" s="92"/>
      <c r="R1316" s="92"/>
      <c r="S1316" s="92"/>
      <c r="T1316" s="92"/>
      <c r="U1316" s="92"/>
      <c r="V1316" s="92"/>
      <c r="W1316" s="92"/>
      <c r="X1316" s="92"/>
      <c r="Y1316" s="92"/>
      <c r="Z1316" s="92"/>
      <c r="AA1316" s="92"/>
      <c r="AB1316" s="92"/>
      <c r="AC1316" s="92"/>
      <c r="AD1316" s="93">
        <v>7554.06</v>
      </c>
      <c r="AE1316" s="92"/>
      <c r="AF1316" s="92"/>
      <c r="AG1316" s="93">
        <v>1832661.32</v>
      </c>
      <c r="AH1316" s="93">
        <v>0</v>
      </c>
    </row>
    <row r="1317" spans="1:34" ht="15.75" thickBot="1" x14ac:dyDescent="0.3">
      <c r="A1317" s="90" t="s">
        <v>999</v>
      </c>
      <c r="B1317" s="90" t="s">
        <v>35</v>
      </c>
      <c r="C1317" s="90" t="s">
        <v>36</v>
      </c>
      <c r="D1317" s="90" t="s">
        <v>28</v>
      </c>
      <c r="E1317" s="90" t="s">
        <v>196</v>
      </c>
      <c r="F1317" s="90" t="s">
        <v>697</v>
      </c>
      <c r="G1317" s="95">
        <v>1825107.26</v>
      </c>
      <c r="H1317" s="94"/>
      <c r="I1317" s="94"/>
      <c r="J1317" s="94"/>
      <c r="K1317" s="94"/>
      <c r="L1317" s="94"/>
      <c r="M1317" s="94"/>
      <c r="N1317" s="94"/>
      <c r="O1317" s="94"/>
      <c r="P1317" s="95">
        <v>1825107.26</v>
      </c>
      <c r="Q1317" s="94"/>
      <c r="R1317" s="94"/>
      <c r="S1317" s="94"/>
      <c r="T1317" s="94"/>
      <c r="U1317" s="94"/>
      <c r="V1317" s="94"/>
      <c r="W1317" s="94"/>
      <c r="X1317" s="94"/>
      <c r="Y1317" s="94"/>
      <c r="Z1317" s="94"/>
      <c r="AA1317" s="94"/>
      <c r="AB1317" s="94"/>
      <c r="AC1317" s="94"/>
      <c r="AD1317" s="95">
        <v>7554.06</v>
      </c>
      <c r="AE1317" s="94"/>
      <c r="AF1317" s="94"/>
      <c r="AG1317" s="95">
        <v>1832661.32</v>
      </c>
      <c r="AH1317" s="95">
        <v>0</v>
      </c>
    </row>
    <row r="1318" spans="1:34" ht="15.75" thickBot="1" x14ac:dyDescent="0.3">
      <c r="A1318" s="90" t="s">
        <v>999</v>
      </c>
      <c r="B1318" s="90" t="s">
        <v>35</v>
      </c>
      <c r="C1318" s="90" t="s">
        <v>36</v>
      </c>
      <c r="D1318" s="90" t="s">
        <v>28</v>
      </c>
      <c r="E1318" s="90" t="s">
        <v>674</v>
      </c>
      <c r="F1318" s="90" t="s">
        <v>686</v>
      </c>
      <c r="G1318" s="93">
        <v>-596.51</v>
      </c>
      <c r="H1318" s="92"/>
      <c r="I1318" s="92"/>
      <c r="J1318" s="92"/>
      <c r="K1318" s="92"/>
      <c r="L1318" s="92"/>
      <c r="M1318" s="92"/>
      <c r="N1318" s="92"/>
      <c r="O1318" s="92"/>
      <c r="P1318" s="92"/>
      <c r="Q1318" s="92"/>
      <c r="R1318" s="92"/>
      <c r="S1318" s="92"/>
      <c r="T1318" s="92"/>
      <c r="U1318" s="92"/>
      <c r="V1318" s="92"/>
      <c r="W1318" s="92"/>
      <c r="X1318" s="92"/>
      <c r="Y1318" s="93">
        <v>-596.51</v>
      </c>
      <c r="Z1318" s="92"/>
      <c r="AA1318" s="92"/>
      <c r="AB1318" s="92"/>
      <c r="AC1318" s="92"/>
      <c r="AD1318" s="93">
        <v>-1.53</v>
      </c>
      <c r="AE1318" s="92"/>
      <c r="AF1318" s="92"/>
      <c r="AG1318" s="93">
        <v>-598.04</v>
      </c>
      <c r="AH1318" s="93">
        <v>0</v>
      </c>
    </row>
    <row r="1319" spans="1:34" ht="15.75" thickBot="1" x14ac:dyDescent="0.3">
      <c r="A1319" s="90" t="s">
        <v>999</v>
      </c>
      <c r="B1319" s="90" t="s">
        <v>35</v>
      </c>
      <c r="C1319" s="90" t="s">
        <v>36</v>
      </c>
      <c r="D1319" s="90" t="s">
        <v>28</v>
      </c>
      <c r="E1319" s="90" t="s">
        <v>674</v>
      </c>
      <c r="F1319" s="90" t="s">
        <v>697</v>
      </c>
      <c r="G1319" s="95">
        <v>-596.51</v>
      </c>
      <c r="H1319" s="94"/>
      <c r="I1319" s="94"/>
      <c r="J1319" s="94"/>
      <c r="K1319" s="94"/>
      <c r="L1319" s="94"/>
      <c r="M1319" s="94"/>
      <c r="N1319" s="94"/>
      <c r="O1319" s="94"/>
      <c r="P1319" s="94"/>
      <c r="Q1319" s="94"/>
      <c r="R1319" s="94"/>
      <c r="S1319" s="94"/>
      <c r="T1319" s="94"/>
      <c r="U1319" s="94"/>
      <c r="V1319" s="94"/>
      <c r="W1319" s="94"/>
      <c r="X1319" s="94"/>
      <c r="Y1319" s="95">
        <v>-596.51</v>
      </c>
      <c r="Z1319" s="94"/>
      <c r="AA1319" s="94"/>
      <c r="AB1319" s="94"/>
      <c r="AC1319" s="94"/>
      <c r="AD1319" s="95">
        <v>-1.53</v>
      </c>
      <c r="AE1319" s="94"/>
      <c r="AF1319" s="94"/>
      <c r="AG1319" s="95">
        <v>-598.04</v>
      </c>
      <c r="AH1319" s="95">
        <v>0</v>
      </c>
    </row>
    <row r="1320" spans="1:34" ht="15.75" thickBot="1" x14ac:dyDescent="0.3">
      <c r="A1320" s="90" t="s">
        <v>999</v>
      </c>
      <c r="B1320" s="90" t="s">
        <v>37</v>
      </c>
      <c r="C1320" s="90" t="s">
        <v>38</v>
      </c>
      <c r="D1320" s="90" t="s">
        <v>20</v>
      </c>
      <c r="E1320" s="90" t="s">
        <v>528</v>
      </c>
      <c r="F1320" s="90" t="s">
        <v>686</v>
      </c>
      <c r="G1320" s="93">
        <v>13.5</v>
      </c>
      <c r="H1320" s="92"/>
      <c r="I1320" s="93">
        <v>13.5</v>
      </c>
      <c r="J1320" s="92"/>
      <c r="K1320" s="92"/>
      <c r="L1320" s="92"/>
      <c r="M1320" s="92"/>
      <c r="N1320" s="92"/>
      <c r="O1320" s="92"/>
      <c r="P1320" s="92"/>
      <c r="Q1320" s="92"/>
      <c r="R1320" s="92"/>
      <c r="S1320" s="92"/>
      <c r="T1320" s="92"/>
      <c r="U1320" s="92"/>
      <c r="V1320" s="92"/>
      <c r="W1320" s="92"/>
      <c r="X1320" s="92"/>
      <c r="Y1320" s="92"/>
      <c r="Z1320" s="92"/>
      <c r="AA1320" s="92"/>
      <c r="AB1320" s="92"/>
      <c r="AC1320" s="92"/>
      <c r="AD1320" s="93">
        <v>0</v>
      </c>
      <c r="AE1320" s="92"/>
      <c r="AF1320" s="92"/>
      <c r="AG1320" s="93">
        <v>13.5</v>
      </c>
      <c r="AH1320" s="93">
        <v>0</v>
      </c>
    </row>
    <row r="1321" spans="1:34" ht="15.75" thickBot="1" x14ac:dyDescent="0.3">
      <c r="A1321" s="90" t="s">
        <v>999</v>
      </c>
      <c r="B1321" s="90" t="s">
        <v>37</v>
      </c>
      <c r="C1321" s="90" t="s">
        <v>38</v>
      </c>
      <c r="D1321" s="90" t="s">
        <v>20</v>
      </c>
      <c r="E1321" s="90" t="s">
        <v>528</v>
      </c>
      <c r="F1321" s="90" t="s">
        <v>697</v>
      </c>
      <c r="G1321" s="95">
        <v>13.5</v>
      </c>
      <c r="H1321" s="94"/>
      <c r="I1321" s="95">
        <v>13.5</v>
      </c>
      <c r="J1321" s="94"/>
      <c r="K1321" s="94"/>
      <c r="L1321" s="94"/>
      <c r="M1321" s="94"/>
      <c r="N1321" s="94"/>
      <c r="O1321" s="94"/>
      <c r="P1321" s="94"/>
      <c r="Q1321" s="94"/>
      <c r="R1321" s="94"/>
      <c r="S1321" s="94"/>
      <c r="T1321" s="94"/>
      <c r="U1321" s="94"/>
      <c r="V1321" s="94"/>
      <c r="W1321" s="94"/>
      <c r="X1321" s="94"/>
      <c r="Y1321" s="94"/>
      <c r="Z1321" s="94"/>
      <c r="AA1321" s="94"/>
      <c r="AB1321" s="94"/>
      <c r="AC1321" s="94"/>
      <c r="AD1321" s="95">
        <v>0</v>
      </c>
      <c r="AE1321" s="94"/>
      <c r="AF1321" s="94"/>
      <c r="AG1321" s="95">
        <v>13.5</v>
      </c>
      <c r="AH1321" s="95">
        <v>0</v>
      </c>
    </row>
    <row r="1322" spans="1:34" ht="15.75" thickBot="1" x14ac:dyDescent="0.3">
      <c r="A1322" s="90" t="s">
        <v>999</v>
      </c>
      <c r="B1322" s="90" t="s">
        <v>37</v>
      </c>
      <c r="C1322" s="90" t="s">
        <v>38</v>
      </c>
      <c r="D1322" s="90" t="s">
        <v>20</v>
      </c>
      <c r="E1322" s="90" t="s">
        <v>518</v>
      </c>
      <c r="F1322" s="90" t="s">
        <v>686</v>
      </c>
      <c r="G1322" s="93">
        <v>32.42</v>
      </c>
      <c r="H1322" s="93">
        <v>113</v>
      </c>
      <c r="I1322" s="92"/>
      <c r="J1322" s="92"/>
      <c r="K1322" s="93">
        <v>32.42</v>
      </c>
      <c r="L1322" s="92"/>
      <c r="M1322" s="92"/>
      <c r="N1322" s="92"/>
      <c r="O1322" s="92"/>
      <c r="P1322" s="92"/>
      <c r="Q1322" s="92"/>
      <c r="R1322" s="92"/>
      <c r="S1322" s="92"/>
      <c r="T1322" s="92"/>
      <c r="U1322" s="92"/>
      <c r="V1322" s="92"/>
      <c r="W1322" s="92"/>
      <c r="X1322" s="92"/>
      <c r="Y1322" s="92"/>
      <c r="Z1322" s="92"/>
      <c r="AA1322" s="92"/>
      <c r="AB1322" s="92"/>
      <c r="AC1322" s="92"/>
      <c r="AD1322" s="93">
        <v>0</v>
      </c>
      <c r="AE1322" s="92"/>
      <c r="AF1322" s="92"/>
      <c r="AG1322" s="93">
        <v>32.42</v>
      </c>
      <c r="AH1322" s="93">
        <v>0</v>
      </c>
    </row>
    <row r="1323" spans="1:34" ht="15.75" thickBot="1" x14ac:dyDescent="0.3">
      <c r="A1323" s="90" t="s">
        <v>999</v>
      </c>
      <c r="B1323" s="90" t="s">
        <v>37</v>
      </c>
      <c r="C1323" s="90" t="s">
        <v>38</v>
      </c>
      <c r="D1323" s="90" t="s">
        <v>20</v>
      </c>
      <c r="E1323" s="90" t="s">
        <v>518</v>
      </c>
      <c r="F1323" s="90" t="s">
        <v>697</v>
      </c>
      <c r="G1323" s="95">
        <v>32.42</v>
      </c>
      <c r="H1323" s="305">
        <v>113</v>
      </c>
      <c r="I1323" s="94"/>
      <c r="J1323" s="94"/>
      <c r="K1323" s="95">
        <v>32.42</v>
      </c>
      <c r="L1323" s="94"/>
      <c r="M1323" s="94"/>
      <c r="N1323" s="94"/>
      <c r="O1323" s="94"/>
      <c r="P1323" s="94"/>
      <c r="Q1323" s="94"/>
      <c r="R1323" s="94"/>
      <c r="S1323" s="94"/>
      <c r="T1323" s="94"/>
      <c r="U1323" s="94"/>
      <c r="V1323" s="94"/>
      <c r="W1323" s="94"/>
      <c r="X1323" s="94"/>
      <c r="Y1323" s="94"/>
      <c r="Z1323" s="94"/>
      <c r="AA1323" s="94"/>
      <c r="AB1323" s="94"/>
      <c r="AC1323" s="94"/>
      <c r="AD1323" s="95">
        <v>0</v>
      </c>
      <c r="AE1323" s="94"/>
      <c r="AF1323" s="94"/>
      <c r="AG1323" s="95">
        <v>32.42</v>
      </c>
      <c r="AH1323" s="95">
        <v>0</v>
      </c>
    </row>
    <row r="1324" spans="1:34" ht="15.75" thickBot="1" x14ac:dyDescent="0.3">
      <c r="A1324" s="90" t="s">
        <v>999</v>
      </c>
      <c r="B1324" s="90" t="s">
        <v>37</v>
      </c>
      <c r="C1324" s="90" t="s">
        <v>38</v>
      </c>
      <c r="D1324" s="90" t="s">
        <v>20</v>
      </c>
      <c r="E1324" s="90" t="s">
        <v>727</v>
      </c>
      <c r="F1324" s="90" t="s">
        <v>686</v>
      </c>
      <c r="G1324" s="93">
        <v>1.22</v>
      </c>
      <c r="H1324" s="92"/>
      <c r="I1324" s="92"/>
      <c r="J1324" s="92"/>
      <c r="K1324" s="92"/>
      <c r="L1324" s="92"/>
      <c r="M1324" s="92"/>
      <c r="N1324" s="92"/>
      <c r="O1324" s="93">
        <v>1.22</v>
      </c>
      <c r="P1324" s="92"/>
      <c r="Q1324" s="92"/>
      <c r="R1324" s="92"/>
      <c r="S1324" s="92"/>
      <c r="T1324" s="92"/>
      <c r="U1324" s="92"/>
      <c r="V1324" s="92"/>
      <c r="W1324" s="92"/>
      <c r="X1324" s="92"/>
      <c r="Y1324" s="92"/>
      <c r="Z1324" s="92"/>
      <c r="AA1324" s="92"/>
      <c r="AB1324" s="92"/>
      <c r="AC1324" s="92"/>
      <c r="AD1324" s="93">
        <v>0</v>
      </c>
      <c r="AE1324" s="92"/>
      <c r="AF1324" s="92"/>
      <c r="AG1324" s="93">
        <v>1.22</v>
      </c>
      <c r="AH1324" s="93">
        <v>0</v>
      </c>
    </row>
    <row r="1325" spans="1:34" ht="15.75" thickBot="1" x14ac:dyDescent="0.3">
      <c r="A1325" s="90" t="s">
        <v>999</v>
      </c>
      <c r="B1325" s="90" t="s">
        <v>37</v>
      </c>
      <c r="C1325" s="90" t="s">
        <v>38</v>
      </c>
      <c r="D1325" s="90" t="s">
        <v>20</v>
      </c>
      <c r="E1325" s="90" t="s">
        <v>727</v>
      </c>
      <c r="F1325" s="90" t="s">
        <v>697</v>
      </c>
      <c r="G1325" s="95">
        <v>1.22</v>
      </c>
      <c r="H1325" s="94"/>
      <c r="I1325" s="94"/>
      <c r="J1325" s="94"/>
      <c r="K1325" s="94"/>
      <c r="L1325" s="94"/>
      <c r="M1325" s="94"/>
      <c r="N1325" s="94"/>
      <c r="O1325" s="95">
        <v>1.22</v>
      </c>
      <c r="P1325" s="94"/>
      <c r="Q1325" s="94"/>
      <c r="R1325" s="94"/>
      <c r="S1325" s="94"/>
      <c r="T1325" s="94"/>
      <c r="U1325" s="94"/>
      <c r="V1325" s="94"/>
      <c r="W1325" s="94"/>
      <c r="X1325" s="94"/>
      <c r="Y1325" s="94"/>
      <c r="Z1325" s="94"/>
      <c r="AA1325" s="94"/>
      <c r="AB1325" s="94"/>
      <c r="AC1325" s="94"/>
      <c r="AD1325" s="95">
        <v>0</v>
      </c>
      <c r="AE1325" s="94"/>
      <c r="AF1325" s="94"/>
      <c r="AG1325" s="95">
        <v>1.22</v>
      </c>
      <c r="AH1325" s="95">
        <v>0</v>
      </c>
    </row>
    <row r="1326" spans="1:34" ht="15.75" thickBot="1" x14ac:dyDescent="0.3">
      <c r="A1326" s="90" t="s">
        <v>999</v>
      </c>
      <c r="B1326" s="90" t="s">
        <v>37</v>
      </c>
      <c r="C1326" s="90" t="s">
        <v>38</v>
      </c>
      <c r="D1326" s="90" t="s">
        <v>20</v>
      </c>
      <c r="E1326" s="90" t="s">
        <v>673</v>
      </c>
      <c r="F1326" s="90" t="s">
        <v>686</v>
      </c>
      <c r="G1326" s="93">
        <v>5.14</v>
      </c>
      <c r="H1326" s="92"/>
      <c r="I1326" s="92"/>
      <c r="J1326" s="92"/>
      <c r="K1326" s="92"/>
      <c r="L1326" s="92"/>
      <c r="M1326" s="92"/>
      <c r="N1326" s="92"/>
      <c r="O1326" s="92"/>
      <c r="P1326" s="92"/>
      <c r="Q1326" s="92"/>
      <c r="R1326" s="92"/>
      <c r="S1326" s="92"/>
      <c r="T1326" s="92"/>
      <c r="U1326" s="92"/>
      <c r="V1326" s="92"/>
      <c r="W1326" s="92"/>
      <c r="X1326" s="93">
        <v>5.14</v>
      </c>
      <c r="Y1326" s="92"/>
      <c r="Z1326" s="92"/>
      <c r="AA1326" s="92"/>
      <c r="AB1326" s="92"/>
      <c r="AC1326" s="92"/>
      <c r="AD1326" s="93">
        <v>0</v>
      </c>
      <c r="AE1326" s="92"/>
      <c r="AF1326" s="92"/>
      <c r="AG1326" s="93">
        <v>5.14</v>
      </c>
      <c r="AH1326" s="93">
        <v>0</v>
      </c>
    </row>
    <row r="1327" spans="1:34" ht="15.75" thickBot="1" x14ac:dyDescent="0.3">
      <c r="A1327" s="90" t="s">
        <v>999</v>
      </c>
      <c r="B1327" s="90" t="s">
        <v>37</v>
      </c>
      <c r="C1327" s="90" t="s">
        <v>38</v>
      </c>
      <c r="D1327" s="90" t="s">
        <v>20</v>
      </c>
      <c r="E1327" s="90" t="s">
        <v>673</v>
      </c>
      <c r="F1327" s="90" t="s">
        <v>697</v>
      </c>
      <c r="G1327" s="95">
        <v>5.14</v>
      </c>
      <c r="H1327" s="94"/>
      <c r="I1327" s="94"/>
      <c r="J1327" s="94"/>
      <c r="K1327" s="94"/>
      <c r="L1327" s="94"/>
      <c r="M1327" s="94"/>
      <c r="N1327" s="94"/>
      <c r="O1327" s="94"/>
      <c r="P1327" s="94"/>
      <c r="Q1327" s="94"/>
      <c r="R1327" s="94"/>
      <c r="S1327" s="94"/>
      <c r="T1327" s="94"/>
      <c r="U1327" s="94"/>
      <c r="V1327" s="94"/>
      <c r="W1327" s="94"/>
      <c r="X1327" s="95">
        <v>5.14</v>
      </c>
      <c r="Y1327" s="94"/>
      <c r="Z1327" s="94"/>
      <c r="AA1327" s="94"/>
      <c r="AB1327" s="94"/>
      <c r="AC1327" s="94"/>
      <c r="AD1327" s="95">
        <v>0</v>
      </c>
      <c r="AE1327" s="94"/>
      <c r="AF1327" s="94"/>
      <c r="AG1327" s="95">
        <v>5.14</v>
      </c>
      <c r="AH1327" s="95">
        <v>0</v>
      </c>
    </row>
    <row r="1328" spans="1:34" ht="15.75" thickBot="1" x14ac:dyDescent="0.3">
      <c r="A1328" s="90" t="s">
        <v>999</v>
      </c>
      <c r="B1328" s="90" t="s">
        <v>37</v>
      </c>
      <c r="C1328" s="90" t="s">
        <v>38</v>
      </c>
      <c r="D1328" s="90" t="s">
        <v>20</v>
      </c>
      <c r="E1328" s="90" t="s">
        <v>196</v>
      </c>
      <c r="F1328" s="90" t="s">
        <v>686</v>
      </c>
      <c r="G1328" s="93">
        <v>39.700000000000003</v>
      </c>
      <c r="H1328" s="92"/>
      <c r="I1328" s="92"/>
      <c r="J1328" s="92"/>
      <c r="K1328" s="92"/>
      <c r="L1328" s="92"/>
      <c r="M1328" s="92"/>
      <c r="N1328" s="92"/>
      <c r="O1328" s="92"/>
      <c r="P1328" s="93">
        <v>39.700000000000003</v>
      </c>
      <c r="Q1328" s="92"/>
      <c r="R1328" s="92"/>
      <c r="S1328" s="92"/>
      <c r="T1328" s="92"/>
      <c r="U1328" s="92"/>
      <c r="V1328" s="92"/>
      <c r="W1328" s="92"/>
      <c r="X1328" s="92"/>
      <c r="Y1328" s="92"/>
      <c r="Z1328" s="92"/>
      <c r="AA1328" s="92"/>
      <c r="AB1328" s="92"/>
      <c r="AC1328" s="92"/>
      <c r="AD1328" s="93">
        <v>0</v>
      </c>
      <c r="AE1328" s="92"/>
      <c r="AF1328" s="92"/>
      <c r="AG1328" s="93">
        <v>39.700000000000003</v>
      </c>
      <c r="AH1328" s="93">
        <v>0</v>
      </c>
    </row>
    <row r="1329" spans="1:34" ht="15.75" thickBot="1" x14ac:dyDescent="0.3">
      <c r="A1329" s="90" t="s">
        <v>999</v>
      </c>
      <c r="B1329" s="90" t="s">
        <v>37</v>
      </c>
      <c r="C1329" s="90" t="s">
        <v>38</v>
      </c>
      <c r="D1329" s="90" t="s">
        <v>20</v>
      </c>
      <c r="E1329" s="90" t="s">
        <v>196</v>
      </c>
      <c r="F1329" s="90" t="s">
        <v>697</v>
      </c>
      <c r="G1329" s="95">
        <v>39.700000000000003</v>
      </c>
      <c r="H1329" s="94"/>
      <c r="I1329" s="94"/>
      <c r="J1329" s="94"/>
      <c r="K1329" s="94"/>
      <c r="L1329" s="94"/>
      <c r="M1329" s="94"/>
      <c r="N1329" s="94"/>
      <c r="O1329" s="94"/>
      <c r="P1329" s="95">
        <v>39.700000000000003</v>
      </c>
      <c r="Q1329" s="94"/>
      <c r="R1329" s="94"/>
      <c r="S1329" s="94"/>
      <c r="T1329" s="94"/>
      <c r="U1329" s="94"/>
      <c r="V1329" s="94"/>
      <c r="W1329" s="94"/>
      <c r="X1329" s="94"/>
      <c r="Y1329" s="94"/>
      <c r="Z1329" s="94"/>
      <c r="AA1329" s="94"/>
      <c r="AB1329" s="94"/>
      <c r="AC1329" s="94"/>
      <c r="AD1329" s="95">
        <v>0</v>
      </c>
      <c r="AE1329" s="94"/>
      <c r="AF1329" s="94"/>
      <c r="AG1329" s="95">
        <v>39.700000000000003</v>
      </c>
      <c r="AH1329" s="95">
        <v>0</v>
      </c>
    </row>
    <row r="1330" spans="1:34" ht="15.75" thickBot="1" x14ac:dyDescent="0.3">
      <c r="A1330" s="90" t="s">
        <v>999</v>
      </c>
      <c r="B1330" s="90" t="s">
        <v>37</v>
      </c>
      <c r="C1330" s="90" t="s">
        <v>38</v>
      </c>
      <c r="D1330" s="90" t="s">
        <v>28</v>
      </c>
      <c r="E1330" s="90" t="s">
        <v>528</v>
      </c>
      <c r="F1330" s="90" t="s">
        <v>686</v>
      </c>
      <c r="G1330" s="93">
        <v>27</v>
      </c>
      <c r="H1330" s="92"/>
      <c r="I1330" s="93">
        <v>27</v>
      </c>
      <c r="J1330" s="92"/>
      <c r="K1330" s="92"/>
      <c r="L1330" s="92"/>
      <c r="M1330" s="92"/>
      <c r="N1330" s="92"/>
      <c r="O1330" s="92"/>
      <c r="P1330" s="92"/>
      <c r="Q1330" s="92"/>
      <c r="R1330" s="92"/>
      <c r="S1330" s="92"/>
      <c r="T1330" s="92"/>
      <c r="U1330" s="92"/>
      <c r="V1330" s="92"/>
      <c r="W1330" s="92"/>
      <c r="X1330" s="92"/>
      <c r="Y1330" s="92"/>
      <c r="Z1330" s="92"/>
      <c r="AA1330" s="92"/>
      <c r="AB1330" s="92"/>
      <c r="AC1330" s="92"/>
      <c r="AD1330" s="93">
        <v>0</v>
      </c>
      <c r="AE1330" s="92"/>
      <c r="AF1330" s="92"/>
      <c r="AG1330" s="93">
        <v>27</v>
      </c>
      <c r="AH1330" s="93">
        <v>0</v>
      </c>
    </row>
    <row r="1331" spans="1:34" ht="15.75" thickBot="1" x14ac:dyDescent="0.3">
      <c r="A1331" s="90" t="s">
        <v>999</v>
      </c>
      <c r="B1331" s="90" t="s">
        <v>37</v>
      </c>
      <c r="C1331" s="90" t="s">
        <v>38</v>
      </c>
      <c r="D1331" s="90" t="s">
        <v>28</v>
      </c>
      <c r="E1331" s="90" t="s">
        <v>528</v>
      </c>
      <c r="F1331" s="90" t="s">
        <v>697</v>
      </c>
      <c r="G1331" s="95">
        <v>27</v>
      </c>
      <c r="H1331" s="94"/>
      <c r="I1331" s="95">
        <v>27</v>
      </c>
      <c r="J1331" s="94"/>
      <c r="K1331" s="94"/>
      <c r="L1331" s="94"/>
      <c r="M1331" s="94"/>
      <c r="N1331" s="94"/>
      <c r="O1331" s="94"/>
      <c r="P1331" s="94"/>
      <c r="Q1331" s="94"/>
      <c r="R1331" s="94"/>
      <c r="S1331" s="94"/>
      <c r="T1331" s="94"/>
      <c r="U1331" s="94"/>
      <c r="V1331" s="94"/>
      <c r="W1331" s="94"/>
      <c r="X1331" s="94"/>
      <c r="Y1331" s="94"/>
      <c r="Z1331" s="94"/>
      <c r="AA1331" s="94"/>
      <c r="AB1331" s="94"/>
      <c r="AC1331" s="94"/>
      <c r="AD1331" s="95">
        <v>0</v>
      </c>
      <c r="AE1331" s="94"/>
      <c r="AF1331" s="94"/>
      <c r="AG1331" s="95">
        <v>27</v>
      </c>
      <c r="AH1331" s="95">
        <v>0</v>
      </c>
    </row>
    <row r="1332" spans="1:34" ht="15.75" thickBot="1" x14ac:dyDescent="0.3">
      <c r="A1332" s="90" t="s">
        <v>999</v>
      </c>
      <c r="B1332" s="90" t="s">
        <v>37</v>
      </c>
      <c r="C1332" s="90" t="s">
        <v>38</v>
      </c>
      <c r="D1332" s="90" t="s">
        <v>28</v>
      </c>
      <c r="E1332" s="90" t="s">
        <v>518</v>
      </c>
      <c r="F1332" s="90" t="s">
        <v>686</v>
      </c>
      <c r="G1332" s="93">
        <v>53.08</v>
      </c>
      <c r="H1332" s="93">
        <v>185</v>
      </c>
      <c r="I1332" s="92"/>
      <c r="J1332" s="92"/>
      <c r="K1332" s="93">
        <v>53.08</v>
      </c>
      <c r="L1332" s="92"/>
      <c r="M1332" s="92"/>
      <c r="N1332" s="92"/>
      <c r="O1332" s="92"/>
      <c r="P1332" s="92"/>
      <c r="Q1332" s="92"/>
      <c r="R1332" s="92"/>
      <c r="S1332" s="92"/>
      <c r="T1332" s="92"/>
      <c r="U1332" s="92"/>
      <c r="V1332" s="92"/>
      <c r="W1332" s="92"/>
      <c r="X1332" s="92"/>
      <c r="Y1332" s="92"/>
      <c r="Z1332" s="92"/>
      <c r="AA1332" s="92"/>
      <c r="AB1332" s="92"/>
      <c r="AC1332" s="92"/>
      <c r="AD1332" s="93">
        <v>0</v>
      </c>
      <c r="AE1332" s="92"/>
      <c r="AF1332" s="92"/>
      <c r="AG1332" s="93">
        <v>53.08</v>
      </c>
      <c r="AH1332" s="93">
        <v>0</v>
      </c>
    </row>
    <row r="1333" spans="1:34" ht="15.75" thickBot="1" x14ac:dyDescent="0.3">
      <c r="A1333" s="90" t="s">
        <v>999</v>
      </c>
      <c r="B1333" s="90" t="s">
        <v>37</v>
      </c>
      <c r="C1333" s="90" t="s">
        <v>38</v>
      </c>
      <c r="D1333" s="90" t="s">
        <v>28</v>
      </c>
      <c r="E1333" s="90" t="s">
        <v>518</v>
      </c>
      <c r="F1333" s="90" t="s">
        <v>697</v>
      </c>
      <c r="G1333" s="95">
        <v>53.08</v>
      </c>
      <c r="H1333" s="305">
        <v>185</v>
      </c>
      <c r="I1333" s="94"/>
      <c r="J1333" s="94"/>
      <c r="K1333" s="95">
        <v>53.08</v>
      </c>
      <c r="L1333" s="94"/>
      <c r="M1333" s="94"/>
      <c r="N1333" s="94"/>
      <c r="O1333" s="94"/>
      <c r="P1333" s="94"/>
      <c r="Q1333" s="94"/>
      <c r="R1333" s="94"/>
      <c r="S1333" s="94"/>
      <c r="T1333" s="94"/>
      <c r="U1333" s="94"/>
      <c r="V1333" s="94"/>
      <c r="W1333" s="94"/>
      <c r="X1333" s="94"/>
      <c r="Y1333" s="94"/>
      <c r="Z1333" s="94"/>
      <c r="AA1333" s="94"/>
      <c r="AB1333" s="94"/>
      <c r="AC1333" s="94"/>
      <c r="AD1333" s="95">
        <v>0</v>
      </c>
      <c r="AE1333" s="94"/>
      <c r="AF1333" s="94"/>
      <c r="AG1333" s="95">
        <v>53.08</v>
      </c>
      <c r="AH1333" s="95">
        <v>0</v>
      </c>
    </row>
    <row r="1334" spans="1:34" ht="15.75" thickBot="1" x14ac:dyDescent="0.3">
      <c r="A1334" s="90" t="s">
        <v>999</v>
      </c>
      <c r="B1334" s="90" t="s">
        <v>37</v>
      </c>
      <c r="C1334" s="90" t="s">
        <v>38</v>
      </c>
      <c r="D1334" s="90" t="s">
        <v>28</v>
      </c>
      <c r="E1334" s="90" t="s">
        <v>727</v>
      </c>
      <c r="F1334" s="90" t="s">
        <v>686</v>
      </c>
      <c r="G1334" s="93">
        <v>2.0099999999999998</v>
      </c>
      <c r="H1334" s="92"/>
      <c r="I1334" s="92"/>
      <c r="J1334" s="92"/>
      <c r="K1334" s="92"/>
      <c r="L1334" s="92"/>
      <c r="M1334" s="92"/>
      <c r="N1334" s="92"/>
      <c r="O1334" s="93">
        <v>2.0099999999999998</v>
      </c>
      <c r="P1334" s="92"/>
      <c r="Q1334" s="92"/>
      <c r="R1334" s="92"/>
      <c r="S1334" s="92"/>
      <c r="T1334" s="92"/>
      <c r="U1334" s="92"/>
      <c r="V1334" s="92"/>
      <c r="W1334" s="92"/>
      <c r="X1334" s="92"/>
      <c r="Y1334" s="92"/>
      <c r="Z1334" s="92"/>
      <c r="AA1334" s="92"/>
      <c r="AB1334" s="92"/>
      <c r="AC1334" s="92"/>
      <c r="AD1334" s="93">
        <v>0</v>
      </c>
      <c r="AE1334" s="92"/>
      <c r="AF1334" s="92"/>
      <c r="AG1334" s="93">
        <v>2.0099999999999998</v>
      </c>
      <c r="AH1334" s="93">
        <v>0</v>
      </c>
    </row>
    <row r="1335" spans="1:34" ht="15.75" thickBot="1" x14ac:dyDescent="0.3">
      <c r="A1335" s="90" t="s">
        <v>999</v>
      </c>
      <c r="B1335" s="90" t="s">
        <v>37</v>
      </c>
      <c r="C1335" s="90" t="s">
        <v>38</v>
      </c>
      <c r="D1335" s="90" t="s">
        <v>28</v>
      </c>
      <c r="E1335" s="90" t="s">
        <v>727</v>
      </c>
      <c r="F1335" s="90" t="s">
        <v>697</v>
      </c>
      <c r="G1335" s="95">
        <v>2.0099999999999998</v>
      </c>
      <c r="H1335" s="94"/>
      <c r="I1335" s="94"/>
      <c r="J1335" s="94"/>
      <c r="K1335" s="94"/>
      <c r="L1335" s="94"/>
      <c r="M1335" s="94"/>
      <c r="N1335" s="94"/>
      <c r="O1335" s="95">
        <v>2.0099999999999998</v>
      </c>
      <c r="P1335" s="94"/>
      <c r="Q1335" s="94"/>
      <c r="R1335" s="94"/>
      <c r="S1335" s="94"/>
      <c r="T1335" s="94"/>
      <c r="U1335" s="94"/>
      <c r="V1335" s="94"/>
      <c r="W1335" s="94"/>
      <c r="X1335" s="94"/>
      <c r="Y1335" s="94"/>
      <c r="Z1335" s="94"/>
      <c r="AA1335" s="94"/>
      <c r="AB1335" s="94"/>
      <c r="AC1335" s="94"/>
      <c r="AD1335" s="95">
        <v>0</v>
      </c>
      <c r="AE1335" s="94"/>
      <c r="AF1335" s="94"/>
      <c r="AG1335" s="95">
        <v>2.0099999999999998</v>
      </c>
      <c r="AH1335" s="95">
        <v>0</v>
      </c>
    </row>
    <row r="1336" spans="1:34" ht="15.75" thickBot="1" x14ac:dyDescent="0.3">
      <c r="A1336" s="90" t="s">
        <v>999</v>
      </c>
      <c r="B1336" s="90" t="s">
        <v>37</v>
      </c>
      <c r="C1336" s="90" t="s">
        <v>38</v>
      </c>
      <c r="D1336" s="90" t="s">
        <v>28</v>
      </c>
      <c r="E1336" s="90" t="s">
        <v>673</v>
      </c>
      <c r="F1336" s="90" t="s">
        <v>686</v>
      </c>
      <c r="G1336" s="93">
        <v>10.28</v>
      </c>
      <c r="H1336" s="92"/>
      <c r="I1336" s="92"/>
      <c r="J1336" s="92"/>
      <c r="K1336" s="92"/>
      <c r="L1336" s="92"/>
      <c r="M1336" s="92"/>
      <c r="N1336" s="92"/>
      <c r="O1336" s="92"/>
      <c r="P1336" s="92"/>
      <c r="Q1336" s="92"/>
      <c r="R1336" s="92"/>
      <c r="S1336" s="92"/>
      <c r="T1336" s="92"/>
      <c r="U1336" s="92"/>
      <c r="V1336" s="92"/>
      <c r="W1336" s="92"/>
      <c r="X1336" s="93">
        <v>10.28</v>
      </c>
      <c r="Y1336" s="92"/>
      <c r="Z1336" s="92"/>
      <c r="AA1336" s="92"/>
      <c r="AB1336" s="92"/>
      <c r="AC1336" s="92"/>
      <c r="AD1336" s="93">
        <v>0</v>
      </c>
      <c r="AE1336" s="92"/>
      <c r="AF1336" s="92"/>
      <c r="AG1336" s="93">
        <v>10.28</v>
      </c>
      <c r="AH1336" s="93">
        <v>0</v>
      </c>
    </row>
    <row r="1337" spans="1:34" ht="15.75" thickBot="1" x14ac:dyDescent="0.3">
      <c r="A1337" s="90" t="s">
        <v>999</v>
      </c>
      <c r="B1337" s="90" t="s">
        <v>37</v>
      </c>
      <c r="C1337" s="90" t="s">
        <v>38</v>
      </c>
      <c r="D1337" s="90" t="s">
        <v>28</v>
      </c>
      <c r="E1337" s="90" t="s">
        <v>673</v>
      </c>
      <c r="F1337" s="90" t="s">
        <v>697</v>
      </c>
      <c r="G1337" s="95">
        <v>10.28</v>
      </c>
      <c r="H1337" s="94"/>
      <c r="I1337" s="94"/>
      <c r="J1337" s="94"/>
      <c r="K1337" s="94"/>
      <c r="L1337" s="94"/>
      <c r="M1337" s="94"/>
      <c r="N1337" s="94"/>
      <c r="O1337" s="94"/>
      <c r="P1337" s="94"/>
      <c r="Q1337" s="94"/>
      <c r="R1337" s="94"/>
      <c r="S1337" s="94"/>
      <c r="T1337" s="94"/>
      <c r="U1337" s="94"/>
      <c r="V1337" s="94"/>
      <c r="W1337" s="94"/>
      <c r="X1337" s="95">
        <v>10.28</v>
      </c>
      <c r="Y1337" s="94"/>
      <c r="Z1337" s="94"/>
      <c r="AA1337" s="94"/>
      <c r="AB1337" s="94"/>
      <c r="AC1337" s="94"/>
      <c r="AD1337" s="95">
        <v>0</v>
      </c>
      <c r="AE1337" s="94"/>
      <c r="AF1337" s="94"/>
      <c r="AG1337" s="95">
        <v>10.28</v>
      </c>
      <c r="AH1337" s="95">
        <v>0</v>
      </c>
    </row>
    <row r="1338" spans="1:34" ht="15.75" thickBot="1" x14ac:dyDescent="0.3">
      <c r="A1338" s="90" t="s">
        <v>999</v>
      </c>
      <c r="B1338" s="90" t="s">
        <v>37</v>
      </c>
      <c r="C1338" s="90" t="s">
        <v>38</v>
      </c>
      <c r="D1338" s="90" t="s">
        <v>28</v>
      </c>
      <c r="E1338" s="90" t="s">
        <v>196</v>
      </c>
      <c r="F1338" s="90" t="s">
        <v>686</v>
      </c>
      <c r="G1338" s="93">
        <v>64.989999999999995</v>
      </c>
      <c r="H1338" s="92"/>
      <c r="I1338" s="92"/>
      <c r="J1338" s="92"/>
      <c r="K1338" s="92"/>
      <c r="L1338" s="92"/>
      <c r="M1338" s="92"/>
      <c r="N1338" s="92"/>
      <c r="O1338" s="92"/>
      <c r="P1338" s="93">
        <v>64.989999999999995</v>
      </c>
      <c r="Q1338" s="92"/>
      <c r="R1338" s="92"/>
      <c r="S1338" s="92"/>
      <c r="T1338" s="92"/>
      <c r="U1338" s="92"/>
      <c r="V1338" s="92"/>
      <c r="W1338" s="92"/>
      <c r="X1338" s="92"/>
      <c r="Y1338" s="92"/>
      <c r="Z1338" s="92"/>
      <c r="AA1338" s="92"/>
      <c r="AB1338" s="92"/>
      <c r="AC1338" s="92"/>
      <c r="AD1338" s="93">
        <v>0</v>
      </c>
      <c r="AE1338" s="92"/>
      <c r="AF1338" s="92"/>
      <c r="AG1338" s="93">
        <v>64.989999999999995</v>
      </c>
      <c r="AH1338" s="93">
        <v>0</v>
      </c>
    </row>
    <row r="1339" spans="1:34" ht="15.75" thickBot="1" x14ac:dyDescent="0.3">
      <c r="A1339" s="90" t="s">
        <v>999</v>
      </c>
      <c r="B1339" s="90" t="s">
        <v>37</v>
      </c>
      <c r="C1339" s="90" t="s">
        <v>38</v>
      </c>
      <c r="D1339" s="90" t="s">
        <v>28</v>
      </c>
      <c r="E1339" s="90" t="s">
        <v>196</v>
      </c>
      <c r="F1339" s="90" t="s">
        <v>697</v>
      </c>
      <c r="G1339" s="95">
        <v>64.989999999999995</v>
      </c>
      <c r="H1339" s="94"/>
      <c r="I1339" s="94"/>
      <c r="J1339" s="94"/>
      <c r="K1339" s="94"/>
      <c r="L1339" s="94"/>
      <c r="M1339" s="94"/>
      <c r="N1339" s="94"/>
      <c r="O1339" s="94"/>
      <c r="P1339" s="95">
        <v>64.989999999999995</v>
      </c>
      <c r="Q1339" s="94"/>
      <c r="R1339" s="94"/>
      <c r="S1339" s="94"/>
      <c r="T1339" s="94"/>
      <c r="U1339" s="94"/>
      <c r="V1339" s="94"/>
      <c r="W1339" s="94"/>
      <c r="X1339" s="94"/>
      <c r="Y1339" s="94"/>
      <c r="Z1339" s="94"/>
      <c r="AA1339" s="94"/>
      <c r="AB1339" s="94"/>
      <c r="AC1339" s="94"/>
      <c r="AD1339" s="95">
        <v>0</v>
      </c>
      <c r="AE1339" s="94"/>
      <c r="AF1339" s="94"/>
      <c r="AG1339" s="95">
        <v>64.989999999999995</v>
      </c>
      <c r="AH1339" s="95">
        <v>0</v>
      </c>
    </row>
    <row r="1340" spans="1:34" ht="15.75" thickBot="1" x14ac:dyDescent="0.3">
      <c r="A1340" s="90" t="s">
        <v>999</v>
      </c>
      <c r="B1340" s="90" t="s">
        <v>29</v>
      </c>
      <c r="C1340" s="90" t="s">
        <v>30</v>
      </c>
      <c r="D1340" s="90" t="s">
        <v>17</v>
      </c>
      <c r="E1340" s="90" t="s">
        <v>726</v>
      </c>
      <c r="F1340" s="90" t="s">
        <v>686</v>
      </c>
      <c r="G1340" s="92"/>
      <c r="H1340" s="92"/>
      <c r="I1340" s="92"/>
      <c r="J1340" s="92"/>
      <c r="K1340" s="92"/>
      <c r="L1340" s="92"/>
      <c r="M1340" s="92"/>
      <c r="N1340" s="92"/>
      <c r="O1340" s="92"/>
      <c r="P1340" s="92"/>
      <c r="Q1340" s="92"/>
      <c r="R1340" s="92"/>
      <c r="S1340" s="92"/>
      <c r="T1340" s="92"/>
      <c r="U1340" s="92"/>
      <c r="V1340" s="92"/>
      <c r="W1340" s="92"/>
      <c r="X1340" s="92"/>
      <c r="Y1340" s="92"/>
      <c r="Z1340" s="92"/>
      <c r="AA1340" s="92"/>
      <c r="AB1340" s="92"/>
      <c r="AC1340" s="93">
        <v>2.44</v>
      </c>
      <c r="AD1340" s="93">
        <v>0.14000000000000001</v>
      </c>
      <c r="AE1340" s="92"/>
      <c r="AF1340" s="92"/>
      <c r="AG1340" s="93">
        <v>2.58</v>
      </c>
      <c r="AH1340" s="93">
        <v>0</v>
      </c>
    </row>
    <row r="1341" spans="1:34" ht="15.75" thickBot="1" x14ac:dyDescent="0.3">
      <c r="A1341" s="90" t="s">
        <v>999</v>
      </c>
      <c r="B1341" s="90" t="s">
        <v>29</v>
      </c>
      <c r="C1341" s="90" t="s">
        <v>30</v>
      </c>
      <c r="D1341" s="90" t="s">
        <v>17</v>
      </c>
      <c r="E1341" s="90" t="s">
        <v>726</v>
      </c>
      <c r="F1341" s="90" t="s">
        <v>697</v>
      </c>
      <c r="G1341" s="94"/>
      <c r="H1341" s="94"/>
      <c r="I1341" s="94"/>
      <c r="J1341" s="94"/>
      <c r="K1341" s="94"/>
      <c r="L1341" s="94"/>
      <c r="M1341" s="94"/>
      <c r="N1341" s="94"/>
      <c r="O1341" s="94"/>
      <c r="P1341" s="94"/>
      <c r="Q1341" s="94"/>
      <c r="R1341" s="94"/>
      <c r="S1341" s="94"/>
      <c r="T1341" s="94"/>
      <c r="U1341" s="94"/>
      <c r="V1341" s="94"/>
      <c r="W1341" s="94"/>
      <c r="X1341" s="94"/>
      <c r="Y1341" s="94"/>
      <c r="Z1341" s="94"/>
      <c r="AA1341" s="94"/>
      <c r="AB1341" s="94"/>
      <c r="AC1341" s="95">
        <v>2.44</v>
      </c>
      <c r="AD1341" s="95">
        <v>0.14000000000000001</v>
      </c>
      <c r="AE1341" s="94"/>
      <c r="AF1341" s="94"/>
      <c r="AG1341" s="95">
        <v>2.58</v>
      </c>
      <c r="AH1341" s="95">
        <v>0</v>
      </c>
    </row>
    <row r="1342" spans="1:34" ht="15.75" thickBot="1" x14ac:dyDescent="0.3">
      <c r="A1342" s="90" t="s">
        <v>999</v>
      </c>
      <c r="B1342" s="90" t="s">
        <v>29</v>
      </c>
      <c r="C1342" s="90" t="s">
        <v>30</v>
      </c>
      <c r="D1342" s="90" t="s">
        <v>17</v>
      </c>
      <c r="E1342" s="90" t="s">
        <v>528</v>
      </c>
      <c r="F1342" s="90" t="s">
        <v>686</v>
      </c>
      <c r="G1342" s="93">
        <v>24800</v>
      </c>
      <c r="H1342" s="92"/>
      <c r="I1342" s="93">
        <v>24800</v>
      </c>
      <c r="J1342" s="92"/>
      <c r="K1342" s="92"/>
      <c r="L1342" s="92"/>
      <c r="M1342" s="92"/>
      <c r="N1342" s="92"/>
      <c r="O1342" s="92"/>
      <c r="P1342" s="92"/>
      <c r="Q1342" s="92"/>
      <c r="R1342" s="92"/>
      <c r="S1342" s="92"/>
      <c r="T1342" s="92"/>
      <c r="U1342" s="92"/>
      <c r="V1342" s="92"/>
      <c r="W1342" s="92"/>
      <c r="X1342" s="92"/>
      <c r="Y1342" s="92"/>
      <c r="Z1342" s="92"/>
      <c r="AA1342" s="92"/>
      <c r="AB1342" s="92"/>
      <c r="AC1342" s="92"/>
      <c r="AD1342" s="93">
        <v>1571.18</v>
      </c>
      <c r="AE1342" s="92"/>
      <c r="AF1342" s="92"/>
      <c r="AG1342" s="93">
        <v>26371.18</v>
      </c>
      <c r="AH1342" s="93">
        <v>0</v>
      </c>
    </row>
    <row r="1343" spans="1:34" ht="15.75" thickBot="1" x14ac:dyDescent="0.3">
      <c r="A1343" s="90" t="s">
        <v>999</v>
      </c>
      <c r="B1343" s="90" t="s">
        <v>29</v>
      </c>
      <c r="C1343" s="90" t="s">
        <v>30</v>
      </c>
      <c r="D1343" s="90" t="s">
        <v>17</v>
      </c>
      <c r="E1343" s="90" t="s">
        <v>528</v>
      </c>
      <c r="F1343" s="90" t="s">
        <v>697</v>
      </c>
      <c r="G1343" s="95">
        <v>24800</v>
      </c>
      <c r="H1343" s="94"/>
      <c r="I1343" s="95">
        <v>24800</v>
      </c>
      <c r="J1343" s="94"/>
      <c r="K1343" s="94"/>
      <c r="L1343" s="94"/>
      <c r="M1343" s="94"/>
      <c r="N1343" s="94"/>
      <c r="O1343" s="94"/>
      <c r="P1343" s="94"/>
      <c r="Q1343" s="94"/>
      <c r="R1343" s="94"/>
      <c r="S1343" s="94"/>
      <c r="T1343" s="94"/>
      <c r="U1343" s="94"/>
      <c r="V1343" s="94"/>
      <c r="W1343" s="94"/>
      <c r="X1343" s="94"/>
      <c r="Y1343" s="94"/>
      <c r="Z1343" s="94"/>
      <c r="AA1343" s="94"/>
      <c r="AB1343" s="94"/>
      <c r="AC1343" s="94"/>
      <c r="AD1343" s="95">
        <v>1571.18</v>
      </c>
      <c r="AE1343" s="94"/>
      <c r="AF1343" s="94"/>
      <c r="AG1343" s="95">
        <v>26371.18</v>
      </c>
      <c r="AH1343" s="95">
        <v>0</v>
      </c>
    </row>
    <row r="1344" spans="1:34" ht="15.75" thickBot="1" x14ac:dyDescent="0.3">
      <c r="A1344" s="90" t="s">
        <v>999</v>
      </c>
      <c r="B1344" s="90" t="s">
        <v>29</v>
      </c>
      <c r="C1344" s="90" t="s">
        <v>30</v>
      </c>
      <c r="D1344" s="90" t="s">
        <v>17</v>
      </c>
      <c r="E1344" s="90" t="s">
        <v>518</v>
      </c>
      <c r="F1344" s="90" t="s">
        <v>686</v>
      </c>
      <c r="G1344" s="93">
        <v>134.77000000000001</v>
      </c>
      <c r="H1344" s="93">
        <v>613</v>
      </c>
      <c r="I1344" s="92"/>
      <c r="J1344" s="92"/>
      <c r="K1344" s="93">
        <v>134.77000000000001</v>
      </c>
      <c r="L1344" s="92"/>
      <c r="M1344" s="92"/>
      <c r="N1344" s="92"/>
      <c r="O1344" s="92"/>
      <c r="P1344" s="92"/>
      <c r="Q1344" s="92"/>
      <c r="R1344" s="92"/>
      <c r="S1344" s="92"/>
      <c r="T1344" s="92"/>
      <c r="U1344" s="92"/>
      <c r="V1344" s="92"/>
      <c r="W1344" s="92"/>
      <c r="X1344" s="92"/>
      <c r="Y1344" s="92"/>
      <c r="Z1344" s="92"/>
      <c r="AA1344" s="92"/>
      <c r="AB1344" s="92"/>
      <c r="AC1344" s="92"/>
      <c r="AD1344" s="93">
        <v>6.85</v>
      </c>
      <c r="AE1344" s="92"/>
      <c r="AF1344" s="92"/>
      <c r="AG1344" s="93">
        <v>141.62</v>
      </c>
      <c r="AH1344" s="93">
        <v>0</v>
      </c>
    </row>
    <row r="1345" spans="1:34" ht="15.75" thickBot="1" x14ac:dyDescent="0.3">
      <c r="A1345" s="90" t="s">
        <v>999</v>
      </c>
      <c r="B1345" s="90" t="s">
        <v>29</v>
      </c>
      <c r="C1345" s="90" t="s">
        <v>30</v>
      </c>
      <c r="D1345" s="90" t="s">
        <v>17</v>
      </c>
      <c r="E1345" s="90" t="s">
        <v>518</v>
      </c>
      <c r="F1345" s="90" t="s">
        <v>697</v>
      </c>
      <c r="G1345" s="95">
        <v>134.77000000000001</v>
      </c>
      <c r="H1345" s="305">
        <v>613</v>
      </c>
      <c r="I1345" s="94"/>
      <c r="J1345" s="94"/>
      <c r="K1345" s="95">
        <v>134.77000000000001</v>
      </c>
      <c r="L1345" s="94"/>
      <c r="M1345" s="94"/>
      <c r="N1345" s="94"/>
      <c r="O1345" s="94"/>
      <c r="P1345" s="94"/>
      <c r="Q1345" s="94"/>
      <c r="R1345" s="94"/>
      <c r="S1345" s="94"/>
      <c r="T1345" s="94"/>
      <c r="U1345" s="94"/>
      <c r="V1345" s="94"/>
      <c r="W1345" s="94"/>
      <c r="X1345" s="94"/>
      <c r="Y1345" s="94"/>
      <c r="Z1345" s="94"/>
      <c r="AA1345" s="94"/>
      <c r="AB1345" s="94"/>
      <c r="AC1345" s="94"/>
      <c r="AD1345" s="95">
        <v>6.85</v>
      </c>
      <c r="AE1345" s="94"/>
      <c r="AF1345" s="94"/>
      <c r="AG1345" s="95">
        <v>141.62</v>
      </c>
      <c r="AH1345" s="95">
        <v>0</v>
      </c>
    </row>
    <row r="1346" spans="1:34" ht="15.75" thickBot="1" x14ac:dyDescent="0.3">
      <c r="A1346" s="90" t="s">
        <v>999</v>
      </c>
      <c r="B1346" s="90" t="s">
        <v>29</v>
      </c>
      <c r="C1346" s="90" t="s">
        <v>30</v>
      </c>
      <c r="D1346" s="90" t="s">
        <v>17</v>
      </c>
      <c r="E1346" s="90" t="s">
        <v>196</v>
      </c>
      <c r="F1346" s="90" t="s">
        <v>686</v>
      </c>
      <c r="G1346" s="93">
        <v>214.55</v>
      </c>
      <c r="H1346" s="92"/>
      <c r="I1346" s="92"/>
      <c r="J1346" s="92"/>
      <c r="K1346" s="92"/>
      <c r="L1346" s="92"/>
      <c r="M1346" s="92"/>
      <c r="N1346" s="92"/>
      <c r="O1346" s="92"/>
      <c r="P1346" s="93">
        <v>214.55</v>
      </c>
      <c r="Q1346" s="92"/>
      <c r="R1346" s="92"/>
      <c r="S1346" s="92"/>
      <c r="T1346" s="92"/>
      <c r="U1346" s="92"/>
      <c r="V1346" s="92"/>
      <c r="W1346" s="92"/>
      <c r="X1346" s="92"/>
      <c r="Y1346" s="92"/>
      <c r="Z1346" s="92"/>
      <c r="AA1346" s="92"/>
      <c r="AB1346" s="92"/>
      <c r="AC1346" s="92"/>
      <c r="AD1346" s="93">
        <v>12.89</v>
      </c>
      <c r="AE1346" s="92"/>
      <c r="AF1346" s="92"/>
      <c r="AG1346" s="93">
        <v>227.44</v>
      </c>
      <c r="AH1346" s="93">
        <v>0</v>
      </c>
    </row>
    <row r="1347" spans="1:34" ht="15.75" thickBot="1" x14ac:dyDescent="0.3">
      <c r="A1347" s="90" t="s">
        <v>999</v>
      </c>
      <c r="B1347" s="90" t="s">
        <v>29</v>
      </c>
      <c r="C1347" s="90" t="s">
        <v>30</v>
      </c>
      <c r="D1347" s="90" t="s">
        <v>17</v>
      </c>
      <c r="E1347" s="90" t="s">
        <v>196</v>
      </c>
      <c r="F1347" s="90" t="s">
        <v>697</v>
      </c>
      <c r="G1347" s="95">
        <v>214.55</v>
      </c>
      <c r="H1347" s="94"/>
      <c r="I1347" s="94"/>
      <c r="J1347" s="94"/>
      <c r="K1347" s="94"/>
      <c r="L1347" s="94"/>
      <c r="M1347" s="94"/>
      <c r="N1347" s="94"/>
      <c r="O1347" s="94"/>
      <c r="P1347" s="95">
        <v>214.55</v>
      </c>
      <c r="Q1347" s="94"/>
      <c r="R1347" s="94"/>
      <c r="S1347" s="94"/>
      <c r="T1347" s="94"/>
      <c r="U1347" s="94"/>
      <c r="V1347" s="94"/>
      <c r="W1347" s="94"/>
      <c r="X1347" s="94"/>
      <c r="Y1347" s="94"/>
      <c r="Z1347" s="94"/>
      <c r="AA1347" s="94"/>
      <c r="AB1347" s="94"/>
      <c r="AC1347" s="94"/>
      <c r="AD1347" s="95">
        <v>12.89</v>
      </c>
      <c r="AE1347" s="94"/>
      <c r="AF1347" s="94"/>
      <c r="AG1347" s="95">
        <v>227.44</v>
      </c>
      <c r="AH1347" s="95">
        <v>0</v>
      </c>
    </row>
    <row r="1348" spans="1:34" ht="15.75" thickBot="1" x14ac:dyDescent="0.3">
      <c r="A1348" s="90" t="s">
        <v>1018</v>
      </c>
      <c r="B1348" s="90" t="s">
        <v>26</v>
      </c>
      <c r="C1348" s="90" t="s">
        <v>875</v>
      </c>
      <c r="D1348" s="90" t="s">
        <v>17</v>
      </c>
      <c r="E1348" s="90" t="s">
        <v>726</v>
      </c>
      <c r="F1348" s="90" t="s">
        <v>686</v>
      </c>
      <c r="G1348" s="92"/>
      <c r="H1348" s="92"/>
      <c r="I1348" s="92"/>
      <c r="J1348" s="92"/>
      <c r="K1348" s="92"/>
      <c r="L1348" s="92"/>
      <c r="M1348" s="92"/>
      <c r="N1348" s="92"/>
      <c r="O1348" s="92"/>
      <c r="P1348" s="92"/>
      <c r="Q1348" s="92"/>
      <c r="R1348" s="92"/>
      <c r="S1348" s="92"/>
      <c r="T1348" s="92"/>
      <c r="U1348" s="92"/>
      <c r="V1348" s="92"/>
      <c r="W1348" s="92"/>
      <c r="X1348" s="92"/>
      <c r="Y1348" s="92"/>
      <c r="Z1348" s="92"/>
      <c r="AA1348" s="92"/>
      <c r="AB1348" s="92"/>
      <c r="AC1348" s="93">
        <v>1142.9100000000001</v>
      </c>
      <c r="AD1348" s="93">
        <v>63.94</v>
      </c>
      <c r="AE1348" s="92"/>
      <c r="AF1348" s="92"/>
      <c r="AG1348" s="93">
        <v>1206.8499999999999</v>
      </c>
      <c r="AH1348" s="93">
        <v>0</v>
      </c>
    </row>
    <row r="1349" spans="1:34" ht="15.75" thickBot="1" x14ac:dyDescent="0.3">
      <c r="A1349" s="90" t="s">
        <v>1018</v>
      </c>
      <c r="B1349" s="90" t="s">
        <v>26</v>
      </c>
      <c r="C1349" s="90" t="s">
        <v>875</v>
      </c>
      <c r="D1349" s="90" t="s">
        <v>17</v>
      </c>
      <c r="E1349" s="90" t="s">
        <v>726</v>
      </c>
      <c r="F1349" s="90" t="s">
        <v>697</v>
      </c>
      <c r="G1349" s="94"/>
      <c r="H1349" s="94"/>
      <c r="I1349" s="94"/>
      <c r="J1349" s="94"/>
      <c r="K1349" s="94"/>
      <c r="L1349" s="94"/>
      <c r="M1349" s="94"/>
      <c r="N1349" s="94"/>
      <c r="O1349" s="94"/>
      <c r="P1349" s="94"/>
      <c r="Q1349" s="94"/>
      <c r="R1349" s="94"/>
      <c r="S1349" s="94"/>
      <c r="T1349" s="94"/>
      <c r="U1349" s="94"/>
      <c r="V1349" s="94"/>
      <c r="W1349" s="94"/>
      <c r="X1349" s="94"/>
      <c r="Y1349" s="94"/>
      <c r="Z1349" s="94"/>
      <c r="AA1349" s="94"/>
      <c r="AB1349" s="94"/>
      <c r="AC1349" s="95">
        <v>1142.9100000000001</v>
      </c>
      <c r="AD1349" s="95">
        <v>63.94</v>
      </c>
      <c r="AE1349" s="94"/>
      <c r="AF1349" s="94"/>
      <c r="AG1349" s="95">
        <v>1206.8499999999999</v>
      </c>
      <c r="AH1349" s="95">
        <v>0</v>
      </c>
    </row>
    <row r="1350" spans="1:34" ht="15.75" thickBot="1" x14ac:dyDescent="0.3">
      <c r="A1350" s="90" t="s">
        <v>1018</v>
      </c>
      <c r="B1350" s="90" t="s">
        <v>26</v>
      </c>
      <c r="C1350" s="90" t="s">
        <v>875</v>
      </c>
      <c r="D1350" s="90" t="s">
        <v>17</v>
      </c>
      <c r="E1350" s="90" t="s">
        <v>528</v>
      </c>
      <c r="F1350" s="90" t="s">
        <v>686</v>
      </c>
      <c r="G1350" s="93">
        <v>1052125.95</v>
      </c>
      <c r="H1350" s="92"/>
      <c r="I1350" s="93">
        <v>1052125.95</v>
      </c>
      <c r="J1350" s="92"/>
      <c r="K1350" s="92"/>
      <c r="L1350" s="92"/>
      <c r="M1350" s="92"/>
      <c r="N1350" s="92"/>
      <c r="O1350" s="92"/>
      <c r="P1350" s="92"/>
      <c r="Q1350" s="92"/>
      <c r="R1350" s="92"/>
      <c r="S1350" s="92"/>
      <c r="T1350" s="92"/>
      <c r="U1350" s="92"/>
      <c r="V1350" s="92"/>
      <c r="W1350" s="92"/>
      <c r="X1350" s="92"/>
      <c r="Y1350" s="92"/>
      <c r="Z1350" s="92"/>
      <c r="AA1350" s="92"/>
      <c r="AB1350" s="92"/>
      <c r="AC1350" s="92"/>
      <c r="AD1350" s="93">
        <v>61737.41</v>
      </c>
      <c r="AE1350" s="92"/>
      <c r="AF1350" s="92"/>
      <c r="AG1350" s="93">
        <v>1113863.3600000001</v>
      </c>
      <c r="AH1350" s="93">
        <v>0</v>
      </c>
    </row>
    <row r="1351" spans="1:34" ht="15.75" thickBot="1" x14ac:dyDescent="0.3">
      <c r="A1351" s="90" t="s">
        <v>1018</v>
      </c>
      <c r="B1351" s="90" t="s">
        <v>26</v>
      </c>
      <c r="C1351" s="90" t="s">
        <v>875</v>
      </c>
      <c r="D1351" s="90" t="s">
        <v>17</v>
      </c>
      <c r="E1351" s="90" t="s">
        <v>528</v>
      </c>
      <c r="F1351" s="90" t="s">
        <v>697</v>
      </c>
      <c r="G1351" s="95">
        <v>1052125.95</v>
      </c>
      <c r="H1351" s="94"/>
      <c r="I1351" s="95">
        <v>1052125.95</v>
      </c>
      <c r="J1351" s="94"/>
      <c r="K1351" s="94"/>
      <c r="L1351" s="94"/>
      <c r="M1351" s="94"/>
      <c r="N1351" s="94"/>
      <c r="O1351" s="94"/>
      <c r="P1351" s="94"/>
      <c r="Q1351" s="94"/>
      <c r="R1351" s="94"/>
      <c r="S1351" s="94"/>
      <c r="T1351" s="94"/>
      <c r="U1351" s="94"/>
      <c r="V1351" s="94"/>
      <c r="W1351" s="94"/>
      <c r="X1351" s="94"/>
      <c r="Y1351" s="94"/>
      <c r="Z1351" s="94"/>
      <c r="AA1351" s="94"/>
      <c r="AB1351" s="94"/>
      <c r="AC1351" s="94"/>
      <c r="AD1351" s="95">
        <v>61737.41</v>
      </c>
      <c r="AE1351" s="94"/>
      <c r="AF1351" s="94"/>
      <c r="AG1351" s="95">
        <v>1113863.3600000001</v>
      </c>
      <c r="AH1351" s="95">
        <v>0</v>
      </c>
    </row>
    <row r="1352" spans="1:34" ht="15.75" thickBot="1" x14ac:dyDescent="0.3">
      <c r="A1352" s="90" t="s">
        <v>1018</v>
      </c>
      <c r="B1352" s="90" t="s">
        <v>26</v>
      </c>
      <c r="C1352" s="90" t="s">
        <v>875</v>
      </c>
      <c r="D1352" s="90" t="s">
        <v>17</v>
      </c>
      <c r="E1352" s="90" t="s">
        <v>518</v>
      </c>
      <c r="F1352" s="90" t="s">
        <v>686</v>
      </c>
      <c r="G1352" s="93">
        <v>498023.01</v>
      </c>
      <c r="H1352" s="93">
        <v>2488202</v>
      </c>
      <c r="I1352" s="92"/>
      <c r="J1352" s="92"/>
      <c r="K1352" s="93">
        <v>498023.01</v>
      </c>
      <c r="L1352" s="92"/>
      <c r="M1352" s="92"/>
      <c r="N1352" s="92"/>
      <c r="O1352" s="92"/>
      <c r="P1352" s="92"/>
      <c r="Q1352" s="92"/>
      <c r="R1352" s="92"/>
      <c r="S1352" s="92"/>
      <c r="T1352" s="92"/>
      <c r="U1352" s="92"/>
      <c r="V1352" s="92"/>
      <c r="W1352" s="92"/>
      <c r="X1352" s="92"/>
      <c r="Y1352" s="92"/>
      <c r="Z1352" s="92"/>
      <c r="AA1352" s="92"/>
      <c r="AB1352" s="92"/>
      <c r="AC1352" s="92"/>
      <c r="AD1352" s="93">
        <v>27943.79</v>
      </c>
      <c r="AE1352" s="92"/>
      <c r="AF1352" s="92"/>
      <c r="AG1352" s="93">
        <v>525966.80000000005</v>
      </c>
      <c r="AH1352" s="93">
        <v>0</v>
      </c>
    </row>
    <row r="1353" spans="1:34" ht="15.75" thickBot="1" x14ac:dyDescent="0.3">
      <c r="A1353" s="90" t="s">
        <v>1018</v>
      </c>
      <c r="B1353" s="90" t="s">
        <v>26</v>
      </c>
      <c r="C1353" s="90" t="s">
        <v>875</v>
      </c>
      <c r="D1353" s="90" t="s">
        <v>17</v>
      </c>
      <c r="E1353" s="90" t="s">
        <v>518</v>
      </c>
      <c r="F1353" s="90" t="s">
        <v>697</v>
      </c>
      <c r="G1353" s="95">
        <v>498023.01</v>
      </c>
      <c r="H1353" s="305">
        <v>2488202</v>
      </c>
      <c r="I1353" s="94"/>
      <c r="J1353" s="94"/>
      <c r="K1353" s="95">
        <v>498023.01</v>
      </c>
      <c r="L1353" s="94"/>
      <c r="M1353" s="94"/>
      <c r="N1353" s="94"/>
      <c r="O1353" s="94"/>
      <c r="P1353" s="94"/>
      <c r="Q1353" s="94"/>
      <c r="R1353" s="94"/>
      <c r="S1353" s="94"/>
      <c r="T1353" s="94"/>
      <c r="U1353" s="94"/>
      <c r="V1353" s="94"/>
      <c r="W1353" s="94"/>
      <c r="X1353" s="94"/>
      <c r="Y1353" s="94"/>
      <c r="Z1353" s="94"/>
      <c r="AA1353" s="94"/>
      <c r="AB1353" s="94"/>
      <c r="AC1353" s="94"/>
      <c r="AD1353" s="95">
        <v>27943.79</v>
      </c>
      <c r="AE1353" s="94"/>
      <c r="AF1353" s="94"/>
      <c r="AG1353" s="95">
        <v>525966.80000000005</v>
      </c>
      <c r="AH1353" s="95">
        <v>0</v>
      </c>
    </row>
    <row r="1354" spans="1:34" ht="15.75" thickBot="1" x14ac:dyDescent="0.3">
      <c r="A1354" s="90" t="s">
        <v>1018</v>
      </c>
      <c r="B1354" s="90" t="s">
        <v>26</v>
      </c>
      <c r="C1354" s="90" t="s">
        <v>875</v>
      </c>
      <c r="D1354" s="90" t="s">
        <v>17</v>
      </c>
      <c r="E1354" s="90" t="s">
        <v>727</v>
      </c>
      <c r="F1354" s="90" t="s">
        <v>686</v>
      </c>
      <c r="G1354" s="93">
        <v>1412.88</v>
      </c>
      <c r="H1354" s="92"/>
      <c r="I1354" s="92"/>
      <c r="J1354" s="92"/>
      <c r="K1354" s="92"/>
      <c r="L1354" s="92"/>
      <c r="M1354" s="92"/>
      <c r="N1354" s="92"/>
      <c r="O1354" s="93">
        <v>1412.88</v>
      </c>
      <c r="P1354" s="92"/>
      <c r="Q1354" s="92"/>
      <c r="R1354" s="92"/>
      <c r="S1354" s="92"/>
      <c r="T1354" s="92"/>
      <c r="U1354" s="92"/>
      <c r="V1354" s="92"/>
      <c r="W1354" s="92"/>
      <c r="X1354" s="92"/>
      <c r="Y1354" s="92"/>
      <c r="Z1354" s="92"/>
      <c r="AA1354" s="92"/>
      <c r="AB1354" s="92"/>
      <c r="AC1354" s="92"/>
      <c r="AD1354" s="93">
        <v>72.489999999999995</v>
      </c>
      <c r="AE1354" s="92"/>
      <c r="AF1354" s="92"/>
      <c r="AG1354" s="93">
        <v>1485.37</v>
      </c>
      <c r="AH1354" s="93">
        <v>0</v>
      </c>
    </row>
    <row r="1355" spans="1:34" ht="15.75" thickBot="1" x14ac:dyDescent="0.3">
      <c r="A1355" s="90" t="s">
        <v>1018</v>
      </c>
      <c r="B1355" s="90" t="s">
        <v>26</v>
      </c>
      <c r="C1355" s="90" t="s">
        <v>875</v>
      </c>
      <c r="D1355" s="90" t="s">
        <v>17</v>
      </c>
      <c r="E1355" s="90" t="s">
        <v>727</v>
      </c>
      <c r="F1355" s="90" t="s">
        <v>697</v>
      </c>
      <c r="G1355" s="95">
        <v>1412.88</v>
      </c>
      <c r="H1355" s="94"/>
      <c r="I1355" s="94"/>
      <c r="J1355" s="94"/>
      <c r="K1355" s="94"/>
      <c r="L1355" s="94"/>
      <c r="M1355" s="94"/>
      <c r="N1355" s="94"/>
      <c r="O1355" s="95">
        <v>1412.88</v>
      </c>
      <c r="P1355" s="94"/>
      <c r="Q1355" s="94"/>
      <c r="R1355" s="94"/>
      <c r="S1355" s="94"/>
      <c r="T1355" s="94"/>
      <c r="U1355" s="94"/>
      <c r="V1355" s="94"/>
      <c r="W1355" s="94"/>
      <c r="X1355" s="94"/>
      <c r="Y1355" s="94"/>
      <c r="Z1355" s="94"/>
      <c r="AA1355" s="94"/>
      <c r="AB1355" s="94"/>
      <c r="AC1355" s="94"/>
      <c r="AD1355" s="95">
        <v>72.489999999999995</v>
      </c>
      <c r="AE1355" s="94"/>
      <c r="AF1355" s="94"/>
      <c r="AG1355" s="95">
        <v>1485.37</v>
      </c>
      <c r="AH1355" s="95">
        <v>0</v>
      </c>
    </row>
    <row r="1356" spans="1:34" ht="15.75" thickBot="1" x14ac:dyDescent="0.3">
      <c r="A1356" s="90" t="s">
        <v>1018</v>
      </c>
      <c r="B1356" s="90" t="s">
        <v>26</v>
      </c>
      <c r="C1356" s="90" t="s">
        <v>875</v>
      </c>
      <c r="D1356" s="90" t="s">
        <v>17</v>
      </c>
      <c r="E1356" s="90" t="s">
        <v>673</v>
      </c>
      <c r="F1356" s="90" t="s">
        <v>686</v>
      </c>
      <c r="G1356" s="93">
        <v>640816.93999999994</v>
      </c>
      <c r="H1356" s="92"/>
      <c r="I1356" s="92"/>
      <c r="J1356" s="92"/>
      <c r="K1356" s="92"/>
      <c r="L1356" s="92"/>
      <c r="M1356" s="92"/>
      <c r="N1356" s="92"/>
      <c r="O1356" s="92"/>
      <c r="P1356" s="92"/>
      <c r="Q1356" s="92"/>
      <c r="R1356" s="92"/>
      <c r="S1356" s="92"/>
      <c r="T1356" s="92"/>
      <c r="U1356" s="92"/>
      <c r="V1356" s="92"/>
      <c r="W1356" s="92"/>
      <c r="X1356" s="93">
        <v>640816.93999999994</v>
      </c>
      <c r="Y1356" s="92"/>
      <c r="Z1356" s="92"/>
      <c r="AA1356" s="92"/>
      <c r="AB1356" s="92"/>
      <c r="AC1356" s="92"/>
      <c r="AD1356" s="93">
        <v>38327.61</v>
      </c>
      <c r="AE1356" s="92"/>
      <c r="AF1356" s="92"/>
      <c r="AG1356" s="93">
        <v>679144.55</v>
      </c>
      <c r="AH1356" s="93">
        <v>0</v>
      </c>
    </row>
    <row r="1357" spans="1:34" ht="15.75" thickBot="1" x14ac:dyDescent="0.3">
      <c r="A1357" s="90" t="s">
        <v>1018</v>
      </c>
      <c r="B1357" s="90" t="s">
        <v>26</v>
      </c>
      <c r="C1357" s="90" t="s">
        <v>875</v>
      </c>
      <c r="D1357" s="90" t="s">
        <v>17</v>
      </c>
      <c r="E1357" s="90" t="s">
        <v>673</v>
      </c>
      <c r="F1357" s="90" t="s">
        <v>697</v>
      </c>
      <c r="G1357" s="95">
        <v>640816.93999999994</v>
      </c>
      <c r="H1357" s="94"/>
      <c r="I1357" s="94"/>
      <c r="J1357" s="94"/>
      <c r="K1357" s="94"/>
      <c r="L1357" s="94"/>
      <c r="M1357" s="94"/>
      <c r="N1357" s="94"/>
      <c r="O1357" s="94"/>
      <c r="P1357" s="94"/>
      <c r="Q1357" s="94"/>
      <c r="R1357" s="94"/>
      <c r="S1357" s="94"/>
      <c r="T1357" s="94"/>
      <c r="U1357" s="94"/>
      <c r="V1357" s="94"/>
      <c r="W1357" s="94"/>
      <c r="X1357" s="95">
        <v>640816.93999999994</v>
      </c>
      <c r="Y1357" s="94"/>
      <c r="Z1357" s="94"/>
      <c r="AA1357" s="94"/>
      <c r="AB1357" s="94"/>
      <c r="AC1357" s="94"/>
      <c r="AD1357" s="95">
        <v>38327.61</v>
      </c>
      <c r="AE1357" s="94"/>
      <c r="AF1357" s="94"/>
      <c r="AG1357" s="95">
        <v>679144.55</v>
      </c>
      <c r="AH1357" s="95">
        <v>0</v>
      </c>
    </row>
    <row r="1358" spans="1:34" ht="15.75" thickBot="1" x14ac:dyDescent="0.3">
      <c r="A1358" s="90" t="s">
        <v>1018</v>
      </c>
      <c r="B1358" s="90" t="s">
        <v>26</v>
      </c>
      <c r="C1358" s="90" t="s">
        <v>875</v>
      </c>
      <c r="D1358" s="90" t="s">
        <v>17</v>
      </c>
      <c r="E1358" s="90" t="s">
        <v>196</v>
      </c>
      <c r="F1358" s="90" t="s">
        <v>686</v>
      </c>
      <c r="G1358" s="93">
        <v>874570.77</v>
      </c>
      <c r="H1358" s="92"/>
      <c r="I1358" s="92"/>
      <c r="J1358" s="92"/>
      <c r="K1358" s="92"/>
      <c r="L1358" s="92"/>
      <c r="M1358" s="92"/>
      <c r="N1358" s="92"/>
      <c r="O1358" s="92"/>
      <c r="P1358" s="93">
        <v>874570.77</v>
      </c>
      <c r="Q1358" s="92"/>
      <c r="R1358" s="92"/>
      <c r="S1358" s="92"/>
      <c r="T1358" s="92"/>
      <c r="U1358" s="92"/>
      <c r="V1358" s="92"/>
      <c r="W1358" s="92"/>
      <c r="X1358" s="92"/>
      <c r="Y1358" s="92"/>
      <c r="Z1358" s="92"/>
      <c r="AA1358" s="92"/>
      <c r="AB1358" s="92"/>
      <c r="AC1358" s="92"/>
      <c r="AD1358" s="93">
        <v>48703.51</v>
      </c>
      <c r="AE1358" s="92"/>
      <c r="AF1358" s="92"/>
      <c r="AG1358" s="93">
        <v>923274.28</v>
      </c>
      <c r="AH1358" s="93">
        <v>0</v>
      </c>
    </row>
    <row r="1359" spans="1:34" ht="15.75" thickBot="1" x14ac:dyDescent="0.3">
      <c r="A1359" s="90" t="s">
        <v>1018</v>
      </c>
      <c r="B1359" s="90" t="s">
        <v>26</v>
      </c>
      <c r="C1359" s="90" t="s">
        <v>875</v>
      </c>
      <c r="D1359" s="90" t="s">
        <v>17</v>
      </c>
      <c r="E1359" s="90" t="s">
        <v>196</v>
      </c>
      <c r="F1359" s="90" t="s">
        <v>697</v>
      </c>
      <c r="G1359" s="95">
        <v>874570.77</v>
      </c>
      <c r="H1359" s="94"/>
      <c r="I1359" s="94"/>
      <c r="J1359" s="94"/>
      <c r="K1359" s="94"/>
      <c r="L1359" s="94"/>
      <c r="M1359" s="94"/>
      <c r="N1359" s="94"/>
      <c r="O1359" s="94"/>
      <c r="P1359" s="95">
        <v>874570.77</v>
      </c>
      <c r="Q1359" s="94"/>
      <c r="R1359" s="94"/>
      <c r="S1359" s="94"/>
      <c r="T1359" s="94"/>
      <c r="U1359" s="94"/>
      <c r="V1359" s="94"/>
      <c r="W1359" s="94"/>
      <c r="X1359" s="94"/>
      <c r="Y1359" s="94"/>
      <c r="Z1359" s="94"/>
      <c r="AA1359" s="94"/>
      <c r="AB1359" s="94"/>
      <c r="AC1359" s="94"/>
      <c r="AD1359" s="95">
        <v>48703.51</v>
      </c>
      <c r="AE1359" s="94"/>
      <c r="AF1359" s="94"/>
      <c r="AG1359" s="95">
        <v>923274.28</v>
      </c>
      <c r="AH1359" s="95">
        <v>0</v>
      </c>
    </row>
    <row r="1360" spans="1:34" ht="15.75" thickBot="1" x14ac:dyDescent="0.3">
      <c r="A1360" s="90" t="s">
        <v>1018</v>
      </c>
      <c r="B1360" s="90" t="s">
        <v>26</v>
      </c>
      <c r="C1360" s="90" t="s">
        <v>875</v>
      </c>
      <c r="D1360" s="90" t="s">
        <v>17</v>
      </c>
      <c r="E1360" s="90" t="s">
        <v>674</v>
      </c>
      <c r="F1360" s="90" t="s">
        <v>686</v>
      </c>
      <c r="G1360" s="93">
        <v>-995.78</v>
      </c>
      <c r="H1360" s="92"/>
      <c r="I1360" s="92"/>
      <c r="J1360" s="92"/>
      <c r="K1360" s="92"/>
      <c r="L1360" s="92"/>
      <c r="M1360" s="92"/>
      <c r="N1360" s="92"/>
      <c r="O1360" s="92"/>
      <c r="P1360" s="92"/>
      <c r="Q1360" s="92"/>
      <c r="R1360" s="92"/>
      <c r="S1360" s="92"/>
      <c r="T1360" s="92"/>
      <c r="U1360" s="92"/>
      <c r="V1360" s="92"/>
      <c r="W1360" s="92"/>
      <c r="X1360" s="92"/>
      <c r="Y1360" s="93">
        <v>-995.78</v>
      </c>
      <c r="Z1360" s="92"/>
      <c r="AA1360" s="92"/>
      <c r="AB1360" s="92"/>
      <c r="AC1360" s="92"/>
      <c r="AD1360" s="93">
        <v>-59.73</v>
      </c>
      <c r="AE1360" s="92"/>
      <c r="AF1360" s="92"/>
      <c r="AG1360" s="93">
        <v>-1055.51</v>
      </c>
      <c r="AH1360" s="93">
        <v>0</v>
      </c>
    </row>
    <row r="1361" spans="1:34" ht="15.75" thickBot="1" x14ac:dyDescent="0.3">
      <c r="A1361" s="90" t="s">
        <v>1018</v>
      </c>
      <c r="B1361" s="90" t="s">
        <v>26</v>
      </c>
      <c r="C1361" s="90" t="s">
        <v>875</v>
      </c>
      <c r="D1361" s="90" t="s">
        <v>17</v>
      </c>
      <c r="E1361" s="90" t="s">
        <v>674</v>
      </c>
      <c r="F1361" s="90" t="s">
        <v>697</v>
      </c>
      <c r="G1361" s="95">
        <v>-995.78</v>
      </c>
      <c r="H1361" s="94"/>
      <c r="I1361" s="94"/>
      <c r="J1361" s="94"/>
      <c r="K1361" s="94"/>
      <c r="L1361" s="94"/>
      <c r="M1361" s="94"/>
      <c r="N1361" s="94"/>
      <c r="O1361" s="94"/>
      <c r="P1361" s="94"/>
      <c r="Q1361" s="94"/>
      <c r="R1361" s="94"/>
      <c r="S1361" s="94"/>
      <c r="T1361" s="94"/>
      <c r="U1361" s="94"/>
      <c r="V1361" s="94"/>
      <c r="W1361" s="94"/>
      <c r="X1361" s="94"/>
      <c r="Y1361" s="95">
        <v>-995.78</v>
      </c>
      <c r="Z1361" s="94"/>
      <c r="AA1361" s="94"/>
      <c r="AB1361" s="94"/>
      <c r="AC1361" s="94"/>
      <c r="AD1361" s="95">
        <v>-59.73</v>
      </c>
      <c r="AE1361" s="94"/>
      <c r="AF1361" s="94"/>
      <c r="AG1361" s="95">
        <v>-1055.51</v>
      </c>
      <c r="AH1361" s="95">
        <v>0</v>
      </c>
    </row>
    <row r="1362" spans="1:34" ht="15.75" thickBot="1" x14ac:dyDescent="0.3">
      <c r="A1362" s="90" t="s">
        <v>1018</v>
      </c>
      <c r="B1362" s="90" t="s">
        <v>26</v>
      </c>
      <c r="C1362" s="90" t="s">
        <v>875</v>
      </c>
      <c r="D1362" s="90" t="s">
        <v>20</v>
      </c>
      <c r="E1362" s="90" t="s">
        <v>726</v>
      </c>
      <c r="F1362" s="90" t="s">
        <v>686</v>
      </c>
      <c r="G1362" s="92"/>
      <c r="H1362" s="92"/>
      <c r="I1362" s="92"/>
      <c r="J1362" s="92"/>
      <c r="K1362" s="92"/>
      <c r="L1362" s="92"/>
      <c r="M1362" s="92"/>
      <c r="N1362" s="92"/>
      <c r="O1362" s="92"/>
      <c r="P1362" s="92"/>
      <c r="Q1362" s="92"/>
      <c r="R1362" s="92"/>
      <c r="S1362" s="92"/>
      <c r="T1362" s="92"/>
      <c r="U1362" s="92"/>
      <c r="V1362" s="92"/>
      <c r="W1362" s="92"/>
      <c r="X1362" s="92"/>
      <c r="Y1362" s="92"/>
      <c r="Z1362" s="92"/>
      <c r="AA1362" s="92"/>
      <c r="AB1362" s="92"/>
      <c r="AC1362" s="93">
        <v>39.67</v>
      </c>
      <c r="AD1362" s="93">
        <v>0</v>
      </c>
      <c r="AE1362" s="92"/>
      <c r="AF1362" s="92"/>
      <c r="AG1362" s="93">
        <v>39.67</v>
      </c>
      <c r="AH1362" s="93">
        <v>0</v>
      </c>
    </row>
    <row r="1363" spans="1:34" ht="15.75" thickBot="1" x14ac:dyDescent="0.3">
      <c r="A1363" s="90" t="s">
        <v>1018</v>
      </c>
      <c r="B1363" s="90" t="s">
        <v>26</v>
      </c>
      <c r="C1363" s="90" t="s">
        <v>875</v>
      </c>
      <c r="D1363" s="90" t="s">
        <v>20</v>
      </c>
      <c r="E1363" s="90" t="s">
        <v>726</v>
      </c>
      <c r="F1363" s="90" t="s">
        <v>697</v>
      </c>
      <c r="G1363" s="94"/>
      <c r="H1363" s="94"/>
      <c r="I1363" s="94"/>
      <c r="J1363" s="94"/>
      <c r="K1363" s="94"/>
      <c r="L1363" s="94"/>
      <c r="M1363" s="94"/>
      <c r="N1363" s="94"/>
      <c r="O1363" s="94"/>
      <c r="P1363" s="94"/>
      <c r="Q1363" s="94"/>
      <c r="R1363" s="94"/>
      <c r="S1363" s="94"/>
      <c r="T1363" s="94"/>
      <c r="U1363" s="94"/>
      <c r="V1363" s="94"/>
      <c r="W1363" s="94"/>
      <c r="X1363" s="94"/>
      <c r="Y1363" s="94"/>
      <c r="Z1363" s="94"/>
      <c r="AA1363" s="94"/>
      <c r="AB1363" s="94"/>
      <c r="AC1363" s="95">
        <v>39.67</v>
      </c>
      <c r="AD1363" s="95">
        <v>0</v>
      </c>
      <c r="AE1363" s="94"/>
      <c r="AF1363" s="94"/>
      <c r="AG1363" s="95">
        <v>39.67</v>
      </c>
      <c r="AH1363" s="95">
        <v>0</v>
      </c>
    </row>
    <row r="1364" spans="1:34" ht="15.75" thickBot="1" x14ac:dyDescent="0.3">
      <c r="A1364" s="90" t="s">
        <v>1018</v>
      </c>
      <c r="B1364" s="90" t="s">
        <v>26</v>
      </c>
      <c r="C1364" s="90" t="s">
        <v>875</v>
      </c>
      <c r="D1364" s="90" t="s">
        <v>20</v>
      </c>
      <c r="E1364" s="90" t="s">
        <v>528</v>
      </c>
      <c r="F1364" s="90" t="s">
        <v>686</v>
      </c>
      <c r="G1364" s="93">
        <v>78584</v>
      </c>
      <c r="H1364" s="92"/>
      <c r="I1364" s="93">
        <v>78584</v>
      </c>
      <c r="J1364" s="92"/>
      <c r="K1364" s="92"/>
      <c r="L1364" s="92"/>
      <c r="M1364" s="92"/>
      <c r="N1364" s="92"/>
      <c r="O1364" s="92"/>
      <c r="P1364" s="92"/>
      <c r="Q1364" s="92"/>
      <c r="R1364" s="92"/>
      <c r="S1364" s="92"/>
      <c r="T1364" s="92"/>
      <c r="U1364" s="92"/>
      <c r="V1364" s="92"/>
      <c r="W1364" s="92"/>
      <c r="X1364" s="92"/>
      <c r="Y1364" s="92"/>
      <c r="Z1364" s="92"/>
      <c r="AA1364" s="92"/>
      <c r="AB1364" s="92"/>
      <c r="AC1364" s="92"/>
      <c r="AD1364" s="93">
        <v>600.54999999999995</v>
      </c>
      <c r="AE1364" s="92"/>
      <c r="AF1364" s="92"/>
      <c r="AG1364" s="93">
        <v>79184.55</v>
      </c>
      <c r="AH1364" s="93">
        <v>0</v>
      </c>
    </row>
    <row r="1365" spans="1:34" ht="15.75" thickBot="1" x14ac:dyDescent="0.3">
      <c r="A1365" s="90" t="s">
        <v>1018</v>
      </c>
      <c r="B1365" s="90" t="s">
        <v>26</v>
      </c>
      <c r="C1365" s="90" t="s">
        <v>875</v>
      </c>
      <c r="D1365" s="90" t="s">
        <v>20</v>
      </c>
      <c r="E1365" s="90" t="s">
        <v>528</v>
      </c>
      <c r="F1365" s="90" t="s">
        <v>697</v>
      </c>
      <c r="G1365" s="95">
        <v>78584</v>
      </c>
      <c r="H1365" s="94"/>
      <c r="I1365" s="95">
        <v>78584</v>
      </c>
      <c r="J1365" s="94"/>
      <c r="K1365" s="94"/>
      <c r="L1365" s="94"/>
      <c r="M1365" s="94"/>
      <c r="N1365" s="94"/>
      <c r="O1365" s="94"/>
      <c r="P1365" s="94"/>
      <c r="Q1365" s="94"/>
      <c r="R1365" s="94"/>
      <c r="S1365" s="94"/>
      <c r="T1365" s="94"/>
      <c r="U1365" s="94"/>
      <c r="V1365" s="94"/>
      <c r="W1365" s="94"/>
      <c r="X1365" s="94"/>
      <c r="Y1365" s="94"/>
      <c r="Z1365" s="94"/>
      <c r="AA1365" s="94"/>
      <c r="AB1365" s="94"/>
      <c r="AC1365" s="94"/>
      <c r="AD1365" s="95">
        <v>600.54999999999995</v>
      </c>
      <c r="AE1365" s="94"/>
      <c r="AF1365" s="94"/>
      <c r="AG1365" s="95">
        <v>79184.55</v>
      </c>
      <c r="AH1365" s="95">
        <v>0</v>
      </c>
    </row>
    <row r="1366" spans="1:34" ht="15.75" thickBot="1" x14ac:dyDescent="0.3">
      <c r="A1366" s="90" t="s">
        <v>1018</v>
      </c>
      <c r="B1366" s="90" t="s">
        <v>26</v>
      </c>
      <c r="C1366" s="90" t="s">
        <v>875</v>
      </c>
      <c r="D1366" s="90" t="s">
        <v>20</v>
      </c>
      <c r="E1366" s="90" t="s">
        <v>518</v>
      </c>
      <c r="F1366" s="90" t="s">
        <v>686</v>
      </c>
      <c r="G1366" s="93">
        <v>45494.51</v>
      </c>
      <c r="H1366" s="93">
        <v>239671</v>
      </c>
      <c r="I1366" s="92"/>
      <c r="J1366" s="92"/>
      <c r="K1366" s="93">
        <v>45494.51</v>
      </c>
      <c r="L1366" s="92"/>
      <c r="M1366" s="92"/>
      <c r="N1366" s="92"/>
      <c r="O1366" s="92"/>
      <c r="P1366" s="92"/>
      <c r="Q1366" s="92"/>
      <c r="R1366" s="92"/>
      <c r="S1366" s="92"/>
      <c r="T1366" s="92"/>
      <c r="U1366" s="92"/>
      <c r="V1366" s="92"/>
      <c r="W1366" s="92"/>
      <c r="X1366" s="92"/>
      <c r="Y1366" s="92"/>
      <c r="Z1366" s="92"/>
      <c r="AA1366" s="92"/>
      <c r="AB1366" s="92"/>
      <c r="AC1366" s="92"/>
      <c r="AD1366" s="93">
        <v>292.20999999999998</v>
      </c>
      <c r="AE1366" s="92"/>
      <c r="AF1366" s="92"/>
      <c r="AG1366" s="93">
        <v>45786.720000000001</v>
      </c>
      <c r="AH1366" s="93">
        <v>0</v>
      </c>
    </row>
    <row r="1367" spans="1:34" ht="15.75" thickBot="1" x14ac:dyDescent="0.3">
      <c r="A1367" s="90" t="s">
        <v>1018</v>
      </c>
      <c r="B1367" s="90" t="s">
        <v>26</v>
      </c>
      <c r="C1367" s="90" t="s">
        <v>875</v>
      </c>
      <c r="D1367" s="90" t="s">
        <v>20</v>
      </c>
      <c r="E1367" s="90" t="s">
        <v>518</v>
      </c>
      <c r="F1367" s="90" t="s">
        <v>697</v>
      </c>
      <c r="G1367" s="95">
        <v>45494.51</v>
      </c>
      <c r="H1367" s="305">
        <v>239671</v>
      </c>
      <c r="I1367" s="94"/>
      <c r="J1367" s="94"/>
      <c r="K1367" s="95">
        <v>45494.51</v>
      </c>
      <c r="L1367" s="94"/>
      <c r="M1367" s="94"/>
      <c r="N1367" s="94"/>
      <c r="O1367" s="94"/>
      <c r="P1367" s="94"/>
      <c r="Q1367" s="94"/>
      <c r="R1367" s="94"/>
      <c r="S1367" s="94"/>
      <c r="T1367" s="94"/>
      <c r="U1367" s="94"/>
      <c r="V1367" s="94"/>
      <c r="W1367" s="94"/>
      <c r="X1367" s="94"/>
      <c r="Y1367" s="94"/>
      <c r="Z1367" s="94"/>
      <c r="AA1367" s="94"/>
      <c r="AB1367" s="94"/>
      <c r="AC1367" s="94"/>
      <c r="AD1367" s="95">
        <v>292.20999999999998</v>
      </c>
      <c r="AE1367" s="94"/>
      <c r="AF1367" s="94"/>
      <c r="AG1367" s="95">
        <v>45786.720000000001</v>
      </c>
      <c r="AH1367" s="95">
        <v>0</v>
      </c>
    </row>
    <row r="1368" spans="1:34" ht="15.75" thickBot="1" x14ac:dyDescent="0.3">
      <c r="A1368" s="90" t="s">
        <v>1018</v>
      </c>
      <c r="B1368" s="90" t="s">
        <v>26</v>
      </c>
      <c r="C1368" s="90" t="s">
        <v>875</v>
      </c>
      <c r="D1368" s="90" t="s">
        <v>20</v>
      </c>
      <c r="E1368" s="90" t="s">
        <v>727</v>
      </c>
      <c r="F1368" s="90" t="s">
        <v>686</v>
      </c>
      <c r="G1368" s="93">
        <v>136.52000000000001</v>
      </c>
      <c r="H1368" s="92"/>
      <c r="I1368" s="92"/>
      <c r="J1368" s="92"/>
      <c r="K1368" s="92"/>
      <c r="L1368" s="92"/>
      <c r="M1368" s="92"/>
      <c r="N1368" s="92"/>
      <c r="O1368" s="93">
        <v>136.52000000000001</v>
      </c>
      <c r="P1368" s="92"/>
      <c r="Q1368" s="92"/>
      <c r="R1368" s="92"/>
      <c r="S1368" s="92"/>
      <c r="T1368" s="92"/>
      <c r="U1368" s="92"/>
      <c r="V1368" s="92"/>
      <c r="W1368" s="92"/>
      <c r="X1368" s="92"/>
      <c r="Y1368" s="92"/>
      <c r="Z1368" s="92"/>
      <c r="AA1368" s="92"/>
      <c r="AB1368" s="92"/>
      <c r="AC1368" s="92"/>
      <c r="AD1368" s="93">
        <v>0.74</v>
      </c>
      <c r="AE1368" s="92"/>
      <c r="AF1368" s="92"/>
      <c r="AG1368" s="93">
        <v>137.26</v>
      </c>
      <c r="AH1368" s="93">
        <v>0</v>
      </c>
    </row>
    <row r="1369" spans="1:34" ht="15.75" thickBot="1" x14ac:dyDescent="0.3">
      <c r="A1369" s="90" t="s">
        <v>1018</v>
      </c>
      <c r="B1369" s="90" t="s">
        <v>26</v>
      </c>
      <c r="C1369" s="90" t="s">
        <v>875</v>
      </c>
      <c r="D1369" s="90" t="s">
        <v>20</v>
      </c>
      <c r="E1369" s="90" t="s">
        <v>727</v>
      </c>
      <c r="F1369" s="90" t="s">
        <v>697</v>
      </c>
      <c r="G1369" s="95">
        <v>136.52000000000001</v>
      </c>
      <c r="H1369" s="94"/>
      <c r="I1369" s="94"/>
      <c r="J1369" s="94"/>
      <c r="K1369" s="94"/>
      <c r="L1369" s="94"/>
      <c r="M1369" s="94"/>
      <c r="N1369" s="94"/>
      <c r="O1369" s="95">
        <v>136.52000000000001</v>
      </c>
      <c r="P1369" s="94"/>
      <c r="Q1369" s="94"/>
      <c r="R1369" s="94"/>
      <c r="S1369" s="94"/>
      <c r="T1369" s="94"/>
      <c r="U1369" s="94"/>
      <c r="V1369" s="94"/>
      <c r="W1369" s="94"/>
      <c r="X1369" s="94"/>
      <c r="Y1369" s="94"/>
      <c r="Z1369" s="94"/>
      <c r="AA1369" s="94"/>
      <c r="AB1369" s="94"/>
      <c r="AC1369" s="94"/>
      <c r="AD1369" s="95">
        <v>0.74</v>
      </c>
      <c r="AE1369" s="94"/>
      <c r="AF1369" s="94"/>
      <c r="AG1369" s="95">
        <v>137.26</v>
      </c>
      <c r="AH1369" s="95">
        <v>0</v>
      </c>
    </row>
    <row r="1370" spans="1:34" ht="15.75" thickBot="1" x14ac:dyDescent="0.3">
      <c r="A1370" s="90" t="s">
        <v>1018</v>
      </c>
      <c r="B1370" s="90" t="s">
        <v>26</v>
      </c>
      <c r="C1370" s="90" t="s">
        <v>875</v>
      </c>
      <c r="D1370" s="90" t="s">
        <v>20</v>
      </c>
      <c r="E1370" s="90" t="s">
        <v>673</v>
      </c>
      <c r="F1370" s="90" t="s">
        <v>686</v>
      </c>
      <c r="G1370" s="93">
        <v>29679.29</v>
      </c>
      <c r="H1370" s="92"/>
      <c r="I1370" s="92"/>
      <c r="J1370" s="92"/>
      <c r="K1370" s="92"/>
      <c r="L1370" s="92"/>
      <c r="M1370" s="92"/>
      <c r="N1370" s="92"/>
      <c r="O1370" s="92"/>
      <c r="P1370" s="92"/>
      <c r="Q1370" s="92"/>
      <c r="R1370" s="92"/>
      <c r="S1370" s="92"/>
      <c r="T1370" s="92"/>
      <c r="U1370" s="92"/>
      <c r="V1370" s="92"/>
      <c r="W1370" s="92"/>
      <c r="X1370" s="93">
        <v>29679.29</v>
      </c>
      <c r="Y1370" s="92"/>
      <c r="Z1370" s="92"/>
      <c r="AA1370" s="92"/>
      <c r="AB1370" s="92"/>
      <c r="AC1370" s="92"/>
      <c r="AD1370" s="93">
        <v>260.56</v>
      </c>
      <c r="AE1370" s="92"/>
      <c r="AF1370" s="92"/>
      <c r="AG1370" s="93">
        <v>29939.85</v>
      </c>
      <c r="AH1370" s="93">
        <v>0</v>
      </c>
    </row>
    <row r="1371" spans="1:34" ht="15.75" thickBot="1" x14ac:dyDescent="0.3">
      <c r="A1371" s="90" t="s">
        <v>1018</v>
      </c>
      <c r="B1371" s="90" t="s">
        <v>26</v>
      </c>
      <c r="C1371" s="90" t="s">
        <v>875</v>
      </c>
      <c r="D1371" s="90" t="s">
        <v>20</v>
      </c>
      <c r="E1371" s="90" t="s">
        <v>673</v>
      </c>
      <c r="F1371" s="90" t="s">
        <v>697</v>
      </c>
      <c r="G1371" s="95">
        <v>29679.29</v>
      </c>
      <c r="H1371" s="94"/>
      <c r="I1371" s="94"/>
      <c r="J1371" s="94"/>
      <c r="K1371" s="94"/>
      <c r="L1371" s="94"/>
      <c r="M1371" s="94"/>
      <c r="N1371" s="94"/>
      <c r="O1371" s="94"/>
      <c r="P1371" s="94"/>
      <c r="Q1371" s="94"/>
      <c r="R1371" s="94"/>
      <c r="S1371" s="94"/>
      <c r="T1371" s="94"/>
      <c r="U1371" s="94"/>
      <c r="V1371" s="94"/>
      <c r="W1371" s="94"/>
      <c r="X1371" s="95">
        <v>29679.29</v>
      </c>
      <c r="Y1371" s="94"/>
      <c r="Z1371" s="94"/>
      <c r="AA1371" s="94"/>
      <c r="AB1371" s="94"/>
      <c r="AC1371" s="94"/>
      <c r="AD1371" s="95">
        <v>260.56</v>
      </c>
      <c r="AE1371" s="94"/>
      <c r="AF1371" s="94"/>
      <c r="AG1371" s="95">
        <v>29939.85</v>
      </c>
      <c r="AH1371" s="95">
        <v>0</v>
      </c>
    </row>
    <row r="1372" spans="1:34" ht="15.75" thickBot="1" x14ac:dyDescent="0.3">
      <c r="A1372" s="90" t="s">
        <v>1018</v>
      </c>
      <c r="B1372" s="90" t="s">
        <v>26</v>
      </c>
      <c r="C1372" s="90" t="s">
        <v>875</v>
      </c>
      <c r="D1372" s="90" t="s">
        <v>20</v>
      </c>
      <c r="E1372" s="90" t="s">
        <v>196</v>
      </c>
      <c r="F1372" s="90" t="s">
        <v>686</v>
      </c>
      <c r="G1372" s="93">
        <v>84347.4</v>
      </c>
      <c r="H1372" s="92"/>
      <c r="I1372" s="92"/>
      <c r="J1372" s="92"/>
      <c r="K1372" s="92"/>
      <c r="L1372" s="92"/>
      <c r="M1372" s="92"/>
      <c r="N1372" s="92"/>
      <c r="O1372" s="92"/>
      <c r="P1372" s="93">
        <v>84347.4</v>
      </c>
      <c r="Q1372" s="92"/>
      <c r="R1372" s="92"/>
      <c r="S1372" s="92"/>
      <c r="T1372" s="92"/>
      <c r="U1372" s="92"/>
      <c r="V1372" s="92"/>
      <c r="W1372" s="92"/>
      <c r="X1372" s="92"/>
      <c r="Y1372" s="92"/>
      <c r="Z1372" s="92"/>
      <c r="AA1372" s="92"/>
      <c r="AB1372" s="92"/>
      <c r="AC1372" s="92"/>
      <c r="AD1372" s="93">
        <v>544.54</v>
      </c>
      <c r="AE1372" s="92"/>
      <c r="AF1372" s="92"/>
      <c r="AG1372" s="93">
        <v>84891.94</v>
      </c>
      <c r="AH1372" s="93">
        <v>0</v>
      </c>
    </row>
    <row r="1373" spans="1:34" ht="15.75" thickBot="1" x14ac:dyDescent="0.3">
      <c r="A1373" s="90" t="s">
        <v>1018</v>
      </c>
      <c r="B1373" s="90" t="s">
        <v>26</v>
      </c>
      <c r="C1373" s="90" t="s">
        <v>875</v>
      </c>
      <c r="D1373" s="90" t="s">
        <v>20</v>
      </c>
      <c r="E1373" s="90" t="s">
        <v>196</v>
      </c>
      <c r="F1373" s="90" t="s">
        <v>697</v>
      </c>
      <c r="G1373" s="95">
        <v>84347.4</v>
      </c>
      <c r="H1373" s="94"/>
      <c r="I1373" s="94"/>
      <c r="J1373" s="94"/>
      <c r="K1373" s="94"/>
      <c r="L1373" s="94"/>
      <c r="M1373" s="94"/>
      <c r="N1373" s="94"/>
      <c r="O1373" s="94"/>
      <c r="P1373" s="95">
        <v>84347.4</v>
      </c>
      <c r="Q1373" s="94"/>
      <c r="R1373" s="94"/>
      <c r="S1373" s="94"/>
      <c r="T1373" s="94"/>
      <c r="U1373" s="94"/>
      <c r="V1373" s="94"/>
      <c r="W1373" s="94"/>
      <c r="X1373" s="94"/>
      <c r="Y1373" s="94"/>
      <c r="Z1373" s="94"/>
      <c r="AA1373" s="94"/>
      <c r="AB1373" s="94"/>
      <c r="AC1373" s="94"/>
      <c r="AD1373" s="95">
        <v>544.54</v>
      </c>
      <c r="AE1373" s="94"/>
      <c r="AF1373" s="94"/>
      <c r="AG1373" s="95">
        <v>84891.94</v>
      </c>
      <c r="AH1373" s="95">
        <v>0</v>
      </c>
    </row>
    <row r="1374" spans="1:34" ht="15.75" thickBot="1" x14ac:dyDescent="0.3">
      <c r="A1374" s="90" t="s">
        <v>1018</v>
      </c>
      <c r="B1374" s="90" t="s">
        <v>26</v>
      </c>
      <c r="C1374" s="90" t="s">
        <v>875</v>
      </c>
      <c r="D1374" s="90" t="s">
        <v>20</v>
      </c>
      <c r="E1374" s="90" t="s">
        <v>674</v>
      </c>
      <c r="F1374" s="90" t="s">
        <v>686</v>
      </c>
      <c r="G1374" s="93">
        <v>-154.79</v>
      </c>
      <c r="H1374" s="92"/>
      <c r="I1374" s="92"/>
      <c r="J1374" s="92"/>
      <c r="K1374" s="92"/>
      <c r="L1374" s="92"/>
      <c r="M1374" s="92"/>
      <c r="N1374" s="92"/>
      <c r="O1374" s="92"/>
      <c r="P1374" s="92"/>
      <c r="Q1374" s="92"/>
      <c r="R1374" s="92"/>
      <c r="S1374" s="92"/>
      <c r="T1374" s="92"/>
      <c r="U1374" s="92"/>
      <c r="V1374" s="92"/>
      <c r="W1374" s="92"/>
      <c r="X1374" s="92"/>
      <c r="Y1374" s="93">
        <v>-154.79</v>
      </c>
      <c r="Z1374" s="92"/>
      <c r="AA1374" s="92"/>
      <c r="AB1374" s="92"/>
      <c r="AC1374" s="92"/>
      <c r="AD1374" s="93">
        <v>0</v>
      </c>
      <c r="AE1374" s="92"/>
      <c r="AF1374" s="92"/>
      <c r="AG1374" s="93">
        <v>-154.79</v>
      </c>
      <c r="AH1374" s="93">
        <v>0</v>
      </c>
    </row>
    <row r="1375" spans="1:34" ht="15.75" thickBot="1" x14ac:dyDescent="0.3">
      <c r="A1375" s="90" t="s">
        <v>1018</v>
      </c>
      <c r="B1375" s="90" t="s">
        <v>26</v>
      </c>
      <c r="C1375" s="90" t="s">
        <v>875</v>
      </c>
      <c r="D1375" s="90" t="s">
        <v>20</v>
      </c>
      <c r="E1375" s="90" t="s">
        <v>674</v>
      </c>
      <c r="F1375" s="90" t="s">
        <v>697</v>
      </c>
      <c r="G1375" s="95">
        <v>-154.79</v>
      </c>
      <c r="H1375" s="94"/>
      <c r="I1375" s="94"/>
      <c r="J1375" s="94"/>
      <c r="K1375" s="94"/>
      <c r="L1375" s="94"/>
      <c r="M1375" s="94"/>
      <c r="N1375" s="94"/>
      <c r="O1375" s="94"/>
      <c r="P1375" s="94"/>
      <c r="Q1375" s="94"/>
      <c r="R1375" s="94"/>
      <c r="S1375" s="94"/>
      <c r="T1375" s="94"/>
      <c r="U1375" s="94"/>
      <c r="V1375" s="94"/>
      <c r="W1375" s="94"/>
      <c r="X1375" s="94"/>
      <c r="Y1375" s="95">
        <v>-154.79</v>
      </c>
      <c r="Z1375" s="94"/>
      <c r="AA1375" s="94"/>
      <c r="AB1375" s="94"/>
      <c r="AC1375" s="94"/>
      <c r="AD1375" s="95">
        <v>0</v>
      </c>
      <c r="AE1375" s="94"/>
      <c r="AF1375" s="94"/>
      <c r="AG1375" s="95">
        <v>-154.79</v>
      </c>
      <c r="AH1375" s="95">
        <v>0</v>
      </c>
    </row>
    <row r="1376" spans="1:34" ht="15.75" thickBot="1" x14ac:dyDescent="0.3">
      <c r="A1376" s="90" t="s">
        <v>1018</v>
      </c>
      <c r="B1376" s="90" t="s">
        <v>26</v>
      </c>
      <c r="C1376" s="90" t="s">
        <v>875</v>
      </c>
      <c r="D1376" s="90" t="s">
        <v>28</v>
      </c>
      <c r="E1376" s="90" t="s">
        <v>528</v>
      </c>
      <c r="F1376" s="90" t="s">
        <v>686</v>
      </c>
      <c r="G1376" s="93">
        <v>480</v>
      </c>
      <c r="H1376" s="92"/>
      <c r="I1376" s="93">
        <v>480</v>
      </c>
      <c r="J1376" s="92"/>
      <c r="K1376" s="92"/>
      <c r="L1376" s="92"/>
      <c r="M1376" s="92"/>
      <c r="N1376" s="92"/>
      <c r="O1376" s="92"/>
      <c r="P1376" s="92"/>
      <c r="Q1376" s="92"/>
      <c r="R1376" s="92"/>
      <c r="S1376" s="92"/>
      <c r="T1376" s="92"/>
      <c r="U1376" s="92"/>
      <c r="V1376" s="92"/>
      <c r="W1376" s="92"/>
      <c r="X1376" s="92"/>
      <c r="Y1376" s="92"/>
      <c r="Z1376" s="92"/>
      <c r="AA1376" s="92"/>
      <c r="AB1376" s="92"/>
      <c r="AC1376" s="92"/>
      <c r="AD1376" s="93">
        <v>3.61</v>
      </c>
      <c r="AE1376" s="92"/>
      <c r="AF1376" s="92"/>
      <c r="AG1376" s="93">
        <v>483.61</v>
      </c>
      <c r="AH1376" s="93">
        <v>0</v>
      </c>
    </row>
    <row r="1377" spans="1:34" ht="15.75" thickBot="1" x14ac:dyDescent="0.3">
      <c r="A1377" s="90" t="s">
        <v>1018</v>
      </c>
      <c r="B1377" s="90" t="s">
        <v>26</v>
      </c>
      <c r="C1377" s="90" t="s">
        <v>875</v>
      </c>
      <c r="D1377" s="90" t="s">
        <v>28</v>
      </c>
      <c r="E1377" s="90" t="s">
        <v>528</v>
      </c>
      <c r="F1377" s="90" t="s">
        <v>697</v>
      </c>
      <c r="G1377" s="95">
        <v>480</v>
      </c>
      <c r="H1377" s="94"/>
      <c r="I1377" s="95">
        <v>480</v>
      </c>
      <c r="J1377" s="94"/>
      <c r="K1377" s="94"/>
      <c r="L1377" s="94"/>
      <c r="M1377" s="94"/>
      <c r="N1377" s="94"/>
      <c r="O1377" s="94"/>
      <c r="P1377" s="94"/>
      <c r="Q1377" s="94"/>
      <c r="R1377" s="94"/>
      <c r="S1377" s="94"/>
      <c r="T1377" s="94"/>
      <c r="U1377" s="94"/>
      <c r="V1377" s="94"/>
      <c r="W1377" s="94"/>
      <c r="X1377" s="94"/>
      <c r="Y1377" s="94"/>
      <c r="Z1377" s="94"/>
      <c r="AA1377" s="94"/>
      <c r="AB1377" s="94"/>
      <c r="AC1377" s="94"/>
      <c r="AD1377" s="95">
        <v>3.61</v>
      </c>
      <c r="AE1377" s="94"/>
      <c r="AF1377" s="94"/>
      <c r="AG1377" s="95">
        <v>483.61</v>
      </c>
      <c r="AH1377" s="95">
        <v>0</v>
      </c>
    </row>
    <row r="1378" spans="1:34" ht="15.75" thickBot="1" x14ac:dyDescent="0.3">
      <c r="A1378" s="90" t="s">
        <v>1018</v>
      </c>
      <c r="B1378" s="90" t="s">
        <v>26</v>
      </c>
      <c r="C1378" s="90" t="s">
        <v>875</v>
      </c>
      <c r="D1378" s="90" t="s">
        <v>28</v>
      </c>
      <c r="E1378" s="90" t="s">
        <v>518</v>
      </c>
      <c r="F1378" s="90" t="s">
        <v>686</v>
      </c>
      <c r="G1378" s="93">
        <v>256.85000000000002</v>
      </c>
      <c r="H1378" s="93">
        <v>1196</v>
      </c>
      <c r="I1378" s="92"/>
      <c r="J1378" s="92"/>
      <c r="K1378" s="93">
        <v>256.85000000000002</v>
      </c>
      <c r="L1378" s="92"/>
      <c r="M1378" s="92"/>
      <c r="N1378" s="92"/>
      <c r="O1378" s="92"/>
      <c r="P1378" s="92"/>
      <c r="Q1378" s="92"/>
      <c r="R1378" s="92"/>
      <c r="S1378" s="92"/>
      <c r="T1378" s="92"/>
      <c r="U1378" s="92"/>
      <c r="V1378" s="92"/>
      <c r="W1378" s="92"/>
      <c r="X1378" s="92"/>
      <c r="Y1378" s="92"/>
      <c r="Z1378" s="92"/>
      <c r="AA1378" s="92"/>
      <c r="AB1378" s="92"/>
      <c r="AC1378" s="92"/>
      <c r="AD1378" s="93">
        <v>0.7</v>
      </c>
      <c r="AE1378" s="92"/>
      <c r="AF1378" s="92"/>
      <c r="AG1378" s="93">
        <v>257.55</v>
      </c>
      <c r="AH1378" s="93">
        <v>0</v>
      </c>
    </row>
    <row r="1379" spans="1:34" ht="15.75" thickBot="1" x14ac:dyDescent="0.3">
      <c r="A1379" s="90" t="s">
        <v>1018</v>
      </c>
      <c r="B1379" s="90" t="s">
        <v>26</v>
      </c>
      <c r="C1379" s="90" t="s">
        <v>875</v>
      </c>
      <c r="D1379" s="90" t="s">
        <v>28</v>
      </c>
      <c r="E1379" s="90" t="s">
        <v>518</v>
      </c>
      <c r="F1379" s="90" t="s">
        <v>697</v>
      </c>
      <c r="G1379" s="95">
        <v>256.85000000000002</v>
      </c>
      <c r="H1379" s="305">
        <v>1196</v>
      </c>
      <c r="I1379" s="94"/>
      <c r="J1379" s="94"/>
      <c r="K1379" s="95">
        <v>256.85000000000002</v>
      </c>
      <c r="L1379" s="94"/>
      <c r="M1379" s="94"/>
      <c r="N1379" s="94"/>
      <c r="O1379" s="94"/>
      <c r="P1379" s="94"/>
      <c r="Q1379" s="94"/>
      <c r="R1379" s="94"/>
      <c r="S1379" s="94"/>
      <c r="T1379" s="94"/>
      <c r="U1379" s="94"/>
      <c r="V1379" s="94"/>
      <c r="W1379" s="94"/>
      <c r="X1379" s="94"/>
      <c r="Y1379" s="94"/>
      <c r="Z1379" s="94"/>
      <c r="AA1379" s="94"/>
      <c r="AB1379" s="94"/>
      <c r="AC1379" s="94"/>
      <c r="AD1379" s="95">
        <v>0.7</v>
      </c>
      <c r="AE1379" s="94"/>
      <c r="AF1379" s="94"/>
      <c r="AG1379" s="95">
        <v>257.55</v>
      </c>
      <c r="AH1379" s="95">
        <v>0</v>
      </c>
    </row>
    <row r="1380" spans="1:34" ht="15.75" thickBot="1" x14ac:dyDescent="0.3">
      <c r="A1380" s="90" t="s">
        <v>1018</v>
      </c>
      <c r="B1380" s="90" t="s">
        <v>26</v>
      </c>
      <c r="C1380" s="90" t="s">
        <v>875</v>
      </c>
      <c r="D1380" s="90" t="s">
        <v>28</v>
      </c>
      <c r="E1380" s="90" t="s">
        <v>727</v>
      </c>
      <c r="F1380" s="90" t="s">
        <v>686</v>
      </c>
      <c r="G1380" s="93">
        <v>0.69</v>
      </c>
      <c r="H1380" s="92"/>
      <c r="I1380" s="92"/>
      <c r="J1380" s="92"/>
      <c r="K1380" s="92"/>
      <c r="L1380" s="92"/>
      <c r="M1380" s="92"/>
      <c r="N1380" s="92"/>
      <c r="O1380" s="93">
        <v>0.69</v>
      </c>
      <c r="P1380" s="92"/>
      <c r="Q1380" s="92"/>
      <c r="R1380" s="92"/>
      <c r="S1380" s="92"/>
      <c r="T1380" s="92"/>
      <c r="U1380" s="92"/>
      <c r="V1380" s="92"/>
      <c r="W1380" s="92"/>
      <c r="X1380" s="92"/>
      <c r="Y1380" s="92"/>
      <c r="Z1380" s="92"/>
      <c r="AA1380" s="92"/>
      <c r="AB1380" s="92"/>
      <c r="AC1380" s="92"/>
      <c r="AD1380" s="93">
        <v>0</v>
      </c>
      <c r="AE1380" s="92"/>
      <c r="AF1380" s="92"/>
      <c r="AG1380" s="93">
        <v>0.69</v>
      </c>
      <c r="AH1380" s="93">
        <v>0</v>
      </c>
    </row>
    <row r="1381" spans="1:34" ht="15.75" thickBot="1" x14ac:dyDescent="0.3">
      <c r="A1381" s="90" t="s">
        <v>1018</v>
      </c>
      <c r="B1381" s="90" t="s">
        <v>26</v>
      </c>
      <c r="C1381" s="90" t="s">
        <v>875</v>
      </c>
      <c r="D1381" s="90" t="s">
        <v>28</v>
      </c>
      <c r="E1381" s="90" t="s">
        <v>727</v>
      </c>
      <c r="F1381" s="90" t="s">
        <v>697</v>
      </c>
      <c r="G1381" s="95">
        <v>0.69</v>
      </c>
      <c r="H1381" s="94"/>
      <c r="I1381" s="94"/>
      <c r="J1381" s="94"/>
      <c r="K1381" s="94"/>
      <c r="L1381" s="94"/>
      <c r="M1381" s="94"/>
      <c r="N1381" s="94"/>
      <c r="O1381" s="95">
        <v>0.69</v>
      </c>
      <c r="P1381" s="94"/>
      <c r="Q1381" s="94"/>
      <c r="R1381" s="94"/>
      <c r="S1381" s="94"/>
      <c r="T1381" s="94"/>
      <c r="U1381" s="94"/>
      <c r="V1381" s="94"/>
      <c r="W1381" s="94"/>
      <c r="X1381" s="94"/>
      <c r="Y1381" s="94"/>
      <c r="Z1381" s="94"/>
      <c r="AA1381" s="94"/>
      <c r="AB1381" s="94"/>
      <c r="AC1381" s="94"/>
      <c r="AD1381" s="95">
        <v>0</v>
      </c>
      <c r="AE1381" s="94"/>
      <c r="AF1381" s="94"/>
      <c r="AG1381" s="95">
        <v>0.69</v>
      </c>
      <c r="AH1381" s="95">
        <v>0</v>
      </c>
    </row>
    <row r="1382" spans="1:34" ht="15.75" thickBot="1" x14ac:dyDescent="0.3">
      <c r="A1382" s="90" t="s">
        <v>1018</v>
      </c>
      <c r="B1382" s="90" t="s">
        <v>26</v>
      </c>
      <c r="C1382" s="90" t="s">
        <v>875</v>
      </c>
      <c r="D1382" s="90" t="s">
        <v>28</v>
      </c>
      <c r="E1382" s="90" t="s">
        <v>673</v>
      </c>
      <c r="F1382" s="90" t="s">
        <v>686</v>
      </c>
      <c r="G1382" s="93">
        <v>328.92</v>
      </c>
      <c r="H1382" s="92"/>
      <c r="I1382" s="92"/>
      <c r="J1382" s="92"/>
      <c r="K1382" s="92"/>
      <c r="L1382" s="92"/>
      <c r="M1382" s="92"/>
      <c r="N1382" s="92"/>
      <c r="O1382" s="92"/>
      <c r="P1382" s="92"/>
      <c r="Q1382" s="92"/>
      <c r="R1382" s="92"/>
      <c r="S1382" s="92"/>
      <c r="T1382" s="92"/>
      <c r="U1382" s="92"/>
      <c r="V1382" s="92"/>
      <c r="W1382" s="92"/>
      <c r="X1382" s="93">
        <v>328.92</v>
      </c>
      <c r="Y1382" s="92"/>
      <c r="Z1382" s="92"/>
      <c r="AA1382" s="92"/>
      <c r="AB1382" s="92"/>
      <c r="AC1382" s="92"/>
      <c r="AD1382" s="93">
        <v>2.46</v>
      </c>
      <c r="AE1382" s="92"/>
      <c r="AF1382" s="92"/>
      <c r="AG1382" s="93">
        <v>331.38</v>
      </c>
      <c r="AH1382" s="93">
        <v>0</v>
      </c>
    </row>
    <row r="1383" spans="1:34" ht="15.75" thickBot="1" x14ac:dyDescent="0.3">
      <c r="A1383" s="90" t="s">
        <v>1018</v>
      </c>
      <c r="B1383" s="90" t="s">
        <v>26</v>
      </c>
      <c r="C1383" s="90" t="s">
        <v>875</v>
      </c>
      <c r="D1383" s="90" t="s">
        <v>28</v>
      </c>
      <c r="E1383" s="90" t="s">
        <v>673</v>
      </c>
      <c r="F1383" s="90" t="s">
        <v>697</v>
      </c>
      <c r="G1383" s="95">
        <v>328.92</v>
      </c>
      <c r="H1383" s="94"/>
      <c r="I1383" s="94"/>
      <c r="J1383" s="94"/>
      <c r="K1383" s="94"/>
      <c r="L1383" s="94"/>
      <c r="M1383" s="94"/>
      <c r="N1383" s="94"/>
      <c r="O1383" s="94"/>
      <c r="P1383" s="94"/>
      <c r="Q1383" s="94"/>
      <c r="R1383" s="94"/>
      <c r="S1383" s="94"/>
      <c r="T1383" s="94"/>
      <c r="U1383" s="94"/>
      <c r="V1383" s="94"/>
      <c r="W1383" s="94"/>
      <c r="X1383" s="95">
        <v>328.92</v>
      </c>
      <c r="Y1383" s="94"/>
      <c r="Z1383" s="94"/>
      <c r="AA1383" s="94"/>
      <c r="AB1383" s="94"/>
      <c r="AC1383" s="94"/>
      <c r="AD1383" s="95">
        <v>2.46</v>
      </c>
      <c r="AE1383" s="94"/>
      <c r="AF1383" s="94"/>
      <c r="AG1383" s="95">
        <v>331.38</v>
      </c>
      <c r="AH1383" s="95">
        <v>0</v>
      </c>
    </row>
    <row r="1384" spans="1:34" ht="15.75" thickBot="1" x14ac:dyDescent="0.3">
      <c r="A1384" s="90" t="s">
        <v>1018</v>
      </c>
      <c r="B1384" s="90" t="s">
        <v>26</v>
      </c>
      <c r="C1384" s="90" t="s">
        <v>875</v>
      </c>
      <c r="D1384" s="90" t="s">
        <v>28</v>
      </c>
      <c r="E1384" s="90" t="s">
        <v>196</v>
      </c>
      <c r="F1384" s="90" t="s">
        <v>686</v>
      </c>
      <c r="G1384" s="93">
        <v>420.18</v>
      </c>
      <c r="H1384" s="92"/>
      <c r="I1384" s="92"/>
      <c r="J1384" s="92"/>
      <c r="K1384" s="92"/>
      <c r="L1384" s="92"/>
      <c r="M1384" s="92"/>
      <c r="N1384" s="92"/>
      <c r="O1384" s="92"/>
      <c r="P1384" s="93">
        <v>420.18</v>
      </c>
      <c r="Q1384" s="92"/>
      <c r="R1384" s="92"/>
      <c r="S1384" s="92"/>
      <c r="T1384" s="92"/>
      <c r="U1384" s="92"/>
      <c r="V1384" s="92"/>
      <c r="W1384" s="92"/>
      <c r="X1384" s="92"/>
      <c r="Y1384" s="92"/>
      <c r="Z1384" s="92"/>
      <c r="AA1384" s="92"/>
      <c r="AB1384" s="92"/>
      <c r="AC1384" s="92"/>
      <c r="AD1384" s="93">
        <v>1.1399999999999999</v>
      </c>
      <c r="AE1384" s="92"/>
      <c r="AF1384" s="92"/>
      <c r="AG1384" s="93">
        <v>421.32</v>
      </c>
      <c r="AH1384" s="93">
        <v>0</v>
      </c>
    </row>
    <row r="1385" spans="1:34" ht="15.75" thickBot="1" x14ac:dyDescent="0.3">
      <c r="A1385" s="90" t="s">
        <v>1018</v>
      </c>
      <c r="B1385" s="90" t="s">
        <v>26</v>
      </c>
      <c r="C1385" s="90" t="s">
        <v>875</v>
      </c>
      <c r="D1385" s="90" t="s">
        <v>28</v>
      </c>
      <c r="E1385" s="90" t="s">
        <v>196</v>
      </c>
      <c r="F1385" s="90" t="s">
        <v>697</v>
      </c>
      <c r="G1385" s="95">
        <v>420.18</v>
      </c>
      <c r="H1385" s="94"/>
      <c r="I1385" s="94"/>
      <c r="J1385" s="94"/>
      <c r="K1385" s="94"/>
      <c r="L1385" s="94"/>
      <c r="M1385" s="94"/>
      <c r="N1385" s="94"/>
      <c r="O1385" s="94"/>
      <c r="P1385" s="95">
        <v>420.18</v>
      </c>
      <c r="Q1385" s="94"/>
      <c r="R1385" s="94"/>
      <c r="S1385" s="94"/>
      <c r="T1385" s="94"/>
      <c r="U1385" s="94"/>
      <c r="V1385" s="94"/>
      <c r="W1385" s="94"/>
      <c r="X1385" s="94"/>
      <c r="Y1385" s="94"/>
      <c r="Z1385" s="94"/>
      <c r="AA1385" s="94"/>
      <c r="AB1385" s="94"/>
      <c r="AC1385" s="94"/>
      <c r="AD1385" s="95">
        <v>1.1399999999999999</v>
      </c>
      <c r="AE1385" s="94"/>
      <c r="AF1385" s="94"/>
      <c r="AG1385" s="95">
        <v>421.32</v>
      </c>
      <c r="AH1385" s="95">
        <v>0</v>
      </c>
    </row>
    <row r="1386" spans="1:34" ht="15.75" thickBot="1" x14ac:dyDescent="0.3">
      <c r="A1386" s="90" t="s">
        <v>1018</v>
      </c>
      <c r="B1386" s="90" t="s">
        <v>707</v>
      </c>
      <c r="C1386" s="90" t="s">
        <v>876</v>
      </c>
      <c r="D1386" s="90" t="s">
        <v>17</v>
      </c>
      <c r="E1386" s="90" t="s">
        <v>528</v>
      </c>
      <c r="F1386" s="90" t="s">
        <v>686</v>
      </c>
      <c r="G1386" s="93">
        <v>40</v>
      </c>
      <c r="H1386" s="92"/>
      <c r="I1386" s="93">
        <v>40</v>
      </c>
      <c r="J1386" s="92"/>
      <c r="K1386" s="92"/>
      <c r="L1386" s="92"/>
      <c r="M1386" s="92"/>
      <c r="N1386" s="92"/>
      <c r="O1386" s="92"/>
      <c r="P1386" s="92"/>
      <c r="Q1386" s="92"/>
      <c r="R1386" s="92"/>
      <c r="S1386" s="92"/>
      <c r="T1386" s="92"/>
      <c r="U1386" s="92"/>
      <c r="V1386" s="92"/>
      <c r="W1386" s="92"/>
      <c r="X1386" s="92"/>
      <c r="Y1386" s="92"/>
      <c r="Z1386" s="92"/>
      <c r="AA1386" s="92"/>
      <c r="AB1386" s="92"/>
      <c r="AC1386" s="92"/>
      <c r="AD1386" s="93">
        <v>2.41</v>
      </c>
      <c r="AE1386" s="92"/>
      <c r="AF1386" s="92"/>
      <c r="AG1386" s="93">
        <v>42.41</v>
      </c>
      <c r="AH1386" s="93">
        <v>0</v>
      </c>
    </row>
    <row r="1387" spans="1:34" ht="15.75" thickBot="1" x14ac:dyDescent="0.3">
      <c r="A1387" s="90" t="s">
        <v>1018</v>
      </c>
      <c r="B1387" s="90" t="s">
        <v>707</v>
      </c>
      <c r="C1387" s="90" t="s">
        <v>876</v>
      </c>
      <c r="D1387" s="90" t="s">
        <v>17</v>
      </c>
      <c r="E1387" s="90" t="s">
        <v>528</v>
      </c>
      <c r="F1387" s="90" t="s">
        <v>697</v>
      </c>
      <c r="G1387" s="95">
        <v>40</v>
      </c>
      <c r="H1387" s="94"/>
      <c r="I1387" s="95">
        <v>40</v>
      </c>
      <c r="J1387" s="94"/>
      <c r="K1387" s="94"/>
      <c r="L1387" s="94"/>
      <c r="M1387" s="94"/>
      <c r="N1387" s="94"/>
      <c r="O1387" s="94"/>
      <c r="P1387" s="94"/>
      <c r="Q1387" s="94"/>
      <c r="R1387" s="94"/>
      <c r="S1387" s="94"/>
      <c r="T1387" s="94"/>
      <c r="U1387" s="94"/>
      <c r="V1387" s="94"/>
      <c r="W1387" s="94"/>
      <c r="X1387" s="94"/>
      <c r="Y1387" s="94"/>
      <c r="Z1387" s="94"/>
      <c r="AA1387" s="94"/>
      <c r="AB1387" s="94"/>
      <c r="AC1387" s="94"/>
      <c r="AD1387" s="95">
        <v>2.41</v>
      </c>
      <c r="AE1387" s="94"/>
      <c r="AF1387" s="94"/>
      <c r="AG1387" s="95">
        <v>42.41</v>
      </c>
      <c r="AH1387" s="95">
        <v>0</v>
      </c>
    </row>
    <row r="1388" spans="1:34" ht="15.75" thickBot="1" x14ac:dyDescent="0.3">
      <c r="A1388" s="90" t="s">
        <v>1018</v>
      </c>
      <c r="B1388" s="90" t="s">
        <v>707</v>
      </c>
      <c r="C1388" s="90" t="s">
        <v>876</v>
      </c>
      <c r="D1388" s="90" t="s">
        <v>17</v>
      </c>
      <c r="E1388" s="90" t="s">
        <v>518</v>
      </c>
      <c r="F1388" s="90" t="s">
        <v>686</v>
      </c>
      <c r="G1388" s="93">
        <v>60.21</v>
      </c>
      <c r="H1388" s="93">
        <v>280</v>
      </c>
      <c r="I1388" s="92"/>
      <c r="J1388" s="92"/>
      <c r="K1388" s="93">
        <v>60.21</v>
      </c>
      <c r="L1388" s="92"/>
      <c r="M1388" s="92"/>
      <c r="N1388" s="92"/>
      <c r="O1388" s="92"/>
      <c r="P1388" s="92"/>
      <c r="Q1388" s="92"/>
      <c r="R1388" s="92"/>
      <c r="S1388" s="92"/>
      <c r="T1388" s="92"/>
      <c r="U1388" s="92"/>
      <c r="V1388" s="92"/>
      <c r="W1388" s="92"/>
      <c r="X1388" s="92"/>
      <c r="Y1388" s="92"/>
      <c r="Z1388" s="92"/>
      <c r="AA1388" s="92"/>
      <c r="AB1388" s="92"/>
      <c r="AC1388" s="92"/>
      <c r="AD1388" s="93">
        <v>3.61</v>
      </c>
      <c r="AE1388" s="92"/>
      <c r="AF1388" s="92"/>
      <c r="AG1388" s="93">
        <v>63.82</v>
      </c>
      <c r="AH1388" s="93">
        <v>0</v>
      </c>
    </row>
    <row r="1389" spans="1:34" ht="15.75" thickBot="1" x14ac:dyDescent="0.3">
      <c r="A1389" s="90" t="s">
        <v>1018</v>
      </c>
      <c r="B1389" s="90" t="s">
        <v>707</v>
      </c>
      <c r="C1389" s="90" t="s">
        <v>876</v>
      </c>
      <c r="D1389" s="90" t="s">
        <v>17</v>
      </c>
      <c r="E1389" s="90" t="s">
        <v>518</v>
      </c>
      <c r="F1389" s="90" t="s">
        <v>697</v>
      </c>
      <c r="G1389" s="95">
        <v>60.21</v>
      </c>
      <c r="H1389" s="305">
        <v>280</v>
      </c>
      <c r="I1389" s="94"/>
      <c r="J1389" s="94"/>
      <c r="K1389" s="95">
        <v>60.21</v>
      </c>
      <c r="L1389" s="94"/>
      <c r="M1389" s="94"/>
      <c r="N1389" s="94"/>
      <c r="O1389" s="94"/>
      <c r="P1389" s="94"/>
      <c r="Q1389" s="94"/>
      <c r="R1389" s="94"/>
      <c r="S1389" s="94"/>
      <c r="T1389" s="94"/>
      <c r="U1389" s="94"/>
      <c r="V1389" s="94"/>
      <c r="W1389" s="94"/>
      <c r="X1389" s="94"/>
      <c r="Y1389" s="94"/>
      <c r="Z1389" s="94"/>
      <c r="AA1389" s="94"/>
      <c r="AB1389" s="94"/>
      <c r="AC1389" s="94"/>
      <c r="AD1389" s="95">
        <v>3.61</v>
      </c>
      <c r="AE1389" s="94"/>
      <c r="AF1389" s="94"/>
      <c r="AG1389" s="95">
        <v>63.82</v>
      </c>
      <c r="AH1389" s="95">
        <v>0</v>
      </c>
    </row>
    <row r="1390" spans="1:34" ht="15.75" thickBot="1" x14ac:dyDescent="0.3">
      <c r="A1390" s="90" t="s">
        <v>1018</v>
      </c>
      <c r="B1390" s="90" t="s">
        <v>707</v>
      </c>
      <c r="C1390" s="90" t="s">
        <v>876</v>
      </c>
      <c r="D1390" s="90" t="s">
        <v>17</v>
      </c>
      <c r="E1390" s="90" t="s">
        <v>727</v>
      </c>
      <c r="F1390" s="90" t="s">
        <v>686</v>
      </c>
      <c r="G1390" s="93">
        <v>0.16</v>
      </c>
      <c r="H1390" s="92"/>
      <c r="I1390" s="92"/>
      <c r="J1390" s="92"/>
      <c r="K1390" s="92"/>
      <c r="L1390" s="92"/>
      <c r="M1390" s="92"/>
      <c r="N1390" s="92"/>
      <c r="O1390" s="93">
        <v>0.16</v>
      </c>
      <c r="P1390" s="92"/>
      <c r="Q1390" s="92"/>
      <c r="R1390" s="92"/>
      <c r="S1390" s="92"/>
      <c r="T1390" s="92"/>
      <c r="U1390" s="92"/>
      <c r="V1390" s="92"/>
      <c r="W1390" s="92"/>
      <c r="X1390" s="92"/>
      <c r="Y1390" s="92"/>
      <c r="Z1390" s="92"/>
      <c r="AA1390" s="92"/>
      <c r="AB1390" s="92"/>
      <c r="AC1390" s="92"/>
      <c r="AD1390" s="93">
        <v>0.01</v>
      </c>
      <c r="AE1390" s="92"/>
      <c r="AF1390" s="92"/>
      <c r="AG1390" s="93">
        <v>0.17</v>
      </c>
      <c r="AH1390" s="93">
        <v>0</v>
      </c>
    </row>
    <row r="1391" spans="1:34" ht="15.75" thickBot="1" x14ac:dyDescent="0.3">
      <c r="A1391" s="90" t="s">
        <v>1018</v>
      </c>
      <c r="B1391" s="90" t="s">
        <v>707</v>
      </c>
      <c r="C1391" s="90" t="s">
        <v>876</v>
      </c>
      <c r="D1391" s="90" t="s">
        <v>17</v>
      </c>
      <c r="E1391" s="90" t="s">
        <v>727</v>
      </c>
      <c r="F1391" s="90" t="s">
        <v>697</v>
      </c>
      <c r="G1391" s="95">
        <v>0.16</v>
      </c>
      <c r="H1391" s="94"/>
      <c r="I1391" s="94"/>
      <c r="J1391" s="94"/>
      <c r="K1391" s="94"/>
      <c r="L1391" s="94"/>
      <c r="M1391" s="94"/>
      <c r="N1391" s="94"/>
      <c r="O1391" s="95">
        <v>0.16</v>
      </c>
      <c r="P1391" s="94"/>
      <c r="Q1391" s="94"/>
      <c r="R1391" s="94"/>
      <c r="S1391" s="94"/>
      <c r="T1391" s="94"/>
      <c r="U1391" s="94"/>
      <c r="V1391" s="94"/>
      <c r="W1391" s="94"/>
      <c r="X1391" s="94"/>
      <c r="Y1391" s="94"/>
      <c r="Z1391" s="94"/>
      <c r="AA1391" s="94"/>
      <c r="AB1391" s="94"/>
      <c r="AC1391" s="94"/>
      <c r="AD1391" s="95">
        <v>0.01</v>
      </c>
      <c r="AE1391" s="94"/>
      <c r="AF1391" s="94"/>
      <c r="AG1391" s="95">
        <v>0.17</v>
      </c>
      <c r="AH1391" s="95">
        <v>0</v>
      </c>
    </row>
    <row r="1392" spans="1:34" ht="15.75" thickBot="1" x14ac:dyDescent="0.3">
      <c r="A1392" s="90" t="s">
        <v>1018</v>
      </c>
      <c r="B1392" s="90" t="s">
        <v>707</v>
      </c>
      <c r="C1392" s="90" t="s">
        <v>876</v>
      </c>
      <c r="D1392" s="90" t="s">
        <v>17</v>
      </c>
      <c r="E1392" s="90" t="s">
        <v>673</v>
      </c>
      <c r="F1392" s="90" t="s">
        <v>686</v>
      </c>
      <c r="G1392" s="93">
        <v>27.41</v>
      </c>
      <c r="H1392" s="92"/>
      <c r="I1392" s="92"/>
      <c r="J1392" s="92"/>
      <c r="K1392" s="92"/>
      <c r="L1392" s="92"/>
      <c r="M1392" s="92"/>
      <c r="N1392" s="92"/>
      <c r="O1392" s="92"/>
      <c r="P1392" s="92"/>
      <c r="Q1392" s="92"/>
      <c r="R1392" s="92"/>
      <c r="S1392" s="92"/>
      <c r="T1392" s="92"/>
      <c r="U1392" s="92"/>
      <c r="V1392" s="92"/>
      <c r="W1392" s="92"/>
      <c r="X1392" s="93">
        <v>27.41</v>
      </c>
      <c r="Y1392" s="92"/>
      <c r="Z1392" s="92"/>
      <c r="AA1392" s="92"/>
      <c r="AB1392" s="92"/>
      <c r="AC1392" s="92"/>
      <c r="AD1392" s="93">
        <v>1.64</v>
      </c>
      <c r="AE1392" s="92"/>
      <c r="AF1392" s="92"/>
      <c r="AG1392" s="93">
        <v>29.05</v>
      </c>
      <c r="AH1392" s="93">
        <v>0</v>
      </c>
    </row>
    <row r="1393" spans="1:34" ht="15.75" thickBot="1" x14ac:dyDescent="0.3">
      <c r="A1393" s="90" t="s">
        <v>1018</v>
      </c>
      <c r="B1393" s="90" t="s">
        <v>707</v>
      </c>
      <c r="C1393" s="90" t="s">
        <v>876</v>
      </c>
      <c r="D1393" s="90" t="s">
        <v>17</v>
      </c>
      <c r="E1393" s="90" t="s">
        <v>673</v>
      </c>
      <c r="F1393" s="90" t="s">
        <v>697</v>
      </c>
      <c r="G1393" s="95">
        <v>27.41</v>
      </c>
      <c r="H1393" s="94"/>
      <c r="I1393" s="94"/>
      <c r="J1393" s="94"/>
      <c r="K1393" s="94"/>
      <c r="L1393" s="94"/>
      <c r="M1393" s="94"/>
      <c r="N1393" s="94"/>
      <c r="O1393" s="94"/>
      <c r="P1393" s="94"/>
      <c r="Q1393" s="94"/>
      <c r="R1393" s="94"/>
      <c r="S1393" s="94"/>
      <c r="T1393" s="94"/>
      <c r="U1393" s="94"/>
      <c r="V1393" s="94"/>
      <c r="W1393" s="94"/>
      <c r="X1393" s="95">
        <v>27.41</v>
      </c>
      <c r="Y1393" s="94"/>
      <c r="Z1393" s="94"/>
      <c r="AA1393" s="94"/>
      <c r="AB1393" s="94"/>
      <c r="AC1393" s="94"/>
      <c r="AD1393" s="95">
        <v>1.64</v>
      </c>
      <c r="AE1393" s="94"/>
      <c r="AF1393" s="94"/>
      <c r="AG1393" s="95">
        <v>29.05</v>
      </c>
      <c r="AH1393" s="95">
        <v>0</v>
      </c>
    </row>
    <row r="1394" spans="1:34" ht="15.75" thickBot="1" x14ac:dyDescent="0.3">
      <c r="A1394" s="90" t="s">
        <v>1018</v>
      </c>
      <c r="B1394" s="90" t="s">
        <v>707</v>
      </c>
      <c r="C1394" s="90" t="s">
        <v>876</v>
      </c>
      <c r="D1394" s="90" t="s">
        <v>17</v>
      </c>
      <c r="E1394" s="90" t="s">
        <v>196</v>
      </c>
      <c r="F1394" s="90" t="s">
        <v>686</v>
      </c>
      <c r="G1394" s="93">
        <v>98.36</v>
      </c>
      <c r="H1394" s="92"/>
      <c r="I1394" s="92"/>
      <c r="J1394" s="92"/>
      <c r="K1394" s="92"/>
      <c r="L1394" s="92"/>
      <c r="M1394" s="92"/>
      <c r="N1394" s="92"/>
      <c r="O1394" s="92"/>
      <c r="P1394" s="93">
        <v>98.36</v>
      </c>
      <c r="Q1394" s="92"/>
      <c r="R1394" s="92"/>
      <c r="S1394" s="92"/>
      <c r="T1394" s="92"/>
      <c r="U1394" s="92"/>
      <c r="V1394" s="92"/>
      <c r="W1394" s="92"/>
      <c r="X1394" s="92"/>
      <c r="Y1394" s="92"/>
      <c r="Z1394" s="92"/>
      <c r="AA1394" s="92"/>
      <c r="AB1394" s="92"/>
      <c r="AC1394" s="92"/>
      <c r="AD1394" s="93">
        <v>5.9</v>
      </c>
      <c r="AE1394" s="92"/>
      <c r="AF1394" s="92"/>
      <c r="AG1394" s="93">
        <v>104.26</v>
      </c>
      <c r="AH1394" s="93">
        <v>0</v>
      </c>
    </row>
    <row r="1395" spans="1:34" ht="15.75" thickBot="1" x14ac:dyDescent="0.3">
      <c r="A1395" s="90" t="s">
        <v>1018</v>
      </c>
      <c r="B1395" s="90" t="s">
        <v>707</v>
      </c>
      <c r="C1395" s="90" t="s">
        <v>876</v>
      </c>
      <c r="D1395" s="90" t="s">
        <v>17</v>
      </c>
      <c r="E1395" s="90" t="s">
        <v>196</v>
      </c>
      <c r="F1395" s="90" t="s">
        <v>697</v>
      </c>
      <c r="G1395" s="95">
        <v>98.36</v>
      </c>
      <c r="H1395" s="94"/>
      <c r="I1395" s="94"/>
      <c r="J1395" s="94"/>
      <c r="K1395" s="94"/>
      <c r="L1395" s="94"/>
      <c r="M1395" s="94"/>
      <c r="N1395" s="94"/>
      <c r="O1395" s="94"/>
      <c r="P1395" s="95">
        <v>98.36</v>
      </c>
      <c r="Q1395" s="94"/>
      <c r="R1395" s="94"/>
      <c r="S1395" s="94"/>
      <c r="T1395" s="94"/>
      <c r="U1395" s="94"/>
      <c r="V1395" s="94"/>
      <c r="W1395" s="94"/>
      <c r="X1395" s="94"/>
      <c r="Y1395" s="94"/>
      <c r="Z1395" s="94"/>
      <c r="AA1395" s="94"/>
      <c r="AB1395" s="94"/>
      <c r="AC1395" s="94"/>
      <c r="AD1395" s="95">
        <v>5.9</v>
      </c>
      <c r="AE1395" s="94"/>
      <c r="AF1395" s="94"/>
      <c r="AG1395" s="95">
        <v>104.26</v>
      </c>
      <c r="AH1395" s="95">
        <v>0</v>
      </c>
    </row>
    <row r="1396" spans="1:34" ht="15.75" thickBot="1" x14ac:dyDescent="0.3">
      <c r="A1396" s="90" t="s">
        <v>1018</v>
      </c>
      <c r="B1396" s="90" t="s">
        <v>18</v>
      </c>
      <c r="C1396" s="90" t="s">
        <v>453</v>
      </c>
      <c r="D1396" s="90" t="s">
        <v>17</v>
      </c>
      <c r="E1396" s="90" t="s">
        <v>528</v>
      </c>
      <c r="F1396" s="90" t="s">
        <v>686</v>
      </c>
      <c r="G1396" s="93">
        <v>400</v>
      </c>
      <c r="H1396" s="92"/>
      <c r="I1396" s="93">
        <v>400</v>
      </c>
      <c r="J1396" s="92"/>
      <c r="K1396" s="92"/>
      <c r="L1396" s="92"/>
      <c r="M1396" s="92"/>
      <c r="N1396" s="92"/>
      <c r="O1396" s="92"/>
      <c r="P1396" s="92"/>
      <c r="Q1396" s="92"/>
      <c r="R1396" s="92"/>
      <c r="S1396" s="92"/>
      <c r="T1396" s="92"/>
      <c r="U1396" s="92"/>
      <c r="V1396" s="92"/>
      <c r="W1396" s="92"/>
      <c r="X1396" s="92"/>
      <c r="Y1396" s="92"/>
      <c r="Z1396" s="92"/>
      <c r="AA1396" s="92"/>
      <c r="AB1396" s="92"/>
      <c r="AC1396" s="92"/>
      <c r="AD1396" s="93">
        <v>24</v>
      </c>
      <c r="AE1396" s="92"/>
      <c r="AF1396" s="92"/>
      <c r="AG1396" s="93">
        <v>424</v>
      </c>
      <c r="AH1396" s="93">
        <v>0</v>
      </c>
    </row>
    <row r="1397" spans="1:34" ht="15.75" thickBot="1" x14ac:dyDescent="0.3">
      <c r="A1397" s="90" t="s">
        <v>1018</v>
      </c>
      <c r="B1397" s="90" t="s">
        <v>18</v>
      </c>
      <c r="C1397" s="90" t="s">
        <v>453</v>
      </c>
      <c r="D1397" s="90" t="s">
        <v>17</v>
      </c>
      <c r="E1397" s="90" t="s">
        <v>528</v>
      </c>
      <c r="F1397" s="90" t="s">
        <v>697</v>
      </c>
      <c r="G1397" s="95">
        <v>400</v>
      </c>
      <c r="H1397" s="94"/>
      <c r="I1397" s="95">
        <v>400</v>
      </c>
      <c r="J1397" s="94"/>
      <c r="K1397" s="94"/>
      <c r="L1397" s="94"/>
      <c r="M1397" s="94"/>
      <c r="N1397" s="94"/>
      <c r="O1397" s="94"/>
      <c r="P1397" s="94"/>
      <c r="Q1397" s="94"/>
      <c r="R1397" s="94"/>
      <c r="S1397" s="94"/>
      <c r="T1397" s="94"/>
      <c r="U1397" s="94"/>
      <c r="V1397" s="94"/>
      <c r="W1397" s="94"/>
      <c r="X1397" s="94"/>
      <c r="Y1397" s="94"/>
      <c r="Z1397" s="94"/>
      <c r="AA1397" s="94"/>
      <c r="AB1397" s="94"/>
      <c r="AC1397" s="94"/>
      <c r="AD1397" s="95">
        <v>24</v>
      </c>
      <c r="AE1397" s="94"/>
      <c r="AF1397" s="94"/>
      <c r="AG1397" s="95">
        <v>424</v>
      </c>
      <c r="AH1397" s="95">
        <v>0</v>
      </c>
    </row>
    <row r="1398" spans="1:34" ht="15.75" thickBot="1" x14ac:dyDescent="0.3">
      <c r="A1398" s="90" t="s">
        <v>1018</v>
      </c>
      <c r="B1398" s="90" t="s">
        <v>18</v>
      </c>
      <c r="C1398" s="90" t="s">
        <v>453</v>
      </c>
      <c r="D1398" s="90" t="s">
        <v>17</v>
      </c>
      <c r="E1398" s="90" t="s">
        <v>518</v>
      </c>
      <c r="F1398" s="90" t="s">
        <v>686</v>
      </c>
      <c r="G1398" s="93">
        <v>858.88</v>
      </c>
      <c r="H1398" s="93">
        <v>12254</v>
      </c>
      <c r="I1398" s="92"/>
      <c r="J1398" s="92"/>
      <c r="K1398" s="93">
        <v>858.88</v>
      </c>
      <c r="L1398" s="92"/>
      <c r="M1398" s="92"/>
      <c r="N1398" s="92"/>
      <c r="O1398" s="92"/>
      <c r="P1398" s="92"/>
      <c r="Q1398" s="92"/>
      <c r="R1398" s="92"/>
      <c r="S1398" s="92"/>
      <c r="T1398" s="92"/>
      <c r="U1398" s="92"/>
      <c r="V1398" s="92"/>
      <c r="W1398" s="92"/>
      <c r="X1398" s="92"/>
      <c r="Y1398" s="92"/>
      <c r="Z1398" s="92"/>
      <c r="AA1398" s="92"/>
      <c r="AB1398" s="92"/>
      <c r="AC1398" s="92"/>
      <c r="AD1398" s="93">
        <v>51.53</v>
      </c>
      <c r="AE1398" s="92"/>
      <c r="AF1398" s="92"/>
      <c r="AG1398" s="93">
        <v>910.41</v>
      </c>
      <c r="AH1398" s="93">
        <v>0</v>
      </c>
    </row>
    <row r="1399" spans="1:34" ht="15.75" thickBot="1" x14ac:dyDescent="0.3">
      <c r="A1399" s="90" t="s">
        <v>1018</v>
      </c>
      <c r="B1399" s="90" t="s">
        <v>18</v>
      </c>
      <c r="C1399" s="90" t="s">
        <v>453</v>
      </c>
      <c r="D1399" s="90" t="s">
        <v>17</v>
      </c>
      <c r="E1399" s="90" t="s">
        <v>518</v>
      </c>
      <c r="F1399" s="90" t="s">
        <v>697</v>
      </c>
      <c r="G1399" s="95">
        <v>858.88</v>
      </c>
      <c r="H1399" s="305">
        <v>12254</v>
      </c>
      <c r="I1399" s="94"/>
      <c r="J1399" s="94"/>
      <c r="K1399" s="95">
        <v>858.88</v>
      </c>
      <c r="L1399" s="94"/>
      <c r="M1399" s="94"/>
      <c r="N1399" s="94"/>
      <c r="O1399" s="94"/>
      <c r="P1399" s="94"/>
      <c r="Q1399" s="94"/>
      <c r="R1399" s="94"/>
      <c r="S1399" s="94"/>
      <c r="T1399" s="94"/>
      <c r="U1399" s="94"/>
      <c r="V1399" s="94"/>
      <c r="W1399" s="94"/>
      <c r="X1399" s="94"/>
      <c r="Y1399" s="94"/>
      <c r="Z1399" s="94"/>
      <c r="AA1399" s="94"/>
      <c r="AB1399" s="94"/>
      <c r="AC1399" s="94"/>
      <c r="AD1399" s="95">
        <v>51.53</v>
      </c>
      <c r="AE1399" s="94"/>
      <c r="AF1399" s="94"/>
      <c r="AG1399" s="95">
        <v>910.41</v>
      </c>
      <c r="AH1399" s="95">
        <v>0</v>
      </c>
    </row>
    <row r="1400" spans="1:34" ht="15.75" thickBot="1" x14ac:dyDescent="0.3">
      <c r="A1400" s="90" t="s">
        <v>1018</v>
      </c>
      <c r="B1400" s="90" t="s">
        <v>18</v>
      </c>
      <c r="C1400" s="90" t="s">
        <v>453</v>
      </c>
      <c r="D1400" s="90" t="s">
        <v>17</v>
      </c>
      <c r="E1400" s="90" t="s">
        <v>727</v>
      </c>
      <c r="F1400" s="90" t="s">
        <v>686</v>
      </c>
      <c r="G1400" s="93">
        <v>6.98</v>
      </c>
      <c r="H1400" s="92"/>
      <c r="I1400" s="92"/>
      <c r="J1400" s="92"/>
      <c r="K1400" s="92"/>
      <c r="L1400" s="92"/>
      <c r="M1400" s="92"/>
      <c r="N1400" s="92"/>
      <c r="O1400" s="93">
        <v>6.98</v>
      </c>
      <c r="P1400" s="92"/>
      <c r="Q1400" s="92"/>
      <c r="R1400" s="92"/>
      <c r="S1400" s="92"/>
      <c r="T1400" s="92"/>
      <c r="U1400" s="92"/>
      <c r="V1400" s="92"/>
      <c r="W1400" s="92"/>
      <c r="X1400" s="92"/>
      <c r="Y1400" s="92"/>
      <c r="Z1400" s="92"/>
      <c r="AA1400" s="92"/>
      <c r="AB1400" s="92"/>
      <c r="AC1400" s="92"/>
      <c r="AD1400" s="93">
        <v>0.42</v>
      </c>
      <c r="AE1400" s="92"/>
      <c r="AF1400" s="92"/>
      <c r="AG1400" s="93">
        <v>7.4</v>
      </c>
      <c r="AH1400" s="93">
        <v>0</v>
      </c>
    </row>
    <row r="1401" spans="1:34" ht="15.75" thickBot="1" x14ac:dyDescent="0.3">
      <c r="A1401" s="90" t="s">
        <v>1018</v>
      </c>
      <c r="B1401" s="90" t="s">
        <v>18</v>
      </c>
      <c r="C1401" s="90" t="s">
        <v>453</v>
      </c>
      <c r="D1401" s="90" t="s">
        <v>17</v>
      </c>
      <c r="E1401" s="90" t="s">
        <v>727</v>
      </c>
      <c r="F1401" s="90" t="s">
        <v>697</v>
      </c>
      <c r="G1401" s="95">
        <v>6.98</v>
      </c>
      <c r="H1401" s="94"/>
      <c r="I1401" s="94"/>
      <c r="J1401" s="94"/>
      <c r="K1401" s="94"/>
      <c r="L1401" s="94"/>
      <c r="M1401" s="94"/>
      <c r="N1401" s="94"/>
      <c r="O1401" s="95">
        <v>6.98</v>
      </c>
      <c r="P1401" s="94"/>
      <c r="Q1401" s="94"/>
      <c r="R1401" s="94"/>
      <c r="S1401" s="94"/>
      <c r="T1401" s="94"/>
      <c r="U1401" s="94"/>
      <c r="V1401" s="94"/>
      <c r="W1401" s="94"/>
      <c r="X1401" s="94"/>
      <c r="Y1401" s="94"/>
      <c r="Z1401" s="94"/>
      <c r="AA1401" s="94"/>
      <c r="AB1401" s="94"/>
      <c r="AC1401" s="94"/>
      <c r="AD1401" s="95">
        <v>0.42</v>
      </c>
      <c r="AE1401" s="94"/>
      <c r="AF1401" s="94"/>
      <c r="AG1401" s="95">
        <v>7.4</v>
      </c>
      <c r="AH1401" s="95">
        <v>0</v>
      </c>
    </row>
    <row r="1402" spans="1:34" ht="15.75" thickBot="1" x14ac:dyDescent="0.3">
      <c r="A1402" s="90" t="s">
        <v>1018</v>
      </c>
      <c r="B1402" s="90" t="s">
        <v>18</v>
      </c>
      <c r="C1402" s="90" t="s">
        <v>453</v>
      </c>
      <c r="D1402" s="90" t="s">
        <v>17</v>
      </c>
      <c r="E1402" s="90" t="s">
        <v>673</v>
      </c>
      <c r="F1402" s="90" t="s">
        <v>686</v>
      </c>
      <c r="G1402" s="93">
        <v>2838.87</v>
      </c>
      <c r="H1402" s="92"/>
      <c r="I1402" s="92"/>
      <c r="J1402" s="92"/>
      <c r="K1402" s="92"/>
      <c r="L1402" s="92"/>
      <c r="M1402" s="92"/>
      <c r="N1402" s="92"/>
      <c r="O1402" s="92"/>
      <c r="P1402" s="92"/>
      <c r="Q1402" s="92"/>
      <c r="R1402" s="92"/>
      <c r="S1402" s="92"/>
      <c r="T1402" s="92"/>
      <c r="U1402" s="92"/>
      <c r="V1402" s="92"/>
      <c r="W1402" s="92"/>
      <c r="X1402" s="93">
        <v>2838.87</v>
      </c>
      <c r="Y1402" s="92"/>
      <c r="Z1402" s="92"/>
      <c r="AA1402" s="92"/>
      <c r="AB1402" s="92"/>
      <c r="AC1402" s="92"/>
      <c r="AD1402" s="93">
        <v>170.33</v>
      </c>
      <c r="AE1402" s="92"/>
      <c r="AF1402" s="92"/>
      <c r="AG1402" s="93">
        <v>3009.2</v>
      </c>
      <c r="AH1402" s="93">
        <v>0</v>
      </c>
    </row>
    <row r="1403" spans="1:34" ht="15.75" thickBot="1" x14ac:dyDescent="0.3">
      <c r="A1403" s="90" t="s">
        <v>1018</v>
      </c>
      <c r="B1403" s="90" t="s">
        <v>18</v>
      </c>
      <c r="C1403" s="90" t="s">
        <v>453</v>
      </c>
      <c r="D1403" s="90" t="s">
        <v>17</v>
      </c>
      <c r="E1403" s="90" t="s">
        <v>673</v>
      </c>
      <c r="F1403" s="90" t="s">
        <v>697</v>
      </c>
      <c r="G1403" s="95">
        <v>2838.87</v>
      </c>
      <c r="H1403" s="94"/>
      <c r="I1403" s="94"/>
      <c r="J1403" s="94"/>
      <c r="K1403" s="94"/>
      <c r="L1403" s="94"/>
      <c r="M1403" s="94"/>
      <c r="N1403" s="94"/>
      <c r="O1403" s="94"/>
      <c r="P1403" s="94"/>
      <c r="Q1403" s="94"/>
      <c r="R1403" s="94"/>
      <c r="S1403" s="94"/>
      <c r="T1403" s="94"/>
      <c r="U1403" s="94"/>
      <c r="V1403" s="94"/>
      <c r="W1403" s="94"/>
      <c r="X1403" s="95">
        <v>2838.87</v>
      </c>
      <c r="Y1403" s="94"/>
      <c r="Z1403" s="94"/>
      <c r="AA1403" s="94"/>
      <c r="AB1403" s="94"/>
      <c r="AC1403" s="94"/>
      <c r="AD1403" s="95">
        <v>170.33</v>
      </c>
      <c r="AE1403" s="94"/>
      <c r="AF1403" s="94"/>
      <c r="AG1403" s="95">
        <v>3009.2</v>
      </c>
      <c r="AH1403" s="95">
        <v>0</v>
      </c>
    </row>
    <row r="1404" spans="1:34" ht="15.75" thickBot="1" x14ac:dyDescent="0.3">
      <c r="A1404" s="90" t="s">
        <v>1018</v>
      </c>
      <c r="B1404" s="90" t="s">
        <v>18</v>
      </c>
      <c r="C1404" s="90" t="s">
        <v>453</v>
      </c>
      <c r="D1404" s="90" t="s">
        <v>17</v>
      </c>
      <c r="E1404" s="90" t="s">
        <v>196</v>
      </c>
      <c r="F1404" s="90" t="s">
        <v>686</v>
      </c>
      <c r="G1404" s="93">
        <v>4304.83</v>
      </c>
      <c r="H1404" s="92"/>
      <c r="I1404" s="92"/>
      <c r="J1404" s="92"/>
      <c r="K1404" s="92"/>
      <c r="L1404" s="92"/>
      <c r="M1404" s="92"/>
      <c r="N1404" s="92"/>
      <c r="O1404" s="92"/>
      <c r="P1404" s="93">
        <v>4304.83</v>
      </c>
      <c r="Q1404" s="92"/>
      <c r="R1404" s="92"/>
      <c r="S1404" s="92"/>
      <c r="T1404" s="92"/>
      <c r="U1404" s="92"/>
      <c r="V1404" s="92"/>
      <c r="W1404" s="92"/>
      <c r="X1404" s="92"/>
      <c r="Y1404" s="92"/>
      <c r="Z1404" s="92"/>
      <c r="AA1404" s="92"/>
      <c r="AB1404" s="92"/>
      <c r="AC1404" s="92"/>
      <c r="AD1404" s="93">
        <v>258.29000000000002</v>
      </c>
      <c r="AE1404" s="92"/>
      <c r="AF1404" s="92"/>
      <c r="AG1404" s="93">
        <v>4563.12</v>
      </c>
      <c r="AH1404" s="93">
        <v>0</v>
      </c>
    </row>
    <row r="1405" spans="1:34" ht="15.75" thickBot="1" x14ac:dyDescent="0.3">
      <c r="A1405" s="90" t="s">
        <v>1018</v>
      </c>
      <c r="B1405" s="90" t="s">
        <v>18</v>
      </c>
      <c r="C1405" s="90" t="s">
        <v>453</v>
      </c>
      <c r="D1405" s="90" t="s">
        <v>17</v>
      </c>
      <c r="E1405" s="90" t="s">
        <v>196</v>
      </c>
      <c r="F1405" s="90" t="s">
        <v>697</v>
      </c>
      <c r="G1405" s="95">
        <v>4304.83</v>
      </c>
      <c r="H1405" s="94"/>
      <c r="I1405" s="94"/>
      <c r="J1405" s="94"/>
      <c r="K1405" s="94"/>
      <c r="L1405" s="94"/>
      <c r="M1405" s="94"/>
      <c r="N1405" s="94"/>
      <c r="O1405" s="94"/>
      <c r="P1405" s="95">
        <v>4304.83</v>
      </c>
      <c r="Q1405" s="94"/>
      <c r="R1405" s="94"/>
      <c r="S1405" s="94"/>
      <c r="T1405" s="94"/>
      <c r="U1405" s="94"/>
      <c r="V1405" s="94"/>
      <c r="W1405" s="94"/>
      <c r="X1405" s="94"/>
      <c r="Y1405" s="94"/>
      <c r="Z1405" s="94"/>
      <c r="AA1405" s="94"/>
      <c r="AB1405" s="94"/>
      <c r="AC1405" s="94"/>
      <c r="AD1405" s="95">
        <v>258.29000000000002</v>
      </c>
      <c r="AE1405" s="94"/>
      <c r="AF1405" s="94"/>
      <c r="AG1405" s="95">
        <v>4563.12</v>
      </c>
      <c r="AH1405" s="95">
        <v>0</v>
      </c>
    </row>
    <row r="1406" spans="1:34" ht="15.75" thickBot="1" x14ac:dyDescent="0.3">
      <c r="A1406" s="90" t="s">
        <v>1018</v>
      </c>
      <c r="B1406" s="90" t="s">
        <v>18</v>
      </c>
      <c r="C1406" s="90" t="s">
        <v>453</v>
      </c>
      <c r="D1406" s="90" t="s">
        <v>20</v>
      </c>
      <c r="E1406" s="90" t="s">
        <v>528</v>
      </c>
      <c r="F1406" s="90" t="s">
        <v>686</v>
      </c>
      <c r="G1406" s="93">
        <v>400</v>
      </c>
      <c r="H1406" s="92"/>
      <c r="I1406" s="93">
        <v>400</v>
      </c>
      <c r="J1406" s="92"/>
      <c r="K1406" s="92"/>
      <c r="L1406" s="92"/>
      <c r="M1406" s="92"/>
      <c r="N1406" s="92"/>
      <c r="O1406" s="92"/>
      <c r="P1406" s="92"/>
      <c r="Q1406" s="92"/>
      <c r="R1406" s="92"/>
      <c r="S1406" s="92"/>
      <c r="T1406" s="92"/>
      <c r="U1406" s="92"/>
      <c r="V1406" s="92"/>
      <c r="W1406" s="92"/>
      <c r="X1406" s="92"/>
      <c r="Y1406" s="92"/>
      <c r="Z1406" s="92"/>
      <c r="AA1406" s="92"/>
      <c r="AB1406" s="92"/>
      <c r="AC1406" s="92"/>
      <c r="AD1406" s="93">
        <v>0</v>
      </c>
      <c r="AE1406" s="92"/>
      <c r="AF1406" s="92"/>
      <c r="AG1406" s="93">
        <v>400</v>
      </c>
      <c r="AH1406" s="93">
        <v>0</v>
      </c>
    </row>
    <row r="1407" spans="1:34" ht="15.75" thickBot="1" x14ac:dyDescent="0.3">
      <c r="A1407" s="90" t="s">
        <v>1018</v>
      </c>
      <c r="B1407" s="90" t="s">
        <v>18</v>
      </c>
      <c r="C1407" s="90" t="s">
        <v>453</v>
      </c>
      <c r="D1407" s="90" t="s">
        <v>20</v>
      </c>
      <c r="E1407" s="90" t="s">
        <v>528</v>
      </c>
      <c r="F1407" s="90" t="s">
        <v>697</v>
      </c>
      <c r="G1407" s="95">
        <v>400</v>
      </c>
      <c r="H1407" s="94"/>
      <c r="I1407" s="95">
        <v>400</v>
      </c>
      <c r="J1407" s="94"/>
      <c r="K1407" s="94"/>
      <c r="L1407" s="94"/>
      <c r="M1407" s="94"/>
      <c r="N1407" s="94"/>
      <c r="O1407" s="94"/>
      <c r="P1407" s="94"/>
      <c r="Q1407" s="94"/>
      <c r="R1407" s="94"/>
      <c r="S1407" s="94"/>
      <c r="T1407" s="94"/>
      <c r="U1407" s="94"/>
      <c r="V1407" s="94"/>
      <c r="W1407" s="94"/>
      <c r="X1407" s="94"/>
      <c r="Y1407" s="94"/>
      <c r="Z1407" s="94"/>
      <c r="AA1407" s="94"/>
      <c r="AB1407" s="94"/>
      <c r="AC1407" s="94"/>
      <c r="AD1407" s="95">
        <v>0</v>
      </c>
      <c r="AE1407" s="94"/>
      <c r="AF1407" s="94"/>
      <c r="AG1407" s="95">
        <v>400</v>
      </c>
      <c r="AH1407" s="95">
        <v>0</v>
      </c>
    </row>
    <row r="1408" spans="1:34" ht="15.75" thickBot="1" x14ac:dyDescent="0.3">
      <c r="A1408" s="90" t="s">
        <v>1018</v>
      </c>
      <c r="B1408" s="90" t="s">
        <v>18</v>
      </c>
      <c r="C1408" s="90" t="s">
        <v>453</v>
      </c>
      <c r="D1408" s="90" t="s">
        <v>20</v>
      </c>
      <c r="E1408" s="90" t="s">
        <v>518</v>
      </c>
      <c r="F1408" s="90" t="s">
        <v>686</v>
      </c>
      <c r="G1408" s="93">
        <v>1097.26</v>
      </c>
      <c r="H1408" s="93">
        <v>15655</v>
      </c>
      <c r="I1408" s="92"/>
      <c r="J1408" s="92"/>
      <c r="K1408" s="93">
        <v>1097.26</v>
      </c>
      <c r="L1408" s="92"/>
      <c r="M1408" s="92"/>
      <c r="N1408" s="92"/>
      <c r="O1408" s="92"/>
      <c r="P1408" s="92"/>
      <c r="Q1408" s="92"/>
      <c r="R1408" s="92"/>
      <c r="S1408" s="92"/>
      <c r="T1408" s="92"/>
      <c r="U1408" s="92"/>
      <c r="V1408" s="92"/>
      <c r="W1408" s="92"/>
      <c r="X1408" s="92"/>
      <c r="Y1408" s="92"/>
      <c r="Z1408" s="92"/>
      <c r="AA1408" s="92"/>
      <c r="AB1408" s="92"/>
      <c r="AC1408" s="92"/>
      <c r="AD1408" s="93">
        <v>0</v>
      </c>
      <c r="AE1408" s="92"/>
      <c r="AF1408" s="92"/>
      <c r="AG1408" s="93">
        <v>1097.26</v>
      </c>
      <c r="AH1408" s="93">
        <v>0</v>
      </c>
    </row>
    <row r="1409" spans="1:34" ht="15.75" thickBot="1" x14ac:dyDescent="0.3">
      <c r="A1409" s="90" t="s">
        <v>1018</v>
      </c>
      <c r="B1409" s="90" t="s">
        <v>18</v>
      </c>
      <c r="C1409" s="90" t="s">
        <v>453</v>
      </c>
      <c r="D1409" s="90" t="s">
        <v>20</v>
      </c>
      <c r="E1409" s="90" t="s">
        <v>518</v>
      </c>
      <c r="F1409" s="90" t="s">
        <v>697</v>
      </c>
      <c r="G1409" s="95">
        <v>1097.26</v>
      </c>
      <c r="H1409" s="305">
        <v>15655</v>
      </c>
      <c r="I1409" s="94"/>
      <c r="J1409" s="94"/>
      <c r="K1409" s="95">
        <v>1097.26</v>
      </c>
      <c r="L1409" s="94"/>
      <c r="M1409" s="94"/>
      <c r="N1409" s="94"/>
      <c r="O1409" s="94"/>
      <c r="P1409" s="94"/>
      <c r="Q1409" s="94"/>
      <c r="R1409" s="94"/>
      <c r="S1409" s="94"/>
      <c r="T1409" s="94"/>
      <c r="U1409" s="94"/>
      <c r="V1409" s="94"/>
      <c r="W1409" s="94"/>
      <c r="X1409" s="94"/>
      <c r="Y1409" s="94"/>
      <c r="Z1409" s="94"/>
      <c r="AA1409" s="94"/>
      <c r="AB1409" s="94"/>
      <c r="AC1409" s="94"/>
      <c r="AD1409" s="95">
        <v>0</v>
      </c>
      <c r="AE1409" s="94"/>
      <c r="AF1409" s="94"/>
      <c r="AG1409" s="95">
        <v>1097.26</v>
      </c>
      <c r="AH1409" s="95">
        <v>0</v>
      </c>
    </row>
    <row r="1410" spans="1:34" ht="15.75" thickBot="1" x14ac:dyDescent="0.3">
      <c r="A1410" s="90" t="s">
        <v>1018</v>
      </c>
      <c r="B1410" s="90" t="s">
        <v>18</v>
      </c>
      <c r="C1410" s="90" t="s">
        <v>453</v>
      </c>
      <c r="D1410" s="90" t="s">
        <v>20</v>
      </c>
      <c r="E1410" s="90" t="s">
        <v>727</v>
      </c>
      <c r="F1410" s="90" t="s">
        <v>686</v>
      </c>
      <c r="G1410" s="93">
        <v>8.92</v>
      </c>
      <c r="H1410" s="92"/>
      <c r="I1410" s="92"/>
      <c r="J1410" s="92"/>
      <c r="K1410" s="92"/>
      <c r="L1410" s="92"/>
      <c r="M1410" s="92"/>
      <c r="N1410" s="92"/>
      <c r="O1410" s="93">
        <v>8.92</v>
      </c>
      <c r="P1410" s="92"/>
      <c r="Q1410" s="92"/>
      <c r="R1410" s="92"/>
      <c r="S1410" s="92"/>
      <c r="T1410" s="92"/>
      <c r="U1410" s="92"/>
      <c r="V1410" s="92"/>
      <c r="W1410" s="92"/>
      <c r="X1410" s="92"/>
      <c r="Y1410" s="92"/>
      <c r="Z1410" s="92"/>
      <c r="AA1410" s="92"/>
      <c r="AB1410" s="92"/>
      <c r="AC1410" s="92"/>
      <c r="AD1410" s="93">
        <v>0</v>
      </c>
      <c r="AE1410" s="92"/>
      <c r="AF1410" s="92"/>
      <c r="AG1410" s="93">
        <v>8.92</v>
      </c>
      <c r="AH1410" s="93">
        <v>0</v>
      </c>
    </row>
    <row r="1411" spans="1:34" ht="15.75" thickBot="1" x14ac:dyDescent="0.3">
      <c r="A1411" s="90" t="s">
        <v>1018</v>
      </c>
      <c r="B1411" s="90" t="s">
        <v>18</v>
      </c>
      <c r="C1411" s="90" t="s">
        <v>453</v>
      </c>
      <c r="D1411" s="90" t="s">
        <v>20</v>
      </c>
      <c r="E1411" s="90" t="s">
        <v>727</v>
      </c>
      <c r="F1411" s="90" t="s">
        <v>697</v>
      </c>
      <c r="G1411" s="95">
        <v>8.92</v>
      </c>
      <c r="H1411" s="94"/>
      <c r="I1411" s="94"/>
      <c r="J1411" s="94"/>
      <c r="K1411" s="94"/>
      <c r="L1411" s="94"/>
      <c r="M1411" s="94"/>
      <c r="N1411" s="94"/>
      <c r="O1411" s="95">
        <v>8.92</v>
      </c>
      <c r="P1411" s="94"/>
      <c r="Q1411" s="94"/>
      <c r="R1411" s="94"/>
      <c r="S1411" s="94"/>
      <c r="T1411" s="94"/>
      <c r="U1411" s="94"/>
      <c r="V1411" s="94"/>
      <c r="W1411" s="94"/>
      <c r="X1411" s="94"/>
      <c r="Y1411" s="94"/>
      <c r="Z1411" s="94"/>
      <c r="AA1411" s="94"/>
      <c r="AB1411" s="94"/>
      <c r="AC1411" s="94"/>
      <c r="AD1411" s="95">
        <v>0</v>
      </c>
      <c r="AE1411" s="94"/>
      <c r="AF1411" s="94"/>
      <c r="AG1411" s="95">
        <v>8.92</v>
      </c>
      <c r="AH1411" s="95">
        <v>0</v>
      </c>
    </row>
    <row r="1412" spans="1:34" ht="15.75" thickBot="1" x14ac:dyDescent="0.3">
      <c r="A1412" s="90" t="s">
        <v>1018</v>
      </c>
      <c r="B1412" s="90" t="s">
        <v>18</v>
      </c>
      <c r="C1412" s="90" t="s">
        <v>453</v>
      </c>
      <c r="D1412" s="90" t="s">
        <v>20</v>
      </c>
      <c r="E1412" s="90" t="s">
        <v>673</v>
      </c>
      <c r="F1412" s="90" t="s">
        <v>686</v>
      </c>
      <c r="G1412" s="93">
        <v>2838.87</v>
      </c>
      <c r="H1412" s="92"/>
      <c r="I1412" s="92"/>
      <c r="J1412" s="92"/>
      <c r="K1412" s="92"/>
      <c r="L1412" s="92"/>
      <c r="M1412" s="92"/>
      <c r="N1412" s="92"/>
      <c r="O1412" s="92"/>
      <c r="P1412" s="92"/>
      <c r="Q1412" s="92"/>
      <c r="R1412" s="92"/>
      <c r="S1412" s="92"/>
      <c r="T1412" s="92"/>
      <c r="U1412" s="92"/>
      <c r="V1412" s="92"/>
      <c r="W1412" s="92"/>
      <c r="X1412" s="93">
        <v>2838.87</v>
      </c>
      <c r="Y1412" s="92"/>
      <c r="Z1412" s="92"/>
      <c r="AA1412" s="92"/>
      <c r="AB1412" s="92"/>
      <c r="AC1412" s="92"/>
      <c r="AD1412" s="93">
        <v>0</v>
      </c>
      <c r="AE1412" s="92"/>
      <c r="AF1412" s="92"/>
      <c r="AG1412" s="93">
        <v>2838.87</v>
      </c>
      <c r="AH1412" s="93">
        <v>0</v>
      </c>
    </row>
    <row r="1413" spans="1:34" ht="15.75" thickBot="1" x14ac:dyDescent="0.3">
      <c r="A1413" s="90" t="s">
        <v>1018</v>
      </c>
      <c r="B1413" s="90" t="s">
        <v>18</v>
      </c>
      <c r="C1413" s="90" t="s">
        <v>453</v>
      </c>
      <c r="D1413" s="90" t="s">
        <v>20</v>
      </c>
      <c r="E1413" s="90" t="s">
        <v>673</v>
      </c>
      <c r="F1413" s="90" t="s">
        <v>697</v>
      </c>
      <c r="G1413" s="95">
        <v>2838.87</v>
      </c>
      <c r="H1413" s="94"/>
      <c r="I1413" s="94"/>
      <c r="J1413" s="94"/>
      <c r="K1413" s="94"/>
      <c r="L1413" s="94"/>
      <c r="M1413" s="94"/>
      <c r="N1413" s="94"/>
      <c r="O1413" s="94"/>
      <c r="P1413" s="94"/>
      <c r="Q1413" s="94"/>
      <c r="R1413" s="94"/>
      <c r="S1413" s="94"/>
      <c r="T1413" s="94"/>
      <c r="U1413" s="94"/>
      <c r="V1413" s="94"/>
      <c r="W1413" s="94"/>
      <c r="X1413" s="95">
        <v>2838.87</v>
      </c>
      <c r="Y1413" s="94"/>
      <c r="Z1413" s="94"/>
      <c r="AA1413" s="94"/>
      <c r="AB1413" s="94"/>
      <c r="AC1413" s="94"/>
      <c r="AD1413" s="95">
        <v>0</v>
      </c>
      <c r="AE1413" s="94"/>
      <c r="AF1413" s="94"/>
      <c r="AG1413" s="95">
        <v>2838.87</v>
      </c>
      <c r="AH1413" s="95">
        <v>0</v>
      </c>
    </row>
    <row r="1414" spans="1:34" ht="15.75" thickBot="1" x14ac:dyDescent="0.3">
      <c r="A1414" s="90" t="s">
        <v>1018</v>
      </c>
      <c r="B1414" s="90" t="s">
        <v>18</v>
      </c>
      <c r="C1414" s="90" t="s">
        <v>453</v>
      </c>
      <c r="D1414" s="90" t="s">
        <v>20</v>
      </c>
      <c r="E1414" s="90" t="s">
        <v>196</v>
      </c>
      <c r="F1414" s="90" t="s">
        <v>686</v>
      </c>
      <c r="G1414" s="93">
        <v>5499.6</v>
      </c>
      <c r="H1414" s="92"/>
      <c r="I1414" s="92"/>
      <c r="J1414" s="92"/>
      <c r="K1414" s="92"/>
      <c r="L1414" s="92"/>
      <c r="M1414" s="92"/>
      <c r="N1414" s="92"/>
      <c r="O1414" s="92"/>
      <c r="P1414" s="93">
        <v>5499.6</v>
      </c>
      <c r="Q1414" s="92"/>
      <c r="R1414" s="92"/>
      <c r="S1414" s="92"/>
      <c r="T1414" s="92"/>
      <c r="U1414" s="92"/>
      <c r="V1414" s="92"/>
      <c r="W1414" s="92"/>
      <c r="X1414" s="92"/>
      <c r="Y1414" s="92"/>
      <c r="Z1414" s="92"/>
      <c r="AA1414" s="92"/>
      <c r="AB1414" s="92"/>
      <c r="AC1414" s="92"/>
      <c r="AD1414" s="93">
        <v>0</v>
      </c>
      <c r="AE1414" s="92"/>
      <c r="AF1414" s="92"/>
      <c r="AG1414" s="93">
        <v>5499.6</v>
      </c>
      <c r="AH1414" s="93">
        <v>0</v>
      </c>
    </row>
    <row r="1415" spans="1:34" ht="15.75" thickBot="1" x14ac:dyDescent="0.3">
      <c r="A1415" s="90" t="s">
        <v>1018</v>
      </c>
      <c r="B1415" s="90" t="s">
        <v>18</v>
      </c>
      <c r="C1415" s="90" t="s">
        <v>453</v>
      </c>
      <c r="D1415" s="90" t="s">
        <v>20</v>
      </c>
      <c r="E1415" s="90" t="s">
        <v>196</v>
      </c>
      <c r="F1415" s="90" t="s">
        <v>697</v>
      </c>
      <c r="G1415" s="95">
        <v>5499.6</v>
      </c>
      <c r="H1415" s="94"/>
      <c r="I1415" s="94"/>
      <c r="J1415" s="94"/>
      <c r="K1415" s="94"/>
      <c r="L1415" s="94"/>
      <c r="M1415" s="94"/>
      <c r="N1415" s="94"/>
      <c r="O1415" s="94"/>
      <c r="P1415" s="95">
        <v>5499.6</v>
      </c>
      <c r="Q1415" s="94"/>
      <c r="R1415" s="94"/>
      <c r="S1415" s="94"/>
      <c r="T1415" s="94"/>
      <c r="U1415" s="94"/>
      <c r="V1415" s="94"/>
      <c r="W1415" s="94"/>
      <c r="X1415" s="94"/>
      <c r="Y1415" s="94"/>
      <c r="Z1415" s="94"/>
      <c r="AA1415" s="94"/>
      <c r="AB1415" s="94"/>
      <c r="AC1415" s="94"/>
      <c r="AD1415" s="95">
        <v>0</v>
      </c>
      <c r="AE1415" s="94"/>
      <c r="AF1415" s="94"/>
      <c r="AG1415" s="95">
        <v>5499.6</v>
      </c>
      <c r="AH1415" s="95">
        <v>0</v>
      </c>
    </row>
    <row r="1416" spans="1:34" ht="15.75" thickBot="1" x14ac:dyDescent="0.3">
      <c r="A1416" s="90" t="s">
        <v>1018</v>
      </c>
      <c r="B1416" s="90" t="s">
        <v>68</v>
      </c>
      <c r="C1416" s="90" t="s">
        <v>877</v>
      </c>
      <c r="D1416" s="90" t="s">
        <v>17</v>
      </c>
      <c r="E1416" s="90" t="s">
        <v>528</v>
      </c>
      <c r="F1416" s="90" t="s">
        <v>686</v>
      </c>
      <c r="G1416" s="93">
        <v>40</v>
      </c>
      <c r="H1416" s="92"/>
      <c r="I1416" s="93">
        <v>40</v>
      </c>
      <c r="J1416" s="92"/>
      <c r="K1416" s="92"/>
      <c r="L1416" s="92"/>
      <c r="M1416" s="92"/>
      <c r="N1416" s="92"/>
      <c r="O1416" s="92"/>
      <c r="P1416" s="92"/>
      <c r="Q1416" s="92"/>
      <c r="R1416" s="92"/>
      <c r="S1416" s="92"/>
      <c r="T1416" s="92"/>
      <c r="U1416" s="92"/>
      <c r="V1416" s="92"/>
      <c r="W1416" s="92"/>
      <c r="X1416" s="92"/>
      <c r="Y1416" s="92"/>
      <c r="Z1416" s="92"/>
      <c r="AA1416" s="92"/>
      <c r="AB1416" s="92"/>
      <c r="AC1416" s="92"/>
      <c r="AD1416" s="93">
        <v>2.4</v>
      </c>
      <c r="AE1416" s="92"/>
      <c r="AF1416" s="92"/>
      <c r="AG1416" s="93">
        <v>42.4</v>
      </c>
      <c r="AH1416" s="93">
        <v>0</v>
      </c>
    </row>
    <row r="1417" spans="1:34" ht="15.75" thickBot="1" x14ac:dyDescent="0.3">
      <c r="A1417" s="90" t="s">
        <v>1018</v>
      </c>
      <c r="B1417" s="90" t="s">
        <v>68</v>
      </c>
      <c r="C1417" s="90" t="s">
        <v>877</v>
      </c>
      <c r="D1417" s="90" t="s">
        <v>17</v>
      </c>
      <c r="E1417" s="90" t="s">
        <v>528</v>
      </c>
      <c r="F1417" s="90" t="s">
        <v>697</v>
      </c>
      <c r="G1417" s="95">
        <v>40</v>
      </c>
      <c r="H1417" s="94"/>
      <c r="I1417" s="95">
        <v>40</v>
      </c>
      <c r="J1417" s="94"/>
      <c r="K1417" s="94"/>
      <c r="L1417" s="94"/>
      <c r="M1417" s="94"/>
      <c r="N1417" s="94"/>
      <c r="O1417" s="94"/>
      <c r="P1417" s="94"/>
      <c r="Q1417" s="94"/>
      <c r="R1417" s="94"/>
      <c r="S1417" s="94"/>
      <c r="T1417" s="94"/>
      <c r="U1417" s="94"/>
      <c r="V1417" s="94"/>
      <c r="W1417" s="94"/>
      <c r="X1417" s="94"/>
      <c r="Y1417" s="94"/>
      <c r="Z1417" s="94"/>
      <c r="AA1417" s="94"/>
      <c r="AB1417" s="94"/>
      <c r="AC1417" s="94"/>
      <c r="AD1417" s="95">
        <v>2.4</v>
      </c>
      <c r="AE1417" s="94"/>
      <c r="AF1417" s="94"/>
      <c r="AG1417" s="95">
        <v>42.4</v>
      </c>
      <c r="AH1417" s="95">
        <v>0</v>
      </c>
    </row>
    <row r="1418" spans="1:34" ht="15.75" thickBot="1" x14ac:dyDescent="0.3">
      <c r="A1418" s="90" t="s">
        <v>1018</v>
      </c>
      <c r="B1418" s="90" t="s">
        <v>68</v>
      </c>
      <c r="C1418" s="90" t="s">
        <v>877</v>
      </c>
      <c r="D1418" s="90" t="s">
        <v>17</v>
      </c>
      <c r="E1418" s="90" t="s">
        <v>547</v>
      </c>
      <c r="F1418" s="90" t="s">
        <v>686</v>
      </c>
      <c r="G1418" s="93">
        <v>544</v>
      </c>
      <c r="H1418" s="92"/>
      <c r="I1418" s="92"/>
      <c r="J1418" s="93">
        <v>544</v>
      </c>
      <c r="K1418" s="92"/>
      <c r="L1418" s="92"/>
      <c r="M1418" s="92"/>
      <c r="N1418" s="92"/>
      <c r="O1418" s="92"/>
      <c r="P1418" s="92"/>
      <c r="Q1418" s="92"/>
      <c r="R1418" s="92"/>
      <c r="S1418" s="92"/>
      <c r="T1418" s="92"/>
      <c r="U1418" s="92"/>
      <c r="V1418" s="92"/>
      <c r="W1418" s="92"/>
      <c r="X1418" s="92"/>
      <c r="Y1418" s="92"/>
      <c r="Z1418" s="92"/>
      <c r="AA1418" s="92"/>
      <c r="AB1418" s="92"/>
      <c r="AC1418" s="92"/>
      <c r="AD1418" s="93">
        <v>32.64</v>
      </c>
      <c r="AE1418" s="92"/>
      <c r="AF1418" s="92"/>
      <c r="AG1418" s="93">
        <v>576.64</v>
      </c>
      <c r="AH1418" s="93">
        <v>0</v>
      </c>
    </row>
    <row r="1419" spans="1:34" ht="15.75" thickBot="1" x14ac:dyDescent="0.3">
      <c r="A1419" s="90" t="s">
        <v>1018</v>
      </c>
      <c r="B1419" s="90" t="s">
        <v>68</v>
      </c>
      <c r="C1419" s="90" t="s">
        <v>877</v>
      </c>
      <c r="D1419" s="90" t="s">
        <v>17</v>
      </c>
      <c r="E1419" s="90" t="s">
        <v>547</v>
      </c>
      <c r="F1419" s="90" t="s">
        <v>697</v>
      </c>
      <c r="G1419" s="95">
        <v>544</v>
      </c>
      <c r="H1419" s="94"/>
      <c r="I1419" s="94"/>
      <c r="J1419" s="95">
        <v>544</v>
      </c>
      <c r="K1419" s="94"/>
      <c r="L1419" s="94"/>
      <c r="M1419" s="94"/>
      <c r="N1419" s="94"/>
      <c r="O1419" s="94"/>
      <c r="P1419" s="94"/>
      <c r="Q1419" s="94"/>
      <c r="R1419" s="94"/>
      <c r="S1419" s="94"/>
      <c r="T1419" s="94"/>
      <c r="U1419" s="94"/>
      <c r="V1419" s="94"/>
      <c r="W1419" s="94"/>
      <c r="X1419" s="94"/>
      <c r="Y1419" s="94"/>
      <c r="Z1419" s="94"/>
      <c r="AA1419" s="94"/>
      <c r="AB1419" s="94"/>
      <c r="AC1419" s="94"/>
      <c r="AD1419" s="95">
        <v>32.64</v>
      </c>
      <c r="AE1419" s="94"/>
      <c r="AF1419" s="94"/>
      <c r="AG1419" s="95">
        <v>576.64</v>
      </c>
      <c r="AH1419" s="95">
        <v>0</v>
      </c>
    </row>
    <row r="1420" spans="1:34" ht="15.75" thickBot="1" x14ac:dyDescent="0.3">
      <c r="A1420" s="90" t="s">
        <v>1018</v>
      </c>
      <c r="B1420" s="90" t="s">
        <v>68</v>
      </c>
      <c r="C1420" s="90" t="s">
        <v>877</v>
      </c>
      <c r="D1420" s="90" t="s">
        <v>17</v>
      </c>
      <c r="E1420" s="90" t="s">
        <v>518</v>
      </c>
      <c r="F1420" s="90" t="s">
        <v>686</v>
      </c>
      <c r="G1420" s="93">
        <v>0.23</v>
      </c>
      <c r="H1420" s="93">
        <v>7</v>
      </c>
      <c r="I1420" s="92"/>
      <c r="J1420" s="92"/>
      <c r="K1420" s="93">
        <v>0.23</v>
      </c>
      <c r="L1420" s="92"/>
      <c r="M1420" s="92"/>
      <c r="N1420" s="92"/>
      <c r="O1420" s="92"/>
      <c r="P1420" s="92"/>
      <c r="Q1420" s="92"/>
      <c r="R1420" s="92"/>
      <c r="S1420" s="92"/>
      <c r="T1420" s="92"/>
      <c r="U1420" s="92"/>
      <c r="V1420" s="92"/>
      <c r="W1420" s="92"/>
      <c r="X1420" s="92"/>
      <c r="Y1420" s="92"/>
      <c r="Z1420" s="92"/>
      <c r="AA1420" s="92"/>
      <c r="AB1420" s="92"/>
      <c r="AC1420" s="92"/>
      <c r="AD1420" s="93">
        <v>0.01</v>
      </c>
      <c r="AE1420" s="92"/>
      <c r="AF1420" s="92"/>
      <c r="AG1420" s="93">
        <v>0.24</v>
      </c>
      <c r="AH1420" s="93">
        <v>0</v>
      </c>
    </row>
    <row r="1421" spans="1:34" ht="15.75" thickBot="1" x14ac:dyDescent="0.3">
      <c r="A1421" s="90" t="s">
        <v>1018</v>
      </c>
      <c r="B1421" s="90" t="s">
        <v>68</v>
      </c>
      <c r="C1421" s="90" t="s">
        <v>877</v>
      </c>
      <c r="D1421" s="90" t="s">
        <v>17</v>
      </c>
      <c r="E1421" s="90" t="s">
        <v>518</v>
      </c>
      <c r="F1421" s="90" t="s">
        <v>697</v>
      </c>
      <c r="G1421" s="95">
        <v>0.23</v>
      </c>
      <c r="H1421" s="305">
        <v>7</v>
      </c>
      <c r="I1421" s="94"/>
      <c r="J1421" s="94"/>
      <c r="K1421" s="95">
        <v>0.23</v>
      </c>
      <c r="L1421" s="94"/>
      <c r="M1421" s="94"/>
      <c r="N1421" s="94"/>
      <c r="O1421" s="94"/>
      <c r="P1421" s="94"/>
      <c r="Q1421" s="94"/>
      <c r="R1421" s="94"/>
      <c r="S1421" s="94"/>
      <c r="T1421" s="94"/>
      <c r="U1421" s="94"/>
      <c r="V1421" s="94"/>
      <c r="W1421" s="94"/>
      <c r="X1421" s="94"/>
      <c r="Y1421" s="94"/>
      <c r="Z1421" s="94"/>
      <c r="AA1421" s="94"/>
      <c r="AB1421" s="94"/>
      <c r="AC1421" s="94"/>
      <c r="AD1421" s="95">
        <v>0.01</v>
      </c>
      <c r="AE1421" s="94"/>
      <c r="AF1421" s="94"/>
      <c r="AG1421" s="95">
        <v>0.24</v>
      </c>
      <c r="AH1421" s="95">
        <v>0</v>
      </c>
    </row>
    <row r="1422" spans="1:34" ht="15.75" thickBot="1" x14ac:dyDescent="0.3">
      <c r="A1422" s="90" t="s">
        <v>1018</v>
      </c>
      <c r="B1422" s="90" t="s">
        <v>68</v>
      </c>
      <c r="C1422" s="90" t="s">
        <v>877</v>
      </c>
      <c r="D1422" s="90" t="s">
        <v>17</v>
      </c>
      <c r="E1422" s="90" t="s">
        <v>196</v>
      </c>
      <c r="F1422" s="90" t="s">
        <v>686</v>
      </c>
      <c r="G1422" s="93">
        <v>2.46</v>
      </c>
      <c r="H1422" s="92"/>
      <c r="I1422" s="92"/>
      <c r="J1422" s="92"/>
      <c r="K1422" s="92"/>
      <c r="L1422" s="92"/>
      <c r="M1422" s="92"/>
      <c r="N1422" s="92"/>
      <c r="O1422" s="92"/>
      <c r="P1422" s="93">
        <v>2.46</v>
      </c>
      <c r="Q1422" s="92"/>
      <c r="R1422" s="92"/>
      <c r="S1422" s="92"/>
      <c r="T1422" s="92"/>
      <c r="U1422" s="92"/>
      <c r="V1422" s="92"/>
      <c r="W1422" s="92"/>
      <c r="X1422" s="92"/>
      <c r="Y1422" s="92"/>
      <c r="Z1422" s="92"/>
      <c r="AA1422" s="92"/>
      <c r="AB1422" s="92"/>
      <c r="AC1422" s="92"/>
      <c r="AD1422" s="93">
        <v>0.15</v>
      </c>
      <c r="AE1422" s="92"/>
      <c r="AF1422" s="92"/>
      <c r="AG1422" s="93">
        <v>2.61</v>
      </c>
      <c r="AH1422" s="93">
        <v>0</v>
      </c>
    </row>
    <row r="1423" spans="1:34" ht="15.75" thickBot="1" x14ac:dyDescent="0.3">
      <c r="A1423" s="90" t="s">
        <v>1018</v>
      </c>
      <c r="B1423" s="90" t="s">
        <v>68</v>
      </c>
      <c r="C1423" s="90" t="s">
        <v>877</v>
      </c>
      <c r="D1423" s="90" t="s">
        <v>17</v>
      </c>
      <c r="E1423" s="90" t="s">
        <v>196</v>
      </c>
      <c r="F1423" s="90" t="s">
        <v>697</v>
      </c>
      <c r="G1423" s="95">
        <v>2.46</v>
      </c>
      <c r="H1423" s="94"/>
      <c r="I1423" s="94"/>
      <c r="J1423" s="94"/>
      <c r="K1423" s="94"/>
      <c r="L1423" s="94"/>
      <c r="M1423" s="94"/>
      <c r="N1423" s="94"/>
      <c r="O1423" s="94"/>
      <c r="P1423" s="95">
        <v>2.46</v>
      </c>
      <c r="Q1423" s="94"/>
      <c r="R1423" s="94"/>
      <c r="S1423" s="94"/>
      <c r="T1423" s="94"/>
      <c r="U1423" s="94"/>
      <c r="V1423" s="94"/>
      <c r="W1423" s="94"/>
      <c r="X1423" s="94"/>
      <c r="Y1423" s="94"/>
      <c r="Z1423" s="94"/>
      <c r="AA1423" s="94"/>
      <c r="AB1423" s="94"/>
      <c r="AC1423" s="94"/>
      <c r="AD1423" s="95">
        <v>0.15</v>
      </c>
      <c r="AE1423" s="94"/>
      <c r="AF1423" s="94"/>
      <c r="AG1423" s="95">
        <v>2.61</v>
      </c>
      <c r="AH1423" s="95">
        <v>0</v>
      </c>
    </row>
    <row r="1424" spans="1:34" ht="15.75" thickBot="1" x14ac:dyDescent="0.3">
      <c r="A1424" s="90" t="s">
        <v>1018</v>
      </c>
      <c r="B1424" s="90" t="s">
        <v>50</v>
      </c>
      <c r="C1424" s="90" t="s">
        <v>881</v>
      </c>
      <c r="D1424" s="90" t="s">
        <v>661</v>
      </c>
      <c r="E1424" s="90" t="s">
        <v>198</v>
      </c>
      <c r="F1424" s="90" t="s">
        <v>522</v>
      </c>
      <c r="G1424" s="93">
        <v>186.39</v>
      </c>
      <c r="H1424" s="92"/>
      <c r="I1424" s="92"/>
      <c r="J1424" s="92"/>
      <c r="K1424" s="92"/>
      <c r="L1424" s="92"/>
      <c r="M1424" s="92"/>
      <c r="N1424" s="92"/>
      <c r="O1424" s="93">
        <v>186.39</v>
      </c>
      <c r="P1424" s="92"/>
      <c r="Q1424" s="92"/>
      <c r="R1424" s="92"/>
      <c r="S1424" s="92"/>
      <c r="T1424" s="92"/>
      <c r="U1424" s="92"/>
      <c r="V1424" s="92"/>
      <c r="W1424" s="92"/>
      <c r="X1424" s="92"/>
      <c r="Y1424" s="92"/>
      <c r="Z1424" s="92"/>
      <c r="AA1424" s="92"/>
      <c r="AB1424" s="92"/>
      <c r="AC1424" s="92"/>
      <c r="AD1424" s="93">
        <v>3.59</v>
      </c>
      <c r="AE1424" s="92"/>
      <c r="AF1424" s="92"/>
      <c r="AG1424" s="93">
        <v>189.98</v>
      </c>
      <c r="AH1424" s="93">
        <v>0</v>
      </c>
    </row>
    <row r="1425" spans="1:34" ht="15.75" thickBot="1" x14ac:dyDescent="0.3">
      <c r="A1425" s="90" t="s">
        <v>1018</v>
      </c>
      <c r="B1425" s="90" t="s">
        <v>50</v>
      </c>
      <c r="C1425" s="90" t="s">
        <v>881</v>
      </c>
      <c r="D1425" s="90" t="s">
        <v>661</v>
      </c>
      <c r="E1425" s="90" t="s">
        <v>198</v>
      </c>
      <c r="F1425" s="90" t="s">
        <v>697</v>
      </c>
      <c r="G1425" s="95">
        <v>186.39</v>
      </c>
      <c r="H1425" s="94"/>
      <c r="I1425" s="94"/>
      <c r="J1425" s="94"/>
      <c r="K1425" s="94"/>
      <c r="L1425" s="94"/>
      <c r="M1425" s="94"/>
      <c r="N1425" s="94"/>
      <c r="O1425" s="95">
        <v>186.39</v>
      </c>
      <c r="P1425" s="94"/>
      <c r="Q1425" s="94"/>
      <c r="R1425" s="94"/>
      <c r="S1425" s="94"/>
      <c r="T1425" s="94"/>
      <c r="U1425" s="94"/>
      <c r="V1425" s="94"/>
      <c r="W1425" s="94"/>
      <c r="X1425" s="94"/>
      <c r="Y1425" s="94"/>
      <c r="Z1425" s="94"/>
      <c r="AA1425" s="94"/>
      <c r="AB1425" s="94"/>
      <c r="AC1425" s="94"/>
      <c r="AD1425" s="95">
        <v>3.59</v>
      </c>
      <c r="AE1425" s="94"/>
      <c r="AF1425" s="94"/>
      <c r="AG1425" s="95">
        <v>189.98</v>
      </c>
      <c r="AH1425" s="95">
        <v>0</v>
      </c>
    </row>
    <row r="1426" spans="1:34" ht="15.75" thickBot="1" x14ac:dyDescent="0.3">
      <c r="A1426" s="90" t="s">
        <v>1018</v>
      </c>
      <c r="B1426" s="90" t="s">
        <v>50</v>
      </c>
      <c r="C1426" s="90" t="s">
        <v>881</v>
      </c>
      <c r="D1426" s="90" t="s">
        <v>661</v>
      </c>
      <c r="E1426" s="90" t="s">
        <v>518</v>
      </c>
      <c r="F1426" s="90" t="s">
        <v>522</v>
      </c>
      <c r="G1426" s="93">
        <v>14066.09</v>
      </c>
      <c r="H1426" s="93">
        <v>326967</v>
      </c>
      <c r="I1426" s="92"/>
      <c r="J1426" s="92"/>
      <c r="K1426" s="93">
        <v>14066.09</v>
      </c>
      <c r="L1426" s="92"/>
      <c r="M1426" s="92"/>
      <c r="N1426" s="92"/>
      <c r="O1426" s="92"/>
      <c r="P1426" s="92"/>
      <c r="Q1426" s="92"/>
      <c r="R1426" s="92"/>
      <c r="S1426" s="92"/>
      <c r="T1426" s="92"/>
      <c r="U1426" s="92"/>
      <c r="V1426" s="92"/>
      <c r="W1426" s="92"/>
      <c r="X1426" s="92"/>
      <c r="Y1426" s="92"/>
      <c r="Z1426" s="92"/>
      <c r="AA1426" s="92"/>
      <c r="AB1426" s="92"/>
      <c r="AC1426" s="92"/>
      <c r="AD1426" s="93">
        <v>270.64999999999998</v>
      </c>
      <c r="AE1426" s="92"/>
      <c r="AF1426" s="92"/>
      <c r="AG1426" s="93">
        <v>14336.74</v>
      </c>
      <c r="AH1426" s="93">
        <v>0</v>
      </c>
    </row>
    <row r="1427" spans="1:34" ht="15.75" thickBot="1" x14ac:dyDescent="0.3">
      <c r="A1427" s="90" t="s">
        <v>1018</v>
      </c>
      <c r="B1427" s="90" t="s">
        <v>50</v>
      </c>
      <c r="C1427" s="90" t="s">
        <v>881</v>
      </c>
      <c r="D1427" s="90" t="s">
        <v>661</v>
      </c>
      <c r="E1427" s="90" t="s">
        <v>518</v>
      </c>
      <c r="F1427" s="90" t="s">
        <v>697</v>
      </c>
      <c r="G1427" s="95">
        <v>14066.09</v>
      </c>
      <c r="H1427" s="305">
        <v>326967</v>
      </c>
      <c r="I1427" s="94"/>
      <c r="J1427" s="94"/>
      <c r="K1427" s="95">
        <v>14066.09</v>
      </c>
      <c r="L1427" s="94"/>
      <c r="M1427" s="94"/>
      <c r="N1427" s="94"/>
      <c r="O1427" s="94"/>
      <c r="P1427" s="94"/>
      <c r="Q1427" s="94"/>
      <c r="R1427" s="94"/>
      <c r="S1427" s="94"/>
      <c r="T1427" s="94"/>
      <c r="U1427" s="94"/>
      <c r="V1427" s="94"/>
      <c r="W1427" s="94"/>
      <c r="X1427" s="94"/>
      <c r="Y1427" s="94"/>
      <c r="Z1427" s="94"/>
      <c r="AA1427" s="94"/>
      <c r="AB1427" s="94"/>
      <c r="AC1427" s="94"/>
      <c r="AD1427" s="95">
        <v>270.64999999999998</v>
      </c>
      <c r="AE1427" s="94"/>
      <c r="AF1427" s="94"/>
      <c r="AG1427" s="95">
        <v>14336.74</v>
      </c>
      <c r="AH1427" s="95">
        <v>0</v>
      </c>
    </row>
    <row r="1428" spans="1:34" ht="15.75" thickBot="1" x14ac:dyDescent="0.3">
      <c r="A1428" s="90" t="s">
        <v>1018</v>
      </c>
      <c r="B1428" s="90" t="s">
        <v>50</v>
      </c>
      <c r="C1428" s="90" t="s">
        <v>881</v>
      </c>
      <c r="D1428" s="90" t="s">
        <v>661</v>
      </c>
      <c r="E1428" s="90" t="s">
        <v>524</v>
      </c>
      <c r="F1428" s="90" t="s">
        <v>522</v>
      </c>
      <c r="G1428" s="93">
        <v>4400</v>
      </c>
      <c r="H1428" s="92"/>
      <c r="I1428" s="93">
        <v>4400</v>
      </c>
      <c r="J1428" s="92"/>
      <c r="K1428" s="92"/>
      <c r="L1428" s="92"/>
      <c r="M1428" s="92"/>
      <c r="N1428" s="92"/>
      <c r="O1428" s="92"/>
      <c r="P1428" s="92"/>
      <c r="Q1428" s="92"/>
      <c r="R1428" s="92"/>
      <c r="S1428" s="92"/>
      <c r="T1428" s="92"/>
      <c r="U1428" s="92"/>
      <c r="V1428" s="92"/>
      <c r="W1428" s="92"/>
      <c r="X1428" s="92"/>
      <c r="Y1428" s="92"/>
      <c r="Z1428" s="92"/>
      <c r="AA1428" s="92"/>
      <c r="AB1428" s="92"/>
      <c r="AC1428" s="92"/>
      <c r="AD1428" s="93">
        <v>66</v>
      </c>
      <c r="AE1428" s="92"/>
      <c r="AF1428" s="92"/>
      <c r="AG1428" s="93">
        <v>4466</v>
      </c>
      <c r="AH1428" s="93">
        <v>0</v>
      </c>
    </row>
    <row r="1429" spans="1:34" ht="15.75" thickBot="1" x14ac:dyDescent="0.3">
      <c r="A1429" s="90" t="s">
        <v>1018</v>
      </c>
      <c r="B1429" s="90" t="s">
        <v>50</v>
      </c>
      <c r="C1429" s="90" t="s">
        <v>881</v>
      </c>
      <c r="D1429" s="90" t="s">
        <v>661</v>
      </c>
      <c r="E1429" s="90" t="s">
        <v>524</v>
      </c>
      <c r="F1429" s="90" t="s">
        <v>697</v>
      </c>
      <c r="G1429" s="95">
        <v>4400</v>
      </c>
      <c r="H1429" s="94"/>
      <c r="I1429" s="95">
        <v>4400</v>
      </c>
      <c r="J1429" s="94"/>
      <c r="K1429" s="94"/>
      <c r="L1429" s="94"/>
      <c r="M1429" s="94"/>
      <c r="N1429" s="94"/>
      <c r="O1429" s="94"/>
      <c r="P1429" s="94"/>
      <c r="Q1429" s="94"/>
      <c r="R1429" s="94"/>
      <c r="S1429" s="94"/>
      <c r="T1429" s="94"/>
      <c r="U1429" s="94"/>
      <c r="V1429" s="94"/>
      <c r="W1429" s="94"/>
      <c r="X1429" s="94"/>
      <c r="Y1429" s="94"/>
      <c r="Z1429" s="94"/>
      <c r="AA1429" s="94"/>
      <c r="AB1429" s="94"/>
      <c r="AC1429" s="94"/>
      <c r="AD1429" s="95">
        <v>66</v>
      </c>
      <c r="AE1429" s="94"/>
      <c r="AF1429" s="94"/>
      <c r="AG1429" s="95">
        <v>4466</v>
      </c>
      <c r="AH1429" s="95">
        <v>0</v>
      </c>
    </row>
    <row r="1430" spans="1:34" ht="15.75" thickBot="1" x14ac:dyDescent="0.3">
      <c r="A1430" s="90" t="s">
        <v>1018</v>
      </c>
      <c r="B1430" s="90" t="s">
        <v>50</v>
      </c>
      <c r="C1430" s="90" t="s">
        <v>881</v>
      </c>
      <c r="D1430" s="90" t="s">
        <v>662</v>
      </c>
      <c r="E1430" s="90" t="s">
        <v>198</v>
      </c>
      <c r="F1430" s="90" t="s">
        <v>522</v>
      </c>
      <c r="G1430" s="93">
        <v>45.14</v>
      </c>
      <c r="H1430" s="92"/>
      <c r="I1430" s="92"/>
      <c r="J1430" s="92"/>
      <c r="K1430" s="92"/>
      <c r="L1430" s="92"/>
      <c r="M1430" s="92"/>
      <c r="N1430" s="92"/>
      <c r="O1430" s="93">
        <v>45.14</v>
      </c>
      <c r="P1430" s="92"/>
      <c r="Q1430" s="92"/>
      <c r="R1430" s="92"/>
      <c r="S1430" s="92"/>
      <c r="T1430" s="92"/>
      <c r="U1430" s="92"/>
      <c r="V1430" s="92"/>
      <c r="W1430" s="92"/>
      <c r="X1430" s="92"/>
      <c r="Y1430" s="92"/>
      <c r="Z1430" s="92"/>
      <c r="AA1430" s="92"/>
      <c r="AB1430" s="92"/>
      <c r="AC1430" s="92"/>
      <c r="AD1430" s="93">
        <v>0.84</v>
      </c>
      <c r="AE1430" s="92"/>
      <c r="AF1430" s="92"/>
      <c r="AG1430" s="93">
        <v>45.98</v>
      </c>
      <c r="AH1430" s="93">
        <v>0</v>
      </c>
    </row>
    <row r="1431" spans="1:34" ht="15.75" thickBot="1" x14ac:dyDescent="0.3">
      <c r="A1431" s="90" t="s">
        <v>1018</v>
      </c>
      <c r="B1431" s="90" t="s">
        <v>50</v>
      </c>
      <c r="C1431" s="90" t="s">
        <v>881</v>
      </c>
      <c r="D1431" s="90" t="s">
        <v>662</v>
      </c>
      <c r="E1431" s="90" t="s">
        <v>198</v>
      </c>
      <c r="F1431" s="90" t="s">
        <v>697</v>
      </c>
      <c r="G1431" s="95">
        <v>45.14</v>
      </c>
      <c r="H1431" s="94"/>
      <c r="I1431" s="94"/>
      <c r="J1431" s="94"/>
      <c r="K1431" s="94"/>
      <c r="L1431" s="94"/>
      <c r="M1431" s="94"/>
      <c r="N1431" s="94"/>
      <c r="O1431" s="95">
        <v>45.14</v>
      </c>
      <c r="P1431" s="94"/>
      <c r="Q1431" s="94"/>
      <c r="R1431" s="94"/>
      <c r="S1431" s="94"/>
      <c r="T1431" s="94"/>
      <c r="U1431" s="94"/>
      <c r="V1431" s="94"/>
      <c r="W1431" s="94"/>
      <c r="X1431" s="94"/>
      <c r="Y1431" s="94"/>
      <c r="Z1431" s="94"/>
      <c r="AA1431" s="94"/>
      <c r="AB1431" s="94"/>
      <c r="AC1431" s="94"/>
      <c r="AD1431" s="95">
        <v>0.84</v>
      </c>
      <c r="AE1431" s="94"/>
      <c r="AF1431" s="94"/>
      <c r="AG1431" s="95">
        <v>45.98</v>
      </c>
      <c r="AH1431" s="95">
        <v>0</v>
      </c>
    </row>
    <row r="1432" spans="1:34" ht="15.75" thickBot="1" x14ac:dyDescent="0.3">
      <c r="A1432" s="90" t="s">
        <v>1018</v>
      </c>
      <c r="B1432" s="90" t="s">
        <v>50</v>
      </c>
      <c r="C1432" s="90" t="s">
        <v>881</v>
      </c>
      <c r="D1432" s="90" t="s">
        <v>662</v>
      </c>
      <c r="E1432" s="90" t="s">
        <v>525</v>
      </c>
      <c r="F1432" s="90" t="s">
        <v>690</v>
      </c>
      <c r="G1432" s="93">
        <v>-1021.38</v>
      </c>
      <c r="H1432" s="92"/>
      <c r="I1432" s="92"/>
      <c r="J1432" s="92"/>
      <c r="K1432" s="92"/>
      <c r="L1432" s="92"/>
      <c r="M1432" s="92"/>
      <c r="N1432" s="92"/>
      <c r="O1432" s="92"/>
      <c r="P1432" s="92"/>
      <c r="Q1432" s="92"/>
      <c r="R1432" s="93">
        <v>-1021.38</v>
      </c>
      <c r="S1432" s="92"/>
      <c r="T1432" s="92"/>
      <c r="U1432" s="92"/>
      <c r="V1432" s="92"/>
      <c r="W1432" s="92"/>
      <c r="X1432" s="92"/>
      <c r="Y1432" s="92"/>
      <c r="Z1432" s="92"/>
      <c r="AA1432" s="92"/>
      <c r="AB1432" s="92"/>
      <c r="AC1432" s="92"/>
      <c r="AD1432" s="93">
        <v>-30.64</v>
      </c>
      <c r="AE1432" s="92"/>
      <c r="AF1432" s="92"/>
      <c r="AG1432" s="93">
        <v>-1052.02</v>
      </c>
      <c r="AH1432" s="93">
        <v>0</v>
      </c>
    </row>
    <row r="1433" spans="1:34" ht="15.75" thickBot="1" x14ac:dyDescent="0.3">
      <c r="A1433" s="90" t="s">
        <v>1018</v>
      </c>
      <c r="B1433" s="90" t="s">
        <v>50</v>
      </c>
      <c r="C1433" s="90" t="s">
        <v>881</v>
      </c>
      <c r="D1433" s="90" t="s">
        <v>662</v>
      </c>
      <c r="E1433" s="90" t="s">
        <v>525</v>
      </c>
      <c r="F1433" s="90" t="s">
        <v>697</v>
      </c>
      <c r="G1433" s="95">
        <v>-1021.38</v>
      </c>
      <c r="H1433" s="94"/>
      <c r="I1433" s="94"/>
      <c r="J1433" s="94"/>
      <c r="K1433" s="94"/>
      <c r="L1433" s="94"/>
      <c r="M1433" s="94"/>
      <c r="N1433" s="94"/>
      <c r="O1433" s="94"/>
      <c r="P1433" s="94"/>
      <c r="Q1433" s="94"/>
      <c r="R1433" s="95">
        <v>-1021.38</v>
      </c>
      <c r="S1433" s="94"/>
      <c r="T1433" s="94"/>
      <c r="U1433" s="94"/>
      <c r="V1433" s="94"/>
      <c r="W1433" s="94"/>
      <c r="X1433" s="94"/>
      <c r="Y1433" s="94"/>
      <c r="Z1433" s="94"/>
      <c r="AA1433" s="94"/>
      <c r="AB1433" s="94"/>
      <c r="AC1433" s="94"/>
      <c r="AD1433" s="95">
        <v>-30.64</v>
      </c>
      <c r="AE1433" s="94"/>
      <c r="AF1433" s="94"/>
      <c r="AG1433" s="95">
        <v>-1052.02</v>
      </c>
      <c r="AH1433" s="95">
        <v>0</v>
      </c>
    </row>
    <row r="1434" spans="1:34" ht="15.75" thickBot="1" x14ac:dyDescent="0.3">
      <c r="A1434" s="90" t="s">
        <v>1018</v>
      </c>
      <c r="B1434" s="90" t="s">
        <v>50</v>
      </c>
      <c r="C1434" s="90" t="s">
        <v>881</v>
      </c>
      <c r="D1434" s="90" t="s">
        <v>662</v>
      </c>
      <c r="E1434" s="90" t="s">
        <v>518</v>
      </c>
      <c r="F1434" s="90" t="s">
        <v>522</v>
      </c>
      <c r="G1434" s="93">
        <v>3406.62</v>
      </c>
      <c r="H1434" s="93">
        <v>79187</v>
      </c>
      <c r="I1434" s="92"/>
      <c r="J1434" s="92"/>
      <c r="K1434" s="93">
        <v>3406.62</v>
      </c>
      <c r="L1434" s="92"/>
      <c r="M1434" s="92"/>
      <c r="N1434" s="92"/>
      <c r="O1434" s="92"/>
      <c r="P1434" s="92"/>
      <c r="Q1434" s="92"/>
      <c r="R1434" s="92"/>
      <c r="S1434" s="92"/>
      <c r="T1434" s="92"/>
      <c r="U1434" s="92"/>
      <c r="V1434" s="92"/>
      <c r="W1434" s="92"/>
      <c r="X1434" s="92"/>
      <c r="Y1434" s="92"/>
      <c r="Z1434" s="92"/>
      <c r="AA1434" s="92"/>
      <c r="AB1434" s="92"/>
      <c r="AC1434" s="92"/>
      <c r="AD1434" s="93">
        <v>63.47</v>
      </c>
      <c r="AE1434" s="92"/>
      <c r="AF1434" s="92"/>
      <c r="AG1434" s="93">
        <v>3470.09</v>
      </c>
      <c r="AH1434" s="93">
        <v>0</v>
      </c>
    </row>
    <row r="1435" spans="1:34" ht="15.75" thickBot="1" x14ac:dyDescent="0.3">
      <c r="A1435" s="90" t="s">
        <v>1018</v>
      </c>
      <c r="B1435" s="90" t="s">
        <v>50</v>
      </c>
      <c r="C1435" s="90" t="s">
        <v>881</v>
      </c>
      <c r="D1435" s="90" t="s">
        <v>662</v>
      </c>
      <c r="E1435" s="90" t="s">
        <v>518</v>
      </c>
      <c r="F1435" s="90" t="s">
        <v>697</v>
      </c>
      <c r="G1435" s="95">
        <v>3406.62</v>
      </c>
      <c r="H1435" s="305">
        <v>79187</v>
      </c>
      <c r="I1435" s="94"/>
      <c r="J1435" s="94"/>
      <c r="K1435" s="95">
        <v>3406.62</v>
      </c>
      <c r="L1435" s="94"/>
      <c r="M1435" s="94"/>
      <c r="N1435" s="94"/>
      <c r="O1435" s="94"/>
      <c r="P1435" s="94"/>
      <c r="Q1435" s="94"/>
      <c r="R1435" s="94"/>
      <c r="S1435" s="94"/>
      <c r="T1435" s="94"/>
      <c r="U1435" s="94"/>
      <c r="V1435" s="94"/>
      <c r="W1435" s="94"/>
      <c r="X1435" s="94"/>
      <c r="Y1435" s="94"/>
      <c r="Z1435" s="94"/>
      <c r="AA1435" s="94"/>
      <c r="AB1435" s="94"/>
      <c r="AC1435" s="94"/>
      <c r="AD1435" s="95">
        <v>63.47</v>
      </c>
      <c r="AE1435" s="94"/>
      <c r="AF1435" s="94"/>
      <c r="AG1435" s="95">
        <v>3470.09</v>
      </c>
      <c r="AH1435" s="95">
        <v>0</v>
      </c>
    </row>
    <row r="1436" spans="1:34" ht="15.75" thickBot="1" x14ac:dyDescent="0.3">
      <c r="A1436" s="90" t="s">
        <v>1018</v>
      </c>
      <c r="B1436" s="90" t="s">
        <v>50</v>
      </c>
      <c r="C1436" s="90" t="s">
        <v>881</v>
      </c>
      <c r="D1436" s="90" t="s">
        <v>662</v>
      </c>
      <c r="E1436" s="90" t="s">
        <v>527</v>
      </c>
      <c r="F1436" s="90" t="s">
        <v>690</v>
      </c>
      <c r="G1436" s="93">
        <v>105.64</v>
      </c>
      <c r="H1436" s="92"/>
      <c r="I1436" s="92"/>
      <c r="J1436" s="92"/>
      <c r="K1436" s="92"/>
      <c r="L1436" s="92"/>
      <c r="M1436" s="92"/>
      <c r="N1436" s="92"/>
      <c r="O1436" s="92"/>
      <c r="P1436" s="92"/>
      <c r="Q1436" s="92"/>
      <c r="R1436" s="92"/>
      <c r="S1436" s="93">
        <v>105.64</v>
      </c>
      <c r="T1436" s="92"/>
      <c r="U1436" s="92"/>
      <c r="V1436" s="92"/>
      <c r="W1436" s="92"/>
      <c r="X1436" s="92"/>
      <c r="Y1436" s="92"/>
      <c r="Z1436" s="92"/>
      <c r="AA1436" s="92"/>
      <c r="AB1436" s="92"/>
      <c r="AC1436" s="92"/>
      <c r="AD1436" s="93">
        <v>3.17</v>
      </c>
      <c r="AE1436" s="92"/>
      <c r="AF1436" s="92"/>
      <c r="AG1436" s="93">
        <v>108.81</v>
      </c>
      <c r="AH1436" s="93">
        <v>0</v>
      </c>
    </row>
    <row r="1437" spans="1:34" ht="15.75" thickBot="1" x14ac:dyDescent="0.3">
      <c r="A1437" s="90" t="s">
        <v>1018</v>
      </c>
      <c r="B1437" s="90" t="s">
        <v>50</v>
      </c>
      <c r="C1437" s="90" t="s">
        <v>881</v>
      </c>
      <c r="D1437" s="90" t="s">
        <v>662</v>
      </c>
      <c r="E1437" s="90" t="s">
        <v>527</v>
      </c>
      <c r="F1437" s="90" t="s">
        <v>697</v>
      </c>
      <c r="G1437" s="95">
        <v>105.64</v>
      </c>
      <c r="H1437" s="94"/>
      <c r="I1437" s="94"/>
      <c r="J1437" s="94"/>
      <c r="K1437" s="94"/>
      <c r="L1437" s="94"/>
      <c r="M1437" s="94"/>
      <c r="N1437" s="94"/>
      <c r="O1437" s="94"/>
      <c r="P1437" s="94"/>
      <c r="Q1437" s="94"/>
      <c r="R1437" s="94"/>
      <c r="S1437" s="95">
        <v>105.64</v>
      </c>
      <c r="T1437" s="94"/>
      <c r="U1437" s="94"/>
      <c r="V1437" s="94"/>
      <c r="W1437" s="94"/>
      <c r="X1437" s="94"/>
      <c r="Y1437" s="94"/>
      <c r="Z1437" s="94"/>
      <c r="AA1437" s="94"/>
      <c r="AB1437" s="94"/>
      <c r="AC1437" s="94"/>
      <c r="AD1437" s="95">
        <v>3.17</v>
      </c>
      <c r="AE1437" s="94"/>
      <c r="AF1437" s="94"/>
      <c r="AG1437" s="95">
        <v>108.81</v>
      </c>
      <c r="AH1437" s="95">
        <v>0</v>
      </c>
    </row>
    <row r="1438" spans="1:34" ht="15.75" thickBot="1" x14ac:dyDescent="0.3">
      <c r="A1438" s="90" t="s">
        <v>1018</v>
      </c>
      <c r="B1438" s="90" t="s">
        <v>50</v>
      </c>
      <c r="C1438" s="90" t="s">
        <v>881</v>
      </c>
      <c r="D1438" s="90" t="s">
        <v>662</v>
      </c>
      <c r="E1438" s="90" t="s">
        <v>671</v>
      </c>
      <c r="F1438" s="90" t="s">
        <v>522</v>
      </c>
      <c r="G1438" s="93">
        <v>72.83</v>
      </c>
      <c r="H1438" s="92"/>
      <c r="I1438" s="92"/>
      <c r="J1438" s="92"/>
      <c r="K1438" s="92"/>
      <c r="L1438" s="93">
        <v>72.83</v>
      </c>
      <c r="M1438" s="92"/>
      <c r="N1438" s="92"/>
      <c r="O1438" s="92"/>
      <c r="P1438" s="92"/>
      <c r="Q1438" s="92"/>
      <c r="R1438" s="92"/>
      <c r="S1438" s="92"/>
      <c r="T1438" s="92"/>
      <c r="U1438" s="92"/>
      <c r="V1438" s="92"/>
      <c r="W1438" s="92"/>
      <c r="X1438" s="92"/>
      <c r="Y1438" s="92"/>
      <c r="Z1438" s="92"/>
      <c r="AA1438" s="92"/>
      <c r="AB1438" s="92"/>
      <c r="AC1438" s="92"/>
      <c r="AD1438" s="93">
        <v>0</v>
      </c>
      <c r="AE1438" s="92"/>
      <c r="AF1438" s="92"/>
      <c r="AG1438" s="93">
        <v>72.83</v>
      </c>
      <c r="AH1438" s="93">
        <v>0</v>
      </c>
    </row>
    <row r="1439" spans="1:34" ht="15.75" thickBot="1" x14ac:dyDescent="0.3">
      <c r="A1439" s="90" t="s">
        <v>1018</v>
      </c>
      <c r="B1439" s="90" t="s">
        <v>50</v>
      </c>
      <c r="C1439" s="90" t="s">
        <v>881</v>
      </c>
      <c r="D1439" s="90" t="s">
        <v>662</v>
      </c>
      <c r="E1439" s="90" t="s">
        <v>671</v>
      </c>
      <c r="F1439" s="90" t="s">
        <v>697</v>
      </c>
      <c r="G1439" s="95">
        <v>72.83</v>
      </c>
      <c r="H1439" s="94"/>
      <c r="I1439" s="94"/>
      <c r="J1439" s="94"/>
      <c r="K1439" s="94"/>
      <c r="L1439" s="95">
        <v>72.83</v>
      </c>
      <c r="M1439" s="94"/>
      <c r="N1439" s="94"/>
      <c r="O1439" s="94"/>
      <c r="P1439" s="94"/>
      <c r="Q1439" s="94"/>
      <c r="R1439" s="94"/>
      <c r="S1439" s="94"/>
      <c r="T1439" s="94"/>
      <c r="U1439" s="94"/>
      <c r="V1439" s="94"/>
      <c r="W1439" s="94"/>
      <c r="X1439" s="94"/>
      <c r="Y1439" s="94"/>
      <c r="Z1439" s="94"/>
      <c r="AA1439" s="94"/>
      <c r="AB1439" s="94"/>
      <c r="AC1439" s="94"/>
      <c r="AD1439" s="95">
        <v>0</v>
      </c>
      <c r="AE1439" s="94"/>
      <c r="AF1439" s="94"/>
      <c r="AG1439" s="95">
        <v>72.83</v>
      </c>
      <c r="AH1439" s="95">
        <v>0</v>
      </c>
    </row>
    <row r="1440" spans="1:34" ht="15.75" thickBot="1" x14ac:dyDescent="0.3">
      <c r="A1440" s="90" t="s">
        <v>1018</v>
      </c>
      <c r="B1440" s="90" t="s">
        <v>50</v>
      </c>
      <c r="C1440" s="90" t="s">
        <v>881</v>
      </c>
      <c r="D1440" s="90" t="s">
        <v>662</v>
      </c>
      <c r="E1440" s="90" t="s">
        <v>524</v>
      </c>
      <c r="F1440" s="90" t="s">
        <v>522</v>
      </c>
      <c r="G1440" s="93">
        <v>1100</v>
      </c>
      <c r="H1440" s="92"/>
      <c r="I1440" s="93">
        <v>1100</v>
      </c>
      <c r="J1440" s="92"/>
      <c r="K1440" s="92"/>
      <c r="L1440" s="92"/>
      <c r="M1440" s="92"/>
      <c r="N1440" s="92"/>
      <c r="O1440" s="92"/>
      <c r="P1440" s="92"/>
      <c r="Q1440" s="92"/>
      <c r="R1440" s="92"/>
      <c r="S1440" s="92"/>
      <c r="T1440" s="92"/>
      <c r="U1440" s="92"/>
      <c r="V1440" s="92"/>
      <c r="W1440" s="92"/>
      <c r="X1440" s="92"/>
      <c r="Y1440" s="92"/>
      <c r="Z1440" s="92"/>
      <c r="AA1440" s="92"/>
      <c r="AB1440" s="92"/>
      <c r="AC1440" s="92"/>
      <c r="AD1440" s="93">
        <v>16.5</v>
      </c>
      <c r="AE1440" s="92"/>
      <c r="AF1440" s="92"/>
      <c r="AG1440" s="93">
        <v>1116.5</v>
      </c>
      <c r="AH1440" s="93">
        <v>0</v>
      </c>
    </row>
    <row r="1441" spans="1:34" ht="15.75" thickBot="1" x14ac:dyDescent="0.3">
      <c r="A1441" s="90" t="s">
        <v>1018</v>
      </c>
      <c r="B1441" s="90" t="s">
        <v>50</v>
      </c>
      <c r="C1441" s="90" t="s">
        <v>881</v>
      </c>
      <c r="D1441" s="90" t="s">
        <v>662</v>
      </c>
      <c r="E1441" s="90" t="s">
        <v>524</v>
      </c>
      <c r="F1441" s="90" t="s">
        <v>697</v>
      </c>
      <c r="G1441" s="95">
        <v>1100</v>
      </c>
      <c r="H1441" s="94"/>
      <c r="I1441" s="95">
        <v>1100</v>
      </c>
      <c r="J1441" s="94"/>
      <c r="K1441" s="94"/>
      <c r="L1441" s="94"/>
      <c r="M1441" s="94"/>
      <c r="N1441" s="94"/>
      <c r="O1441" s="94"/>
      <c r="P1441" s="94"/>
      <c r="Q1441" s="94"/>
      <c r="R1441" s="94"/>
      <c r="S1441" s="94"/>
      <c r="T1441" s="94"/>
      <c r="U1441" s="94"/>
      <c r="V1441" s="94"/>
      <c r="W1441" s="94"/>
      <c r="X1441" s="94"/>
      <c r="Y1441" s="94"/>
      <c r="Z1441" s="94"/>
      <c r="AA1441" s="94"/>
      <c r="AB1441" s="94"/>
      <c r="AC1441" s="94"/>
      <c r="AD1441" s="95">
        <v>16.5</v>
      </c>
      <c r="AE1441" s="94"/>
      <c r="AF1441" s="94"/>
      <c r="AG1441" s="95">
        <v>1116.5</v>
      </c>
      <c r="AH1441" s="95">
        <v>0</v>
      </c>
    </row>
    <row r="1442" spans="1:34" ht="15.75" thickBot="1" x14ac:dyDescent="0.3">
      <c r="A1442" s="90" t="s">
        <v>1018</v>
      </c>
      <c r="B1442" s="90" t="s">
        <v>50</v>
      </c>
      <c r="C1442" s="90" t="s">
        <v>881</v>
      </c>
      <c r="D1442" s="90" t="s">
        <v>662</v>
      </c>
      <c r="E1442" s="90" t="s">
        <v>676</v>
      </c>
      <c r="F1442" s="90" t="s">
        <v>522</v>
      </c>
      <c r="G1442" s="93">
        <v>101.03</v>
      </c>
      <c r="H1442" s="92"/>
      <c r="I1442" s="92"/>
      <c r="J1442" s="92"/>
      <c r="K1442" s="92"/>
      <c r="L1442" s="92"/>
      <c r="M1442" s="92"/>
      <c r="N1442" s="92"/>
      <c r="O1442" s="92"/>
      <c r="P1442" s="92"/>
      <c r="Q1442" s="92"/>
      <c r="R1442" s="92"/>
      <c r="S1442" s="92"/>
      <c r="T1442" s="92"/>
      <c r="U1442" s="93">
        <v>101.03</v>
      </c>
      <c r="V1442" s="92"/>
      <c r="W1442" s="92"/>
      <c r="X1442" s="92"/>
      <c r="Y1442" s="92"/>
      <c r="Z1442" s="92"/>
      <c r="AA1442" s="92"/>
      <c r="AB1442" s="92"/>
      <c r="AC1442" s="92"/>
      <c r="AD1442" s="93">
        <v>3.03</v>
      </c>
      <c r="AE1442" s="92"/>
      <c r="AF1442" s="92"/>
      <c r="AG1442" s="93">
        <v>104.06</v>
      </c>
      <c r="AH1442" s="93">
        <v>0</v>
      </c>
    </row>
    <row r="1443" spans="1:34" ht="15.75" thickBot="1" x14ac:dyDescent="0.3">
      <c r="A1443" s="90" t="s">
        <v>1018</v>
      </c>
      <c r="B1443" s="90" t="s">
        <v>50</v>
      </c>
      <c r="C1443" s="90" t="s">
        <v>881</v>
      </c>
      <c r="D1443" s="90" t="s">
        <v>662</v>
      </c>
      <c r="E1443" s="90" t="s">
        <v>676</v>
      </c>
      <c r="F1443" s="90" t="s">
        <v>697</v>
      </c>
      <c r="G1443" s="95">
        <v>101.03</v>
      </c>
      <c r="H1443" s="94"/>
      <c r="I1443" s="94"/>
      <c r="J1443" s="94"/>
      <c r="K1443" s="94"/>
      <c r="L1443" s="94"/>
      <c r="M1443" s="94"/>
      <c r="N1443" s="94"/>
      <c r="O1443" s="94"/>
      <c r="P1443" s="94"/>
      <c r="Q1443" s="94"/>
      <c r="R1443" s="94"/>
      <c r="S1443" s="94"/>
      <c r="T1443" s="94"/>
      <c r="U1443" s="95">
        <v>101.03</v>
      </c>
      <c r="V1443" s="94"/>
      <c r="W1443" s="94"/>
      <c r="X1443" s="94"/>
      <c r="Y1443" s="94"/>
      <c r="Z1443" s="94"/>
      <c r="AA1443" s="94"/>
      <c r="AB1443" s="94"/>
      <c r="AC1443" s="94"/>
      <c r="AD1443" s="95">
        <v>3.03</v>
      </c>
      <c r="AE1443" s="94"/>
      <c r="AF1443" s="94"/>
      <c r="AG1443" s="95">
        <v>104.06</v>
      </c>
      <c r="AH1443" s="95">
        <v>0</v>
      </c>
    </row>
    <row r="1444" spans="1:34" ht="15.75" thickBot="1" x14ac:dyDescent="0.3">
      <c r="A1444" s="90" t="s">
        <v>1018</v>
      </c>
      <c r="B1444" s="90" t="s">
        <v>50</v>
      </c>
      <c r="C1444" s="90" t="s">
        <v>881</v>
      </c>
      <c r="D1444" s="90" t="s">
        <v>662</v>
      </c>
      <c r="E1444" s="90" t="s">
        <v>677</v>
      </c>
      <c r="F1444" s="90" t="s">
        <v>522</v>
      </c>
      <c r="G1444" s="93">
        <v>110.7</v>
      </c>
      <c r="H1444" s="92"/>
      <c r="I1444" s="92"/>
      <c r="J1444" s="92"/>
      <c r="K1444" s="92"/>
      <c r="L1444" s="92"/>
      <c r="M1444" s="92"/>
      <c r="N1444" s="92"/>
      <c r="O1444" s="92"/>
      <c r="P1444" s="92"/>
      <c r="Q1444" s="92"/>
      <c r="R1444" s="92"/>
      <c r="S1444" s="92"/>
      <c r="T1444" s="92"/>
      <c r="U1444" s="92"/>
      <c r="V1444" s="93">
        <v>110.7</v>
      </c>
      <c r="W1444" s="92"/>
      <c r="X1444" s="92"/>
      <c r="Y1444" s="92"/>
      <c r="Z1444" s="92"/>
      <c r="AA1444" s="92"/>
      <c r="AB1444" s="92"/>
      <c r="AC1444" s="92"/>
      <c r="AD1444" s="93">
        <v>3.32</v>
      </c>
      <c r="AE1444" s="92"/>
      <c r="AF1444" s="92"/>
      <c r="AG1444" s="93">
        <v>114.02</v>
      </c>
      <c r="AH1444" s="93">
        <v>0</v>
      </c>
    </row>
    <row r="1445" spans="1:34" ht="15.75" thickBot="1" x14ac:dyDescent="0.3">
      <c r="A1445" s="90" t="s">
        <v>1018</v>
      </c>
      <c r="B1445" s="90" t="s">
        <v>50</v>
      </c>
      <c r="C1445" s="90" t="s">
        <v>881</v>
      </c>
      <c r="D1445" s="90" t="s">
        <v>662</v>
      </c>
      <c r="E1445" s="90" t="s">
        <v>677</v>
      </c>
      <c r="F1445" s="90" t="s">
        <v>697</v>
      </c>
      <c r="G1445" s="95">
        <v>110.7</v>
      </c>
      <c r="H1445" s="94"/>
      <c r="I1445" s="94"/>
      <c r="J1445" s="94"/>
      <c r="K1445" s="94"/>
      <c r="L1445" s="94"/>
      <c r="M1445" s="94"/>
      <c r="N1445" s="94"/>
      <c r="O1445" s="94"/>
      <c r="P1445" s="94"/>
      <c r="Q1445" s="94"/>
      <c r="R1445" s="94"/>
      <c r="S1445" s="94"/>
      <c r="T1445" s="94"/>
      <c r="U1445" s="94"/>
      <c r="V1445" s="95">
        <v>110.7</v>
      </c>
      <c r="W1445" s="94"/>
      <c r="X1445" s="94"/>
      <c r="Y1445" s="94"/>
      <c r="Z1445" s="94"/>
      <c r="AA1445" s="94"/>
      <c r="AB1445" s="94"/>
      <c r="AC1445" s="94"/>
      <c r="AD1445" s="95">
        <v>3.32</v>
      </c>
      <c r="AE1445" s="94"/>
      <c r="AF1445" s="94"/>
      <c r="AG1445" s="95">
        <v>114.02</v>
      </c>
      <c r="AH1445" s="95">
        <v>0</v>
      </c>
    </row>
    <row r="1446" spans="1:34" ht="15.75" thickBot="1" x14ac:dyDescent="0.3">
      <c r="A1446" s="90" t="s">
        <v>1018</v>
      </c>
      <c r="B1446" s="90" t="s">
        <v>878</v>
      </c>
      <c r="C1446" s="90" t="s">
        <v>879</v>
      </c>
      <c r="D1446" s="90" t="s">
        <v>21</v>
      </c>
      <c r="E1446" s="90" t="s">
        <v>528</v>
      </c>
      <c r="F1446" s="90" t="s">
        <v>686</v>
      </c>
      <c r="G1446" s="93">
        <v>24260</v>
      </c>
      <c r="H1446" s="92"/>
      <c r="I1446" s="93">
        <v>24260</v>
      </c>
      <c r="J1446" s="92"/>
      <c r="K1446" s="92"/>
      <c r="L1446" s="92"/>
      <c r="M1446" s="92"/>
      <c r="N1446" s="92"/>
      <c r="O1446" s="92"/>
      <c r="P1446" s="92"/>
      <c r="Q1446" s="92"/>
      <c r="R1446" s="92"/>
      <c r="S1446" s="92"/>
      <c r="T1446" s="92"/>
      <c r="U1446" s="92"/>
      <c r="V1446" s="92"/>
      <c r="W1446" s="92"/>
      <c r="X1446" s="92"/>
      <c r="Y1446" s="92"/>
      <c r="Z1446" s="92"/>
      <c r="AA1446" s="92"/>
      <c r="AB1446" s="92"/>
      <c r="AC1446" s="92"/>
      <c r="AD1446" s="93">
        <v>1367.25</v>
      </c>
      <c r="AE1446" s="92"/>
      <c r="AF1446" s="92"/>
      <c r="AG1446" s="93">
        <v>25627.25</v>
      </c>
      <c r="AH1446" s="93">
        <v>0</v>
      </c>
    </row>
    <row r="1447" spans="1:34" ht="15.75" thickBot="1" x14ac:dyDescent="0.3">
      <c r="A1447" s="90" t="s">
        <v>1018</v>
      </c>
      <c r="B1447" s="90" t="s">
        <v>878</v>
      </c>
      <c r="C1447" s="90" t="s">
        <v>879</v>
      </c>
      <c r="D1447" s="90" t="s">
        <v>21</v>
      </c>
      <c r="E1447" s="90" t="s">
        <v>528</v>
      </c>
      <c r="F1447" s="90" t="s">
        <v>697</v>
      </c>
      <c r="G1447" s="95">
        <v>24260</v>
      </c>
      <c r="H1447" s="94"/>
      <c r="I1447" s="95">
        <v>24260</v>
      </c>
      <c r="J1447" s="94"/>
      <c r="K1447" s="94"/>
      <c r="L1447" s="94"/>
      <c r="M1447" s="94"/>
      <c r="N1447" s="94"/>
      <c r="O1447" s="94"/>
      <c r="P1447" s="94"/>
      <c r="Q1447" s="94"/>
      <c r="R1447" s="94"/>
      <c r="S1447" s="94"/>
      <c r="T1447" s="94"/>
      <c r="U1447" s="94"/>
      <c r="V1447" s="94"/>
      <c r="W1447" s="94"/>
      <c r="X1447" s="94"/>
      <c r="Y1447" s="94"/>
      <c r="Z1447" s="94"/>
      <c r="AA1447" s="94"/>
      <c r="AB1447" s="94"/>
      <c r="AC1447" s="94"/>
      <c r="AD1447" s="95">
        <v>1367.25</v>
      </c>
      <c r="AE1447" s="94"/>
      <c r="AF1447" s="94"/>
      <c r="AG1447" s="95">
        <v>25627.25</v>
      </c>
      <c r="AH1447" s="95">
        <v>0</v>
      </c>
    </row>
    <row r="1448" spans="1:34" ht="15.75" thickBot="1" x14ac:dyDescent="0.3">
      <c r="A1448" s="90" t="s">
        <v>1018</v>
      </c>
      <c r="B1448" s="90" t="s">
        <v>878</v>
      </c>
      <c r="C1448" s="90" t="s">
        <v>879</v>
      </c>
      <c r="D1448" s="90" t="s">
        <v>21</v>
      </c>
      <c r="E1448" s="90" t="s">
        <v>518</v>
      </c>
      <c r="F1448" s="90" t="s">
        <v>686</v>
      </c>
      <c r="G1448" s="93">
        <v>118308.08</v>
      </c>
      <c r="H1448" s="93">
        <v>643155</v>
      </c>
      <c r="I1448" s="92"/>
      <c r="J1448" s="92"/>
      <c r="K1448" s="93">
        <v>118308.08</v>
      </c>
      <c r="L1448" s="92"/>
      <c r="M1448" s="92"/>
      <c r="N1448" s="92"/>
      <c r="O1448" s="92"/>
      <c r="P1448" s="92"/>
      <c r="Q1448" s="92"/>
      <c r="R1448" s="92"/>
      <c r="S1448" s="92"/>
      <c r="T1448" s="92"/>
      <c r="U1448" s="92"/>
      <c r="V1448" s="92"/>
      <c r="W1448" s="92"/>
      <c r="X1448" s="92"/>
      <c r="Y1448" s="92"/>
      <c r="Z1448" s="92"/>
      <c r="AA1448" s="92"/>
      <c r="AB1448" s="92"/>
      <c r="AC1448" s="92"/>
      <c r="AD1448" s="93">
        <v>6378.94</v>
      </c>
      <c r="AE1448" s="92"/>
      <c r="AF1448" s="92"/>
      <c r="AG1448" s="93">
        <v>124687.02</v>
      </c>
      <c r="AH1448" s="93">
        <v>0</v>
      </c>
    </row>
    <row r="1449" spans="1:34" ht="15.75" thickBot="1" x14ac:dyDescent="0.3">
      <c r="A1449" s="90" t="s">
        <v>1018</v>
      </c>
      <c r="B1449" s="90" t="s">
        <v>878</v>
      </c>
      <c r="C1449" s="90" t="s">
        <v>879</v>
      </c>
      <c r="D1449" s="90" t="s">
        <v>21</v>
      </c>
      <c r="E1449" s="90" t="s">
        <v>518</v>
      </c>
      <c r="F1449" s="90" t="s">
        <v>697</v>
      </c>
      <c r="G1449" s="95">
        <v>118308.08</v>
      </c>
      <c r="H1449" s="305">
        <v>643155</v>
      </c>
      <c r="I1449" s="94"/>
      <c r="J1449" s="94"/>
      <c r="K1449" s="95">
        <v>118308.08</v>
      </c>
      <c r="L1449" s="94"/>
      <c r="M1449" s="94"/>
      <c r="N1449" s="94"/>
      <c r="O1449" s="94"/>
      <c r="P1449" s="94"/>
      <c r="Q1449" s="94"/>
      <c r="R1449" s="94"/>
      <c r="S1449" s="94"/>
      <c r="T1449" s="94"/>
      <c r="U1449" s="94"/>
      <c r="V1449" s="94"/>
      <c r="W1449" s="94"/>
      <c r="X1449" s="94"/>
      <c r="Y1449" s="94"/>
      <c r="Z1449" s="94"/>
      <c r="AA1449" s="94"/>
      <c r="AB1449" s="94"/>
      <c r="AC1449" s="94"/>
      <c r="AD1449" s="95">
        <v>6378.94</v>
      </c>
      <c r="AE1449" s="94"/>
      <c r="AF1449" s="94"/>
      <c r="AG1449" s="95">
        <v>124687.02</v>
      </c>
      <c r="AH1449" s="95">
        <v>0</v>
      </c>
    </row>
    <row r="1450" spans="1:34" ht="15.75" thickBot="1" x14ac:dyDescent="0.3">
      <c r="A1450" s="90" t="s">
        <v>1018</v>
      </c>
      <c r="B1450" s="90" t="s">
        <v>878</v>
      </c>
      <c r="C1450" s="90" t="s">
        <v>879</v>
      </c>
      <c r="D1450" s="90" t="s">
        <v>21</v>
      </c>
      <c r="E1450" s="90" t="s">
        <v>673</v>
      </c>
      <c r="F1450" s="90" t="s">
        <v>686</v>
      </c>
      <c r="G1450" s="93">
        <v>56579.72</v>
      </c>
      <c r="H1450" s="92"/>
      <c r="I1450" s="92"/>
      <c r="J1450" s="92"/>
      <c r="K1450" s="92"/>
      <c r="L1450" s="92"/>
      <c r="M1450" s="92"/>
      <c r="N1450" s="92"/>
      <c r="O1450" s="92"/>
      <c r="P1450" s="92"/>
      <c r="Q1450" s="92"/>
      <c r="R1450" s="92"/>
      <c r="S1450" s="92"/>
      <c r="T1450" s="92"/>
      <c r="U1450" s="92"/>
      <c r="V1450" s="92"/>
      <c r="W1450" s="92"/>
      <c r="X1450" s="93">
        <v>56579.72</v>
      </c>
      <c r="Y1450" s="92"/>
      <c r="Z1450" s="92"/>
      <c r="AA1450" s="92"/>
      <c r="AB1450" s="92"/>
      <c r="AC1450" s="92"/>
      <c r="AD1450" s="93">
        <v>3238.54</v>
      </c>
      <c r="AE1450" s="92"/>
      <c r="AF1450" s="92"/>
      <c r="AG1450" s="93">
        <v>59818.26</v>
      </c>
      <c r="AH1450" s="93">
        <v>0</v>
      </c>
    </row>
    <row r="1451" spans="1:34" ht="15.75" thickBot="1" x14ac:dyDescent="0.3">
      <c r="A1451" s="90" t="s">
        <v>1018</v>
      </c>
      <c r="B1451" s="90" t="s">
        <v>878</v>
      </c>
      <c r="C1451" s="90" t="s">
        <v>879</v>
      </c>
      <c r="D1451" s="90" t="s">
        <v>21</v>
      </c>
      <c r="E1451" s="90" t="s">
        <v>673</v>
      </c>
      <c r="F1451" s="90" t="s">
        <v>697</v>
      </c>
      <c r="G1451" s="95">
        <v>56579.72</v>
      </c>
      <c r="H1451" s="94"/>
      <c r="I1451" s="94"/>
      <c r="J1451" s="94"/>
      <c r="K1451" s="94"/>
      <c r="L1451" s="94"/>
      <c r="M1451" s="94"/>
      <c r="N1451" s="94"/>
      <c r="O1451" s="94"/>
      <c r="P1451" s="94"/>
      <c r="Q1451" s="94"/>
      <c r="R1451" s="94"/>
      <c r="S1451" s="94"/>
      <c r="T1451" s="94"/>
      <c r="U1451" s="94"/>
      <c r="V1451" s="94"/>
      <c r="W1451" s="94"/>
      <c r="X1451" s="95">
        <v>56579.72</v>
      </c>
      <c r="Y1451" s="94"/>
      <c r="Z1451" s="94"/>
      <c r="AA1451" s="94"/>
      <c r="AB1451" s="94"/>
      <c r="AC1451" s="94"/>
      <c r="AD1451" s="95">
        <v>3238.54</v>
      </c>
      <c r="AE1451" s="94"/>
      <c r="AF1451" s="94"/>
      <c r="AG1451" s="95">
        <v>59818.26</v>
      </c>
      <c r="AH1451" s="95">
        <v>0</v>
      </c>
    </row>
    <row r="1452" spans="1:34" ht="15.75" thickBot="1" x14ac:dyDescent="0.3">
      <c r="A1452" s="90" t="s">
        <v>1018</v>
      </c>
      <c r="B1452" s="90" t="s">
        <v>878</v>
      </c>
      <c r="C1452" s="90" t="s">
        <v>879</v>
      </c>
      <c r="D1452" s="90" t="s">
        <v>21</v>
      </c>
      <c r="E1452" s="90" t="s">
        <v>196</v>
      </c>
      <c r="F1452" s="90" t="s">
        <v>686</v>
      </c>
      <c r="G1452" s="93">
        <v>225945.22</v>
      </c>
      <c r="H1452" s="92"/>
      <c r="I1452" s="92"/>
      <c r="J1452" s="92"/>
      <c r="K1452" s="92"/>
      <c r="L1452" s="92"/>
      <c r="M1452" s="92"/>
      <c r="N1452" s="92"/>
      <c r="O1452" s="92"/>
      <c r="P1452" s="93">
        <v>225945.22</v>
      </c>
      <c r="Q1452" s="92"/>
      <c r="R1452" s="92"/>
      <c r="S1452" s="92"/>
      <c r="T1452" s="92"/>
      <c r="U1452" s="92"/>
      <c r="V1452" s="92"/>
      <c r="W1452" s="92"/>
      <c r="X1452" s="92"/>
      <c r="Y1452" s="92"/>
      <c r="Z1452" s="92"/>
      <c r="AA1452" s="92"/>
      <c r="AB1452" s="92"/>
      <c r="AC1452" s="92"/>
      <c r="AD1452" s="93">
        <v>12190.26</v>
      </c>
      <c r="AE1452" s="92"/>
      <c r="AF1452" s="92"/>
      <c r="AG1452" s="93">
        <v>238135.48</v>
      </c>
      <c r="AH1452" s="93">
        <v>0</v>
      </c>
    </row>
    <row r="1453" spans="1:34" ht="15.75" thickBot="1" x14ac:dyDescent="0.3">
      <c r="A1453" s="90" t="s">
        <v>1018</v>
      </c>
      <c r="B1453" s="90" t="s">
        <v>878</v>
      </c>
      <c r="C1453" s="90" t="s">
        <v>879</v>
      </c>
      <c r="D1453" s="90" t="s">
        <v>21</v>
      </c>
      <c r="E1453" s="90" t="s">
        <v>196</v>
      </c>
      <c r="F1453" s="90" t="s">
        <v>697</v>
      </c>
      <c r="G1453" s="95">
        <v>225945.22</v>
      </c>
      <c r="H1453" s="94"/>
      <c r="I1453" s="94"/>
      <c r="J1453" s="94"/>
      <c r="K1453" s="94"/>
      <c r="L1453" s="94"/>
      <c r="M1453" s="94"/>
      <c r="N1453" s="94"/>
      <c r="O1453" s="94"/>
      <c r="P1453" s="95">
        <v>225945.22</v>
      </c>
      <c r="Q1453" s="94"/>
      <c r="R1453" s="94"/>
      <c r="S1453" s="94"/>
      <c r="T1453" s="94"/>
      <c r="U1453" s="94"/>
      <c r="V1453" s="94"/>
      <c r="W1453" s="94"/>
      <c r="X1453" s="94"/>
      <c r="Y1453" s="94"/>
      <c r="Z1453" s="94"/>
      <c r="AA1453" s="94"/>
      <c r="AB1453" s="94"/>
      <c r="AC1453" s="94"/>
      <c r="AD1453" s="95">
        <v>12190.26</v>
      </c>
      <c r="AE1453" s="94"/>
      <c r="AF1453" s="94"/>
      <c r="AG1453" s="95">
        <v>238135.48</v>
      </c>
      <c r="AH1453" s="95">
        <v>0</v>
      </c>
    </row>
    <row r="1454" spans="1:34" ht="15.75" thickBot="1" x14ac:dyDescent="0.3">
      <c r="A1454" s="90" t="s">
        <v>1018</v>
      </c>
      <c r="B1454" s="90" t="s">
        <v>878</v>
      </c>
      <c r="C1454" s="90" t="s">
        <v>879</v>
      </c>
      <c r="D1454" s="90" t="s">
        <v>17</v>
      </c>
      <c r="E1454" s="90" t="s">
        <v>528</v>
      </c>
      <c r="F1454" s="90" t="s">
        <v>686</v>
      </c>
      <c r="G1454" s="93">
        <v>1540</v>
      </c>
      <c r="H1454" s="92"/>
      <c r="I1454" s="93">
        <v>1540</v>
      </c>
      <c r="J1454" s="92"/>
      <c r="K1454" s="92"/>
      <c r="L1454" s="92"/>
      <c r="M1454" s="92"/>
      <c r="N1454" s="92"/>
      <c r="O1454" s="92"/>
      <c r="P1454" s="92"/>
      <c r="Q1454" s="92"/>
      <c r="R1454" s="92"/>
      <c r="S1454" s="92"/>
      <c r="T1454" s="92"/>
      <c r="U1454" s="92"/>
      <c r="V1454" s="92"/>
      <c r="W1454" s="92"/>
      <c r="X1454" s="92"/>
      <c r="Y1454" s="92"/>
      <c r="Z1454" s="92"/>
      <c r="AA1454" s="92"/>
      <c r="AB1454" s="92"/>
      <c r="AC1454" s="92"/>
      <c r="AD1454" s="93">
        <v>87.32</v>
      </c>
      <c r="AE1454" s="92"/>
      <c r="AF1454" s="92"/>
      <c r="AG1454" s="93">
        <v>1627.32</v>
      </c>
      <c r="AH1454" s="93">
        <v>0</v>
      </c>
    </row>
    <row r="1455" spans="1:34" ht="15.75" thickBot="1" x14ac:dyDescent="0.3">
      <c r="A1455" s="90" t="s">
        <v>1018</v>
      </c>
      <c r="B1455" s="90" t="s">
        <v>878</v>
      </c>
      <c r="C1455" s="90" t="s">
        <v>879</v>
      </c>
      <c r="D1455" s="90" t="s">
        <v>17</v>
      </c>
      <c r="E1455" s="90" t="s">
        <v>528</v>
      </c>
      <c r="F1455" s="90" t="s">
        <v>697</v>
      </c>
      <c r="G1455" s="95">
        <v>1540</v>
      </c>
      <c r="H1455" s="94"/>
      <c r="I1455" s="95">
        <v>1540</v>
      </c>
      <c r="J1455" s="94"/>
      <c r="K1455" s="94"/>
      <c r="L1455" s="94"/>
      <c r="M1455" s="94"/>
      <c r="N1455" s="94"/>
      <c r="O1455" s="94"/>
      <c r="P1455" s="94"/>
      <c r="Q1455" s="94"/>
      <c r="R1455" s="94"/>
      <c r="S1455" s="94"/>
      <c r="T1455" s="94"/>
      <c r="U1455" s="94"/>
      <c r="V1455" s="94"/>
      <c r="W1455" s="94"/>
      <c r="X1455" s="94"/>
      <c r="Y1455" s="94"/>
      <c r="Z1455" s="94"/>
      <c r="AA1455" s="94"/>
      <c r="AB1455" s="94"/>
      <c r="AC1455" s="94"/>
      <c r="AD1455" s="95">
        <v>87.32</v>
      </c>
      <c r="AE1455" s="94"/>
      <c r="AF1455" s="94"/>
      <c r="AG1455" s="95">
        <v>1627.32</v>
      </c>
      <c r="AH1455" s="95">
        <v>0</v>
      </c>
    </row>
    <row r="1456" spans="1:34" ht="15.75" thickBot="1" x14ac:dyDescent="0.3">
      <c r="A1456" s="90" t="s">
        <v>1018</v>
      </c>
      <c r="B1456" s="90" t="s">
        <v>878</v>
      </c>
      <c r="C1456" s="90" t="s">
        <v>879</v>
      </c>
      <c r="D1456" s="90" t="s">
        <v>17</v>
      </c>
      <c r="E1456" s="90" t="s">
        <v>518</v>
      </c>
      <c r="F1456" s="90" t="s">
        <v>686</v>
      </c>
      <c r="G1456" s="93">
        <v>4530.72</v>
      </c>
      <c r="H1456" s="93">
        <v>23783</v>
      </c>
      <c r="I1456" s="92"/>
      <c r="J1456" s="92"/>
      <c r="K1456" s="93">
        <v>4530.72</v>
      </c>
      <c r="L1456" s="92"/>
      <c r="M1456" s="92"/>
      <c r="N1456" s="92"/>
      <c r="O1456" s="92"/>
      <c r="P1456" s="92"/>
      <c r="Q1456" s="92"/>
      <c r="R1456" s="92"/>
      <c r="S1456" s="92"/>
      <c r="T1456" s="92"/>
      <c r="U1456" s="92"/>
      <c r="V1456" s="92"/>
      <c r="W1456" s="92"/>
      <c r="X1456" s="92"/>
      <c r="Y1456" s="92"/>
      <c r="Z1456" s="92"/>
      <c r="AA1456" s="92"/>
      <c r="AB1456" s="92"/>
      <c r="AC1456" s="92"/>
      <c r="AD1456" s="93">
        <v>210.35</v>
      </c>
      <c r="AE1456" s="92"/>
      <c r="AF1456" s="92"/>
      <c r="AG1456" s="93">
        <v>4741.07</v>
      </c>
      <c r="AH1456" s="93">
        <v>0</v>
      </c>
    </row>
    <row r="1457" spans="1:34" ht="15.75" thickBot="1" x14ac:dyDescent="0.3">
      <c r="A1457" s="90" t="s">
        <v>1018</v>
      </c>
      <c r="B1457" s="90" t="s">
        <v>878</v>
      </c>
      <c r="C1457" s="90" t="s">
        <v>879</v>
      </c>
      <c r="D1457" s="90" t="s">
        <v>17</v>
      </c>
      <c r="E1457" s="90" t="s">
        <v>518</v>
      </c>
      <c r="F1457" s="90" t="s">
        <v>697</v>
      </c>
      <c r="G1457" s="95">
        <v>4530.72</v>
      </c>
      <c r="H1457" s="305">
        <v>23783</v>
      </c>
      <c r="I1457" s="94"/>
      <c r="J1457" s="94"/>
      <c r="K1457" s="95">
        <v>4530.72</v>
      </c>
      <c r="L1457" s="94"/>
      <c r="M1457" s="94"/>
      <c r="N1457" s="94"/>
      <c r="O1457" s="94"/>
      <c r="P1457" s="94"/>
      <c r="Q1457" s="94"/>
      <c r="R1457" s="94"/>
      <c r="S1457" s="94"/>
      <c r="T1457" s="94"/>
      <c r="U1457" s="94"/>
      <c r="V1457" s="94"/>
      <c r="W1457" s="94"/>
      <c r="X1457" s="94"/>
      <c r="Y1457" s="94"/>
      <c r="Z1457" s="94"/>
      <c r="AA1457" s="94"/>
      <c r="AB1457" s="94"/>
      <c r="AC1457" s="94"/>
      <c r="AD1457" s="95">
        <v>210.35</v>
      </c>
      <c r="AE1457" s="94"/>
      <c r="AF1457" s="94"/>
      <c r="AG1457" s="95">
        <v>4741.07</v>
      </c>
      <c r="AH1457" s="95">
        <v>0</v>
      </c>
    </row>
    <row r="1458" spans="1:34" ht="15.75" thickBot="1" x14ac:dyDescent="0.3">
      <c r="A1458" s="90" t="s">
        <v>1018</v>
      </c>
      <c r="B1458" s="90" t="s">
        <v>878</v>
      </c>
      <c r="C1458" s="90" t="s">
        <v>879</v>
      </c>
      <c r="D1458" s="90" t="s">
        <v>17</v>
      </c>
      <c r="E1458" s="90" t="s">
        <v>673</v>
      </c>
      <c r="F1458" s="90" t="s">
        <v>686</v>
      </c>
      <c r="G1458" s="93">
        <v>5450.34</v>
      </c>
      <c r="H1458" s="92"/>
      <c r="I1458" s="92"/>
      <c r="J1458" s="92"/>
      <c r="K1458" s="92"/>
      <c r="L1458" s="92"/>
      <c r="M1458" s="92"/>
      <c r="N1458" s="92"/>
      <c r="O1458" s="92"/>
      <c r="P1458" s="92"/>
      <c r="Q1458" s="92"/>
      <c r="R1458" s="92"/>
      <c r="S1458" s="92"/>
      <c r="T1458" s="92"/>
      <c r="U1458" s="92"/>
      <c r="V1458" s="92"/>
      <c r="W1458" s="92"/>
      <c r="X1458" s="93">
        <v>5450.34</v>
      </c>
      <c r="Y1458" s="92"/>
      <c r="Z1458" s="92"/>
      <c r="AA1458" s="92"/>
      <c r="AB1458" s="92"/>
      <c r="AC1458" s="92"/>
      <c r="AD1458" s="93">
        <v>319.70999999999998</v>
      </c>
      <c r="AE1458" s="92"/>
      <c r="AF1458" s="92"/>
      <c r="AG1458" s="93">
        <v>5770.05</v>
      </c>
      <c r="AH1458" s="93">
        <v>0</v>
      </c>
    </row>
    <row r="1459" spans="1:34" ht="15.75" thickBot="1" x14ac:dyDescent="0.3">
      <c r="A1459" s="90" t="s">
        <v>1018</v>
      </c>
      <c r="B1459" s="90" t="s">
        <v>878</v>
      </c>
      <c r="C1459" s="90" t="s">
        <v>879</v>
      </c>
      <c r="D1459" s="90" t="s">
        <v>17</v>
      </c>
      <c r="E1459" s="90" t="s">
        <v>673</v>
      </c>
      <c r="F1459" s="90" t="s">
        <v>697</v>
      </c>
      <c r="G1459" s="95">
        <v>5450.34</v>
      </c>
      <c r="H1459" s="94"/>
      <c r="I1459" s="94"/>
      <c r="J1459" s="94"/>
      <c r="K1459" s="94"/>
      <c r="L1459" s="94"/>
      <c r="M1459" s="94"/>
      <c r="N1459" s="94"/>
      <c r="O1459" s="94"/>
      <c r="P1459" s="94"/>
      <c r="Q1459" s="94"/>
      <c r="R1459" s="94"/>
      <c r="S1459" s="94"/>
      <c r="T1459" s="94"/>
      <c r="U1459" s="94"/>
      <c r="V1459" s="94"/>
      <c r="W1459" s="94"/>
      <c r="X1459" s="95">
        <v>5450.34</v>
      </c>
      <c r="Y1459" s="94"/>
      <c r="Z1459" s="94"/>
      <c r="AA1459" s="94"/>
      <c r="AB1459" s="94"/>
      <c r="AC1459" s="94"/>
      <c r="AD1459" s="95">
        <v>319.70999999999998</v>
      </c>
      <c r="AE1459" s="94"/>
      <c r="AF1459" s="94"/>
      <c r="AG1459" s="95">
        <v>5770.05</v>
      </c>
      <c r="AH1459" s="95">
        <v>0</v>
      </c>
    </row>
    <row r="1460" spans="1:34" ht="15.75" thickBot="1" x14ac:dyDescent="0.3">
      <c r="A1460" s="90" t="s">
        <v>1018</v>
      </c>
      <c r="B1460" s="90" t="s">
        <v>878</v>
      </c>
      <c r="C1460" s="90" t="s">
        <v>879</v>
      </c>
      <c r="D1460" s="90" t="s">
        <v>17</v>
      </c>
      <c r="E1460" s="90" t="s">
        <v>196</v>
      </c>
      <c r="F1460" s="90" t="s">
        <v>686</v>
      </c>
      <c r="G1460" s="93">
        <v>8354.9699999999993</v>
      </c>
      <c r="H1460" s="92"/>
      <c r="I1460" s="92"/>
      <c r="J1460" s="92"/>
      <c r="K1460" s="92"/>
      <c r="L1460" s="92"/>
      <c r="M1460" s="92"/>
      <c r="N1460" s="92"/>
      <c r="O1460" s="92"/>
      <c r="P1460" s="93">
        <v>8354.9699999999993</v>
      </c>
      <c r="Q1460" s="92"/>
      <c r="R1460" s="92"/>
      <c r="S1460" s="92"/>
      <c r="T1460" s="92"/>
      <c r="U1460" s="92"/>
      <c r="V1460" s="92"/>
      <c r="W1460" s="92"/>
      <c r="X1460" s="92"/>
      <c r="Y1460" s="92"/>
      <c r="Z1460" s="92"/>
      <c r="AA1460" s="92"/>
      <c r="AB1460" s="92"/>
      <c r="AC1460" s="92"/>
      <c r="AD1460" s="93">
        <v>382.58</v>
      </c>
      <c r="AE1460" s="92"/>
      <c r="AF1460" s="92"/>
      <c r="AG1460" s="93">
        <v>8737.5499999999993</v>
      </c>
      <c r="AH1460" s="93">
        <v>0</v>
      </c>
    </row>
    <row r="1461" spans="1:34" ht="15.75" thickBot="1" x14ac:dyDescent="0.3">
      <c r="A1461" s="90" t="s">
        <v>1018</v>
      </c>
      <c r="B1461" s="90" t="s">
        <v>878</v>
      </c>
      <c r="C1461" s="90" t="s">
        <v>879</v>
      </c>
      <c r="D1461" s="90" t="s">
        <v>17</v>
      </c>
      <c r="E1461" s="90" t="s">
        <v>196</v>
      </c>
      <c r="F1461" s="90" t="s">
        <v>697</v>
      </c>
      <c r="G1461" s="95">
        <v>8354.9699999999993</v>
      </c>
      <c r="H1461" s="94"/>
      <c r="I1461" s="94"/>
      <c r="J1461" s="94"/>
      <c r="K1461" s="94"/>
      <c r="L1461" s="94"/>
      <c r="M1461" s="94"/>
      <c r="N1461" s="94"/>
      <c r="O1461" s="94"/>
      <c r="P1461" s="95">
        <v>8354.9699999999993</v>
      </c>
      <c r="Q1461" s="94"/>
      <c r="R1461" s="94"/>
      <c r="S1461" s="94"/>
      <c r="T1461" s="94"/>
      <c r="U1461" s="94"/>
      <c r="V1461" s="94"/>
      <c r="W1461" s="94"/>
      <c r="X1461" s="94"/>
      <c r="Y1461" s="94"/>
      <c r="Z1461" s="94"/>
      <c r="AA1461" s="94"/>
      <c r="AB1461" s="94"/>
      <c r="AC1461" s="94"/>
      <c r="AD1461" s="95">
        <v>382.58</v>
      </c>
      <c r="AE1461" s="94"/>
      <c r="AF1461" s="94"/>
      <c r="AG1461" s="95">
        <v>8737.5499999999993</v>
      </c>
      <c r="AH1461" s="95">
        <v>0</v>
      </c>
    </row>
    <row r="1462" spans="1:34" ht="15.75" thickBot="1" x14ac:dyDescent="0.3">
      <c r="A1462" s="90" t="s">
        <v>1018</v>
      </c>
      <c r="B1462" s="90" t="s">
        <v>872</v>
      </c>
      <c r="C1462" s="90" t="s">
        <v>873</v>
      </c>
      <c r="D1462" s="90" t="s">
        <v>21</v>
      </c>
      <c r="E1462" s="90" t="s">
        <v>528</v>
      </c>
      <c r="F1462" s="90" t="s">
        <v>686</v>
      </c>
      <c r="G1462" s="93">
        <v>800</v>
      </c>
      <c r="H1462" s="92"/>
      <c r="I1462" s="93">
        <v>800</v>
      </c>
      <c r="J1462" s="92"/>
      <c r="K1462" s="92"/>
      <c r="L1462" s="92"/>
      <c r="M1462" s="92"/>
      <c r="N1462" s="92"/>
      <c r="O1462" s="92"/>
      <c r="P1462" s="92"/>
      <c r="Q1462" s="92"/>
      <c r="R1462" s="92"/>
      <c r="S1462" s="92"/>
      <c r="T1462" s="92"/>
      <c r="U1462" s="92"/>
      <c r="V1462" s="92"/>
      <c r="W1462" s="92"/>
      <c r="X1462" s="92"/>
      <c r="Y1462" s="92"/>
      <c r="Z1462" s="92"/>
      <c r="AA1462" s="92"/>
      <c r="AB1462" s="92"/>
      <c r="AC1462" s="92"/>
      <c r="AD1462" s="93">
        <v>0</v>
      </c>
      <c r="AE1462" s="92"/>
      <c r="AF1462" s="92"/>
      <c r="AG1462" s="93">
        <v>800</v>
      </c>
      <c r="AH1462" s="93">
        <v>0</v>
      </c>
    </row>
    <row r="1463" spans="1:34" ht="15.75" thickBot="1" x14ac:dyDescent="0.3">
      <c r="A1463" s="90" t="s">
        <v>1018</v>
      </c>
      <c r="B1463" s="90" t="s">
        <v>872</v>
      </c>
      <c r="C1463" s="90" t="s">
        <v>873</v>
      </c>
      <c r="D1463" s="90" t="s">
        <v>21</v>
      </c>
      <c r="E1463" s="90" t="s">
        <v>528</v>
      </c>
      <c r="F1463" s="90" t="s">
        <v>697</v>
      </c>
      <c r="G1463" s="95">
        <v>800</v>
      </c>
      <c r="H1463" s="94"/>
      <c r="I1463" s="95">
        <v>800</v>
      </c>
      <c r="J1463" s="94"/>
      <c r="K1463" s="94"/>
      <c r="L1463" s="94"/>
      <c r="M1463" s="94"/>
      <c r="N1463" s="94"/>
      <c r="O1463" s="94"/>
      <c r="P1463" s="94"/>
      <c r="Q1463" s="94"/>
      <c r="R1463" s="94"/>
      <c r="S1463" s="94"/>
      <c r="T1463" s="94"/>
      <c r="U1463" s="94"/>
      <c r="V1463" s="94"/>
      <c r="W1463" s="94"/>
      <c r="X1463" s="94"/>
      <c r="Y1463" s="94"/>
      <c r="Z1463" s="94"/>
      <c r="AA1463" s="94"/>
      <c r="AB1463" s="94"/>
      <c r="AC1463" s="94"/>
      <c r="AD1463" s="95">
        <v>0</v>
      </c>
      <c r="AE1463" s="94"/>
      <c r="AF1463" s="94"/>
      <c r="AG1463" s="95">
        <v>800</v>
      </c>
      <c r="AH1463" s="95">
        <v>0</v>
      </c>
    </row>
    <row r="1464" spans="1:34" ht="15.75" thickBot="1" x14ac:dyDescent="0.3">
      <c r="A1464" s="90" t="s">
        <v>1018</v>
      </c>
      <c r="B1464" s="90" t="s">
        <v>872</v>
      </c>
      <c r="C1464" s="90" t="s">
        <v>873</v>
      </c>
      <c r="D1464" s="90" t="s">
        <v>21</v>
      </c>
      <c r="E1464" s="90" t="s">
        <v>518</v>
      </c>
      <c r="F1464" s="90" t="s">
        <v>686</v>
      </c>
      <c r="G1464" s="93">
        <v>2456.37</v>
      </c>
      <c r="H1464" s="93">
        <v>35046</v>
      </c>
      <c r="I1464" s="92"/>
      <c r="J1464" s="92"/>
      <c r="K1464" s="93">
        <v>2456.37</v>
      </c>
      <c r="L1464" s="92"/>
      <c r="M1464" s="92"/>
      <c r="N1464" s="92"/>
      <c r="O1464" s="92"/>
      <c r="P1464" s="92"/>
      <c r="Q1464" s="92"/>
      <c r="R1464" s="92"/>
      <c r="S1464" s="92"/>
      <c r="T1464" s="92"/>
      <c r="U1464" s="92"/>
      <c r="V1464" s="92"/>
      <c r="W1464" s="92"/>
      <c r="X1464" s="92"/>
      <c r="Y1464" s="92"/>
      <c r="Z1464" s="92"/>
      <c r="AA1464" s="92"/>
      <c r="AB1464" s="92"/>
      <c r="AC1464" s="92"/>
      <c r="AD1464" s="93">
        <v>0</v>
      </c>
      <c r="AE1464" s="92"/>
      <c r="AF1464" s="92"/>
      <c r="AG1464" s="93">
        <v>2456.37</v>
      </c>
      <c r="AH1464" s="93">
        <v>0</v>
      </c>
    </row>
    <row r="1465" spans="1:34" ht="15.75" thickBot="1" x14ac:dyDescent="0.3">
      <c r="A1465" s="90" t="s">
        <v>1018</v>
      </c>
      <c r="B1465" s="90" t="s">
        <v>872</v>
      </c>
      <c r="C1465" s="90" t="s">
        <v>873</v>
      </c>
      <c r="D1465" s="90" t="s">
        <v>21</v>
      </c>
      <c r="E1465" s="90" t="s">
        <v>518</v>
      </c>
      <c r="F1465" s="90" t="s">
        <v>697</v>
      </c>
      <c r="G1465" s="95">
        <v>2456.37</v>
      </c>
      <c r="H1465" s="305">
        <v>35046</v>
      </c>
      <c r="I1465" s="94"/>
      <c r="J1465" s="94"/>
      <c r="K1465" s="95">
        <v>2456.37</v>
      </c>
      <c r="L1465" s="94"/>
      <c r="M1465" s="94"/>
      <c r="N1465" s="94"/>
      <c r="O1465" s="94"/>
      <c r="P1465" s="94"/>
      <c r="Q1465" s="94"/>
      <c r="R1465" s="94"/>
      <c r="S1465" s="94"/>
      <c r="T1465" s="94"/>
      <c r="U1465" s="94"/>
      <c r="V1465" s="94"/>
      <c r="W1465" s="94"/>
      <c r="X1465" s="94"/>
      <c r="Y1465" s="94"/>
      <c r="Z1465" s="94"/>
      <c r="AA1465" s="94"/>
      <c r="AB1465" s="94"/>
      <c r="AC1465" s="94"/>
      <c r="AD1465" s="95">
        <v>0</v>
      </c>
      <c r="AE1465" s="94"/>
      <c r="AF1465" s="94"/>
      <c r="AG1465" s="95">
        <v>2456.37</v>
      </c>
      <c r="AH1465" s="95">
        <v>0</v>
      </c>
    </row>
    <row r="1466" spans="1:34" ht="15.75" thickBot="1" x14ac:dyDescent="0.3">
      <c r="A1466" s="90" t="s">
        <v>1018</v>
      </c>
      <c r="B1466" s="90" t="s">
        <v>872</v>
      </c>
      <c r="C1466" s="90" t="s">
        <v>873</v>
      </c>
      <c r="D1466" s="90" t="s">
        <v>21</v>
      </c>
      <c r="E1466" s="90" t="s">
        <v>673</v>
      </c>
      <c r="F1466" s="90" t="s">
        <v>686</v>
      </c>
      <c r="G1466" s="93">
        <v>5677.74</v>
      </c>
      <c r="H1466" s="92"/>
      <c r="I1466" s="92"/>
      <c r="J1466" s="92"/>
      <c r="K1466" s="92"/>
      <c r="L1466" s="92"/>
      <c r="M1466" s="92"/>
      <c r="N1466" s="92"/>
      <c r="O1466" s="92"/>
      <c r="P1466" s="92"/>
      <c r="Q1466" s="92"/>
      <c r="R1466" s="92"/>
      <c r="S1466" s="92"/>
      <c r="T1466" s="92"/>
      <c r="U1466" s="92"/>
      <c r="V1466" s="92"/>
      <c r="W1466" s="92"/>
      <c r="X1466" s="93">
        <v>5677.74</v>
      </c>
      <c r="Y1466" s="92"/>
      <c r="Z1466" s="92"/>
      <c r="AA1466" s="92"/>
      <c r="AB1466" s="92"/>
      <c r="AC1466" s="92"/>
      <c r="AD1466" s="93">
        <v>0</v>
      </c>
      <c r="AE1466" s="92"/>
      <c r="AF1466" s="92"/>
      <c r="AG1466" s="93">
        <v>5677.74</v>
      </c>
      <c r="AH1466" s="93">
        <v>0</v>
      </c>
    </row>
    <row r="1467" spans="1:34" ht="15.75" thickBot="1" x14ac:dyDescent="0.3">
      <c r="A1467" s="90" t="s">
        <v>1018</v>
      </c>
      <c r="B1467" s="90" t="s">
        <v>872</v>
      </c>
      <c r="C1467" s="90" t="s">
        <v>873</v>
      </c>
      <c r="D1467" s="90" t="s">
        <v>21</v>
      </c>
      <c r="E1467" s="90" t="s">
        <v>673</v>
      </c>
      <c r="F1467" s="90" t="s">
        <v>697</v>
      </c>
      <c r="G1467" s="95">
        <v>5677.74</v>
      </c>
      <c r="H1467" s="94"/>
      <c r="I1467" s="94"/>
      <c r="J1467" s="94"/>
      <c r="K1467" s="94"/>
      <c r="L1467" s="94"/>
      <c r="M1467" s="94"/>
      <c r="N1467" s="94"/>
      <c r="O1467" s="94"/>
      <c r="P1467" s="94"/>
      <c r="Q1467" s="94"/>
      <c r="R1467" s="94"/>
      <c r="S1467" s="94"/>
      <c r="T1467" s="94"/>
      <c r="U1467" s="94"/>
      <c r="V1467" s="94"/>
      <c r="W1467" s="94"/>
      <c r="X1467" s="95">
        <v>5677.74</v>
      </c>
      <c r="Y1467" s="94"/>
      <c r="Z1467" s="94"/>
      <c r="AA1467" s="94"/>
      <c r="AB1467" s="94"/>
      <c r="AC1467" s="94"/>
      <c r="AD1467" s="95">
        <v>0</v>
      </c>
      <c r="AE1467" s="94"/>
      <c r="AF1467" s="94"/>
      <c r="AG1467" s="95">
        <v>5677.74</v>
      </c>
      <c r="AH1467" s="95">
        <v>0</v>
      </c>
    </row>
    <row r="1468" spans="1:34" ht="15.75" thickBot="1" x14ac:dyDescent="0.3">
      <c r="A1468" s="90" t="s">
        <v>1018</v>
      </c>
      <c r="B1468" s="90" t="s">
        <v>872</v>
      </c>
      <c r="C1468" s="90" t="s">
        <v>873</v>
      </c>
      <c r="D1468" s="90" t="s">
        <v>21</v>
      </c>
      <c r="E1468" s="90" t="s">
        <v>196</v>
      </c>
      <c r="F1468" s="90" t="s">
        <v>686</v>
      </c>
      <c r="G1468" s="93">
        <v>12311.66</v>
      </c>
      <c r="H1468" s="92"/>
      <c r="I1468" s="92"/>
      <c r="J1468" s="92"/>
      <c r="K1468" s="92"/>
      <c r="L1468" s="92"/>
      <c r="M1468" s="92"/>
      <c r="N1468" s="92"/>
      <c r="O1468" s="92"/>
      <c r="P1468" s="93">
        <v>12311.66</v>
      </c>
      <c r="Q1468" s="92"/>
      <c r="R1468" s="92"/>
      <c r="S1468" s="92"/>
      <c r="T1468" s="92"/>
      <c r="U1468" s="92"/>
      <c r="V1468" s="92"/>
      <c r="W1468" s="92"/>
      <c r="X1468" s="92"/>
      <c r="Y1468" s="92"/>
      <c r="Z1468" s="92"/>
      <c r="AA1468" s="92"/>
      <c r="AB1468" s="92"/>
      <c r="AC1468" s="92"/>
      <c r="AD1468" s="93">
        <v>0</v>
      </c>
      <c r="AE1468" s="92"/>
      <c r="AF1468" s="92"/>
      <c r="AG1468" s="93">
        <v>12311.66</v>
      </c>
      <c r="AH1468" s="93">
        <v>0</v>
      </c>
    </row>
    <row r="1469" spans="1:34" ht="15.75" thickBot="1" x14ac:dyDescent="0.3">
      <c r="A1469" s="90" t="s">
        <v>1018</v>
      </c>
      <c r="B1469" s="90" t="s">
        <v>872</v>
      </c>
      <c r="C1469" s="90" t="s">
        <v>873</v>
      </c>
      <c r="D1469" s="90" t="s">
        <v>21</v>
      </c>
      <c r="E1469" s="90" t="s">
        <v>196</v>
      </c>
      <c r="F1469" s="90" t="s">
        <v>697</v>
      </c>
      <c r="G1469" s="95">
        <v>12311.66</v>
      </c>
      <c r="H1469" s="94"/>
      <c r="I1469" s="94"/>
      <c r="J1469" s="94"/>
      <c r="K1469" s="94"/>
      <c r="L1469" s="94"/>
      <c r="M1469" s="94"/>
      <c r="N1469" s="94"/>
      <c r="O1469" s="94"/>
      <c r="P1469" s="95">
        <v>12311.66</v>
      </c>
      <c r="Q1469" s="94"/>
      <c r="R1469" s="94"/>
      <c r="S1469" s="94"/>
      <c r="T1469" s="94"/>
      <c r="U1469" s="94"/>
      <c r="V1469" s="94"/>
      <c r="W1469" s="94"/>
      <c r="X1469" s="94"/>
      <c r="Y1469" s="94"/>
      <c r="Z1469" s="94"/>
      <c r="AA1469" s="94"/>
      <c r="AB1469" s="94"/>
      <c r="AC1469" s="94"/>
      <c r="AD1469" s="95">
        <v>0</v>
      </c>
      <c r="AE1469" s="94"/>
      <c r="AF1469" s="94"/>
      <c r="AG1469" s="95">
        <v>12311.66</v>
      </c>
      <c r="AH1469" s="95">
        <v>0</v>
      </c>
    </row>
    <row r="1470" spans="1:34" ht="15.75" thickBot="1" x14ac:dyDescent="0.3">
      <c r="A1470" s="90" t="s">
        <v>1018</v>
      </c>
      <c r="B1470" s="90" t="s">
        <v>1001</v>
      </c>
      <c r="C1470" s="90" t="s">
        <v>1002</v>
      </c>
      <c r="D1470" s="90" t="s">
        <v>663</v>
      </c>
      <c r="E1470" s="90" t="s">
        <v>729</v>
      </c>
      <c r="F1470" s="90" t="s">
        <v>522</v>
      </c>
      <c r="G1470" s="93">
        <v>6019.87</v>
      </c>
      <c r="H1470" s="92"/>
      <c r="I1470" s="92"/>
      <c r="J1470" s="92"/>
      <c r="K1470" s="92"/>
      <c r="L1470" s="92"/>
      <c r="M1470" s="92"/>
      <c r="N1470" s="92"/>
      <c r="O1470" s="92"/>
      <c r="P1470" s="92"/>
      <c r="Q1470" s="93">
        <v>6019.87</v>
      </c>
      <c r="R1470" s="92"/>
      <c r="S1470" s="92"/>
      <c r="T1470" s="92"/>
      <c r="U1470" s="92"/>
      <c r="V1470" s="92"/>
      <c r="W1470" s="92"/>
      <c r="X1470" s="92"/>
      <c r="Y1470" s="92"/>
      <c r="Z1470" s="92"/>
      <c r="AA1470" s="92"/>
      <c r="AB1470" s="92"/>
      <c r="AC1470" s="92"/>
      <c r="AD1470" s="93">
        <v>41.29</v>
      </c>
      <c r="AE1470" s="92"/>
      <c r="AF1470" s="92"/>
      <c r="AG1470" s="93">
        <v>6061.16</v>
      </c>
      <c r="AH1470" s="93">
        <v>0</v>
      </c>
    </row>
    <row r="1471" spans="1:34" ht="15.75" thickBot="1" x14ac:dyDescent="0.3">
      <c r="A1471" s="90" t="s">
        <v>1018</v>
      </c>
      <c r="B1471" s="90" t="s">
        <v>1001</v>
      </c>
      <c r="C1471" s="90" t="s">
        <v>1002</v>
      </c>
      <c r="D1471" s="90" t="s">
        <v>663</v>
      </c>
      <c r="E1471" s="90" t="s">
        <v>729</v>
      </c>
      <c r="F1471" s="90" t="s">
        <v>697</v>
      </c>
      <c r="G1471" s="95">
        <v>6019.87</v>
      </c>
      <c r="H1471" s="94"/>
      <c r="I1471" s="94"/>
      <c r="J1471" s="94"/>
      <c r="K1471" s="94"/>
      <c r="L1471" s="94"/>
      <c r="M1471" s="94"/>
      <c r="N1471" s="94"/>
      <c r="O1471" s="94"/>
      <c r="P1471" s="94"/>
      <c r="Q1471" s="95">
        <v>6019.87</v>
      </c>
      <c r="R1471" s="94"/>
      <c r="S1471" s="94"/>
      <c r="T1471" s="94"/>
      <c r="U1471" s="94"/>
      <c r="V1471" s="94"/>
      <c r="W1471" s="94"/>
      <c r="X1471" s="94"/>
      <c r="Y1471" s="94"/>
      <c r="Z1471" s="94"/>
      <c r="AA1471" s="94"/>
      <c r="AB1471" s="94"/>
      <c r="AC1471" s="94"/>
      <c r="AD1471" s="95">
        <v>41.29</v>
      </c>
      <c r="AE1471" s="94"/>
      <c r="AF1471" s="94"/>
      <c r="AG1471" s="95">
        <v>6061.16</v>
      </c>
      <c r="AH1471" s="95">
        <v>0</v>
      </c>
    </row>
    <row r="1472" spans="1:34" ht="15.75" thickBot="1" x14ac:dyDescent="0.3">
      <c r="A1472" s="90" t="s">
        <v>1018</v>
      </c>
      <c r="B1472" s="90" t="s">
        <v>1001</v>
      </c>
      <c r="C1472" s="90" t="s">
        <v>1002</v>
      </c>
      <c r="D1472" s="90" t="s">
        <v>663</v>
      </c>
      <c r="E1472" s="90" t="s">
        <v>528</v>
      </c>
      <c r="F1472" s="90" t="s">
        <v>690</v>
      </c>
      <c r="G1472" s="93">
        <v>720</v>
      </c>
      <c r="H1472" s="92"/>
      <c r="I1472" s="93">
        <v>720</v>
      </c>
      <c r="J1472" s="92"/>
      <c r="K1472" s="92"/>
      <c r="L1472" s="92"/>
      <c r="M1472" s="92"/>
      <c r="N1472" s="92"/>
      <c r="O1472" s="92"/>
      <c r="P1472" s="92"/>
      <c r="Q1472" s="92"/>
      <c r="R1472" s="92"/>
      <c r="S1472" s="92"/>
      <c r="T1472" s="92"/>
      <c r="U1472" s="92"/>
      <c r="V1472" s="92"/>
      <c r="W1472" s="92"/>
      <c r="X1472" s="92"/>
      <c r="Y1472" s="92"/>
      <c r="Z1472" s="92"/>
      <c r="AA1472" s="92"/>
      <c r="AB1472" s="92"/>
      <c r="AC1472" s="92"/>
      <c r="AD1472" s="93">
        <v>16.2</v>
      </c>
      <c r="AE1472" s="92"/>
      <c r="AF1472" s="92"/>
      <c r="AG1472" s="93">
        <v>736.2</v>
      </c>
      <c r="AH1472" s="93">
        <v>0</v>
      </c>
    </row>
    <row r="1473" spans="1:34" ht="15.75" thickBot="1" x14ac:dyDescent="0.3">
      <c r="A1473" s="90" t="s">
        <v>1018</v>
      </c>
      <c r="B1473" s="90" t="s">
        <v>1001</v>
      </c>
      <c r="C1473" s="90" t="s">
        <v>1002</v>
      </c>
      <c r="D1473" s="90" t="s">
        <v>663</v>
      </c>
      <c r="E1473" s="90" t="s">
        <v>528</v>
      </c>
      <c r="F1473" s="90" t="s">
        <v>697</v>
      </c>
      <c r="G1473" s="95">
        <v>720</v>
      </c>
      <c r="H1473" s="94"/>
      <c r="I1473" s="95">
        <v>720</v>
      </c>
      <c r="J1473" s="94"/>
      <c r="K1473" s="94"/>
      <c r="L1473" s="94"/>
      <c r="M1473" s="94"/>
      <c r="N1473" s="94"/>
      <c r="O1473" s="94"/>
      <c r="P1473" s="94"/>
      <c r="Q1473" s="94"/>
      <c r="R1473" s="94"/>
      <c r="S1473" s="94"/>
      <c r="T1473" s="94"/>
      <c r="U1473" s="94"/>
      <c r="V1473" s="94"/>
      <c r="W1473" s="94"/>
      <c r="X1473" s="94"/>
      <c r="Y1473" s="94"/>
      <c r="Z1473" s="94"/>
      <c r="AA1473" s="94"/>
      <c r="AB1473" s="94"/>
      <c r="AC1473" s="94"/>
      <c r="AD1473" s="95">
        <v>16.2</v>
      </c>
      <c r="AE1473" s="94"/>
      <c r="AF1473" s="94"/>
      <c r="AG1473" s="95">
        <v>736.2</v>
      </c>
      <c r="AH1473" s="95">
        <v>0</v>
      </c>
    </row>
    <row r="1474" spans="1:34" ht="15.75" thickBot="1" x14ac:dyDescent="0.3">
      <c r="A1474" s="90" t="s">
        <v>1018</v>
      </c>
      <c r="B1474" s="90" t="s">
        <v>1001</v>
      </c>
      <c r="C1474" s="90" t="s">
        <v>1002</v>
      </c>
      <c r="D1474" s="90" t="s">
        <v>663</v>
      </c>
      <c r="E1474" s="90" t="s">
        <v>518</v>
      </c>
      <c r="F1474" s="90" t="s">
        <v>522</v>
      </c>
      <c r="G1474" s="93">
        <v>61485.99</v>
      </c>
      <c r="H1474" s="93">
        <v>344710</v>
      </c>
      <c r="I1474" s="92"/>
      <c r="J1474" s="92"/>
      <c r="K1474" s="93">
        <v>61485.99</v>
      </c>
      <c r="L1474" s="92"/>
      <c r="M1474" s="92"/>
      <c r="N1474" s="92"/>
      <c r="O1474" s="92"/>
      <c r="P1474" s="92"/>
      <c r="Q1474" s="92"/>
      <c r="R1474" s="92"/>
      <c r="S1474" s="92"/>
      <c r="T1474" s="92"/>
      <c r="U1474" s="92"/>
      <c r="V1474" s="92"/>
      <c r="W1474" s="92"/>
      <c r="X1474" s="92"/>
      <c r="Y1474" s="92"/>
      <c r="Z1474" s="92"/>
      <c r="AA1474" s="92"/>
      <c r="AB1474" s="92"/>
      <c r="AC1474" s="92"/>
      <c r="AD1474" s="93">
        <v>924.67</v>
      </c>
      <c r="AE1474" s="92"/>
      <c r="AF1474" s="92"/>
      <c r="AG1474" s="93">
        <v>62410.66</v>
      </c>
      <c r="AH1474" s="93">
        <v>0</v>
      </c>
    </row>
    <row r="1475" spans="1:34" ht="15.75" thickBot="1" x14ac:dyDescent="0.3">
      <c r="A1475" s="90" t="s">
        <v>1018</v>
      </c>
      <c r="B1475" s="90" t="s">
        <v>1001</v>
      </c>
      <c r="C1475" s="90" t="s">
        <v>1002</v>
      </c>
      <c r="D1475" s="90" t="s">
        <v>663</v>
      </c>
      <c r="E1475" s="90" t="s">
        <v>518</v>
      </c>
      <c r="F1475" s="90" t="s">
        <v>697</v>
      </c>
      <c r="G1475" s="95">
        <v>61485.99</v>
      </c>
      <c r="H1475" s="305">
        <v>344710</v>
      </c>
      <c r="I1475" s="94"/>
      <c r="J1475" s="94"/>
      <c r="K1475" s="95">
        <v>61485.99</v>
      </c>
      <c r="L1475" s="94"/>
      <c r="M1475" s="94"/>
      <c r="N1475" s="94"/>
      <c r="O1475" s="94"/>
      <c r="P1475" s="94"/>
      <c r="Q1475" s="94"/>
      <c r="R1475" s="94"/>
      <c r="S1475" s="94"/>
      <c r="T1475" s="94"/>
      <c r="U1475" s="94"/>
      <c r="V1475" s="94"/>
      <c r="W1475" s="94"/>
      <c r="X1475" s="94"/>
      <c r="Y1475" s="94"/>
      <c r="Z1475" s="94"/>
      <c r="AA1475" s="94"/>
      <c r="AB1475" s="94"/>
      <c r="AC1475" s="94"/>
      <c r="AD1475" s="95">
        <v>924.67</v>
      </c>
      <c r="AE1475" s="94"/>
      <c r="AF1475" s="94"/>
      <c r="AG1475" s="95">
        <v>62410.66</v>
      </c>
      <c r="AH1475" s="95">
        <v>0</v>
      </c>
    </row>
    <row r="1476" spans="1:34" ht="15.75" thickBot="1" x14ac:dyDescent="0.3">
      <c r="A1476" s="90" t="s">
        <v>1018</v>
      </c>
      <c r="B1476" s="90" t="s">
        <v>1001</v>
      </c>
      <c r="C1476" s="90" t="s">
        <v>1002</v>
      </c>
      <c r="D1476" s="90" t="s">
        <v>663</v>
      </c>
      <c r="E1476" s="90" t="s">
        <v>673</v>
      </c>
      <c r="F1476" s="90" t="s">
        <v>522</v>
      </c>
      <c r="G1476" s="93">
        <v>1038.1600000000001</v>
      </c>
      <c r="H1476" s="92"/>
      <c r="I1476" s="92"/>
      <c r="J1476" s="92"/>
      <c r="K1476" s="92"/>
      <c r="L1476" s="92"/>
      <c r="M1476" s="92"/>
      <c r="N1476" s="92"/>
      <c r="O1476" s="92"/>
      <c r="P1476" s="92"/>
      <c r="Q1476" s="92"/>
      <c r="R1476" s="92"/>
      <c r="S1476" s="92"/>
      <c r="T1476" s="92"/>
      <c r="U1476" s="92"/>
      <c r="V1476" s="92"/>
      <c r="W1476" s="92"/>
      <c r="X1476" s="93">
        <v>1038.1600000000001</v>
      </c>
      <c r="Y1476" s="92"/>
      <c r="Z1476" s="92"/>
      <c r="AA1476" s="92"/>
      <c r="AB1476" s="92"/>
      <c r="AC1476" s="92"/>
      <c r="AD1476" s="93">
        <v>23.36</v>
      </c>
      <c r="AE1476" s="92"/>
      <c r="AF1476" s="92"/>
      <c r="AG1476" s="93">
        <v>1061.52</v>
      </c>
      <c r="AH1476" s="93">
        <v>0</v>
      </c>
    </row>
    <row r="1477" spans="1:34" ht="15.75" thickBot="1" x14ac:dyDescent="0.3">
      <c r="A1477" s="90" t="s">
        <v>1018</v>
      </c>
      <c r="B1477" s="90" t="s">
        <v>1001</v>
      </c>
      <c r="C1477" s="90" t="s">
        <v>1002</v>
      </c>
      <c r="D1477" s="90" t="s">
        <v>663</v>
      </c>
      <c r="E1477" s="90" t="s">
        <v>673</v>
      </c>
      <c r="F1477" s="90" t="s">
        <v>697</v>
      </c>
      <c r="G1477" s="95">
        <v>1038.1600000000001</v>
      </c>
      <c r="H1477" s="94"/>
      <c r="I1477" s="94"/>
      <c r="J1477" s="94"/>
      <c r="K1477" s="94"/>
      <c r="L1477" s="94"/>
      <c r="M1477" s="94"/>
      <c r="N1477" s="94"/>
      <c r="O1477" s="94"/>
      <c r="P1477" s="94"/>
      <c r="Q1477" s="94"/>
      <c r="R1477" s="94"/>
      <c r="S1477" s="94"/>
      <c r="T1477" s="94"/>
      <c r="U1477" s="94"/>
      <c r="V1477" s="94"/>
      <c r="W1477" s="94"/>
      <c r="X1477" s="95">
        <v>1038.1600000000001</v>
      </c>
      <c r="Y1477" s="94"/>
      <c r="Z1477" s="94"/>
      <c r="AA1477" s="94"/>
      <c r="AB1477" s="94"/>
      <c r="AC1477" s="94"/>
      <c r="AD1477" s="95">
        <v>23.36</v>
      </c>
      <c r="AE1477" s="94"/>
      <c r="AF1477" s="94"/>
      <c r="AG1477" s="95">
        <v>1061.52</v>
      </c>
      <c r="AH1477" s="95">
        <v>0</v>
      </c>
    </row>
    <row r="1478" spans="1:34" ht="15.75" thickBot="1" x14ac:dyDescent="0.3">
      <c r="A1478" s="90" t="s">
        <v>1018</v>
      </c>
      <c r="B1478" s="90" t="s">
        <v>1001</v>
      </c>
      <c r="C1478" s="90" t="s">
        <v>1002</v>
      </c>
      <c r="D1478" s="90" t="s">
        <v>663</v>
      </c>
      <c r="E1478" s="90" t="s">
        <v>530</v>
      </c>
      <c r="F1478" s="90" t="s">
        <v>522</v>
      </c>
      <c r="G1478" s="93">
        <v>29100.41</v>
      </c>
      <c r="H1478" s="92"/>
      <c r="I1478" s="92"/>
      <c r="J1478" s="92"/>
      <c r="K1478" s="92"/>
      <c r="L1478" s="92"/>
      <c r="M1478" s="92"/>
      <c r="N1478" s="92"/>
      <c r="O1478" s="92"/>
      <c r="P1478" s="92"/>
      <c r="Q1478" s="92"/>
      <c r="R1478" s="92"/>
      <c r="S1478" s="92"/>
      <c r="T1478" s="92"/>
      <c r="U1478" s="92"/>
      <c r="V1478" s="92"/>
      <c r="W1478" s="93">
        <v>29100.41</v>
      </c>
      <c r="X1478" s="92"/>
      <c r="Y1478" s="92"/>
      <c r="Z1478" s="92"/>
      <c r="AA1478" s="92"/>
      <c r="AB1478" s="92"/>
      <c r="AC1478" s="92"/>
      <c r="AD1478" s="93">
        <v>436.92</v>
      </c>
      <c r="AE1478" s="92"/>
      <c r="AF1478" s="92"/>
      <c r="AG1478" s="93">
        <v>29537.33</v>
      </c>
      <c r="AH1478" s="93">
        <v>0</v>
      </c>
    </row>
    <row r="1479" spans="1:34" ht="15.75" thickBot="1" x14ac:dyDescent="0.3">
      <c r="A1479" s="90" t="s">
        <v>1018</v>
      </c>
      <c r="B1479" s="90" t="s">
        <v>1001</v>
      </c>
      <c r="C1479" s="90" t="s">
        <v>1002</v>
      </c>
      <c r="D1479" s="90" t="s">
        <v>663</v>
      </c>
      <c r="E1479" s="90" t="s">
        <v>530</v>
      </c>
      <c r="F1479" s="90" t="s">
        <v>697</v>
      </c>
      <c r="G1479" s="95">
        <v>29100.41</v>
      </c>
      <c r="H1479" s="94"/>
      <c r="I1479" s="94"/>
      <c r="J1479" s="94"/>
      <c r="K1479" s="94"/>
      <c r="L1479" s="94"/>
      <c r="M1479" s="94"/>
      <c r="N1479" s="94"/>
      <c r="O1479" s="94"/>
      <c r="P1479" s="94"/>
      <c r="Q1479" s="94"/>
      <c r="R1479" s="94"/>
      <c r="S1479" s="94"/>
      <c r="T1479" s="94"/>
      <c r="U1479" s="94"/>
      <c r="V1479" s="94"/>
      <c r="W1479" s="95">
        <v>29100.41</v>
      </c>
      <c r="X1479" s="94"/>
      <c r="Y1479" s="94"/>
      <c r="Z1479" s="94"/>
      <c r="AA1479" s="94"/>
      <c r="AB1479" s="94"/>
      <c r="AC1479" s="94"/>
      <c r="AD1479" s="95">
        <v>436.92</v>
      </c>
      <c r="AE1479" s="94"/>
      <c r="AF1479" s="94"/>
      <c r="AG1479" s="95">
        <v>29537.33</v>
      </c>
      <c r="AH1479" s="95">
        <v>0</v>
      </c>
    </row>
    <row r="1480" spans="1:34" ht="15.75" thickBot="1" x14ac:dyDescent="0.3">
      <c r="A1480" s="90" t="s">
        <v>1018</v>
      </c>
      <c r="B1480" s="90" t="s">
        <v>1001</v>
      </c>
      <c r="C1480" s="90" t="s">
        <v>1002</v>
      </c>
      <c r="D1480" s="90" t="s">
        <v>663</v>
      </c>
      <c r="E1480" s="90" t="s">
        <v>524</v>
      </c>
      <c r="F1480" s="90" t="s">
        <v>522</v>
      </c>
      <c r="G1480" s="93">
        <v>2200</v>
      </c>
      <c r="H1480" s="92"/>
      <c r="I1480" s="93">
        <v>2200</v>
      </c>
      <c r="J1480" s="92"/>
      <c r="K1480" s="92"/>
      <c r="L1480" s="92"/>
      <c r="M1480" s="92"/>
      <c r="N1480" s="92"/>
      <c r="O1480" s="92"/>
      <c r="P1480" s="92"/>
      <c r="Q1480" s="92"/>
      <c r="R1480" s="92"/>
      <c r="S1480" s="92"/>
      <c r="T1480" s="92"/>
      <c r="U1480" s="92"/>
      <c r="V1480" s="92"/>
      <c r="W1480" s="92"/>
      <c r="X1480" s="92"/>
      <c r="Y1480" s="92"/>
      <c r="Z1480" s="92"/>
      <c r="AA1480" s="92"/>
      <c r="AB1480" s="92"/>
      <c r="AC1480" s="92"/>
      <c r="AD1480" s="93">
        <v>49.5</v>
      </c>
      <c r="AE1480" s="92"/>
      <c r="AF1480" s="92"/>
      <c r="AG1480" s="93">
        <v>2249.5</v>
      </c>
      <c r="AH1480" s="93">
        <v>0</v>
      </c>
    </row>
    <row r="1481" spans="1:34" ht="15.75" thickBot="1" x14ac:dyDescent="0.3">
      <c r="A1481" s="90" t="s">
        <v>1018</v>
      </c>
      <c r="B1481" s="90" t="s">
        <v>1001</v>
      </c>
      <c r="C1481" s="90" t="s">
        <v>1002</v>
      </c>
      <c r="D1481" s="90" t="s">
        <v>663</v>
      </c>
      <c r="E1481" s="90" t="s">
        <v>524</v>
      </c>
      <c r="F1481" s="90" t="s">
        <v>697</v>
      </c>
      <c r="G1481" s="95">
        <v>2200</v>
      </c>
      <c r="H1481" s="94"/>
      <c r="I1481" s="95">
        <v>2200</v>
      </c>
      <c r="J1481" s="94"/>
      <c r="K1481" s="94"/>
      <c r="L1481" s="94"/>
      <c r="M1481" s="94"/>
      <c r="N1481" s="94"/>
      <c r="O1481" s="94"/>
      <c r="P1481" s="94"/>
      <c r="Q1481" s="94"/>
      <c r="R1481" s="94"/>
      <c r="S1481" s="94"/>
      <c r="T1481" s="94"/>
      <c r="U1481" s="94"/>
      <c r="V1481" s="94"/>
      <c r="W1481" s="94"/>
      <c r="X1481" s="94"/>
      <c r="Y1481" s="94"/>
      <c r="Z1481" s="94"/>
      <c r="AA1481" s="94"/>
      <c r="AB1481" s="94"/>
      <c r="AC1481" s="94"/>
      <c r="AD1481" s="95">
        <v>49.5</v>
      </c>
      <c r="AE1481" s="94"/>
      <c r="AF1481" s="94"/>
      <c r="AG1481" s="95">
        <v>2249.5</v>
      </c>
      <c r="AH1481" s="95">
        <v>0</v>
      </c>
    </row>
    <row r="1482" spans="1:34" ht="15.75" thickBot="1" x14ac:dyDescent="0.3">
      <c r="A1482" s="90" t="s">
        <v>1018</v>
      </c>
      <c r="B1482" s="90" t="s">
        <v>1001</v>
      </c>
      <c r="C1482" s="90" t="s">
        <v>1002</v>
      </c>
      <c r="D1482" s="90" t="s">
        <v>662</v>
      </c>
      <c r="E1482" s="90" t="s">
        <v>729</v>
      </c>
      <c r="F1482" s="90" t="s">
        <v>522</v>
      </c>
      <c r="G1482" s="95">
        <v>5661.4</v>
      </c>
      <c r="H1482" s="94"/>
      <c r="I1482" s="94"/>
      <c r="J1482" s="94"/>
      <c r="K1482" s="94"/>
      <c r="L1482" s="94"/>
      <c r="M1482" s="94"/>
      <c r="N1482" s="94"/>
      <c r="O1482" s="94"/>
      <c r="P1482" s="94"/>
      <c r="Q1482" s="95">
        <v>5661.4</v>
      </c>
      <c r="R1482" s="94"/>
      <c r="S1482" s="94"/>
      <c r="T1482" s="94"/>
      <c r="U1482" s="94"/>
      <c r="V1482" s="94"/>
      <c r="W1482" s="94"/>
      <c r="X1482" s="94"/>
      <c r="Y1482" s="94"/>
      <c r="Z1482" s="94"/>
      <c r="AA1482" s="94"/>
      <c r="AB1482" s="94"/>
      <c r="AC1482" s="94"/>
      <c r="AD1482" s="95">
        <v>0</v>
      </c>
      <c r="AE1482" s="94"/>
      <c r="AF1482" s="94"/>
      <c r="AG1482" s="95">
        <v>5661.4</v>
      </c>
      <c r="AH1482" s="95">
        <v>0</v>
      </c>
    </row>
    <row r="1483" spans="1:34" ht="15.75" thickBot="1" x14ac:dyDescent="0.3">
      <c r="A1483" s="90" t="s">
        <v>1018</v>
      </c>
      <c r="B1483" s="90" t="s">
        <v>1001</v>
      </c>
      <c r="C1483" s="90" t="s">
        <v>1002</v>
      </c>
      <c r="D1483" s="90" t="s">
        <v>662</v>
      </c>
      <c r="E1483" s="90" t="s">
        <v>729</v>
      </c>
      <c r="F1483" s="90" t="s">
        <v>697</v>
      </c>
      <c r="G1483" s="93">
        <v>5661.4</v>
      </c>
      <c r="H1483" s="92"/>
      <c r="I1483" s="92"/>
      <c r="J1483" s="92"/>
      <c r="K1483" s="92"/>
      <c r="L1483" s="92"/>
      <c r="M1483" s="92"/>
      <c r="N1483" s="92"/>
      <c r="O1483" s="92"/>
      <c r="P1483" s="92"/>
      <c r="Q1483" s="93">
        <v>5661.4</v>
      </c>
      <c r="R1483" s="92"/>
      <c r="S1483" s="92"/>
      <c r="T1483" s="92"/>
      <c r="U1483" s="92"/>
      <c r="V1483" s="92"/>
      <c r="W1483" s="92"/>
      <c r="X1483" s="92"/>
      <c r="Y1483" s="92"/>
      <c r="Z1483" s="92"/>
      <c r="AA1483" s="92"/>
      <c r="AB1483" s="92"/>
      <c r="AC1483" s="92"/>
      <c r="AD1483" s="93">
        <v>0</v>
      </c>
      <c r="AE1483" s="92"/>
      <c r="AF1483" s="92"/>
      <c r="AG1483" s="93">
        <v>5661.4</v>
      </c>
      <c r="AH1483" s="93">
        <v>0</v>
      </c>
    </row>
    <row r="1484" spans="1:34" ht="15.75" thickBot="1" x14ac:dyDescent="0.3">
      <c r="A1484" s="90" t="s">
        <v>1018</v>
      </c>
      <c r="B1484" s="90" t="s">
        <v>1001</v>
      </c>
      <c r="C1484" s="90" t="s">
        <v>1002</v>
      </c>
      <c r="D1484" s="90" t="s">
        <v>662</v>
      </c>
      <c r="E1484" s="90" t="s">
        <v>528</v>
      </c>
      <c r="F1484" s="90" t="s">
        <v>690</v>
      </c>
      <c r="G1484" s="95">
        <v>180</v>
      </c>
      <c r="H1484" s="94"/>
      <c r="I1484" s="95">
        <v>180</v>
      </c>
      <c r="J1484" s="94"/>
      <c r="K1484" s="94"/>
      <c r="L1484" s="94"/>
      <c r="M1484" s="94"/>
      <c r="N1484" s="94"/>
      <c r="O1484" s="94"/>
      <c r="P1484" s="94"/>
      <c r="Q1484" s="94"/>
      <c r="R1484" s="94"/>
      <c r="S1484" s="94"/>
      <c r="T1484" s="94"/>
      <c r="U1484" s="94"/>
      <c r="V1484" s="94"/>
      <c r="W1484" s="94"/>
      <c r="X1484" s="94"/>
      <c r="Y1484" s="94"/>
      <c r="Z1484" s="94"/>
      <c r="AA1484" s="94"/>
      <c r="AB1484" s="94"/>
      <c r="AC1484" s="94"/>
      <c r="AD1484" s="95">
        <v>0</v>
      </c>
      <c r="AE1484" s="94"/>
      <c r="AF1484" s="94"/>
      <c r="AG1484" s="95">
        <v>180</v>
      </c>
      <c r="AH1484" s="95">
        <v>0</v>
      </c>
    </row>
    <row r="1485" spans="1:34" ht="15.75" thickBot="1" x14ac:dyDescent="0.3">
      <c r="A1485" s="90" t="s">
        <v>1018</v>
      </c>
      <c r="B1485" s="90" t="s">
        <v>1001</v>
      </c>
      <c r="C1485" s="90" t="s">
        <v>1002</v>
      </c>
      <c r="D1485" s="90" t="s">
        <v>662</v>
      </c>
      <c r="E1485" s="90" t="s">
        <v>528</v>
      </c>
      <c r="F1485" s="90" t="s">
        <v>697</v>
      </c>
      <c r="G1485" s="93">
        <v>180</v>
      </c>
      <c r="H1485" s="92"/>
      <c r="I1485" s="93">
        <v>180</v>
      </c>
      <c r="J1485" s="92"/>
      <c r="K1485" s="92"/>
      <c r="L1485" s="92"/>
      <c r="M1485" s="92"/>
      <c r="N1485" s="92"/>
      <c r="O1485" s="92"/>
      <c r="P1485" s="92"/>
      <c r="Q1485" s="92"/>
      <c r="R1485" s="92"/>
      <c r="S1485" s="92"/>
      <c r="T1485" s="92"/>
      <c r="U1485" s="92"/>
      <c r="V1485" s="92"/>
      <c r="W1485" s="92"/>
      <c r="X1485" s="92"/>
      <c r="Y1485" s="92"/>
      <c r="Z1485" s="92"/>
      <c r="AA1485" s="92"/>
      <c r="AB1485" s="92"/>
      <c r="AC1485" s="92"/>
      <c r="AD1485" s="93">
        <v>0</v>
      </c>
      <c r="AE1485" s="92"/>
      <c r="AF1485" s="92"/>
      <c r="AG1485" s="93">
        <v>180</v>
      </c>
      <c r="AH1485" s="93">
        <v>0</v>
      </c>
    </row>
    <row r="1486" spans="1:34" ht="15.75" thickBot="1" x14ac:dyDescent="0.3">
      <c r="A1486" s="90" t="s">
        <v>1018</v>
      </c>
      <c r="B1486" s="90" t="s">
        <v>1001</v>
      </c>
      <c r="C1486" s="90" t="s">
        <v>1002</v>
      </c>
      <c r="D1486" s="90" t="s">
        <v>662</v>
      </c>
      <c r="E1486" s="90" t="s">
        <v>518</v>
      </c>
      <c r="F1486" s="90" t="s">
        <v>522</v>
      </c>
      <c r="G1486" s="95">
        <v>21682.06</v>
      </c>
      <c r="H1486" s="95">
        <v>121672</v>
      </c>
      <c r="I1486" s="94"/>
      <c r="J1486" s="94"/>
      <c r="K1486" s="95">
        <v>21682.06</v>
      </c>
      <c r="L1486" s="94"/>
      <c r="M1486" s="94"/>
      <c r="N1486" s="94"/>
      <c r="O1486" s="94"/>
      <c r="P1486" s="94"/>
      <c r="Q1486" s="94"/>
      <c r="R1486" s="94"/>
      <c r="S1486" s="94"/>
      <c r="T1486" s="94"/>
      <c r="U1486" s="94"/>
      <c r="V1486" s="94"/>
      <c r="W1486" s="94"/>
      <c r="X1486" s="94"/>
      <c r="Y1486" s="94"/>
      <c r="Z1486" s="94"/>
      <c r="AA1486" s="94"/>
      <c r="AB1486" s="94"/>
      <c r="AC1486" s="94"/>
      <c r="AD1486" s="95">
        <v>0</v>
      </c>
      <c r="AE1486" s="94"/>
      <c r="AF1486" s="94"/>
      <c r="AG1486" s="95">
        <v>21682.06</v>
      </c>
      <c r="AH1486" s="95">
        <v>0</v>
      </c>
    </row>
    <row r="1487" spans="1:34" ht="15.75" thickBot="1" x14ac:dyDescent="0.3">
      <c r="A1487" s="90" t="s">
        <v>1018</v>
      </c>
      <c r="B1487" s="90" t="s">
        <v>1001</v>
      </c>
      <c r="C1487" s="90" t="s">
        <v>1002</v>
      </c>
      <c r="D1487" s="90" t="s">
        <v>662</v>
      </c>
      <c r="E1487" s="90" t="s">
        <v>518</v>
      </c>
      <c r="F1487" s="90" t="s">
        <v>697</v>
      </c>
      <c r="G1487" s="93">
        <v>21682.06</v>
      </c>
      <c r="H1487" s="304">
        <v>121672</v>
      </c>
      <c r="I1487" s="92"/>
      <c r="J1487" s="92"/>
      <c r="K1487" s="93">
        <v>21682.06</v>
      </c>
      <c r="L1487" s="92"/>
      <c r="M1487" s="92"/>
      <c r="N1487" s="92"/>
      <c r="O1487" s="92"/>
      <c r="P1487" s="92"/>
      <c r="Q1487" s="92"/>
      <c r="R1487" s="92"/>
      <c r="S1487" s="92"/>
      <c r="T1487" s="92"/>
      <c r="U1487" s="92"/>
      <c r="V1487" s="92"/>
      <c r="W1487" s="92"/>
      <c r="X1487" s="92"/>
      <c r="Y1487" s="92"/>
      <c r="Z1487" s="92"/>
      <c r="AA1487" s="92"/>
      <c r="AB1487" s="92"/>
      <c r="AC1487" s="92"/>
      <c r="AD1487" s="93">
        <v>0</v>
      </c>
      <c r="AE1487" s="92"/>
      <c r="AF1487" s="92"/>
      <c r="AG1487" s="93">
        <v>21682.06</v>
      </c>
      <c r="AH1487" s="93">
        <v>0</v>
      </c>
    </row>
    <row r="1488" spans="1:34" ht="15.75" thickBot="1" x14ac:dyDescent="0.3">
      <c r="A1488" s="90" t="s">
        <v>1018</v>
      </c>
      <c r="B1488" s="90" t="s">
        <v>1001</v>
      </c>
      <c r="C1488" s="90" t="s">
        <v>1002</v>
      </c>
      <c r="D1488" s="90" t="s">
        <v>662</v>
      </c>
      <c r="E1488" s="90" t="s">
        <v>673</v>
      </c>
      <c r="F1488" s="90" t="s">
        <v>522</v>
      </c>
      <c r="G1488" s="95">
        <v>259.54000000000002</v>
      </c>
      <c r="H1488" s="94"/>
      <c r="I1488" s="94"/>
      <c r="J1488" s="94"/>
      <c r="K1488" s="94"/>
      <c r="L1488" s="94"/>
      <c r="M1488" s="94"/>
      <c r="N1488" s="94"/>
      <c r="O1488" s="94"/>
      <c r="P1488" s="94"/>
      <c r="Q1488" s="94"/>
      <c r="R1488" s="94"/>
      <c r="S1488" s="94"/>
      <c r="T1488" s="94"/>
      <c r="U1488" s="94"/>
      <c r="V1488" s="94"/>
      <c r="W1488" s="94"/>
      <c r="X1488" s="95">
        <v>259.54000000000002</v>
      </c>
      <c r="Y1488" s="94"/>
      <c r="Z1488" s="94"/>
      <c r="AA1488" s="94"/>
      <c r="AB1488" s="94"/>
      <c r="AC1488" s="94"/>
      <c r="AD1488" s="95">
        <v>0</v>
      </c>
      <c r="AE1488" s="94"/>
      <c r="AF1488" s="94"/>
      <c r="AG1488" s="95">
        <v>259.54000000000002</v>
      </c>
      <c r="AH1488" s="95">
        <v>0</v>
      </c>
    </row>
    <row r="1489" spans="1:34" ht="15.75" thickBot="1" x14ac:dyDescent="0.3">
      <c r="A1489" s="90" t="s">
        <v>1018</v>
      </c>
      <c r="B1489" s="90" t="s">
        <v>1001</v>
      </c>
      <c r="C1489" s="90" t="s">
        <v>1002</v>
      </c>
      <c r="D1489" s="90" t="s">
        <v>662</v>
      </c>
      <c r="E1489" s="90" t="s">
        <v>673</v>
      </c>
      <c r="F1489" s="90" t="s">
        <v>697</v>
      </c>
      <c r="G1489" s="93">
        <v>259.54000000000002</v>
      </c>
      <c r="H1489" s="92"/>
      <c r="I1489" s="92"/>
      <c r="J1489" s="92"/>
      <c r="K1489" s="92"/>
      <c r="L1489" s="92"/>
      <c r="M1489" s="92"/>
      <c r="N1489" s="92"/>
      <c r="O1489" s="92"/>
      <c r="P1489" s="92"/>
      <c r="Q1489" s="92"/>
      <c r="R1489" s="92"/>
      <c r="S1489" s="92"/>
      <c r="T1489" s="92"/>
      <c r="U1489" s="92"/>
      <c r="V1489" s="92"/>
      <c r="W1489" s="92"/>
      <c r="X1489" s="93">
        <v>259.54000000000002</v>
      </c>
      <c r="Y1489" s="92"/>
      <c r="Z1489" s="92"/>
      <c r="AA1489" s="92"/>
      <c r="AB1489" s="92"/>
      <c r="AC1489" s="92"/>
      <c r="AD1489" s="93">
        <v>0</v>
      </c>
      <c r="AE1489" s="92"/>
      <c r="AF1489" s="92"/>
      <c r="AG1489" s="93">
        <v>259.54000000000002</v>
      </c>
      <c r="AH1489" s="93">
        <v>0</v>
      </c>
    </row>
    <row r="1490" spans="1:34" ht="15.75" thickBot="1" x14ac:dyDescent="0.3">
      <c r="A1490" s="90" t="s">
        <v>1018</v>
      </c>
      <c r="B1490" s="90" t="s">
        <v>1001</v>
      </c>
      <c r="C1490" s="90" t="s">
        <v>1002</v>
      </c>
      <c r="D1490" s="90" t="s">
        <v>662</v>
      </c>
      <c r="E1490" s="90" t="s">
        <v>530</v>
      </c>
      <c r="F1490" s="90" t="s">
        <v>522</v>
      </c>
      <c r="G1490" s="95">
        <v>10271.549999999999</v>
      </c>
      <c r="H1490" s="94"/>
      <c r="I1490" s="94"/>
      <c r="J1490" s="94"/>
      <c r="K1490" s="94"/>
      <c r="L1490" s="94"/>
      <c r="M1490" s="94"/>
      <c r="N1490" s="94"/>
      <c r="O1490" s="94"/>
      <c r="P1490" s="94"/>
      <c r="Q1490" s="94"/>
      <c r="R1490" s="94"/>
      <c r="S1490" s="94"/>
      <c r="T1490" s="94"/>
      <c r="U1490" s="94"/>
      <c r="V1490" s="94"/>
      <c r="W1490" s="95">
        <v>10271.549999999999</v>
      </c>
      <c r="X1490" s="94"/>
      <c r="Y1490" s="94"/>
      <c r="Z1490" s="94"/>
      <c r="AA1490" s="94"/>
      <c r="AB1490" s="94"/>
      <c r="AC1490" s="94"/>
      <c r="AD1490" s="95">
        <v>0</v>
      </c>
      <c r="AE1490" s="94"/>
      <c r="AF1490" s="94"/>
      <c r="AG1490" s="95">
        <v>10271.549999999999</v>
      </c>
      <c r="AH1490" s="95">
        <v>0</v>
      </c>
    </row>
    <row r="1491" spans="1:34" ht="15.75" thickBot="1" x14ac:dyDescent="0.3">
      <c r="A1491" s="90" t="s">
        <v>1018</v>
      </c>
      <c r="B1491" s="90" t="s">
        <v>1001</v>
      </c>
      <c r="C1491" s="90" t="s">
        <v>1002</v>
      </c>
      <c r="D1491" s="90" t="s">
        <v>662</v>
      </c>
      <c r="E1491" s="90" t="s">
        <v>530</v>
      </c>
      <c r="F1491" s="90" t="s">
        <v>697</v>
      </c>
      <c r="G1491" s="93">
        <v>10271.549999999999</v>
      </c>
      <c r="H1491" s="92"/>
      <c r="I1491" s="92"/>
      <c r="J1491" s="92"/>
      <c r="K1491" s="92"/>
      <c r="L1491" s="92"/>
      <c r="M1491" s="92"/>
      <c r="N1491" s="92"/>
      <c r="O1491" s="92"/>
      <c r="P1491" s="92"/>
      <c r="Q1491" s="92"/>
      <c r="R1491" s="92"/>
      <c r="S1491" s="92"/>
      <c r="T1491" s="92"/>
      <c r="U1491" s="92"/>
      <c r="V1491" s="92"/>
      <c r="W1491" s="93">
        <v>10271.549999999999</v>
      </c>
      <c r="X1491" s="92"/>
      <c r="Y1491" s="92"/>
      <c r="Z1491" s="92"/>
      <c r="AA1491" s="92"/>
      <c r="AB1491" s="92"/>
      <c r="AC1491" s="92"/>
      <c r="AD1491" s="93">
        <v>0</v>
      </c>
      <c r="AE1491" s="92"/>
      <c r="AF1491" s="92"/>
      <c r="AG1491" s="93">
        <v>10271.549999999999</v>
      </c>
      <c r="AH1491" s="93">
        <v>0</v>
      </c>
    </row>
    <row r="1492" spans="1:34" ht="15.75" thickBot="1" x14ac:dyDescent="0.3">
      <c r="A1492" s="90" t="s">
        <v>1018</v>
      </c>
      <c r="B1492" s="90" t="s">
        <v>1001</v>
      </c>
      <c r="C1492" s="90" t="s">
        <v>1002</v>
      </c>
      <c r="D1492" s="90" t="s">
        <v>662</v>
      </c>
      <c r="E1492" s="90" t="s">
        <v>524</v>
      </c>
      <c r="F1492" s="90" t="s">
        <v>522</v>
      </c>
      <c r="G1492" s="95">
        <v>550</v>
      </c>
      <c r="H1492" s="94"/>
      <c r="I1492" s="95">
        <v>550</v>
      </c>
      <c r="J1492" s="94"/>
      <c r="K1492" s="94"/>
      <c r="L1492" s="94"/>
      <c r="M1492" s="94"/>
      <c r="N1492" s="94"/>
      <c r="O1492" s="94"/>
      <c r="P1492" s="94"/>
      <c r="Q1492" s="94"/>
      <c r="R1492" s="94"/>
      <c r="S1492" s="94"/>
      <c r="T1492" s="94"/>
      <c r="U1492" s="94"/>
      <c r="V1492" s="94"/>
      <c r="W1492" s="94"/>
      <c r="X1492" s="94"/>
      <c r="Y1492" s="94"/>
      <c r="Z1492" s="94"/>
      <c r="AA1492" s="94"/>
      <c r="AB1492" s="94"/>
      <c r="AC1492" s="94"/>
      <c r="AD1492" s="95">
        <v>0</v>
      </c>
      <c r="AE1492" s="94"/>
      <c r="AF1492" s="94"/>
      <c r="AG1492" s="95">
        <v>550</v>
      </c>
      <c r="AH1492" s="95">
        <v>0</v>
      </c>
    </row>
    <row r="1493" spans="1:34" ht="15.75" thickBot="1" x14ac:dyDescent="0.3">
      <c r="A1493" s="90" t="s">
        <v>1018</v>
      </c>
      <c r="B1493" s="90" t="s">
        <v>1001</v>
      </c>
      <c r="C1493" s="90" t="s">
        <v>1002</v>
      </c>
      <c r="D1493" s="90" t="s">
        <v>662</v>
      </c>
      <c r="E1493" s="90" t="s">
        <v>524</v>
      </c>
      <c r="F1493" s="90" t="s">
        <v>697</v>
      </c>
      <c r="G1493" s="93">
        <v>550</v>
      </c>
      <c r="H1493" s="92"/>
      <c r="I1493" s="93">
        <v>550</v>
      </c>
      <c r="J1493" s="92"/>
      <c r="K1493" s="92"/>
      <c r="L1493" s="92"/>
      <c r="M1493" s="92"/>
      <c r="N1493" s="92"/>
      <c r="O1493" s="92"/>
      <c r="P1493" s="92"/>
      <c r="Q1493" s="92"/>
      <c r="R1493" s="92"/>
      <c r="S1493" s="92"/>
      <c r="T1493" s="92"/>
      <c r="U1493" s="92"/>
      <c r="V1493" s="92"/>
      <c r="W1493" s="92"/>
      <c r="X1493" s="92"/>
      <c r="Y1493" s="92"/>
      <c r="Z1493" s="92"/>
      <c r="AA1493" s="92"/>
      <c r="AB1493" s="92"/>
      <c r="AC1493" s="92"/>
      <c r="AD1493" s="93">
        <v>0</v>
      </c>
      <c r="AE1493" s="92"/>
      <c r="AF1493" s="92"/>
      <c r="AG1493" s="93">
        <v>550</v>
      </c>
      <c r="AH1493" s="93">
        <v>0</v>
      </c>
    </row>
    <row r="1494" spans="1:34" ht="15.75" thickBot="1" x14ac:dyDescent="0.3">
      <c r="A1494" s="90" t="s">
        <v>1018</v>
      </c>
      <c r="B1494" s="90" t="s">
        <v>93</v>
      </c>
      <c r="C1494" s="90" t="s">
        <v>719</v>
      </c>
      <c r="D1494" s="90" t="s">
        <v>663</v>
      </c>
      <c r="E1494" s="90" t="s">
        <v>525</v>
      </c>
      <c r="F1494" s="90" t="s">
        <v>690</v>
      </c>
      <c r="G1494" s="95">
        <v>4368.42</v>
      </c>
      <c r="H1494" s="94"/>
      <c r="I1494" s="94"/>
      <c r="J1494" s="94"/>
      <c r="K1494" s="94"/>
      <c r="L1494" s="94"/>
      <c r="M1494" s="94"/>
      <c r="N1494" s="94"/>
      <c r="O1494" s="94"/>
      <c r="P1494" s="94"/>
      <c r="Q1494" s="94"/>
      <c r="R1494" s="95">
        <v>4368.42</v>
      </c>
      <c r="S1494" s="94"/>
      <c r="T1494" s="94"/>
      <c r="U1494" s="94"/>
      <c r="V1494" s="94"/>
      <c r="W1494" s="94"/>
      <c r="X1494" s="94"/>
      <c r="Y1494" s="94"/>
      <c r="Z1494" s="94"/>
      <c r="AA1494" s="94"/>
      <c r="AB1494" s="94"/>
      <c r="AC1494" s="94"/>
      <c r="AD1494" s="95">
        <v>0</v>
      </c>
      <c r="AE1494" s="94"/>
      <c r="AF1494" s="94"/>
      <c r="AG1494" s="95">
        <v>4368.42</v>
      </c>
      <c r="AH1494" s="95">
        <v>0</v>
      </c>
    </row>
    <row r="1495" spans="1:34" ht="15.75" thickBot="1" x14ac:dyDescent="0.3">
      <c r="A1495" s="90" t="s">
        <v>1018</v>
      </c>
      <c r="B1495" s="90" t="s">
        <v>93</v>
      </c>
      <c r="C1495" s="90" t="s">
        <v>719</v>
      </c>
      <c r="D1495" s="90" t="s">
        <v>663</v>
      </c>
      <c r="E1495" s="90" t="s">
        <v>525</v>
      </c>
      <c r="F1495" s="90" t="s">
        <v>697</v>
      </c>
      <c r="G1495" s="93">
        <v>4368.42</v>
      </c>
      <c r="H1495" s="92"/>
      <c r="I1495" s="92"/>
      <c r="J1495" s="92"/>
      <c r="K1495" s="92"/>
      <c r="L1495" s="92"/>
      <c r="M1495" s="92"/>
      <c r="N1495" s="92"/>
      <c r="O1495" s="92"/>
      <c r="P1495" s="92"/>
      <c r="Q1495" s="92"/>
      <c r="R1495" s="93">
        <v>4368.42</v>
      </c>
      <c r="S1495" s="92"/>
      <c r="T1495" s="92"/>
      <c r="U1495" s="92"/>
      <c r="V1495" s="92"/>
      <c r="W1495" s="92"/>
      <c r="X1495" s="92"/>
      <c r="Y1495" s="92"/>
      <c r="Z1495" s="92"/>
      <c r="AA1495" s="92"/>
      <c r="AB1495" s="92"/>
      <c r="AC1495" s="92"/>
      <c r="AD1495" s="93">
        <v>0</v>
      </c>
      <c r="AE1495" s="92"/>
      <c r="AF1495" s="92"/>
      <c r="AG1495" s="93">
        <v>4368.42</v>
      </c>
      <c r="AH1495" s="93">
        <v>0</v>
      </c>
    </row>
    <row r="1496" spans="1:34" ht="15.75" thickBot="1" x14ac:dyDescent="0.3">
      <c r="A1496" s="90" t="s">
        <v>1018</v>
      </c>
      <c r="B1496" s="90" t="s">
        <v>93</v>
      </c>
      <c r="C1496" s="90" t="s">
        <v>719</v>
      </c>
      <c r="D1496" s="90" t="s">
        <v>663</v>
      </c>
      <c r="E1496" s="90" t="s">
        <v>527</v>
      </c>
      <c r="F1496" s="90" t="s">
        <v>690</v>
      </c>
      <c r="G1496" s="95">
        <v>1410.93</v>
      </c>
      <c r="H1496" s="94"/>
      <c r="I1496" s="94"/>
      <c r="J1496" s="94"/>
      <c r="K1496" s="94"/>
      <c r="L1496" s="94"/>
      <c r="M1496" s="94"/>
      <c r="N1496" s="94"/>
      <c r="O1496" s="94"/>
      <c r="P1496" s="94"/>
      <c r="Q1496" s="94"/>
      <c r="R1496" s="94"/>
      <c r="S1496" s="95">
        <v>1410.93</v>
      </c>
      <c r="T1496" s="94"/>
      <c r="U1496" s="94"/>
      <c r="V1496" s="94"/>
      <c r="W1496" s="94"/>
      <c r="X1496" s="94"/>
      <c r="Y1496" s="94"/>
      <c r="Z1496" s="94"/>
      <c r="AA1496" s="94"/>
      <c r="AB1496" s="94"/>
      <c r="AC1496" s="94"/>
      <c r="AD1496" s="95">
        <v>0</v>
      </c>
      <c r="AE1496" s="94"/>
      <c r="AF1496" s="94"/>
      <c r="AG1496" s="95">
        <v>1410.93</v>
      </c>
      <c r="AH1496" s="95">
        <v>0</v>
      </c>
    </row>
    <row r="1497" spans="1:34" ht="15.75" thickBot="1" x14ac:dyDescent="0.3">
      <c r="A1497" s="90" t="s">
        <v>1018</v>
      </c>
      <c r="B1497" s="90" t="s">
        <v>93</v>
      </c>
      <c r="C1497" s="90" t="s">
        <v>719</v>
      </c>
      <c r="D1497" s="90" t="s">
        <v>663</v>
      </c>
      <c r="E1497" s="90" t="s">
        <v>527</v>
      </c>
      <c r="F1497" s="90" t="s">
        <v>697</v>
      </c>
      <c r="G1497" s="93">
        <v>1410.93</v>
      </c>
      <c r="H1497" s="92"/>
      <c r="I1497" s="92"/>
      <c r="J1497" s="92"/>
      <c r="K1497" s="92"/>
      <c r="L1497" s="92"/>
      <c r="M1497" s="92"/>
      <c r="N1497" s="92"/>
      <c r="O1497" s="92"/>
      <c r="P1497" s="92"/>
      <c r="Q1497" s="92"/>
      <c r="R1497" s="92"/>
      <c r="S1497" s="93">
        <v>1410.93</v>
      </c>
      <c r="T1497" s="92"/>
      <c r="U1497" s="92"/>
      <c r="V1497" s="92"/>
      <c r="W1497" s="92"/>
      <c r="X1497" s="92"/>
      <c r="Y1497" s="92"/>
      <c r="Z1497" s="92"/>
      <c r="AA1497" s="92"/>
      <c r="AB1497" s="92"/>
      <c r="AC1497" s="92"/>
      <c r="AD1497" s="93">
        <v>0</v>
      </c>
      <c r="AE1497" s="92"/>
      <c r="AF1497" s="92"/>
      <c r="AG1497" s="93">
        <v>1410.93</v>
      </c>
      <c r="AH1497" s="93">
        <v>0</v>
      </c>
    </row>
    <row r="1498" spans="1:34" ht="15.75" thickBot="1" x14ac:dyDescent="0.3">
      <c r="A1498" s="90" t="s">
        <v>1018</v>
      </c>
      <c r="B1498" s="90" t="s">
        <v>93</v>
      </c>
      <c r="C1498" s="90" t="s">
        <v>719</v>
      </c>
      <c r="D1498" s="90" t="s">
        <v>663</v>
      </c>
      <c r="E1498" s="90" t="s">
        <v>524</v>
      </c>
      <c r="F1498" s="90" t="s">
        <v>522</v>
      </c>
      <c r="G1498" s="95">
        <v>525</v>
      </c>
      <c r="H1498" s="94"/>
      <c r="I1498" s="95">
        <v>525</v>
      </c>
      <c r="J1498" s="94"/>
      <c r="K1498" s="94"/>
      <c r="L1498" s="94"/>
      <c r="M1498" s="94"/>
      <c r="N1498" s="94"/>
      <c r="O1498" s="94"/>
      <c r="P1498" s="94"/>
      <c r="Q1498" s="94"/>
      <c r="R1498" s="94"/>
      <c r="S1498" s="94"/>
      <c r="T1498" s="94"/>
      <c r="U1498" s="94"/>
      <c r="V1498" s="94"/>
      <c r="W1498" s="94"/>
      <c r="X1498" s="94"/>
      <c r="Y1498" s="94"/>
      <c r="Z1498" s="94"/>
      <c r="AA1498" s="94"/>
      <c r="AB1498" s="94"/>
      <c r="AC1498" s="94"/>
      <c r="AD1498" s="95">
        <v>0</v>
      </c>
      <c r="AE1498" s="94"/>
      <c r="AF1498" s="94"/>
      <c r="AG1498" s="95">
        <v>525</v>
      </c>
      <c r="AH1498" s="95">
        <v>0</v>
      </c>
    </row>
    <row r="1499" spans="1:34" ht="15.75" thickBot="1" x14ac:dyDescent="0.3">
      <c r="A1499" s="90" t="s">
        <v>1018</v>
      </c>
      <c r="B1499" s="90" t="s">
        <v>93</v>
      </c>
      <c r="C1499" s="90" t="s">
        <v>719</v>
      </c>
      <c r="D1499" s="90" t="s">
        <v>663</v>
      </c>
      <c r="E1499" s="90" t="s">
        <v>524</v>
      </c>
      <c r="F1499" s="90" t="s">
        <v>697</v>
      </c>
      <c r="G1499" s="93">
        <v>525</v>
      </c>
      <c r="H1499" s="92"/>
      <c r="I1499" s="93">
        <v>525</v>
      </c>
      <c r="J1499" s="92"/>
      <c r="K1499" s="92"/>
      <c r="L1499" s="92"/>
      <c r="M1499" s="92"/>
      <c r="N1499" s="92"/>
      <c r="O1499" s="92"/>
      <c r="P1499" s="92"/>
      <c r="Q1499" s="92"/>
      <c r="R1499" s="92"/>
      <c r="S1499" s="92"/>
      <c r="T1499" s="92"/>
      <c r="U1499" s="92"/>
      <c r="V1499" s="92"/>
      <c r="W1499" s="92"/>
      <c r="X1499" s="92"/>
      <c r="Y1499" s="92"/>
      <c r="Z1499" s="92"/>
      <c r="AA1499" s="92"/>
      <c r="AB1499" s="92"/>
      <c r="AC1499" s="92"/>
      <c r="AD1499" s="93">
        <v>0</v>
      </c>
      <c r="AE1499" s="92"/>
      <c r="AF1499" s="92"/>
      <c r="AG1499" s="93">
        <v>525</v>
      </c>
      <c r="AH1499" s="93">
        <v>0</v>
      </c>
    </row>
    <row r="1500" spans="1:34" ht="15.75" thickBot="1" x14ac:dyDescent="0.3">
      <c r="A1500" s="90" t="s">
        <v>1018</v>
      </c>
      <c r="B1500" s="90" t="s">
        <v>1003</v>
      </c>
      <c r="C1500" s="90" t="s">
        <v>1004</v>
      </c>
      <c r="D1500" s="90" t="s">
        <v>663</v>
      </c>
      <c r="E1500" s="90" t="s">
        <v>528</v>
      </c>
      <c r="F1500" s="90" t="s">
        <v>690</v>
      </c>
      <c r="G1500" s="93">
        <v>400</v>
      </c>
      <c r="H1500" s="92"/>
      <c r="I1500" s="93">
        <v>400</v>
      </c>
      <c r="J1500" s="92"/>
      <c r="K1500" s="92"/>
      <c r="L1500" s="92"/>
      <c r="M1500" s="92"/>
      <c r="N1500" s="92"/>
      <c r="O1500" s="92"/>
      <c r="P1500" s="92"/>
      <c r="Q1500" s="92"/>
      <c r="R1500" s="92"/>
      <c r="S1500" s="92"/>
      <c r="T1500" s="92"/>
      <c r="U1500" s="92"/>
      <c r="V1500" s="92"/>
      <c r="W1500" s="92"/>
      <c r="X1500" s="92"/>
      <c r="Y1500" s="92"/>
      <c r="Z1500" s="92"/>
      <c r="AA1500" s="92"/>
      <c r="AB1500" s="92"/>
      <c r="AC1500" s="92"/>
      <c r="AD1500" s="93">
        <v>0</v>
      </c>
      <c r="AE1500" s="92"/>
      <c r="AF1500" s="92"/>
      <c r="AG1500" s="93">
        <v>400</v>
      </c>
      <c r="AH1500" s="93">
        <v>0</v>
      </c>
    </row>
    <row r="1501" spans="1:34" ht="15.75" thickBot="1" x14ac:dyDescent="0.3">
      <c r="A1501" s="90" t="s">
        <v>1018</v>
      </c>
      <c r="B1501" s="90" t="s">
        <v>1003</v>
      </c>
      <c r="C1501" s="90" t="s">
        <v>1004</v>
      </c>
      <c r="D1501" s="90" t="s">
        <v>663</v>
      </c>
      <c r="E1501" s="90" t="s">
        <v>528</v>
      </c>
      <c r="F1501" s="90" t="s">
        <v>697</v>
      </c>
      <c r="G1501" s="95">
        <v>400</v>
      </c>
      <c r="H1501" s="94"/>
      <c r="I1501" s="95">
        <v>400</v>
      </c>
      <c r="J1501" s="94"/>
      <c r="K1501" s="94"/>
      <c r="L1501" s="94"/>
      <c r="M1501" s="94"/>
      <c r="N1501" s="94"/>
      <c r="O1501" s="94"/>
      <c r="P1501" s="94"/>
      <c r="Q1501" s="94"/>
      <c r="R1501" s="94"/>
      <c r="S1501" s="94"/>
      <c r="T1501" s="94"/>
      <c r="U1501" s="94"/>
      <c r="V1501" s="94"/>
      <c r="W1501" s="94"/>
      <c r="X1501" s="94"/>
      <c r="Y1501" s="94"/>
      <c r="Z1501" s="94"/>
      <c r="AA1501" s="94"/>
      <c r="AB1501" s="94"/>
      <c r="AC1501" s="94"/>
      <c r="AD1501" s="95">
        <v>0</v>
      </c>
      <c r="AE1501" s="94"/>
      <c r="AF1501" s="94"/>
      <c r="AG1501" s="95">
        <v>400</v>
      </c>
      <c r="AH1501" s="95">
        <v>0</v>
      </c>
    </row>
    <row r="1502" spans="1:34" ht="15.75" thickBot="1" x14ac:dyDescent="0.3">
      <c r="A1502" s="90" t="s">
        <v>1018</v>
      </c>
      <c r="B1502" s="90" t="s">
        <v>1003</v>
      </c>
      <c r="C1502" s="90" t="s">
        <v>1004</v>
      </c>
      <c r="D1502" s="90" t="s">
        <v>663</v>
      </c>
      <c r="E1502" s="90" t="s">
        <v>518</v>
      </c>
      <c r="F1502" s="90" t="s">
        <v>522</v>
      </c>
      <c r="G1502" s="93">
        <v>3265.63</v>
      </c>
      <c r="H1502" s="93">
        <v>46592</v>
      </c>
      <c r="I1502" s="92"/>
      <c r="J1502" s="92"/>
      <c r="K1502" s="93">
        <v>3265.63</v>
      </c>
      <c r="L1502" s="92"/>
      <c r="M1502" s="92"/>
      <c r="N1502" s="92"/>
      <c r="O1502" s="92"/>
      <c r="P1502" s="92"/>
      <c r="Q1502" s="92"/>
      <c r="R1502" s="92"/>
      <c r="S1502" s="92"/>
      <c r="T1502" s="92"/>
      <c r="U1502" s="92"/>
      <c r="V1502" s="92"/>
      <c r="W1502" s="92"/>
      <c r="X1502" s="92"/>
      <c r="Y1502" s="92"/>
      <c r="Z1502" s="92"/>
      <c r="AA1502" s="92"/>
      <c r="AB1502" s="92"/>
      <c r="AC1502" s="92"/>
      <c r="AD1502" s="93">
        <v>0</v>
      </c>
      <c r="AE1502" s="92"/>
      <c r="AF1502" s="92"/>
      <c r="AG1502" s="93">
        <v>3265.63</v>
      </c>
      <c r="AH1502" s="93">
        <v>0</v>
      </c>
    </row>
    <row r="1503" spans="1:34" ht="15.75" thickBot="1" x14ac:dyDescent="0.3">
      <c r="A1503" s="90" t="s">
        <v>1018</v>
      </c>
      <c r="B1503" s="90" t="s">
        <v>1003</v>
      </c>
      <c r="C1503" s="90" t="s">
        <v>1004</v>
      </c>
      <c r="D1503" s="90" t="s">
        <v>663</v>
      </c>
      <c r="E1503" s="90" t="s">
        <v>518</v>
      </c>
      <c r="F1503" s="90" t="s">
        <v>697</v>
      </c>
      <c r="G1503" s="95">
        <v>3265.63</v>
      </c>
      <c r="H1503" s="305">
        <v>46592</v>
      </c>
      <c r="I1503" s="94"/>
      <c r="J1503" s="94"/>
      <c r="K1503" s="95">
        <v>3265.63</v>
      </c>
      <c r="L1503" s="94"/>
      <c r="M1503" s="94"/>
      <c r="N1503" s="94"/>
      <c r="O1503" s="94"/>
      <c r="P1503" s="94"/>
      <c r="Q1503" s="94"/>
      <c r="R1503" s="94"/>
      <c r="S1503" s="94"/>
      <c r="T1503" s="94"/>
      <c r="U1503" s="94"/>
      <c r="V1503" s="94"/>
      <c r="W1503" s="94"/>
      <c r="X1503" s="94"/>
      <c r="Y1503" s="94"/>
      <c r="Z1503" s="94"/>
      <c r="AA1503" s="94"/>
      <c r="AB1503" s="94"/>
      <c r="AC1503" s="94"/>
      <c r="AD1503" s="95">
        <v>0</v>
      </c>
      <c r="AE1503" s="94"/>
      <c r="AF1503" s="94"/>
      <c r="AG1503" s="95">
        <v>3265.63</v>
      </c>
      <c r="AH1503" s="95">
        <v>0</v>
      </c>
    </row>
    <row r="1504" spans="1:34" ht="15.75" thickBot="1" x14ac:dyDescent="0.3">
      <c r="A1504" s="90" t="s">
        <v>1018</v>
      </c>
      <c r="B1504" s="90" t="s">
        <v>1003</v>
      </c>
      <c r="C1504" s="90" t="s">
        <v>1004</v>
      </c>
      <c r="D1504" s="90" t="s">
        <v>663</v>
      </c>
      <c r="E1504" s="90" t="s">
        <v>673</v>
      </c>
      <c r="F1504" s="90" t="s">
        <v>522</v>
      </c>
      <c r="G1504" s="93">
        <v>2838.87</v>
      </c>
      <c r="H1504" s="92"/>
      <c r="I1504" s="92"/>
      <c r="J1504" s="92"/>
      <c r="K1504" s="92"/>
      <c r="L1504" s="92"/>
      <c r="M1504" s="92"/>
      <c r="N1504" s="92"/>
      <c r="O1504" s="92"/>
      <c r="P1504" s="92"/>
      <c r="Q1504" s="92"/>
      <c r="R1504" s="92"/>
      <c r="S1504" s="92"/>
      <c r="T1504" s="92"/>
      <c r="U1504" s="92"/>
      <c r="V1504" s="92"/>
      <c r="W1504" s="92"/>
      <c r="X1504" s="93">
        <v>2838.87</v>
      </c>
      <c r="Y1504" s="92"/>
      <c r="Z1504" s="92"/>
      <c r="AA1504" s="92"/>
      <c r="AB1504" s="92"/>
      <c r="AC1504" s="92"/>
      <c r="AD1504" s="93">
        <v>0</v>
      </c>
      <c r="AE1504" s="92"/>
      <c r="AF1504" s="92"/>
      <c r="AG1504" s="93">
        <v>2838.87</v>
      </c>
      <c r="AH1504" s="93">
        <v>0</v>
      </c>
    </row>
    <row r="1505" spans="1:34" ht="15.75" thickBot="1" x14ac:dyDescent="0.3">
      <c r="A1505" s="90" t="s">
        <v>1018</v>
      </c>
      <c r="B1505" s="90" t="s">
        <v>1003</v>
      </c>
      <c r="C1505" s="90" t="s">
        <v>1004</v>
      </c>
      <c r="D1505" s="90" t="s">
        <v>663</v>
      </c>
      <c r="E1505" s="90" t="s">
        <v>673</v>
      </c>
      <c r="F1505" s="90" t="s">
        <v>697</v>
      </c>
      <c r="G1505" s="95">
        <v>2838.87</v>
      </c>
      <c r="H1505" s="94"/>
      <c r="I1505" s="94"/>
      <c r="J1505" s="94"/>
      <c r="K1505" s="94"/>
      <c r="L1505" s="94"/>
      <c r="M1505" s="94"/>
      <c r="N1505" s="94"/>
      <c r="O1505" s="94"/>
      <c r="P1505" s="94"/>
      <c r="Q1505" s="94"/>
      <c r="R1505" s="94"/>
      <c r="S1505" s="94"/>
      <c r="T1505" s="94"/>
      <c r="U1505" s="94"/>
      <c r="V1505" s="94"/>
      <c r="W1505" s="94"/>
      <c r="X1505" s="95">
        <v>2838.87</v>
      </c>
      <c r="Y1505" s="94"/>
      <c r="Z1505" s="94"/>
      <c r="AA1505" s="94"/>
      <c r="AB1505" s="94"/>
      <c r="AC1505" s="94"/>
      <c r="AD1505" s="95">
        <v>0</v>
      </c>
      <c r="AE1505" s="94"/>
      <c r="AF1505" s="94"/>
      <c r="AG1505" s="95">
        <v>2838.87</v>
      </c>
      <c r="AH1505" s="95">
        <v>0</v>
      </c>
    </row>
    <row r="1506" spans="1:34" ht="15.75" thickBot="1" x14ac:dyDescent="0.3">
      <c r="A1506" s="90" t="s">
        <v>1018</v>
      </c>
      <c r="B1506" s="90" t="s">
        <v>1003</v>
      </c>
      <c r="C1506" s="90" t="s">
        <v>1004</v>
      </c>
      <c r="D1506" s="90" t="s">
        <v>663</v>
      </c>
      <c r="E1506" s="90" t="s">
        <v>530</v>
      </c>
      <c r="F1506" s="90" t="s">
        <v>522</v>
      </c>
      <c r="G1506" s="93">
        <v>3933.3</v>
      </c>
      <c r="H1506" s="92"/>
      <c r="I1506" s="92"/>
      <c r="J1506" s="92"/>
      <c r="K1506" s="92"/>
      <c r="L1506" s="92"/>
      <c r="M1506" s="92"/>
      <c r="N1506" s="92"/>
      <c r="O1506" s="92"/>
      <c r="P1506" s="92"/>
      <c r="Q1506" s="92"/>
      <c r="R1506" s="92"/>
      <c r="S1506" s="92"/>
      <c r="T1506" s="92"/>
      <c r="U1506" s="92"/>
      <c r="V1506" s="92"/>
      <c r="W1506" s="93">
        <v>3933.3</v>
      </c>
      <c r="X1506" s="92"/>
      <c r="Y1506" s="92"/>
      <c r="Z1506" s="92"/>
      <c r="AA1506" s="92"/>
      <c r="AB1506" s="92"/>
      <c r="AC1506" s="92"/>
      <c r="AD1506" s="93">
        <v>0</v>
      </c>
      <c r="AE1506" s="92"/>
      <c r="AF1506" s="92"/>
      <c r="AG1506" s="93">
        <v>3933.3</v>
      </c>
      <c r="AH1506" s="93">
        <v>0</v>
      </c>
    </row>
    <row r="1507" spans="1:34" ht="15.75" thickBot="1" x14ac:dyDescent="0.3">
      <c r="A1507" s="90" t="s">
        <v>1018</v>
      </c>
      <c r="B1507" s="90" t="s">
        <v>1003</v>
      </c>
      <c r="C1507" s="90" t="s">
        <v>1004</v>
      </c>
      <c r="D1507" s="90" t="s">
        <v>663</v>
      </c>
      <c r="E1507" s="90" t="s">
        <v>530</v>
      </c>
      <c r="F1507" s="90" t="s">
        <v>697</v>
      </c>
      <c r="G1507" s="95">
        <v>3933.3</v>
      </c>
      <c r="H1507" s="94"/>
      <c r="I1507" s="94"/>
      <c r="J1507" s="94"/>
      <c r="K1507" s="94"/>
      <c r="L1507" s="94"/>
      <c r="M1507" s="94"/>
      <c r="N1507" s="94"/>
      <c r="O1507" s="94"/>
      <c r="P1507" s="94"/>
      <c r="Q1507" s="94"/>
      <c r="R1507" s="94"/>
      <c r="S1507" s="94"/>
      <c r="T1507" s="94"/>
      <c r="U1507" s="94"/>
      <c r="V1507" s="94"/>
      <c r="W1507" s="95">
        <v>3933.3</v>
      </c>
      <c r="X1507" s="94"/>
      <c r="Y1507" s="94"/>
      <c r="Z1507" s="94"/>
      <c r="AA1507" s="94"/>
      <c r="AB1507" s="94"/>
      <c r="AC1507" s="94"/>
      <c r="AD1507" s="95">
        <v>0</v>
      </c>
      <c r="AE1507" s="94"/>
      <c r="AF1507" s="94"/>
      <c r="AG1507" s="95">
        <v>3933.3</v>
      </c>
      <c r="AH1507" s="95">
        <v>0</v>
      </c>
    </row>
    <row r="1508" spans="1:34" ht="15.75" thickBot="1" x14ac:dyDescent="0.3">
      <c r="A1508" s="90" t="s">
        <v>1018</v>
      </c>
      <c r="B1508" s="90" t="s">
        <v>1003</v>
      </c>
      <c r="C1508" s="90" t="s">
        <v>1004</v>
      </c>
      <c r="D1508" s="90" t="s">
        <v>663</v>
      </c>
      <c r="E1508" s="90" t="s">
        <v>524</v>
      </c>
      <c r="F1508" s="90" t="s">
        <v>522</v>
      </c>
      <c r="G1508" s="93">
        <v>550</v>
      </c>
      <c r="H1508" s="92"/>
      <c r="I1508" s="93">
        <v>550</v>
      </c>
      <c r="J1508" s="92"/>
      <c r="K1508" s="92"/>
      <c r="L1508" s="92"/>
      <c r="M1508" s="92"/>
      <c r="N1508" s="92"/>
      <c r="O1508" s="92"/>
      <c r="P1508" s="92"/>
      <c r="Q1508" s="92"/>
      <c r="R1508" s="92"/>
      <c r="S1508" s="92"/>
      <c r="T1508" s="92"/>
      <c r="U1508" s="92"/>
      <c r="V1508" s="92"/>
      <c r="W1508" s="92"/>
      <c r="X1508" s="92"/>
      <c r="Y1508" s="92"/>
      <c r="Z1508" s="92"/>
      <c r="AA1508" s="92"/>
      <c r="AB1508" s="92"/>
      <c r="AC1508" s="92"/>
      <c r="AD1508" s="93">
        <v>0</v>
      </c>
      <c r="AE1508" s="92"/>
      <c r="AF1508" s="92"/>
      <c r="AG1508" s="93">
        <v>550</v>
      </c>
      <c r="AH1508" s="93">
        <v>0</v>
      </c>
    </row>
    <row r="1509" spans="1:34" ht="15.75" thickBot="1" x14ac:dyDescent="0.3">
      <c r="A1509" s="90" t="s">
        <v>1018</v>
      </c>
      <c r="B1509" s="90" t="s">
        <v>1003</v>
      </c>
      <c r="C1509" s="90" t="s">
        <v>1004</v>
      </c>
      <c r="D1509" s="90" t="s">
        <v>663</v>
      </c>
      <c r="E1509" s="90" t="s">
        <v>524</v>
      </c>
      <c r="F1509" s="90" t="s">
        <v>697</v>
      </c>
      <c r="G1509" s="95">
        <v>550</v>
      </c>
      <c r="H1509" s="94"/>
      <c r="I1509" s="95">
        <v>550</v>
      </c>
      <c r="J1509" s="94"/>
      <c r="K1509" s="94"/>
      <c r="L1509" s="94"/>
      <c r="M1509" s="94"/>
      <c r="N1509" s="94"/>
      <c r="O1509" s="94"/>
      <c r="P1509" s="94"/>
      <c r="Q1509" s="94"/>
      <c r="R1509" s="94"/>
      <c r="S1509" s="94"/>
      <c r="T1509" s="94"/>
      <c r="U1509" s="94"/>
      <c r="V1509" s="94"/>
      <c r="W1509" s="94"/>
      <c r="X1509" s="94"/>
      <c r="Y1509" s="94"/>
      <c r="Z1509" s="94"/>
      <c r="AA1509" s="94"/>
      <c r="AB1509" s="94"/>
      <c r="AC1509" s="94"/>
      <c r="AD1509" s="95">
        <v>0</v>
      </c>
      <c r="AE1509" s="94"/>
      <c r="AF1509" s="94"/>
      <c r="AG1509" s="95">
        <v>550</v>
      </c>
      <c r="AH1509" s="95">
        <v>0</v>
      </c>
    </row>
    <row r="1510" spans="1:34" ht="15.75" thickBot="1" x14ac:dyDescent="0.3">
      <c r="A1510" s="90" t="s">
        <v>1018</v>
      </c>
      <c r="B1510" s="90" t="s">
        <v>1003</v>
      </c>
      <c r="C1510" s="90" t="s">
        <v>1004</v>
      </c>
      <c r="D1510" s="90" t="s">
        <v>662</v>
      </c>
      <c r="E1510" s="90" t="s">
        <v>729</v>
      </c>
      <c r="F1510" s="90" t="s">
        <v>522</v>
      </c>
      <c r="G1510" s="95">
        <v>5540.23</v>
      </c>
      <c r="H1510" s="94"/>
      <c r="I1510" s="94"/>
      <c r="J1510" s="94"/>
      <c r="K1510" s="94"/>
      <c r="L1510" s="94"/>
      <c r="M1510" s="94"/>
      <c r="N1510" s="94"/>
      <c r="O1510" s="94"/>
      <c r="P1510" s="94"/>
      <c r="Q1510" s="95">
        <v>5540.23</v>
      </c>
      <c r="R1510" s="94"/>
      <c r="S1510" s="94"/>
      <c r="T1510" s="94"/>
      <c r="U1510" s="94"/>
      <c r="V1510" s="94"/>
      <c r="W1510" s="94"/>
      <c r="X1510" s="94"/>
      <c r="Y1510" s="94"/>
      <c r="Z1510" s="94"/>
      <c r="AA1510" s="94"/>
      <c r="AB1510" s="94"/>
      <c r="AC1510" s="94"/>
      <c r="AD1510" s="95">
        <v>0</v>
      </c>
      <c r="AE1510" s="94"/>
      <c r="AF1510" s="94"/>
      <c r="AG1510" s="95">
        <v>5540.23</v>
      </c>
      <c r="AH1510" s="95">
        <v>0</v>
      </c>
    </row>
    <row r="1511" spans="1:34" ht="15.75" thickBot="1" x14ac:dyDescent="0.3">
      <c r="A1511" s="90" t="s">
        <v>1018</v>
      </c>
      <c r="B1511" s="90" t="s">
        <v>1003</v>
      </c>
      <c r="C1511" s="90" t="s">
        <v>1004</v>
      </c>
      <c r="D1511" s="90" t="s">
        <v>662</v>
      </c>
      <c r="E1511" s="90" t="s">
        <v>729</v>
      </c>
      <c r="F1511" s="90" t="s">
        <v>697</v>
      </c>
      <c r="G1511" s="93">
        <v>5540.23</v>
      </c>
      <c r="H1511" s="92"/>
      <c r="I1511" s="92"/>
      <c r="J1511" s="92"/>
      <c r="K1511" s="92"/>
      <c r="L1511" s="92"/>
      <c r="M1511" s="92"/>
      <c r="N1511" s="92"/>
      <c r="O1511" s="92"/>
      <c r="P1511" s="92"/>
      <c r="Q1511" s="93">
        <v>5540.23</v>
      </c>
      <c r="R1511" s="92"/>
      <c r="S1511" s="92"/>
      <c r="T1511" s="92"/>
      <c r="U1511" s="92"/>
      <c r="V1511" s="92"/>
      <c r="W1511" s="92"/>
      <c r="X1511" s="92"/>
      <c r="Y1511" s="92"/>
      <c r="Z1511" s="92"/>
      <c r="AA1511" s="92"/>
      <c r="AB1511" s="92"/>
      <c r="AC1511" s="92"/>
      <c r="AD1511" s="93">
        <v>0</v>
      </c>
      <c r="AE1511" s="92"/>
      <c r="AF1511" s="92"/>
      <c r="AG1511" s="93">
        <v>5540.23</v>
      </c>
      <c r="AH1511" s="93">
        <v>0</v>
      </c>
    </row>
    <row r="1512" spans="1:34" ht="15.75" thickBot="1" x14ac:dyDescent="0.3">
      <c r="A1512" s="90" t="s">
        <v>1018</v>
      </c>
      <c r="B1512" s="90" t="s">
        <v>1003</v>
      </c>
      <c r="C1512" s="90" t="s">
        <v>1004</v>
      </c>
      <c r="D1512" s="90" t="s">
        <v>662</v>
      </c>
      <c r="E1512" s="90" t="s">
        <v>528</v>
      </c>
      <c r="F1512" s="90" t="s">
        <v>690</v>
      </c>
      <c r="G1512" s="95">
        <v>400</v>
      </c>
      <c r="H1512" s="94"/>
      <c r="I1512" s="95">
        <v>400</v>
      </c>
      <c r="J1512" s="94"/>
      <c r="K1512" s="94"/>
      <c r="L1512" s="94"/>
      <c r="M1512" s="94"/>
      <c r="N1512" s="94"/>
      <c r="O1512" s="94"/>
      <c r="P1512" s="94"/>
      <c r="Q1512" s="94"/>
      <c r="R1512" s="94"/>
      <c r="S1512" s="94"/>
      <c r="T1512" s="94"/>
      <c r="U1512" s="94"/>
      <c r="V1512" s="94"/>
      <c r="W1512" s="94"/>
      <c r="X1512" s="94"/>
      <c r="Y1512" s="94"/>
      <c r="Z1512" s="94"/>
      <c r="AA1512" s="94"/>
      <c r="AB1512" s="94"/>
      <c r="AC1512" s="94"/>
      <c r="AD1512" s="95">
        <v>0</v>
      </c>
      <c r="AE1512" s="94"/>
      <c r="AF1512" s="94"/>
      <c r="AG1512" s="95">
        <v>400</v>
      </c>
      <c r="AH1512" s="95">
        <v>0</v>
      </c>
    </row>
    <row r="1513" spans="1:34" ht="15.75" thickBot="1" x14ac:dyDescent="0.3">
      <c r="A1513" s="90" t="s">
        <v>1018</v>
      </c>
      <c r="B1513" s="90" t="s">
        <v>1003</v>
      </c>
      <c r="C1513" s="90" t="s">
        <v>1004</v>
      </c>
      <c r="D1513" s="90" t="s">
        <v>662</v>
      </c>
      <c r="E1513" s="90" t="s">
        <v>528</v>
      </c>
      <c r="F1513" s="90" t="s">
        <v>697</v>
      </c>
      <c r="G1513" s="93">
        <v>400</v>
      </c>
      <c r="H1513" s="92"/>
      <c r="I1513" s="93">
        <v>400</v>
      </c>
      <c r="J1513" s="92"/>
      <c r="K1513" s="92"/>
      <c r="L1513" s="92"/>
      <c r="M1513" s="92"/>
      <c r="N1513" s="92"/>
      <c r="O1513" s="92"/>
      <c r="P1513" s="92"/>
      <c r="Q1513" s="92"/>
      <c r="R1513" s="92"/>
      <c r="S1513" s="92"/>
      <c r="T1513" s="92"/>
      <c r="U1513" s="92"/>
      <c r="V1513" s="92"/>
      <c r="W1513" s="92"/>
      <c r="X1513" s="92"/>
      <c r="Y1513" s="92"/>
      <c r="Z1513" s="92"/>
      <c r="AA1513" s="92"/>
      <c r="AB1513" s="92"/>
      <c r="AC1513" s="92"/>
      <c r="AD1513" s="93">
        <v>0</v>
      </c>
      <c r="AE1513" s="92"/>
      <c r="AF1513" s="92"/>
      <c r="AG1513" s="93">
        <v>400</v>
      </c>
      <c r="AH1513" s="93">
        <v>0</v>
      </c>
    </row>
    <row r="1514" spans="1:34" ht="15.75" thickBot="1" x14ac:dyDescent="0.3">
      <c r="A1514" s="90" t="s">
        <v>1018</v>
      </c>
      <c r="B1514" s="90" t="s">
        <v>1003</v>
      </c>
      <c r="C1514" s="90" t="s">
        <v>1004</v>
      </c>
      <c r="D1514" s="90" t="s">
        <v>662</v>
      </c>
      <c r="E1514" s="90" t="s">
        <v>518</v>
      </c>
      <c r="F1514" s="90" t="s">
        <v>522</v>
      </c>
      <c r="G1514" s="95">
        <v>8345.48</v>
      </c>
      <c r="H1514" s="95">
        <v>119068</v>
      </c>
      <c r="I1514" s="94"/>
      <c r="J1514" s="94"/>
      <c r="K1514" s="95">
        <v>8345.48</v>
      </c>
      <c r="L1514" s="94"/>
      <c r="M1514" s="94"/>
      <c r="N1514" s="94"/>
      <c r="O1514" s="94"/>
      <c r="P1514" s="94"/>
      <c r="Q1514" s="94"/>
      <c r="R1514" s="94"/>
      <c r="S1514" s="94"/>
      <c r="T1514" s="94"/>
      <c r="U1514" s="94"/>
      <c r="V1514" s="94"/>
      <c r="W1514" s="94"/>
      <c r="X1514" s="94"/>
      <c r="Y1514" s="94"/>
      <c r="Z1514" s="94"/>
      <c r="AA1514" s="94"/>
      <c r="AB1514" s="94"/>
      <c r="AC1514" s="94"/>
      <c r="AD1514" s="95">
        <v>0</v>
      </c>
      <c r="AE1514" s="94"/>
      <c r="AF1514" s="94"/>
      <c r="AG1514" s="95">
        <v>8345.48</v>
      </c>
      <c r="AH1514" s="95">
        <v>0</v>
      </c>
    </row>
    <row r="1515" spans="1:34" ht="15.75" thickBot="1" x14ac:dyDescent="0.3">
      <c r="A1515" s="90" t="s">
        <v>1018</v>
      </c>
      <c r="B1515" s="90" t="s">
        <v>1003</v>
      </c>
      <c r="C1515" s="90" t="s">
        <v>1004</v>
      </c>
      <c r="D1515" s="90" t="s">
        <v>662</v>
      </c>
      <c r="E1515" s="90" t="s">
        <v>518</v>
      </c>
      <c r="F1515" s="90" t="s">
        <v>697</v>
      </c>
      <c r="G1515" s="93">
        <v>8345.48</v>
      </c>
      <c r="H1515" s="304">
        <v>119068</v>
      </c>
      <c r="I1515" s="92"/>
      <c r="J1515" s="92"/>
      <c r="K1515" s="93">
        <v>8345.48</v>
      </c>
      <c r="L1515" s="92"/>
      <c r="M1515" s="92"/>
      <c r="N1515" s="92"/>
      <c r="O1515" s="92"/>
      <c r="P1515" s="92"/>
      <c r="Q1515" s="92"/>
      <c r="R1515" s="92"/>
      <c r="S1515" s="92"/>
      <c r="T1515" s="92"/>
      <c r="U1515" s="92"/>
      <c r="V1515" s="92"/>
      <c r="W1515" s="92"/>
      <c r="X1515" s="92"/>
      <c r="Y1515" s="92"/>
      <c r="Z1515" s="92"/>
      <c r="AA1515" s="92"/>
      <c r="AB1515" s="92"/>
      <c r="AC1515" s="92"/>
      <c r="AD1515" s="93">
        <v>0</v>
      </c>
      <c r="AE1515" s="92"/>
      <c r="AF1515" s="92"/>
      <c r="AG1515" s="93">
        <v>8345.48</v>
      </c>
      <c r="AH1515" s="93">
        <v>0</v>
      </c>
    </row>
    <row r="1516" spans="1:34" ht="15.75" thickBot="1" x14ac:dyDescent="0.3">
      <c r="A1516" s="90" t="s">
        <v>1018</v>
      </c>
      <c r="B1516" s="90" t="s">
        <v>1003</v>
      </c>
      <c r="C1516" s="90" t="s">
        <v>1004</v>
      </c>
      <c r="D1516" s="90" t="s">
        <v>662</v>
      </c>
      <c r="E1516" s="90" t="s">
        <v>673</v>
      </c>
      <c r="F1516" s="90" t="s">
        <v>522</v>
      </c>
      <c r="G1516" s="95">
        <v>2838.87</v>
      </c>
      <c r="H1516" s="94"/>
      <c r="I1516" s="94"/>
      <c r="J1516" s="94"/>
      <c r="K1516" s="94"/>
      <c r="L1516" s="94"/>
      <c r="M1516" s="94"/>
      <c r="N1516" s="94"/>
      <c r="O1516" s="94"/>
      <c r="P1516" s="94"/>
      <c r="Q1516" s="94"/>
      <c r="R1516" s="94"/>
      <c r="S1516" s="94"/>
      <c r="T1516" s="94"/>
      <c r="U1516" s="94"/>
      <c r="V1516" s="94"/>
      <c r="W1516" s="94"/>
      <c r="X1516" s="95">
        <v>2838.87</v>
      </c>
      <c r="Y1516" s="94"/>
      <c r="Z1516" s="94"/>
      <c r="AA1516" s="94"/>
      <c r="AB1516" s="94"/>
      <c r="AC1516" s="94"/>
      <c r="AD1516" s="95">
        <v>0</v>
      </c>
      <c r="AE1516" s="94"/>
      <c r="AF1516" s="94"/>
      <c r="AG1516" s="95">
        <v>2838.87</v>
      </c>
      <c r="AH1516" s="95">
        <v>0</v>
      </c>
    </row>
    <row r="1517" spans="1:34" ht="15.75" thickBot="1" x14ac:dyDescent="0.3">
      <c r="A1517" s="90" t="s">
        <v>1018</v>
      </c>
      <c r="B1517" s="90" t="s">
        <v>1003</v>
      </c>
      <c r="C1517" s="90" t="s">
        <v>1004</v>
      </c>
      <c r="D1517" s="90" t="s">
        <v>662</v>
      </c>
      <c r="E1517" s="90" t="s">
        <v>673</v>
      </c>
      <c r="F1517" s="90" t="s">
        <v>697</v>
      </c>
      <c r="G1517" s="93">
        <v>2838.87</v>
      </c>
      <c r="H1517" s="92"/>
      <c r="I1517" s="92"/>
      <c r="J1517" s="92"/>
      <c r="K1517" s="92"/>
      <c r="L1517" s="92"/>
      <c r="M1517" s="92"/>
      <c r="N1517" s="92"/>
      <c r="O1517" s="92"/>
      <c r="P1517" s="92"/>
      <c r="Q1517" s="92"/>
      <c r="R1517" s="92"/>
      <c r="S1517" s="92"/>
      <c r="T1517" s="92"/>
      <c r="U1517" s="92"/>
      <c r="V1517" s="92"/>
      <c r="W1517" s="92"/>
      <c r="X1517" s="93">
        <v>2838.87</v>
      </c>
      <c r="Y1517" s="92"/>
      <c r="Z1517" s="92"/>
      <c r="AA1517" s="92"/>
      <c r="AB1517" s="92"/>
      <c r="AC1517" s="92"/>
      <c r="AD1517" s="93">
        <v>0</v>
      </c>
      <c r="AE1517" s="92"/>
      <c r="AF1517" s="92"/>
      <c r="AG1517" s="93">
        <v>2838.87</v>
      </c>
      <c r="AH1517" s="93">
        <v>0</v>
      </c>
    </row>
    <row r="1518" spans="1:34" ht="15.75" thickBot="1" x14ac:dyDescent="0.3">
      <c r="A1518" s="90" t="s">
        <v>1018</v>
      </c>
      <c r="B1518" s="90" t="s">
        <v>1003</v>
      </c>
      <c r="C1518" s="90" t="s">
        <v>1004</v>
      </c>
      <c r="D1518" s="90" t="s">
        <v>662</v>
      </c>
      <c r="E1518" s="90" t="s">
        <v>530</v>
      </c>
      <c r="F1518" s="90" t="s">
        <v>522</v>
      </c>
      <c r="G1518" s="95">
        <v>10051.719999999999</v>
      </c>
      <c r="H1518" s="94"/>
      <c r="I1518" s="94"/>
      <c r="J1518" s="94"/>
      <c r="K1518" s="94"/>
      <c r="L1518" s="94"/>
      <c r="M1518" s="94"/>
      <c r="N1518" s="94"/>
      <c r="O1518" s="94"/>
      <c r="P1518" s="94"/>
      <c r="Q1518" s="94"/>
      <c r="R1518" s="94"/>
      <c r="S1518" s="94"/>
      <c r="T1518" s="94"/>
      <c r="U1518" s="94"/>
      <c r="V1518" s="94"/>
      <c r="W1518" s="95">
        <v>10051.719999999999</v>
      </c>
      <c r="X1518" s="94"/>
      <c r="Y1518" s="94"/>
      <c r="Z1518" s="94"/>
      <c r="AA1518" s="94"/>
      <c r="AB1518" s="94"/>
      <c r="AC1518" s="94"/>
      <c r="AD1518" s="95">
        <v>0</v>
      </c>
      <c r="AE1518" s="94"/>
      <c r="AF1518" s="94"/>
      <c r="AG1518" s="95">
        <v>10051.719999999999</v>
      </c>
      <c r="AH1518" s="95">
        <v>0</v>
      </c>
    </row>
    <row r="1519" spans="1:34" ht="15.75" thickBot="1" x14ac:dyDescent="0.3">
      <c r="A1519" s="90" t="s">
        <v>1018</v>
      </c>
      <c r="B1519" s="90" t="s">
        <v>1003</v>
      </c>
      <c r="C1519" s="90" t="s">
        <v>1004</v>
      </c>
      <c r="D1519" s="90" t="s">
        <v>662</v>
      </c>
      <c r="E1519" s="90" t="s">
        <v>530</v>
      </c>
      <c r="F1519" s="90" t="s">
        <v>697</v>
      </c>
      <c r="G1519" s="93">
        <v>10051.719999999999</v>
      </c>
      <c r="H1519" s="92"/>
      <c r="I1519" s="92"/>
      <c r="J1519" s="92"/>
      <c r="K1519" s="92"/>
      <c r="L1519" s="92"/>
      <c r="M1519" s="92"/>
      <c r="N1519" s="92"/>
      <c r="O1519" s="92"/>
      <c r="P1519" s="92"/>
      <c r="Q1519" s="92"/>
      <c r="R1519" s="92"/>
      <c r="S1519" s="92"/>
      <c r="T1519" s="92"/>
      <c r="U1519" s="92"/>
      <c r="V1519" s="92"/>
      <c r="W1519" s="93">
        <v>10051.719999999999</v>
      </c>
      <c r="X1519" s="92"/>
      <c r="Y1519" s="92"/>
      <c r="Z1519" s="92"/>
      <c r="AA1519" s="92"/>
      <c r="AB1519" s="92"/>
      <c r="AC1519" s="92"/>
      <c r="AD1519" s="93">
        <v>0</v>
      </c>
      <c r="AE1519" s="92"/>
      <c r="AF1519" s="92"/>
      <c r="AG1519" s="93">
        <v>10051.719999999999</v>
      </c>
      <c r="AH1519" s="93">
        <v>0</v>
      </c>
    </row>
    <row r="1520" spans="1:34" ht="15.75" thickBot="1" x14ac:dyDescent="0.3">
      <c r="A1520" s="90" t="s">
        <v>1018</v>
      </c>
      <c r="B1520" s="90" t="s">
        <v>1003</v>
      </c>
      <c r="C1520" s="90" t="s">
        <v>1004</v>
      </c>
      <c r="D1520" s="90" t="s">
        <v>662</v>
      </c>
      <c r="E1520" s="90" t="s">
        <v>524</v>
      </c>
      <c r="F1520" s="90" t="s">
        <v>522</v>
      </c>
      <c r="G1520" s="95">
        <v>550</v>
      </c>
      <c r="H1520" s="94"/>
      <c r="I1520" s="95">
        <v>550</v>
      </c>
      <c r="J1520" s="94"/>
      <c r="K1520" s="94"/>
      <c r="L1520" s="94"/>
      <c r="M1520" s="94"/>
      <c r="N1520" s="94"/>
      <c r="O1520" s="94"/>
      <c r="P1520" s="94"/>
      <c r="Q1520" s="94"/>
      <c r="R1520" s="94"/>
      <c r="S1520" s="94"/>
      <c r="T1520" s="94"/>
      <c r="U1520" s="94"/>
      <c r="V1520" s="94"/>
      <c r="W1520" s="94"/>
      <c r="X1520" s="94"/>
      <c r="Y1520" s="94"/>
      <c r="Z1520" s="94"/>
      <c r="AA1520" s="94"/>
      <c r="AB1520" s="94"/>
      <c r="AC1520" s="94"/>
      <c r="AD1520" s="95">
        <v>0</v>
      </c>
      <c r="AE1520" s="94"/>
      <c r="AF1520" s="94"/>
      <c r="AG1520" s="95">
        <v>550</v>
      </c>
      <c r="AH1520" s="95">
        <v>0</v>
      </c>
    </row>
    <row r="1521" spans="1:34" ht="15.75" thickBot="1" x14ac:dyDescent="0.3">
      <c r="A1521" s="90" t="s">
        <v>1018</v>
      </c>
      <c r="B1521" s="90" t="s">
        <v>1003</v>
      </c>
      <c r="C1521" s="90" t="s">
        <v>1004</v>
      </c>
      <c r="D1521" s="90" t="s">
        <v>662</v>
      </c>
      <c r="E1521" s="90" t="s">
        <v>524</v>
      </c>
      <c r="F1521" s="90" t="s">
        <v>697</v>
      </c>
      <c r="G1521" s="93">
        <v>550</v>
      </c>
      <c r="H1521" s="92"/>
      <c r="I1521" s="93">
        <v>550</v>
      </c>
      <c r="J1521" s="92"/>
      <c r="K1521" s="92"/>
      <c r="L1521" s="92"/>
      <c r="M1521" s="92"/>
      <c r="N1521" s="92"/>
      <c r="O1521" s="92"/>
      <c r="P1521" s="92"/>
      <c r="Q1521" s="92"/>
      <c r="R1521" s="92"/>
      <c r="S1521" s="92"/>
      <c r="T1521" s="92"/>
      <c r="U1521" s="92"/>
      <c r="V1521" s="92"/>
      <c r="W1521" s="92"/>
      <c r="X1521" s="92"/>
      <c r="Y1521" s="92"/>
      <c r="Z1521" s="92"/>
      <c r="AA1521" s="92"/>
      <c r="AB1521" s="92"/>
      <c r="AC1521" s="92"/>
      <c r="AD1521" s="93">
        <v>0</v>
      </c>
      <c r="AE1521" s="92"/>
      <c r="AF1521" s="92"/>
      <c r="AG1521" s="93">
        <v>550</v>
      </c>
      <c r="AH1521" s="93">
        <v>0</v>
      </c>
    </row>
    <row r="1522" spans="1:34" ht="15.75" thickBot="1" x14ac:dyDescent="0.3">
      <c r="A1522" s="90" t="s">
        <v>1018</v>
      </c>
      <c r="B1522" s="90" t="s">
        <v>933</v>
      </c>
      <c r="C1522" s="90" t="s">
        <v>1005</v>
      </c>
      <c r="D1522" s="90" t="s">
        <v>663</v>
      </c>
      <c r="E1522" s="90" t="s">
        <v>525</v>
      </c>
      <c r="F1522" s="90" t="s">
        <v>690</v>
      </c>
      <c r="G1522" s="95">
        <v>-1301.06</v>
      </c>
      <c r="H1522" s="94"/>
      <c r="I1522" s="94"/>
      <c r="J1522" s="94"/>
      <c r="K1522" s="94"/>
      <c r="L1522" s="94"/>
      <c r="M1522" s="94"/>
      <c r="N1522" s="94"/>
      <c r="O1522" s="94"/>
      <c r="P1522" s="94"/>
      <c r="Q1522" s="94"/>
      <c r="R1522" s="95">
        <v>-1301.06</v>
      </c>
      <c r="S1522" s="94"/>
      <c r="T1522" s="94"/>
      <c r="U1522" s="94"/>
      <c r="V1522" s="94"/>
      <c r="W1522" s="94"/>
      <c r="X1522" s="94"/>
      <c r="Y1522" s="94"/>
      <c r="Z1522" s="94"/>
      <c r="AA1522" s="94"/>
      <c r="AB1522" s="94"/>
      <c r="AC1522" s="94"/>
      <c r="AD1522" s="95">
        <v>-78.069999999999993</v>
      </c>
      <c r="AE1522" s="94"/>
      <c r="AF1522" s="94"/>
      <c r="AG1522" s="95">
        <v>-1379.13</v>
      </c>
      <c r="AH1522" s="95">
        <v>0</v>
      </c>
    </row>
    <row r="1523" spans="1:34" ht="15.75" thickBot="1" x14ac:dyDescent="0.3">
      <c r="A1523" s="90" t="s">
        <v>1018</v>
      </c>
      <c r="B1523" s="90" t="s">
        <v>933</v>
      </c>
      <c r="C1523" s="90" t="s">
        <v>1005</v>
      </c>
      <c r="D1523" s="90" t="s">
        <v>663</v>
      </c>
      <c r="E1523" s="90" t="s">
        <v>525</v>
      </c>
      <c r="F1523" s="90" t="s">
        <v>697</v>
      </c>
      <c r="G1523" s="93">
        <v>-1301.06</v>
      </c>
      <c r="H1523" s="92"/>
      <c r="I1523" s="92"/>
      <c r="J1523" s="92"/>
      <c r="K1523" s="92"/>
      <c r="L1523" s="92"/>
      <c r="M1523" s="92"/>
      <c r="N1523" s="92"/>
      <c r="O1523" s="92"/>
      <c r="P1523" s="92"/>
      <c r="Q1523" s="92"/>
      <c r="R1523" s="93">
        <v>-1301.06</v>
      </c>
      <c r="S1523" s="92"/>
      <c r="T1523" s="92"/>
      <c r="U1523" s="92"/>
      <c r="V1523" s="92"/>
      <c r="W1523" s="92"/>
      <c r="X1523" s="92"/>
      <c r="Y1523" s="92"/>
      <c r="Z1523" s="92"/>
      <c r="AA1523" s="92"/>
      <c r="AB1523" s="92"/>
      <c r="AC1523" s="92"/>
      <c r="AD1523" s="93">
        <v>-78.069999999999993</v>
      </c>
      <c r="AE1523" s="92"/>
      <c r="AF1523" s="92"/>
      <c r="AG1523" s="93">
        <v>-1379.13</v>
      </c>
      <c r="AH1523" s="93">
        <v>0</v>
      </c>
    </row>
    <row r="1524" spans="1:34" ht="15.75" thickBot="1" x14ac:dyDescent="0.3">
      <c r="A1524" s="90" t="s">
        <v>1018</v>
      </c>
      <c r="B1524" s="90" t="s">
        <v>933</v>
      </c>
      <c r="C1524" s="90" t="s">
        <v>1005</v>
      </c>
      <c r="D1524" s="90" t="s">
        <v>663</v>
      </c>
      <c r="E1524" s="90" t="s">
        <v>518</v>
      </c>
      <c r="F1524" s="90" t="s">
        <v>522</v>
      </c>
      <c r="G1524" s="95">
        <v>287820.26</v>
      </c>
      <c r="H1524" s="95">
        <v>6690383</v>
      </c>
      <c r="I1524" s="94"/>
      <c r="J1524" s="94"/>
      <c r="K1524" s="95">
        <v>287820.26</v>
      </c>
      <c r="L1524" s="94"/>
      <c r="M1524" s="94"/>
      <c r="N1524" s="94"/>
      <c r="O1524" s="94"/>
      <c r="P1524" s="94"/>
      <c r="Q1524" s="94"/>
      <c r="R1524" s="94"/>
      <c r="S1524" s="94"/>
      <c r="T1524" s="94"/>
      <c r="U1524" s="94"/>
      <c r="V1524" s="94"/>
      <c r="W1524" s="94"/>
      <c r="X1524" s="94"/>
      <c r="Y1524" s="94"/>
      <c r="Z1524" s="94"/>
      <c r="AA1524" s="94"/>
      <c r="AB1524" s="94"/>
      <c r="AC1524" s="94"/>
      <c r="AD1524" s="95">
        <v>13048.27</v>
      </c>
      <c r="AE1524" s="94"/>
      <c r="AF1524" s="94"/>
      <c r="AG1524" s="95">
        <v>300868.53000000003</v>
      </c>
      <c r="AH1524" s="95">
        <v>0</v>
      </c>
    </row>
    <row r="1525" spans="1:34" ht="15.75" thickBot="1" x14ac:dyDescent="0.3">
      <c r="A1525" s="90" t="s">
        <v>1018</v>
      </c>
      <c r="B1525" s="90" t="s">
        <v>933</v>
      </c>
      <c r="C1525" s="90" t="s">
        <v>1005</v>
      </c>
      <c r="D1525" s="90" t="s">
        <v>663</v>
      </c>
      <c r="E1525" s="90" t="s">
        <v>518</v>
      </c>
      <c r="F1525" s="90" t="s">
        <v>690</v>
      </c>
      <c r="G1525" s="93">
        <v>33.69</v>
      </c>
      <c r="H1525" s="93">
        <v>783</v>
      </c>
      <c r="I1525" s="92"/>
      <c r="J1525" s="92"/>
      <c r="K1525" s="93">
        <v>33.69</v>
      </c>
      <c r="L1525" s="92"/>
      <c r="M1525" s="92"/>
      <c r="N1525" s="92"/>
      <c r="O1525" s="92"/>
      <c r="P1525" s="92"/>
      <c r="Q1525" s="92"/>
      <c r="R1525" s="92"/>
      <c r="S1525" s="92"/>
      <c r="T1525" s="92"/>
      <c r="U1525" s="92"/>
      <c r="V1525" s="92"/>
      <c r="W1525" s="92"/>
      <c r="X1525" s="92"/>
      <c r="Y1525" s="92"/>
      <c r="Z1525" s="92"/>
      <c r="AA1525" s="92"/>
      <c r="AB1525" s="92"/>
      <c r="AC1525" s="92"/>
      <c r="AD1525" s="93">
        <v>2.02</v>
      </c>
      <c r="AE1525" s="92"/>
      <c r="AF1525" s="92"/>
      <c r="AG1525" s="93">
        <v>35.71</v>
      </c>
      <c r="AH1525" s="93">
        <v>0</v>
      </c>
    </row>
    <row r="1526" spans="1:34" ht="15.75" thickBot="1" x14ac:dyDescent="0.3">
      <c r="A1526" s="90" t="s">
        <v>1018</v>
      </c>
      <c r="B1526" s="90" t="s">
        <v>933</v>
      </c>
      <c r="C1526" s="90" t="s">
        <v>1005</v>
      </c>
      <c r="D1526" s="90" t="s">
        <v>663</v>
      </c>
      <c r="E1526" s="90" t="s">
        <v>518</v>
      </c>
      <c r="F1526" s="90" t="s">
        <v>697</v>
      </c>
      <c r="G1526" s="95">
        <v>287853.95</v>
      </c>
      <c r="H1526" s="305">
        <v>6691166</v>
      </c>
      <c r="I1526" s="94"/>
      <c r="J1526" s="94"/>
      <c r="K1526" s="95">
        <v>287853.95</v>
      </c>
      <c r="L1526" s="94"/>
      <c r="M1526" s="94"/>
      <c r="N1526" s="94"/>
      <c r="O1526" s="94"/>
      <c r="P1526" s="94"/>
      <c r="Q1526" s="94"/>
      <c r="R1526" s="94"/>
      <c r="S1526" s="94"/>
      <c r="T1526" s="94"/>
      <c r="U1526" s="94"/>
      <c r="V1526" s="94"/>
      <c r="W1526" s="94"/>
      <c r="X1526" s="94"/>
      <c r="Y1526" s="94"/>
      <c r="Z1526" s="94"/>
      <c r="AA1526" s="94"/>
      <c r="AB1526" s="94"/>
      <c r="AC1526" s="94"/>
      <c r="AD1526" s="95">
        <v>13050.29</v>
      </c>
      <c r="AE1526" s="94"/>
      <c r="AF1526" s="94"/>
      <c r="AG1526" s="95">
        <v>300904.24</v>
      </c>
      <c r="AH1526" s="95">
        <v>0</v>
      </c>
    </row>
    <row r="1527" spans="1:34" ht="15.75" thickBot="1" x14ac:dyDescent="0.3">
      <c r="A1527" s="90" t="s">
        <v>1018</v>
      </c>
      <c r="B1527" s="90" t="s">
        <v>933</v>
      </c>
      <c r="C1527" s="90" t="s">
        <v>1005</v>
      </c>
      <c r="D1527" s="90" t="s">
        <v>663</v>
      </c>
      <c r="E1527" s="90" t="s">
        <v>527</v>
      </c>
      <c r="F1527" s="90" t="s">
        <v>690</v>
      </c>
      <c r="G1527" s="93">
        <v>341.53</v>
      </c>
      <c r="H1527" s="92"/>
      <c r="I1527" s="92"/>
      <c r="J1527" s="92"/>
      <c r="K1527" s="92"/>
      <c r="L1527" s="92"/>
      <c r="M1527" s="92"/>
      <c r="N1527" s="92"/>
      <c r="O1527" s="92"/>
      <c r="P1527" s="92"/>
      <c r="Q1527" s="92"/>
      <c r="R1527" s="92"/>
      <c r="S1527" s="93">
        <v>341.53</v>
      </c>
      <c r="T1527" s="92"/>
      <c r="U1527" s="92"/>
      <c r="V1527" s="92"/>
      <c r="W1527" s="92"/>
      <c r="X1527" s="92"/>
      <c r="Y1527" s="92"/>
      <c r="Z1527" s="92"/>
      <c r="AA1527" s="92"/>
      <c r="AB1527" s="92"/>
      <c r="AC1527" s="92"/>
      <c r="AD1527" s="93">
        <v>20.49</v>
      </c>
      <c r="AE1527" s="92"/>
      <c r="AF1527" s="92"/>
      <c r="AG1527" s="93">
        <v>362.02</v>
      </c>
      <c r="AH1527" s="93">
        <v>0</v>
      </c>
    </row>
    <row r="1528" spans="1:34" ht="15.75" thickBot="1" x14ac:dyDescent="0.3">
      <c r="A1528" s="90" t="s">
        <v>1018</v>
      </c>
      <c r="B1528" s="90" t="s">
        <v>933</v>
      </c>
      <c r="C1528" s="90" t="s">
        <v>1005</v>
      </c>
      <c r="D1528" s="90" t="s">
        <v>663</v>
      </c>
      <c r="E1528" s="90" t="s">
        <v>527</v>
      </c>
      <c r="F1528" s="90" t="s">
        <v>697</v>
      </c>
      <c r="G1528" s="95">
        <v>341.53</v>
      </c>
      <c r="H1528" s="94"/>
      <c r="I1528" s="94"/>
      <c r="J1528" s="94"/>
      <c r="K1528" s="94"/>
      <c r="L1528" s="94"/>
      <c r="M1528" s="94"/>
      <c r="N1528" s="94"/>
      <c r="O1528" s="94"/>
      <c r="P1528" s="94"/>
      <c r="Q1528" s="94"/>
      <c r="R1528" s="94"/>
      <c r="S1528" s="95">
        <v>341.53</v>
      </c>
      <c r="T1528" s="94"/>
      <c r="U1528" s="94"/>
      <c r="V1528" s="94"/>
      <c r="W1528" s="94"/>
      <c r="X1528" s="94"/>
      <c r="Y1528" s="94"/>
      <c r="Z1528" s="94"/>
      <c r="AA1528" s="94"/>
      <c r="AB1528" s="94"/>
      <c r="AC1528" s="94"/>
      <c r="AD1528" s="95">
        <v>20.49</v>
      </c>
      <c r="AE1528" s="94"/>
      <c r="AF1528" s="94"/>
      <c r="AG1528" s="95">
        <v>362.02</v>
      </c>
      <c r="AH1528" s="95">
        <v>0</v>
      </c>
    </row>
    <row r="1529" spans="1:34" ht="15.75" thickBot="1" x14ac:dyDescent="0.3">
      <c r="A1529" s="90" t="s">
        <v>1018</v>
      </c>
      <c r="B1529" s="90" t="s">
        <v>933</v>
      </c>
      <c r="C1529" s="90" t="s">
        <v>1005</v>
      </c>
      <c r="D1529" s="90" t="s">
        <v>663</v>
      </c>
      <c r="E1529" s="90" t="s">
        <v>671</v>
      </c>
      <c r="F1529" s="90" t="s">
        <v>522</v>
      </c>
      <c r="G1529" s="93">
        <v>1558.97</v>
      </c>
      <c r="H1529" s="92"/>
      <c r="I1529" s="92"/>
      <c r="J1529" s="92"/>
      <c r="K1529" s="92"/>
      <c r="L1529" s="93">
        <v>1558.97</v>
      </c>
      <c r="M1529" s="92"/>
      <c r="N1529" s="92"/>
      <c r="O1529" s="92"/>
      <c r="P1529" s="92"/>
      <c r="Q1529" s="92"/>
      <c r="R1529" s="92"/>
      <c r="S1529" s="92"/>
      <c r="T1529" s="92"/>
      <c r="U1529" s="92"/>
      <c r="V1529" s="92"/>
      <c r="W1529" s="92"/>
      <c r="X1529" s="92"/>
      <c r="Y1529" s="92"/>
      <c r="Z1529" s="92"/>
      <c r="AA1529" s="92"/>
      <c r="AB1529" s="92"/>
      <c r="AC1529" s="92"/>
      <c r="AD1529" s="93">
        <v>79.510000000000005</v>
      </c>
      <c r="AE1529" s="92"/>
      <c r="AF1529" s="92"/>
      <c r="AG1529" s="93">
        <v>1638.48</v>
      </c>
      <c r="AH1529" s="93">
        <v>0</v>
      </c>
    </row>
    <row r="1530" spans="1:34" ht="15.75" thickBot="1" x14ac:dyDescent="0.3">
      <c r="A1530" s="90" t="s">
        <v>1018</v>
      </c>
      <c r="B1530" s="90" t="s">
        <v>933</v>
      </c>
      <c r="C1530" s="90" t="s">
        <v>1005</v>
      </c>
      <c r="D1530" s="90" t="s">
        <v>663</v>
      </c>
      <c r="E1530" s="90" t="s">
        <v>671</v>
      </c>
      <c r="F1530" s="90" t="s">
        <v>697</v>
      </c>
      <c r="G1530" s="95">
        <v>1558.97</v>
      </c>
      <c r="H1530" s="94"/>
      <c r="I1530" s="94"/>
      <c r="J1530" s="94"/>
      <c r="K1530" s="94"/>
      <c r="L1530" s="95">
        <v>1558.97</v>
      </c>
      <c r="M1530" s="94"/>
      <c r="N1530" s="94"/>
      <c r="O1530" s="94"/>
      <c r="P1530" s="94"/>
      <c r="Q1530" s="94"/>
      <c r="R1530" s="94"/>
      <c r="S1530" s="94"/>
      <c r="T1530" s="94"/>
      <c r="U1530" s="94"/>
      <c r="V1530" s="94"/>
      <c r="W1530" s="94"/>
      <c r="X1530" s="94"/>
      <c r="Y1530" s="94"/>
      <c r="Z1530" s="94"/>
      <c r="AA1530" s="94"/>
      <c r="AB1530" s="94"/>
      <c r="AC1530" s="94"/>
      <c r="AD1530" s="95">
        <v>79.510000000000005</v>
      </c>
      <c r="AE1530" s="94"/>
      <c r="AF1530" s="94"/>
      <c r="AG1530" s="95">
        <v>1638.48</v>
      </c>
      <c r="AH1530" s="95">
        <v>0</v>
      </c>
    </row>
    <row r="1531" spans="1:34" ht="15.75" thickBot="1" x14ac:dyDescent="0.3">
      <c r="A1531" s="90" t="s">
        <v>1018</v>
      </c>
      <c r="B1531" s="90" t="s">
        <v>933</v>
      </c>
      <c r="C1531" s="90" t="s">
        <v>1005</v>
      </c>
      <c r="D1531" s="90" t="s">
        <v>663</v>
      </c>
      <c r="E1531" s="90" t="s">
        <v>524</v>
      </c>
      <c r="F1531" s="90" t="s">
        <v>522</v>
      </c>
      <c r="G1531" s="93">
        <v>33550</v>
      </c>
      <c r="H1531" s="92"/>
      <c r="I1531" s="93">
        <v>33550</v>
      </c>
      <c r="J1531" s="92"/>
      <c r="K1531" s="92"/>
      <c r="L1531" s="92"/>
      <c r="M1531" s="92"/>
      <c r="N1531" s="92"/>
      <c r="O1531" s="92"/>
      <c r="P1531" s="92"/>
      <c r="Q1531" s="92"/>
      <c r="R1531" s="92"/>
      <c r="S1531" s="92"/>
      <c r="T1531" s="92"/>
      <c r="U1531" s="92"/>
      <c r="V1531" s="92"/>
      <c r="W1531" s="92"/>
      <c r="X1531" s="92"/>
      <c r="Y1531" s="92"/>
      <c r="Z1531" s="92"/>
      <c r="AA1531" s="92"/>
      <c r="AB1531" s="92"/>
      <c r="AC1531" s="92"/>
      <c r="AD1531" s="93">
        <v>1641.43</v>
      </c>
      <c r="AE1531" s="92"/>
      <c r="AF1531" s="92"/>
      <c r="AG1531" s="93">
        <v>35191.43</v>
      </c>
      <c r="AH1531" s="93">
        <v>0</v>
      </c>
    </row>
    <row r="1532" spans="1:34" ht="15.75" thickBot="1" x14ac:dyDescent="0.3">
      <c r="A1532" s="90" t="s">
        <v>1018</v>
      </c>
      <c r="B1532" s="90" t="s">
        <v>933</v>
      </c>
      <c r="C1532" s="90" t="s">
        <v>1005</v>
      </c>
      <c r="D1532" s="90" t="s">
        <v>663</v>
      </c>
      <c r="E1532" s="90" t="s">
        <v>524</v>
      </c>
      <c r="F1532" s="90" t="s">
        <v>697</v>
      </c>
      <c r="G1532" s="95">
        <v>33550</v>
      </c>
      <c r="H1532" s="94"/>
      <c r="I1532" s="95">
        <v>33550</v>
      </c>
      <c r="J1532" s="94"/>
      <c r="K1532" s="94"/>
      <c r="L1532" s="94"/>
      <c r="M1532" s="94"/>
      <c r="N1532" s="94"/>
      <c r="O1532" s="94"/>
      <c r="P1532" s="94"/>
      <c r="Q1532" s="94"/>
      <c r="R1532" s="94"/>
      <c r="S1532" s="94"/>
      <c r="T1532" s="94"/>
      <c r="U1532" s="94"/>
      <c r="V1532" s="94"/>
      <c r="W1532" s="94"/>
      <c r="X1532" s="94"/>
      <c r="Y1532" s="94"/>
      <c r="Z1532" s="94"/>
      <c r="AA1532" s="94"/>
      <c r="AB1532" s="94"/>
      <c r="AC1532" s="94"/>
      <c r="AD1532" s="95">
        <v>1641.43</v>
      </c>
      <c r="AE1532" s="94"/>
      <c r="AF1532" s="94"/>
      <c r="AG1532" s="95">
        <v>35191.43</v>
      </c>
      <c r="AH1532" s="95">
        <v>0</v>
      </c>
    </row>
    <row r="1533" spans="1:34" ht="15.75" thickBot="1" x14ac:dyDescent="0.3">
      <c r="A1533" s="90" t="s">
        <v>1018</v>
      </c>
      <c r="B1533" s="90" t="s">
        <v>933</v>
      </c>
      <c r="C1533" s="90" t="s">
        <v>1005</v>
      </c>
      <c r="D1533" s="90" t="s">
        <v>663</v>
      </c>
      <c r="E1533" s="90" t="s">
        <v>676</v>
      </c>
      <c r="F1533" s="90" t="s">
        <v>522</v>
      </c>
      <c r="G1533" s="93">
        <v>450.35</v>
      </c>
      <c r="H1533" s="92"/>
      <c r="I1533" s="92"/>
      <c r="J1533" s="92"/>
      <c r="K1533" s="92"/>
      <c r="L1533" s="92"/>
      <c r="M1533" s="92"/>
      <c r="N1533" s="92"/>
      <c r="O1533" s="92"/>
      <c r="P1533" s="92"/>
      <c r="Q1533" s="92"/>
      <c r="R1533" s="92"/>
      <c r="S1533" s="92"/>
      <c r="T1533" s="92"/>
      <c r="U1533" s="93">
        <v>450.35</v>
      </c>
      <c r="V1533" s="92"/>
      <c r="W1533" s="92"/>
      <c r="X1533" s="92"/>
      <c r="Y1533" s="92"/>
      <c r="Z1533" s="92"/>
      <c r="AA1533" s="92"/>
      <c r="AB1533" s="92"/>
      <c r="AC1533" s="92"/>
      <c r="AD1533" s="93">
        <v>27.02</v>
      </c>
      <c r="AE1533" s="92"/>
      <c r="AF1533" s="92"/>
      <c r="AG1533" s="93">
        <v>477.37</v>
      </c>
      <c r="AH1533" s="93">
        <v>0</v>
      </c>
    </row>
    <row r="1534" spans="1:34" ht="15.75" thickBot="1" x14ac:dyDescent="0.3">
      <c r="A1534" s="90" t="s">
        <v>1018</v>
      </c>
      <c r="B1534" s="90" t="s">
        <v>933</v>
      </c>
      <c r="C1534" s="90" t="s">
        <v>1005</v>
      </c>
      <c r="D1534" s="90" t="s">
        <v>663</v>
      </c>
      <c r="E1534" s="90" t="s">
        <v>676</v>
      </c>
      <c r="F1534" s="90" t="s">
        <v>697</v>
      </c>
      <c r="G1534" s="95">
        <v>450.35</v>
      </c>
      <c r="H1534" s="94"/>
      <c r="I1534" s="94"/>
      <c r="J1534" s="94"/>
      <c r="K1534" s="94"/>
      <c r="L1534" s="94"/>
      <c r="M1534" s="94"/>
      <c r="N1534" s="94"/>
      <c r="O1534" s="94"/>
      <c r="P1534" s="94"/>
      <c r="Q1534" s="94"/>
      <c r="R1534" s="94"/>
      <c r="S1534" s="94"/>
      <c r="T1534" s="94"/>
      <c r="U1534" s="95">
        <v>450.35</v>
      </c>
      <c r="V1534" s="94"/>
      <c r="W1534" s="94"/>
      <c r="X1534" s="94"/>
      <c r="Y1534" s="94"/>
      <c r="Z1534" s="94"/>
      <c r="AA1534" s="94"/>
      <c r="AB1534" s="94"/>
      <c r="AC1534" s="94"/>
      <c r="AD1534" s="95">
        <v>27.02</v>
      </c>
      <c r="AE1534" s="94"/>
      <c r="AF1534" s="94"/>
      <c r="AG1534" s="95">
        <v>477.37</v>
      </c>
      <c r="AH1534" s="95">
        <v>0</v>
      </c>
    </row>
    <row r="1535" spans="1:34" ht="15.75" thickBot="1" x14ac:dyDescent="0.3">
      <c r="A1535" s="90" t="s">
        <v>1018</v>
      </c>
      <c r="B1535" s="90" t="s">
        <v>933</v>
      </c>
      <c r="C1535" s="90" t="s">
        <v>1005</v>
      </c>
      <c r="D1535" s="90" t="s">
        <v>663</v>
      </c>
      <c r="E1535" s="90" t="s">
        <v>677</v>
      </c>
      <c r="F1535" s="90" t="s">
        <v>522</v>
      </c>
      <c r="G1535" s="93">
        <v>493.43</v>
      </c>
      <c r="H1535" s="92"/>
      <c r="I1535" s="92"/>
      <c r="J1535" s="92"/>
      <c r="K1535" s="92"/>
      <c r="L1535" s="92"/>
      <c r="M1535" s="92"/>
      <c r="N1535" s="92"/>
      <c r="O1535" s="92"/>
      <c r="P1535" s="92"/>
      <c r="Q1535" s="92"/>
      <c r="R1535" s="92"/>
      <c r="S1535" s="92"/>
      <c r="T1535" s="92"/>
      <c r="U1535" s="92"/>
      <c r="V1535" s="93">
        <v>493.43</v>
      </c>
      <c r="W1535" s="92"/>
      <c r="X1535" s="92"/>
      <c r="Y1535" s="92"/>
      <c r="Z1535" s="92"/>
      <c r="AA1535" s="92"/>
      <c r="AB1535" s="92"/>
      <c r="AC1535" s="92"/>
      <c r="AD1535" s="93">
        <v>29.61</v>
      </c>
      <c r="AE1535" s="92"/>
      <c r="AF1535" s="92"/>
      <c r="AG1535" s="93">
        <v>523.04</v>
      </c>
      <c r="AH1535" s="93">
        <v>0</v>
      </c>
    </row>
    <row r="1536" spans="1:34" ht="15.75" thickBot="1" x14ac:dyDescent="0.3">
      <c r="A1536" s="90" t="s">
        <v>1018</v>
      </c>
      <c r="B1536" s="90" t="s">
        <v>933</v>
      </c>
      <c r="C1536" s="90" t="s">
        <v>1005</v>
      </c>
      <c r="D1536" s="90" t="s">
        <v>663</v>
      </c>
      <c r="E1536" s="90" t="s">
        <v>677</v>
      </c>
      <c r="F1536" s="90" t="s">
        <v>697</v>
      </c>
      <c r="G1536" s="95">
        <v>493.43</v>
      </c>
      <c r="H1536" s="94"/>
      <c r="I1536" s="94"/>
      <c r="J1536" s="94"/>
      <c r="K1536" s="94"/>
      <c r="L1536" s="94"/>
      <c r="M1536" s="94"/>
      <c r="N1536" s="94"/>
      <c r="O1536" s="94"/>
      <c r="P1536" s="94"/>
      <c r="Q1536" s="94"/>
      <c r="R1536" s="94"/>
      <c r="S1536" s="94"/>
      <c r="T1536" s="94"/>
      <c r="U1536" s="94"/>
      <c r="V1536" s="95">
        <v>493.43</v>
      </c>
      <c r="W1536" s="94"/>
      <c r="X1536" s="94"/>
      <c r="Y1536" s="94"/>
      <c r="Z1536" s="94"/>
      <c r="AA1536" s="94"/>
      <c r="AB1536" s="94"/>
      <c r="AC1536" s="94"/>
      <c r="AD1536" s="95">
        <v>29.61</v>
      </c>
      <c r="AE1536" s="94"/>
      <c r="AF1536" s="94"/>
      <c r="AG1536" s="95">
        <v>523.04</v>
      </c>
      <c r="AH1536" s="95">
        <v>0</v>
      </c>
    </row>
    <row r="1537" spans="1:34" ht="15.75" thickBot="1" x14ac:dyDescent="0.3">
      <c r="A1537" s="90" t="s">
        <v>1018</v>
      </c>
      <c r="B1537" s="90" t="s">
        <v>933</v>
      </c>
      <c r="C1537" s="90" t="s">
        <v>1005</v>
      </c>
      <c r="D1537" s="90" t="s">
        <v>662</v>
      </c>
      <c r="E1537" s="90" t="s">
        <v>518</v>
      </c>
      <c r="F1537" s="90" t="s">
        <v>522</v>
      </c>
      <c r="G1537" s="95">
        <v>6987.35</v>
      </c>
      <c r="H1537" s="95">
        <v>162421</v>
      </c>
      <c r="I1537" s="94"/>
      <c r="J1537" s="94"/>
      <c r="K1537" s="95">
        <v>6987.35</v>
      </c>
      <c r="L1537" s="94"/>
      <c r="M1537" s="94"/>
      <c r="N1537" s="94"/>
      <c r="O1537" s="94"/>
      <c r="P1537" s="94"/>
      <c r="Q1537" s="94"/>
      <c r="R1537" s="94"/>
      <c r="S1537" s="94"/>
      <c r="T1537" s="94"/>
      <c r="U1537" s="94"/>
      <c r="V1537" s="94"/>
      <c r="W1537" s="94"/>
      <c r="X1537" s="94"/>
      <c r="Y1537" s="94"/>
      <c r="Z1537" s="94"/>
      <c r="AA1537" s="94"/>
      <c r="AB1537" s="94"/>
      <c r="AC1537" s="94"/>
      <c r="AD1537" s="95">
        <v>0</v>
      </c>
      <c r="AE1537" s="94"/>
      <c r="AF1537" s="94"/>
      <c r="AG1537" s="95">
        <v>6987.35</v>
      </c>
      <c r="AH1537" s="95">
        <v>0</v>
      </c>
    </row>
    <row r="1538" spans="1:34" ht="15.75" thickBot="1" x14ac:dyDescent="0.3">
      <c r="A1538" s="90" t="s">
        <v>1018</v>
      </c>
      <c r="B1538" s="90" t="s">
        <v>933</v>
      </c>
      <c r="C1538" s="90" t="s">
        <v>1005</v>
      </c>
      <c r="D1538" s="90" t="s">
        <v>662</v>
      </c>
      <c r="E1538" s="90" t="s">
        <v>518</v>
      </c>
      <c r="F1538" s="90" t="s">
        <v>697</v>
      </c>
      <c r="G1538" s="93">
        <v>6987.35</v>
      </c>
      <c r="H1538" s="304">
        <v>162421</v>
      </c>
      <c r="I1538" s="92"/>
      <c r="J1538" s="92"/>
      <c r="K1538" s="93">
        <v>6987.35</v>
      </c>
      <c r="L1538" s="92"/>
      <c r="M1538" s="92"/>
      <c r="N1538" s="92"/>
      <c r="O1538" s="92"/>
      <c r="P1538" s="92"/>
      <c r="Q1538" s="92"/>
      <c r="R1538" s="92"/>
      <c r="S1538" s="92"/>
      <c r="T1538" s="92"/>
      <c r="U1538" s="92"/>
      <c r="V1538" s="92"/>
      <c r="W1538" s="92"/>
      <c r="X1538" s="92"/>
      <c r="Y1538" s="92"/>
      <c r="Z1538" s="92"/>
      <c r="AA1538" s="92"/>
      <c r="AB1538" s="92"/>
      <c r="AC1538" s="92"/>
      <c r="AD1538" s="93">
        <v>0</v>
      </c>
      <c r="AE1538" s="92"/>
      <c r="AF1538" s="92"/>
      <c r="AG1538" s="93">
        <v>6987.35</v>
      </c>
      <c r="AH1538" s="93">
        <v>0</v>
      </c>
    </row>
    <row r="1539" spans="1:34" ht="15.75" thickBot="1" x14ac:dyDescent="0.3">
      <c r="A1539" s="90" t="s">
        <v>1018</v>
      </c>
      <c r="B1539" s="90" t="s">
        <v>933</v>
      </c>
      <c r="C1539" s="90" t="s">
        <v>1005</v>
      </c>
      <c r="D1539" s="90" t="s">
        <v>662</v>
      </c>
      <c r="E1539" s="90" t="s">
        <v>524</v>
      </c>
      <c r="F1539" s="90" t="s">
        <v>522</v>
      </c>
      <c r="G1539" s="95">
        <v>550</v>
      </c>
      <c r="H1539" s="94"/>
      <c r="I1539" s="95">
        <v>550</v>
      </c>
      <c r="J1539" s="94"/>
      <c r="K1539" s="94"/>
      <c r="L1539" s="94"/>
      <c r="M1539" s="94"/>
      <c r="N1539" s="94"/>
      <c r="O1539" s="94"/>
      <c r="P1539" s="94"/>
      <c r="Q1539" s="94"/>
      <c r="R1539" s="94"/>
      <c r="S1539" s="94"/>
      <c r="T1539" s="94"/>
      <c r="U1539" s="94"/>
      <c r="V1539" s="94"/>
      <c r="W1539" s="94"/>
      <c r="X1539" s="94"/>
      <c r="Y1539" s="94"/>
      <c r="Z1539" s="94"/>
      <c r="AA1539" s="94"/>
      <c r="AB1539" s="94"/>
      <c r="AC1539" s="94"/>
      <c r="AD1539" s="95">
        <v>0</v>
      </c>
      <c r="AE1539" s="94"/>
      <c r="AF1539" s="94"/>
      <c r="AG1539" s="95">
        <v>550</v>
      </c>
      <c r="AH1539" s="95">
        <v>0</v>
      </c>
    </row>
    <row r="1540" spans="1:34" ht="15.75" thickBot="1" x14ac:dyDescent="0.3">
      <c r="A1540" s="90" t="s">
        <v>1018</v>
      </c>
      <c r="B1540" s="90" t="s">
        <v>933</v>
      </c>
      <c r="C1540" s="90" t="s">
        <v>1005</v>
      </c>
      <c r="D1540" s="90" t="s">
        <v>662</v>
      </c>
      <c r="E1540" s="90" t="s">
        <v>524</v>
      </c>
      <c r="F1540" s="90" t="s">
        <v>697</v>
      </c>
      <c r="G1540" s="93">
        <v>550</v>
      </c>
      <c r="H1540" s="92"/>
      <c r="I1540" s="93">
        <v>550</v>
      </c>
      <c r="J1540" s="92"/>
      <c r="K1540" s="92"/>
      <c r="L1540" s="92"/>
      <c r="M1540" s="92"/>
      <c r="N1540" s="92"/>
      <c r="O1540" s="92"/>
      <c r="P1540" s="92"/>
      <c r="Q1540" s="92"/>
      <c r="R1540" s="92"/>
      <c r="S1540" s="92"/>
      <c r="T1540" s="92"/>
      <c r="U1540" s="92"/>
      <c r="V1540" s="92"/>
      <c r="W1540" s="92"/>
      <c r="X1540" s="92"/>
      <c r="Y1540" s="92"/>
      <c r="Z1540" s="92"/>
      <c r="AA1540" s="92"/>
      <c r="AB1540" s="92"/>
      <c r="AC1540" s="92"/>
      <c r="AD1540" s="93">
        <v>0</v>
      </c>
      <c r="AE1540" s="92"/>
      <c r="AF1540" s="92"/>
      <c r="AG1540" s="93">
        <v>550</v>
      </c>
      <c r="AH1540" s="93">
        <v>0</v>
      </c>
    </row>
    <row r="1541" spans="1:34" ht="15.75" thickBot="1" x14ac:dyDescent="0.3">
      <c r="A1541" s="90" t="s">
        <v>1018</v>
      </c>
      <c r="B1541" s="90" t="s">
        <v>54</v>
      </c>
      <c r="C1541" s="90" t="s">
        <v>55</v>
      </c>
      <c r="D1541" s="90" t="s">
        <v>663</v>
      </c>
      <c r="E1541" s="90" t="s">
        <v>525</v>
      </c>
      <c r="F1541" s="90" t="s">
        <v>690</v>
      </c>
      <c r="G1541" s="93">
        <v>9464.39</v>
      </c>
      <c r="H1541" s="92"/>
      <c r="I1541" s="92"/>
      <c r="J1541" s="92"/>
      <c r="K1541" s="92"/>
      <c r="L1541" s="92"/>
      <c r="M1541" s="92"/>
      <c r="N1541" s="92"/>
      <c r="O1541" s="92"/>
      <c r="P1541" s="92"/>
      <c r="Q1541" s="92"/>
      <c r="R1541" s="93">
        <v>9464.39</v>
      </c>
      <c r="S1541" s="92"/>
      <c r="T1541" s="92"/>
      <c r="U1541" s="92"/>
      <c r="V1541" s="92"/>
      <c r="W1541" s="92"/>
      <c r="X1541" s="92"/>
      <c r="Y1541" s="92"/>
      <c r="Z1541" s="92"/>
      <c r="AA1541" s="92"/>
      <c r="AB1541" s="92"/>
      <c r="AC1541" s="92"/>
      <c r="AD1541" s="93">
        <v>202.1</v>
      </c>
      <c r="AE1541" s="92"/>
      <c r="AF1541" s="92"/>
      <c r="AG1541" s="93">
        <v>9666.49</v>
      </c>
      <c r="AH1541" s="93">
        <v>0</v>
      </c>
    </row>
    <row r="1542" spans="1:34" ht="15.75" thickBot="1" x14ac:dyDescent="0.3">
      <c r="A1542" s="90" t="s">
        <v>1018</v>
      </c>
      <c r="B1542" s="90" t="s">
        <v>54</v>
      </c>
      <c r="C1542" s="90" t="s">
        <v>55</v>
      </c>
      <c r="D1542" s="90" t="s">
        <v>663</v>
      </c>
      <c r="E1542" s="90" t="s">
        <v>525</v>
      </c>
      <c r="F1542" s="90" t="s">
        <v>697</v>
      </c>
      <c r="G1542" s="95">
        <v>9464.39</v>
      </c>
      <c r="H1542" s="94"/>
      <c r="I1542" s="94"/>
      <c r="J1542" s="94"/>
      <c r="K1542" s="94"/>
      <c r="L1542" s="94"/>
      <c r="M1542" s="94"/>
      <c r="N1542" s="94"/>
      <c r="O1542" s="94"/>
      <c r="P1542" s="94"/>
      <c r="Q1542" s="94"/>
      <c r="R1542" s="95">
        <v>9464.39</v>
      </c>
      <c r="S1542" s="94"/>
      <c r="T1542" s="94"/>
      <c r="U1542" s="94"/>
      <c r="V1542" s="94"/>
      <c r="W1542" s="94"/>
      <c r="X1542" s="94"/>
      <c r="Y1542" s="94"/>
      <c r="Z1542" s="94"/>
      <c r="AA1542" s="94"/>
      <c r="AB1542" s="94"/>
      <c r="AC1542" s="94"/>
      <c r="AD1542" s="95">
        <v>202.1</v>
      </c>
      <c r="AE1542" s="94"/>
      <c r="AF1542" s="94"/>
      <c r="AG1542" s="95">
        <v>9666.49</v>
      </c>
      <c r="AH1542" s="95">
        <v>0</v>
      </c>
    </row>
    <row r="1543" spans="1:34" ht="15.75" thickBot="1" x14ac:dyDescent="0.3">
      <c r="A1543" s="90" t="s">
        <v>1018</v>
      </c>
      <c r="B1543" s="90" t="s">
        <v>54</v>
      </c>
      <c r="C1543" s="90" t="s">
        <v>55</v>
      </c>
      <c r="D1543" s="90" t="s">
        <v>663</v>
      </c>
      <c r="E1543" s="90" t="s">
        <v>527</v>
      </c>
      <c r="F1543" s="90" t="s">
        <v>690</v>
      </c>
      <c r="G1543" s="93">
        <v>-15029.16</v>
      </c>
      <c r="H1543" s="92"/>
      <c r="I1543" s="92"/>
      <c r="J1543" s="92"/>
      <c r="K1543" s="92"/>
      <c r="L1543" s="92"/>
      <c r="M1543" s="92"/>
      <c r="N1543" s="92"/>
      <c r="O1543" s="92"/>
      <c r="P1543" s="92"/>
      <c r="Q1543" s="92"/>
      <c r="R1543" s="92"/>
      <c r="S1543" s="93">
        <v>-15029.16</v>
      </c>
      <c r="T1543" s="92"/>
      <c r="U1543" s="92"/>
      <c r="V1543" s="92"/>
      <c r="W1543" s="92"/>
      <c r="X1543" s="92"/>
      <c r="Y1543" s="92"/>
      <c r="Z1543" s="92"/>
      <c r="AA1543" s="92"/>
      <c r="AB1543" s="92"/>
      <c r="AC1543" s="92"/>
      <c r="AD1543" s="93">
        <v>165.36</v>
      </c>
      <c r="AE1543" s="92"/>
      <c r="AF1543" s="92"/>
      <c r="AG1543" s="93">
        <v>-14863.8</v>
      </c>
      <c r="AH1543" s="93">
        <v>0</v>
      </c>
    </row>
    <row r="1544" spans="1:34" ht="15.75" thickBot="1" x14ac:dyDescent="0.3">
      <c r="A1544" s="90" t="s">
        <v>1018</v>
      </c>
      <c r="B1544" s="90" t="s">
        <v>54</v>
      </c>
      <c r="C1544" s="90" t="s">
        <v>55</v>
      </c>
      <c r="D1544" s="90" t="s">
        <v>663</v>
      </c>
      <c r="E1544" s="90" t="s">
        <v>527</v>
      </c>
      <c r="F1544" s="90" t="s">
        <v>697</v>
      </c>
      <c r="G1544" s="95">
        <v>-15029.16</v>
      </c>
      <c r="H1544" s="94"/>
      <c r="I1544" s="94"/>
      <c r="J1544" s="94"/>
      <c r="K1544" s="94"/>
      <c r="L1544" s="94"/>
      <c r="M1544" s="94"/>
      <c r="N1544" s="94"/>
      <c r="O1544" s="94"/>
      <c r="P1544" s="94"/>
      <c r="Q1544" s="94"/>
      <c r="R1544" s="94"/>
      <c r="S1544" s="95">
        <v>-15029.16</v>
      </c>
      <c r="T1544" s="94"/>
      <c r="U1544" s="94"/>
      <c r="V1544" s="94"/>
      <c r="W1544" s="94"/>
      <c r="X1544" s="94"/>
      <c r="Y1544" s="94"/>
      <c r="Z1544" s="94"/>
      <c r="AA1544" s="94"/>
      <c r="AB1544" s="94"/>
      <c r="AC1544" s="94"/>
      <c r="AD1544" s="95">
        <v>165.36</v>
      </c>
      <c r="AE1544" s="94"/>
      <c r="AF1544" s="94"/>
      <c r="AG1544" s="95">
        <v>-14863.8</v>
      </c>
      <c r="AH1544" s="95">
        <v>0</v>
      </c>
    </row>
    <row r="1545" spans="1:34" ht="15.75" thickBot="1" x14ac:dyDescent="0.3">
      <c r="A1545" s="90" t="s">
        <v>1018</v>
      </c>
      <c r="B1545" s="90" t="s">
        <v>54</v>
      </c>
      <c r="C1545" s="90" t="s">
        <v>55</v>
      </c>
      <c r="D1545" s="90" t="s">
        <v>663</v>
      </c>
      <c r="E1545" s="90" t="s">
        <v>524</v>
      </c>
      <c r="F1545" s="90" t="s">
        <v>522</v>
      </c>
      <c r="G1545" s="93">
        <v>1575</v>
      </c>
      <c r="H1545" s="92"/>
      <c r="I1545" s="93">
        <v>1575</v>
      </c>
      <c r="J1545" s="92"/>
      <c r="K1545" s="92"/>
      <c r="L1545" s="92"/>
      <c r="M1545" s="92"/>
      <c r="N1545" s="92"/>
      <c r="O1545" s="92"/>
      <c r="P1545" s="92"/>
      <c r="Q1545" s="92"/>
      <c r="R1545" s="92"/>
      <c r="S1545" s="92"/>
      <c r="T1545" s="92"/>
      <c r="U1545" s="92"/>
      <c r="V1545" s="92"/>
      <c r="W1545" s="92"/>
      <c r="X1545" s="92"/>
      <c r="Y1545" s="92"/>
      <c r="Z1545" s="92"/>
      <c r="AA1545" s="92"/>
      <c r="AB1545" s="92"/>
      <c r="AC1545" s="92"/>
      <c r="AD1545" s="93">
        <v>8.99</v>
      </c>
      <c r="AE1545" s="92"/>
      <c r="AF1545" s="92"/>
      <c r="AG1545" s="93">
        <v>1583.99</v>
      </c>
      <c r="AH1545" s="93">
        <v>0</v>
      </c>
    </row>
    <row r="1546" spans="1:34" ht="15.75" thickBot="1" x14ac:dyDescent="0.3">
      <c r="A1546" s="90" t="s">
        <v>1018</v>
      </c>
      <c r="B1546" s="90" t="s">
        <v>54</v>
      </c>
      <c r="C1546" s="90" t="s">
        <v>55</v>
      </c>
      <c r="D1546" s="90" t="s">
        <v>663</v>
      </c>
      <c r="E1546" s="90" t="s">
        <v>524</v>
      </c>
      <c r="F1546" s="90" t="s">
        <v>697</v>
      </c>
      <c r="G1546" s="95">
        <v>1575</v>
      </c>
      <c r="H1546" s="94"/>
      <c r="I1546" s="95">
        <v>1575</v>
      </c>
      <c r="J1546" s="94"/>
      <c r="K1546" s="94"/>
      <c r="L1546" s="94"/>
      <c r="M1546" s="94"/>
      <c r="N1546" s="94"/>
      <c r="O1546" s="94"/>
      <c r="P1546" s="94"/>
      <c r="Q1546" s="94"/>
      <c r="R1546" s="94"/>
      <c r="S1546" s="94"/>
      <c r="T1546" s="94"/>
      <c r="U1546" s="94"/>
      <c r="V1546" s="94"/>
      <c r="W1546" s="94"/>
      <c r="X1546" s="94"/>
      <c r="Y1546" s="94"/>
      <c r="Z1546" s="94"/>
      <c r="AA1546" s="94"/>
      <c r="AB1546" s="94"/>
      <c r="AC1546" s="94"/>
      <c r="AD1546" s="95">
        <v>8.99</v>
      </c>
      <c r="AE1546" s="94"/>
      <c r="AF1546" s="94"/>
      <c r="AG1546" s="95">
        <v>1583.99</v>
      </c>
      <c r="AH1546" s="95">
        <v>0</v>
      </c>
    </row>
    <row r="1547" spans="1:34" ht="15.75" thickBot="1" x14ac:dyDescent="0.3">
      <c r="A1547" s="90" t="s">
        <v>1018</v>
      </c>
      <c r="B1547" s="90" t="s">
        <v>54</v>
      </c>
      <c r="C1547" s="90" t="s">
        <v>55</v>
      </c>
      <c r="D1547" s="90" t="s">
        <v>663</v>
      </c>
      <c r="E1547" s="90" t="s">
        <v>676</v>
      </c>
      <c r="F1547" s="90" t="s">
        <v>522</v>
      </c>
      <c r="G1547" s="93">
        <v>265.18</v>
      </c>
      <c r="H1547" s="92"/>
      <c r="I1547" s="92"/>
      <c r="J1547" s="92"/>
      <c r="K1547" s="92"/>
      <c r="L1547" s="92"/>
      <c r="M1547" s="92"/>
      <c r="N1547" s="92"/>
      <c r="O1547" s="92"/>
      <c r="P1547" s="92"/>
      <c r="Q1547" s="92"/>
      <c r="R1547" s="92"/>
      <c r="S1547" s="92"/>
      <c r="T1547" s="92"/>
      <c r="U1547" s="93">
        <v>265.18</v>
      </c>
      <c r="V1547" s="92"/>
      <c r="W1547" s="92"/>
      <c r="X1547" s="92"/>
      <c r="Y1547" s="92"/>
      <c r="Z1547" s="92"/>
      <c r="AA1547" s="92"/>
      <c r="AB1547" s="92"/>
      <c r="AC1547" s="92"/>
      <c r="AD1547" s="93">
        <v>65.36</v>
      </c>
      <c r="AE1547" s="92"/>
      <c r="AF1547" s="92"/>
      <c r="AG1547" s="93">
        <v>330.54</v>
      </c>
      <c r="AH1547" s="93">
        <v>0</v>
      </c>
    </row>
    <row r="1548" spans="1:34" ht="15.75" thickBot="1" x14ac:dyDescent="0.3">
      <c r="A1548" s="90" t="s">
        <v>1018</v>
      </c>
      <c r="B1548" s="90" t="s">
        <v>54</v>
      </c>
      <c r="C1548" s="90" t="s">
        <v>55</v>
      </c>
      <c r="D1548" s="90" t="s">
        <v>663</v>
      </c>
      <c r="E1548" s="90" t="s">
        <v>676</v>
      </c>
      <c r="F1548" s="90" t="s">
        <v>697</v>
      </c>
      <c r="G1548" s="95">
        <v>265.18</v>
      </c>
      <c r="H1548" s="94"/>
      <c r="I1548" s="94"/>
      <c r="J1548" s="94"/>
      <c r="K1548" s="94"/>
      <c r="L1548" s="94"/>
      <c r="M1548" s="94"/>
      <c r="N1548" s="94"/>
      <c r="O1548" s="94"/>
      <c r="P1548" s="94"/>
      <c r="Q1548" s="94"/>
      <c r="R1548" s="94"/>
      <c r="S1548" s="94"/>
      <c r="T1548" s="94"/>
      <c r="U1548" s="95">
        <v>265.18</v>
      </c>
      <c r="V1548" s="94"/>
      <c r="W1548" s="94"/>
      <c r="X1548" s="94"/>
      <c r="Y1548" s="94"/>
      <c r="Z1548" s="94"/>
      <c r="AA1548" s="94"/>
      <c r="AB1548" s="94"/>
      <c r="AC1548" s="94"/>
      <c r="AD1548" s="95">
        <v>65.36</v>
      </c>
      <c r="AE1548" s="94"/>
      <c r="AF1548" s="94"/>
      <c r="AG1548" s="95">
        <v>330.54</v>
      </c>
      <c r="AH1548" s="95">
        <v>0</v>
      </c>
    </row>
    <row r="1549" spans="1:34" ht="15.75" thickBot="1" x14ac:dyDescent="0.3">
      <c r="A1549" s="90" t="s">
        <v>1018</v>
      </c>
      <c r="B1549" s="90" t="s">
        <v>54</v>
      </c>
      <c r="C1549" s="90" t="s">
        <v>55</v>
      </c>
      <c r="D1549" s="90" t="s">
        <v>663</v>
      </c>
      <c r="E1549" s="90" t="s">
        <v>677</v>
      </c>
      <c r="F1549" s="90" t="s">
        <v>522</v>
      </c>
      <c r="G1549" s="93">
        <v>290.52999999999997</v>
      </c>
      <c r="H1549" s="92"/>
      <c r="I1549" s="92"/>
      <c r="J1549" s="92"/>
      <c r="K1549" s="92"/>
      <c r="L1549" s="92"/>
      <c r="M1549" s="92"/>
      <c r="N1549" s="92"/>
      <c r="O1549" s="92"/>
      <c r="P1549" s="92"/>
      <c r="Q1549" s="92"/>
      <c r="R1549" s="92"/>
      <c r="S1549" s="92"/>
      <c r="T1549" s="92"/>
      <c r="U1549" s="92"/>
      <c r="V1549" s="93">
        <v>290.52999999999997</v>
      </c>
      <c r="W1549" s="92"/>
      <c r="X1549" s="92"/>
      <c r="Y1549" s="92"/>
      <c r="Z1549" s="92"/>
      <c r="AA1549" s="92"/>
      <c r="AB1549" s="92"/>
      <c r="AC1549" s="92"/>
      <c r="AD1549" s="93">
        <v>71.61</v>
      </c>
      <c r="AE1549" s="92"/>
      <c r="AF1549" s="92"/>
      <c r="AG1549" s="93">
        <v>362.14</v>
      </c>
      <c r="AH1549" s="93">
        <v>0</v>
      </c>
    </row>
    <row r="1550" spans="1:34" ht="15.75" thickBot="1" x14ac:dyDescent="0.3">
      <c r="A1550" s="90" t="s">
        <v>1018</v>
      </c>
      <c r="B1550" s="90" t="s">
        <v>54</v>
      </c>
      <c r="C1550" s="90" t="s">
        <v>55</v>
      </c>
      <c r="D1550" s="90" t="s">
        <v>663</v>
      </c>
      <c r="E1550" s="90" t="s">
        <v>677</v>
      </c>
      <c r="F1550" s="90" t="s">
        <v>697</v>
      </c>
      <c r="G1550" s="95">
        <v>290.52999999999997</v>
      </c>
      <c r="H1550" s="94"/>
      <c r="I1550" s="94"/>
      <c r="J1550" s="94"/>
      <c r="K1550" s="94"/>
      <c r="L1550" s="94"/>
      <c r="M1550" s="94"/>
      <c r="N1550" s="94"/>
      <c r="O1550" s="94"/>
      <c r="P1550" s="94"/>
      <c r="Q1550" s="94"/>
      <c r="R1550" s="94"/>
      <c r="S1550" s="94"/>
      <c r="T1550" s="94"/>
      <c r="U1550" s="94"/>
      <c r="V1550" s="95">
        <v>290.52999999999997</v>
      </c>
      <c r="W1550" s="94"/>
      <c r="X1550" s="94"/>
      <c r="Y1550" s="94"/>
      <c r="Z1550" s="94"/>
      <c r="AA1550" s="94"/>
      <c r="AB1550" s="94"/>
      <c r="AC1550" s="94"/>
      <c r="AD1550" s="95">
        <v>71.61</v>
      </c>
      <c r="AE1550" s="94"/>
      <c r="AF1550" s="94"/>
      <c r="AG1550" s="95">
        <v>362.14</v>
      </c>
      <c r="AH1550" s="95">
        <v>0</v>
      </c>
    </row>
    <row r="1551" spans="1:34" ht="15.75" thickBot="1" x14ac:dyDescent="0.3">
      <c r="A1551" s="90" t="s">
        <v>1018</v>
      </c>
      <c r="B1551" s="90" t="s">
        <v>45</v>
      </c>
      <c r="C1551" s="90" t="s">
        <v>46</v>
      </c>
      <c r="D1551" s="90" t="s">
        <v>165</v>
      </c>
      <c r="E1551" s="90" t="s">
        <v>528</v>
      </c>
      <c r="F1551" s="90" t="s">
        <v>698</v>
      </c>
      <c r="G1551" s="95">
        <v>180</v>
      </c>
      <c r="H1551" s="94"/>
      <c r="I1551" s="95">
        <v>180</v>
      </c>
      <c r="J1551" s="94"/>
      <c r="K1551" s="94"/>
      <c r="L1551" s="94"/>
      <c r="M1551" s="94"/>
      <c r="N1551" s="94"/>
      <c r="O1551" s="94"/>
      <c r="P1551" s="94"/>
      <c r="Q1551" s="94"/>
      <c r="R1551" s="94"/>
      <c r="S1551" s="94"/>
      <c r="T1551" s="94"/>
      <c r="U1551" s="94"/>
      <c r="V1551" s="94"/>
      <c r="W1551" s="94"/>
      <c r="X1551" s="94"/>
      <c r="Y1551" s="94"/>
      <c r="Z1551" s="94"/>
      <c r="AA1551" s="94"/>
      <c r="AB1551" s="94"/>
      <c r="AC1551" s="94"/>
      <c r="AD1551" s="95">
        <v>0</v>
      </c>
      <c r="AE1551" s="94"/>
      <c r="AF1551" s="94"/>
      <c r="AG1551" s="95">
        <v>180</v>
      </c>
      <c r="AH1551" s="95">
        <v>0</v>
      </c>
    </row>
    <row r="1552" spans="1:34" ht="15.75" thickBot="1" x14ac:dyDescent="0.3">
      <c r="A1552" s="90" t="s">
        <v>1018</v>
      </c>
      <c r="B1552" s="90" t="s">
        <v>45</v>
      </c>
      <c r="C1552" s="90" t="s">
        <v>46</v>
      </c>
      <c r="D1552" s="90" t="s">
        <v>165</v>
      </c>
      <c r="E1552" s="90" t="s">
        <v>528</v>
      </c>
      <c r="F1552" s="90" t="s">
        <v>697</v>
      </c>
      <c r="G1552" s="93">
        <v>180</v>
      </c>
      <c r="H1552" s="92"/>
      <c r="I1552" s="93">
        <v>180</v>
      </c>
      <c r="J1552" s="92"/>
      <c r="K1552" s="92"/>
      <c r="L1552" s="92"/>
      <c r="M1552" s="92"/>
      <c r="N1552" s="92"/>
      <c r="O1552" s="92"/>
      <c r="P1552" s="92"/>
      <c r="Q1552" s="92"/>
      <c r="R1552" s="92"/>
      <c r="S1552" s="92"/>
      <c r="T1552" s="92"/>
      <c r="U1552" s="92"/>
      <c r="V1552" s="92"/>
      <c r="W1552" s="92"/>
      <c r="X1552" s="92"/>
      <c r="Y1552" s="92"/>
      <c r="Z1552" s="92"/>
      <c r="AA1552" s="92"/>
      <c r="AB1552" s="92"/>
      <c r="AC1552" s="92"/>
      <c r="AD1552" s="93">
        <v>0</v>
      </c>
      <c r="AE1552" s="92"/>
      <c r="AF1552" s="92"/>
      <c r="AG1552" s="93">
        <v>180</v>
      </c>
      <c r="AH1552" s="93">
        <v>0</v>
      </c>
    </row>
    <row r="1553" spans="1:34" ht="15.75" thickBot="1" x14ac:dyDescent="0.3">
      <c r="A1553" s="90" t="s">
        <v>1018</v>
      </c>
      <c r="B1553" s="90" t="s">
        <v>45</v>
      </c>
      <c r="C1553" s="90" t="s">
        <v>46</v>
      </c>
      <c r="D1553" s="90" t="s">
        <v>165</v>
      </c>
      <c r="E1553" s="90" t="s">
        <v>547</v>
      </c>
      <c r="F1553" s="90" t="s">
        <v>698</v>
      </c>
      <c r="G1553" s="95">
        <v>186513.62</v>
      </c>
      <c r="H1553" s="94"/>
      <c r="I1553" s="94"/>
      <c r="J1553" s="95">
        <v>186513.62</v>
      </c>
      <c r="K1553" s="94"/>
      <c r="L1553" s="94"/>
      <c r="M1553" s="94"/>
      <c r="N1553" s="94"/>
      <c r="O1553" s="94"/>
      <c r="P1553" s="94"/>
      <c r="Q1553" s="94"/>
      <c r="R1553" s="94"/>
      <c r="S1553" s="94"/>
      <c r="T1553" s="94"/>
      <c r="U1553" s="94"/>
      <c r="V1553" s="94"/>
      <c r="W1553" s="94"/>
      <c r="X1553" s="94"/>
      <c r="Y1553" s="94"/>
      <c r="Z1553" s="94"/>
      <c r="AA1553" s="94"/>
      <c r="AB1553" s="94"/>
      <c r="AC1553" s="94"/>
      <c r="AD1553" s="95">
        <v>0</v>
      </c>
      <c r="AE1553" s="94"/>
      <c r="AF1553" s="94"/>
      <c r="AG1553" s="95">
        <v>186513.62</v>
      </c>
      <c r="AH1553" s="95">
        <v>0</v>
      </c>
    </row>
    <row r="1554" spans="1:34" ht="15.75" thickBot="1" x14ac:dyDescent="0.3">
      <c r="A1554" s="90" t="s">
        <v>1018</v>
      </c>
      <c r="B1554" s="90" t="s">
        <v>45</v>
      </c>
      <c r="C1554" s="90" t="s">
        <v>46</v>
      </c>
      <c r="D1554" s="90" t="s">
        <v>165</v>
      </c>
      <c r="E1554" s="90" t="s">
        <v>547</v>
      </c>
      <c r="F1554" s="90" t="s">
        <v>697</v>
      </c>
      <c r="G1554" s="93">
        <v>186513.62</v>
      </c>
      <c r="H1554" s="92"/>
      <c r="I1554" s="92"/>
      <c r="J1554" s="93">
        <v>186513.62</v>
      </c>
      <c r="K1554" s="92"/>
      <c r="L1554" s="92"/>
      <c r="M1554" s="92"/>
      <c r="N1554" s="92"/>
      <c r="O1554" s="92"/>
      <c r="P1554" s="92"/>
      <c r="Q1554" s="92"/>
      <c r="R1554" s="92"/>
      <c r="S1554" s="92"/>
      <c r="T1554" s="92"/>
      <c r="U1554" s="92"/>
      <c r="V1554" s="92"/>
      <c r="W1554" s="92"/>
      <c r="X1554" s="92"/>
      <c r="Y1554" s="92"/>
      <c r="Z1554" s="92"/>
      <c r="AA1554" s="92"/>
      <c r="AB1554" s="92"/>
      <c r="AC1554" s="92"/>
      <c r="AD1554" s="93">
        <v>0</v>
      </c>
      <c r="AE1554" s="92"/>
      <c r="AF1554" s="92"/>
      <c r="AG1554" s="93">
        <v>186513.62</v>
      </c>
      <c r="AH1554" s="93">
        <v>0</v>
      </c>
    </row>
    <row r="1555" spans="1:34" ht="15.75" thickBot="1" x14ac:dyDescent="0.3">
      <c r="A1555" s="90" t="s">
        <v>1018</v>
      </c>
      <c r="B1555" s="90" t="s">
        <v>45</v>
      </c>
      <c r="C1555" s="90" t="s">
        <v>46</v>
      </c>
      <c r="D1555" s="90" t="s">
        <v>165</v>
      </c>
      <c r="E1555" s="90" t="s">
        <v>518</v>
      </c>
      <c r="F1555" s="90" t="s">
        <v>698</v>
      </c>
      <c r="G1555" s="95">
        <v>7901.31</v>
      </c>
      <c r="H1555" s="95">
        <v>237348</v>
      </c>
      <c r="I1555" s="94"/>
      <c r="J1555" s="94"/>
      <c r="K1555" s="95">
        <v>7901.31</v>
      </c>
      <c r="L1555" s="94"/>
      <c r="M1555" s="94"/>
      <c r="N1555" s="94"/>
      <c r="O1555" s="94"/>
      <c r="P1555" s="94"/>
      <c r="Q1555" s="94"/>
      <c r="R1555" s="94"/>
      <c r="S1555" s="94"/>
      <c r="T1555" s="94"/>
      <c r="U1555" s="94"/>
      <c r="V1555" s="94"/>
      <c r="W1555" s="94"/>
      <c r="X1555" s="94"/>
      <c r="Y1555" s="94"/>
      <c r="Z1555" s="94"/>
      <c r="AA1555" s="94"/>
      <c r="AB1555" s="94"/>
      <c r="AC1555" s="94"/>
      <c r="AD1555" s="95">
        <v>0</v>
      </c>
      <c r="AE1555" s="94"/>
      <c r="AF1555" s="94"/>
      <c r="AG1555" s="95">
        <v>7901.31</v>
      </c>
      <c r="AH1555" s="95">
        <v>0</v>
      </c>
    </row>
    <row r="1556" spans="1:34" ht="15.75" thickBot="1" x14ac:dyDescent="0.3">
      <c r="A1556" s="90" t="s">
        <v>1018</v>
      </c>
      <c r="B1556" s="90" t="s">
        <v>45</v>
      </c>
      <c r="C1556" s="90" t="s">
        <v>46</v>
      </c>
      <c r="D1556" s="90" t="s">
        <v>165</v>
      </c>
      <c r="E1556" s="90" t="s">
        <v>518</v>
      </c>
      <c r="F1556" s="90" t="s">
        <v>697</v>
      </c>
      <c r="G1556" s="93">
        <v>7901.31</v>
      </c>
      <c r="H1556" s="304">
        <v>237348</v>
      </c>
      <c r="I1556" s="92"/>
      <c r="J1556" s="92"/>
      <c r="K1556" s="93">
        <v>7901.31</v>
      </c>
      <c r="L1556" s="92"/>
      <c r="M1556" s="92"/>
      <c r="N1556" s="92"/>
      <c r="O1556" s="92"/>
      <c r="P1556" s="92"/>
      <c r="Q1556" s="92"/>
      <c r="R1556" s="92"/>
      <c r="S1556" s="92"/>
      <c r="T1556" s="92"/>
      <c r="U1556" s="92"/>
      <c r="V1556" s="92"/>
      <c r="W1556" s="92"/>
      <c r="X1556" s="92"/>
      <c r="Y1556" s="92"/>
      <c r="Z1556" s="92"/>
      <c r="AA1556" s="92"/>
      <c r="AB1556" s="92"/>
      <c r="AC1556" s="92"/>
      <c r="AD1556" s="93">
        <v>0</v>
      </c>
      <c r="AE1556" s="92"/>
      <c r="AF1556" s="92"/>
      <c r="AG1556" s="93">
        <v>7901.31</v>
      </c>
      <c r="AH1556" s="93">
        <v>0</v>
      </c>
    </row>
    <row r="1557" spans="1:34" ht="15.75" thickBot="1" x14ac:dyDescent="0.3">
      <c r="A1557" s="90" t="s">
        <v>1018</v>
      </c>
      <c r="B1557" s="90" t="s">
        <v>45</v>
      </c>
      <c r="C1557" s="90" t="s">
        <v>46</v>
      </c>
      <c r="D1557" s="90" t="s">
        <v>165</v>
      </c>
      <c r="E1557" s="90" t="s">
        <v>673</v>
      </c>
      <c r="F1557" s="90" t="s">
        <v>511</v>
      </c>
      <c r="G1557" s="95">
        <v>259.54000000000002</v>
      </c>
      <c r="H1557" s="94"/>
      <c r="I1557" s="94"/>
      <c r="J1557" s="94"/>
      <c r="K1557" s="94"/>
      <c r="L1557" s="94"/>
      <c r="M1557" s="94"/>
      <c r="N1557" s="94"/>
      <c r="O1557" s="94"/>
      <c r="P1557" s="94"/>
      <c r="Q1557" s="94"/>
      <c r="R1557" s="94"/>
      <c r="S1557" s="94"/>
      <c r="T1557" s="94"/>
      <c r="U1557" s="94"/>
      <c r="V1557" s="94"/>
      <c r="W1557" s="94"/>
      <c r="X1557" s="95">
        <v>259.54000000000002</v>
      </c>
      <c r="Y1557" s="94"/>
      <c r="Z1557" s="94"/>
      <c r="AA1557" s="94"/>
      <c r="AB1557" s="94"/>
      <c r="AC1557" s="94"/>
      <c r="AD1557" s="95">
        <v>0</v>
      </c>
      <c r="AE1557" s="94"/>
      <c r="AF1557" s="94"/>
      <c r="AG1557" s="95">
        <v>259.54000000000002</v>
      </c>
      <c r="AH1557" s="95">
        <v>0</v>
      </c>
    </row>
    <row r="1558" spans="1:34" ht="15.75" thickBot="1" x14ac:dyDescent="0.3">
      <c r="A1558" s="90" t="s">
        <v>1018</v>
      </c>
      <c r="B1558" s="90" t="s">
        <v>45</v>
      </c>
      <c r="C1558" s="90" t="s">
        <v>46</v>
      </c>
      <c r="D1558" s="90" t="s">
        <v>165</v>
      </c>
      <c r="E1558" s="90" t="s">
        <v>673</v>
      </c>
      <c r="F1558" s="90" t="s">
        <v>697</v>
      </c>
      <c r="G1558" s="93">
        <v>259.54000000000002</v>
      </c>
      <c r="H1558" s="92"/>
      <c r="I1558" s="92"/>
      <c r="J1558" s="92"/>
      <c r="K1558" s="92"/>
      <c r="L1558" s="92"/>
      <c r="M1558" s="92"/>
      <c r="N1558" s="92"/>
      <c r="O1558" s="92"/>
      <c r="P1558" s="92"/>
      <c r="Q1558" s="92"/>
      <c r="R1558" s="92"/>
      <c r="S1558" s="92"/>
      <c r="T1558" s="92"/>
      <c r="U1558" s="92"/>
      <c r="V1558" s="92"/>
      <c r="W1558" s="92"/>
      <c r="X1558" s="93">
        <v>259.54000000000002</v>
      </c>
      <c r="Y1558" s="92"/>
      <c r="Z1558" s="92"/>
      <c r="AA1558" s="92"/>
      <c r="AB1558" s="92"/>
      <c r="AC1558" s="92"/>
      <c r="AD1558" s="93">
        <v>0</v>
      </c>
      <c r="AE1558" s="92"/>
      <c r="AF1558" s="92"/>
      <c r="AG1558" s="93">
        <v>259.54000000000002</v>
      </c>
      <c r="AH1558" s="93">
        <v>0</v>
      </c>
    </row>
    <row r="1559" spans="1:34" ht="15.75" thickBot="1" x14ac:dyDescent="0.3">
      <c r="A1559" s="90" t="s">
        <v>1018</v>
      </c>
      <c r="B1559" s="90" t="s">
        <v>45</v>
      </c>
      <c r="C1559" s="90" t="s">
        <v>46</v>
      </c>
      <c r="D1559" s="90" t="s">
        <v>165</v>
      </c>
      <c r="E1559" s="90" t="s">
        <v>196</v>
      </c>
      <c r="F1559" s="90" t="s">
        <v>511</v>
      </c>
      <c r="G1559" s="95">
        <v>83380.350000000006</v>
      </c>
      <c r="H1559" s="94"/>
      <c r="I1559" s="94"/>
      <c r="J1559" s="94"/>
      <c r="K1559" s="94"/>
      <c r="L1559" s="94"/>
      <c r="M1559" s="94"/>
      <c r="N1559" s="94"/>
      <c r="O1559" s="94"/>
      <c r="P1559" s="95">
        <v>83380.350000000006</v>
      </c>
      <c r="Q1559" s="94"/>
      <c r="R1559" s="94"/>
      <c r="S1559" s="94"/>
      <c r="T1559" s="94"/>
      <c r="U1559" s="94"/>
      <c r="V1559" s="94"/>
      <c r="W1559" s="94"/>
      <c r="X1559" s="94"/>
      <c r="Y1559" s="94"/>
      <c r="Z1559" s="94"/>
      <c r="AA1559" s="94"/>
      <c r="AB1559" s="94"/>
      <c r="AC1559" s="94"/>
      <c r="AD1559" s="95">
        <v>0</v>
      </c>
      <c r="AE1559" s="94"/>
      <c r="AF1559" s="94"/>
      <c r="AG1559" s="95">
        <v>83380.350000000006</v>
      </c>
      <c r="AH1559" s="95">
        <v>0</v>
      </c>
    </row>
    <row r="1560" spans="1:34" ht="15.75" thickBot="1" x14ac:dyDescent="0.3">
      <c r="A1560" s="90" t="s">
        <v>1018</v>
      </c>
      <c r="B1560" s="90" t="s">
        <v>45</v>
      </c>
      <c r="C1560" s="90" t="s">
        <v>46</v>
      </c>
      <c r="D1560" s="90" t="s">
        <v>165</v>
      </c>
      <c r="E1560" s="90" t="s">
        <v>196</v>
      </c>
      <c r="F1560" s="90" t="s">
        <v>697</v>
      </c>
      <c r="G1560" s="93">
        <v>83380.350000000006</v>
      </c>
      <c r="H1560" s="92"/>
      <c r="I1560" s="92"/>
      <c r="J1560" s="92"/>
      <c r="K1560" s="92"/>
      <c r="L1560" s="92"/>
      <c r="M1560" s="92"/>
      <c r="N1560" s="92"/>
      <c r="O1560" s="92"/>
      <c r="P1560" s="93">
        <v>83380.350000000006</v>
      </c>
      <c r="Q1560" s="92"/>
      <c r="R1560" s="92"/>
      <c r="S1560" s="92"/>
      <c r="T1560" s="92"/>
      <c r="U1560" s="92"/>
      <c r="V1560" s="92"/>
      <c r="W1560" s="92"/>
      <c r="X1560" s="92"/>
      <c r="Y1560" s="92"/>
      <c r="Z1560" s="92"/>
      <c r="AA1560" s="92"/>
      <c r="AB1560" s="92"/>
      <c r="AC1560" s="92"/>
      <c r="AD1560" s="93">
        <v>0</v>
      </c>
      <c r="AE1560" s="92"/>
      <c r="AF1560" s="92"/>
      <c r="AG1560" s="93">
        <v>83380.350000000006</v>
      </c>
      <c r="AH1560" s="93">
        <v>0</v>
      </c>
    </row>
    <row r="1561" spans="1:34" ht="15.75" thickBot="1" x14ac:dyDescent="0.3">
      <c r="A1561" s="90" t="s">
        <v>1018</v>
      </c>
      <c r="B1561" s="90" t="s">
        <v>57</v>
      </c>
      <c r="C1561" s="90" t="s">
        <v>58</v>
      </c>
      <c r="D1561" s="90" t="s">
        <v>664</v>
      </c>
      <c r="E1561" s="90" t="s">
        <v>525</v>
      </c>
      <c r="F1561" s="90" t="s">
        <v>698</v>
      </c>
      <c r="G1561" s="93">
        <v>-10471.48</v>
      </c>
      <c r="H1561" s="92"/>
      <c r="I1561" s="92"/>
      <c r="J1561" s="92"/>
      <c r="K1561" s="92"/>
      <c r="L1561" s="92"/>
      <c r="M1561" s="92"/>
      <c r="N1561" s="92"/>
      <c r="O1561" s="92"/>
      <c r="P1561" s="92"/>
      <c r="Q1561" s="92"/>
      <c r="R1561" s="93">
        <v>-10471.48</v>
      </c>
      <c r="S1561" s="92"/>
      <c r="T1561" s="92"/>
      <c r="U1561" s="92"/>
      <c r="V1561" s="92"/>
      <c r="W1561" s="92"/>
      <c r="X1561" s="92"/>
      <c r="Y1561" s="92"/>
      <c r="Z1561" s="92"/>
      <c r="AA1561" s="92"/>
      <c r="AB1561" s="92"/>
      <c r="AC1561" s="92"/>
      <c r="AD1561" s="93">
        <v>0</v>
      </c>
      <c r="AE1561" s="92"/>
      <c r="AF1561" s="92"/>
      <c r="AG1561" s="93">
        <v>-10471.48</v>
      </c>
      <c r="AH1561" s="93">
        <v>0</v>
      </c>
    </row>
    <row r="1562" spans="1:34" ht="15.75" thickBot="1" x14ac:dyDescent="0.3">
      <c r="A1562" s="90" t="s">
        <v>1018</v>
      </c>
      <c r="B1562" s="90" t="s">
        <v>57</v>
      </c>
      <c r="C1562" s="90" t="s">
        <v>58</v>
      </c>
      <c r="D1562" s="90" t="s">
        <v>664</v>
      </c>
      <c r="E1562" s="90" t="s">
        <v>525</v>
      </c>
      <c r="F1562" s="90" t="s">
        <v>697</v>
      </c>
      <c r="G1562" s="95">
        <v>-10471.48</v>
      </c>
      <c r="H1562" s="94"/>
      <c r="I1562" s="94"/>
      <c r="J1562" s="94"/>
      <c r="K1562" s="94"/>
      <c r="L1562" s="94"/>
      <c r="M1562" s="94"/>
      <c r="N1562" s="94"/>
      <c r="O1562" s="94"/>
      <c r="P1562" s="94"/>
      <c r="Q1562" s="94"/>
      <c r="R1562" s="95">
        <v>-10471.48</v>
      </c>
      <c r="S1562" s="94"/>
      <c r="T1562" s="94"/>
      <c r="U1562" s="94"/>
      <c r="V1562" s="94"/>
      <c r="W1562" s="94"/>
      <c r="X1562" s="94"/>
      <c r="Y1562" s="94"/>
      <c r="Z1562" s="94"/>
      <c r="AA1562" s="94"/>
      <c r="AB1562" s="94"/>
      <c r="AC1562" s="94"/>
      <c r="AD1562" s="95">
        <v>0</v>
      </c>
      <c r="AE1562" s="94"/>
      <c r="AF1562" s="94"/>
      <c r="AG1562" s="95">
        <v>-10471.48</v>
      </c>
      <c r="AH1562" s="95">
        <v>0</v>
      </c>
    </row>
    <row r="1563" spans="1:34" ht="15.75" thickBot="1" x14ac:dyDescent="0.3">
      <c r="A1563" s="90" t="s">
        <v>1018</v>
      </c>
      <c r="B1563" s="90" t="s">
        <v>57</v>
      </c>
      <c r="C1563" s="90" t="s">
        <v>58</v>
      </c>
      <c r="D1563" s="90" t="s">
        <v>664</v>
      </c>
      <c r="E1563" s="90" t="s">
        <v>528</v>
      </c>
      <c r="F1563" s="90" t="s">
        <v>698</v>
      </c>
      <c r="G1563" s="93">
        <v>800</v>
      </c>
      <c r="H1563" s="92"/>
      <c r="I1563" s="93">
        <v>800</v>
      </c>
      <c r="J1563" s="92"/>
      <c r="K1563" s="92"/>
      <c r="L1563" s="92"/>
      <c r="M1563" s="92"/>
      <c r="N1563" s="92"/>
      <c r="O1563" s="92"/>
      <c r="P1563" s="92"/>
      <c r="Q1563" s="92"/>
      <c r="R1563" s="92"/>
      <c r="S1563" s="92"/>
      <c r="T1563" s="92"/>
      <c r="U1563" s="92"/>
      <c r="V1563" s="92"/>
      <c r="W1563" s="92"/>
      <c r="X1563" s="92"/>
      <c r="Y1563" s="92"/>
      <c r="Z1563" s="92"/>
      <c r="AA1563" s="92"/>
      <c r="AB1563" s="92"/>
      <c r="AC1563" s="92"/>
      <c r="AD1563" s="93">
        <v>0</v>
      </c>
      <c r="AE1563" s="92"/>
      <c r="AF1563" s="92"/>
      <c r="AG1563" s="93">
        <v>800</v>
      </c>
      <c r="AH1563" s="93">
        <v>0</v>
      </c>
    </row>
    <row r="1564" spans="1:34" ht="15.75" thickBot="1" x14ac:dyDescent="0.3">
      <c r="A1564" s="90" t="s">
        <v>1018</v>
      </c>
      <c r="B1564" s="90" t="s">
        <v>57</v>
      </c>
      <c r="C1564" s="90" t="s">
        <v>58</v>
      </c>
      <c r="D1564" s="90" t="s">
        <v>664</v>
      </c>
      <c r="E1564" s="90" t="s">
        <v>528</v>
      </c>
      <c r="F1564" s="90" t="s">
        <v>697</v>
      </c>
      <c r="G1564" s="95">
        <v>800</v>
      </c>
      <c r="H1564" s="94"/>
      <c r="I1564" s="95">
        <v>800</v>
      </c>
      <c r="J1564" s="94"/>
      <c r="K1564" s="94"/>
      <c r="L1564" s="94"/>
      <c r="M1564" s="94"/>
      <c r="N1564" s="94"/>
      <c r="O1564" s="94"/>
      <c r="P1564" s="94"/>
      <c r="Q1564" s="94"/>
      <c r="R1564" s="94"/>
      <c r="S1564" s="94"/>
      <c r="T1564" s="94"/>
      <c r="U1564" s="94"/>
      <c r="V1564" s="94"/>
      <c r="W1564" s="94"/>
      <c r="X1564" s="94"/>
      <c r="Y1564" s="94"/>
      <c r="Z1564" s="94"/>
      <c r="AA1564" s="94"/>
      <c r="AB1564" s="94"/>
      <c r="AC1564" s="94"/>
      <c r="AD1564" s="95">
        <v>0</v>
      </c>
      <c r="AE1564" s="94"/>
      <c r="AF1564" s="94"/>
      <c r="AG1564" s="95">
        <v>800</v>
      </c>
      <c r="AH1564" s="95">
        <v>0</v>
      </c>
    </row>
    <row r="1565" spans="1:34" ht="15.75" thickBot="1" x14ac:dyDescent="0.3">
      <c r="A1565" s="90" t="s">
        <v>1018</v>
      </c>
      <c r="B1565" s="90" t="s">
        <v>57</v>
      </c>
      <c r="C1565" s="90" t="s">
        <v>58</v>
      </c>
      <c r="D1565" s="90" t="s">
        <v>664</v>
      </c>
      <c r="E1565" s="90" t="s">
        <v>518</v>
      </c>
      <c r="F1565" s="90" t="s">
        <v>511</v>
      </c>
      <c r="G1565" s="93">
        <v>13039.1</v>
      </c>
      <c r="H1565" s="93">
        <v>2623561</v>
      </c>
      <c r="I1565" s="92"/>
      <c r="J1565" s="92"/>
      <c r="K1565" s="93">
        <v>13039.1</v>
      </c>
      <c r="L1565" s="92"/>
      <c r="M1565" s="92"/>
      <c r="N1565" s="92"/>
      <c r="O1565" s="92"/>
      <c r="P1565" s="92"/>
      <c r="Q1565" s="92"/>
      <c r="R1565" s="92"/>
      <c r="S1565" s="92"/>
      <c r="T1565" s="92"/>
      <c r="U1565" s="92"/>
      <c r="V1565" s="92"/>
      <c r="W1565" s="92"/>
      <c r="X1565" s="92"/>
      <c r="Y1565" s="92"/>
      <c r="Z1565" s="92"/>
      <c r="AA1565" s="92"/>
      <c r="AB1565" s="92"/>
      <c r="AC1565" s="92"/>
      <c r="AD1565" s="93">
        <v>0</v>
      </c>
      <c r="AE1565" s="92"/>
      <c r="AF1565" s="92"/>
      <c r="AG1565" s="93">
        <v>13039.1</v>
      </c>
      <c r="AH1565" s="93">
        <v>0</v>
      </c>
    </row>
    <row r="1566" spans="1:34" ht="15.75" thickBot="1" x14ac:dyDescent="0.3">
      <c r="A1566" s="90" t="s">
        <v>1018</v>
      </c>
      <c r="B1566" s="90" t="s">
        <v>57</v>
      </c>
      <c r="C1566" s="90" t="s">
        <v>58</v>
      </c>
      <c r="D1566" s="90" t="s">
        <v>664</v>
      </c>
      <c r="E1566" s="90" t="s">
        <v>518</v>
      </c>
      <c r="F1566" s="90" t="s">
        <v>697</v>
      </c>
      <c r="G1566" s="95">
        <v>13039.1</v>
      </c>
      <c r="H1566" s="305">
        <v>2623561</v>
      </c>
      <c r="I1566" s="94"/>
      <c r="J1566" s="94"/>
      <c r="K1566" s="95">
        <v>13039.1</v>
      </c>
      <c r="L1566" s="94"/>
      <c r="M1566" s="94"/>
      <c r="N1566" s="94"/>
      <c r="O1566" s="94"/>
      <c r="P1566" s="94"/>
      <c r="Q1566" s="94"/>
      <c r="R1566" s="94"/>
      <c r="S1566" s="94"/>
      <c r="T1566" s="94"/>
      <c r="U1566" s="94"/>
      <c r="V1566" s="94"/>
      <c r="W1566" s="94"/>
      <c r="X1566" s="94"/>
      <c r="Y1566" s="94"/>
      <c r="Z1566" s="94"/>
      <c r="AA1566" s="94"/>
      <c r="AB1566" s="94"/>
      <c r="AC1566" s="94"/>
      <c r="AD1566" s="95">
        <v>0</v>
      </c>
      <c r="AE1566" s="94"/>
      <c r="AF1566" s="94"/>
      <c r="AG1566" s="95">
        <v>13039.1</v>
      </c>
      <c r="AH1566" s="95">
        <v>0</v>
      </c>
    </row>
    <row r="1567" spans="1:34" ht="15.75" thickBot="1" x14ac:dyDescent="0.3">
      <c r="A1567" s="90" t="s">
        <v>1018</v>
      </c>
      <c r="B1567" s="90" t="s">
        <v>57</v>
      </c>
      <c r="C1567" s="90" t="s">
        <v>58</v>
      </c>
      <c r="D1567" s="90" t="s">
        <v>664</v>
      </c>
      <c r="E1567" s="90" t="s">
        <v>527</v>
      </c>
      <c r="F1567" s="90" t="s">
        <v>698</v>
      </c>
      <c r="G1567" s="93">
        <v>-161.69999999999999</v>
      </c>
      <c r="H1567" s="92"/>
      <c r="I1567" s="92"/>
      <c r="J1567" s="92"/>
      <c r="K1567" s="92"/>
      <c r="L1567" s="92"/>
      <c r="M1567" s="92"/>
      <c r="N1567" s="92"/>
      <c r="O1567" s="92"/>
      <c r="P1567" s="92"/>
      <c r="Q1567" s="92"/>
      <c r="R1567" s="92"/>
      <c r="S1567" s="93">
        <v>-161.69999999999999</v>
      </c>
      <c r="T1567" s="92"/>
      <c r="U1567" s="92"/>
      <c r="V1567" s="92"/>
      <c r="W1567" s="92"/>
      <c r="X1567" s="92"/>
      <c r="Y1567" s="92"/>
      <c r="Z1567" s="92"/>
      <c r="AA1567" s="92"/>
      <c r="AB1567" s="92"/>
      <c r="AC1567" s="92"/>
      <c r="AD1567" s="93">
        <v>0</v>
      </c>
      <c r="AE1567" s="92"/>
      <c r="AF1567" s="92"/>
      <c r="AG1567" s="93">
        <v>-161.69999999999999</v>
      </c>
      <c r="AH1567" s="93">
        <v>0</v>
      </c>
    </row>
    <row r="1568" spans="1:34" ht="15.75" thickBot="1" x14ac:dyDescent="0.3">
      <c r="A1568" s="90" t="s">
        <v>1018</v>
      </c>
      <c r="B1568" s="90" t="s">
        <v>57</v>
      </c>
      <c r="C1568" s="90" t="s">
        <v>58</v>
      </c>
      <c r="D1568" s="90" t="s">
        <v>664</v>
      </c>
      <c r="E1568" s="90" t="s">
        <v>527</v>
      </c>
      <c r="F1568" s="90" t="s">
        <v>697</v>
      </c>
      <c r="G1568" s="95">
        <v>-161.69999999999999</v>
      </c>
      <c r="H1568" s="94"/>
      <c r="I1568" s="94"/>
      <c r="J1568" s="94"/>
      <c r="K1568" s="94"/>
      <c r="L1568" s="94"/>
      <c r="M1568" s="94"/>
      <c r="N1568" s="94"/>
      <c r="O1568" s="94"/>
      <c r="P1568" s="94"/>
      <c r="Q1568" s="94"/>
      <c r="R1568" s="94"/>
      <c r="S1568" s="95">
        <v>-161.69999999999999</v>
      </c>
      <c r="T1568" s="94"/>
      <c r="U1568" s="94"/>
      <c r="V1568" s="94"/>
      <c r="W1568" s="94"/>
      <c r="X1568" s="94"/>
      <c r="Y1568" s="94"/>
      <c r="Z1568" s="94"/>
      <c r="AA1568" s="94"/>
      <c r="AB1568" s="94"/>
      <c r="AC1568" s="94"/>
      <c r="AD1568" s="95">
        <v>0</v>
      </c>
      <c r="AE1568" s="94"/>
      <c r="AF1568" s="94"/>
      <c r="AG1568" s="95">
        <v>-161.69999999999999</v>
      </c>
      <c r="AH1568" s="95">
        <v>0</v>
      </c>
    </row>
    <row r="1569" spans="1:34" ht="15.75" thickBot="1" x14ac:dyDescent="0.3">
      <c r="A1569" s="90" t="s">
        <v>1018</v>
      </c>
      <c r="B1569" s="90" t="s">
        <v>57</v>
      </c>
      <c r="C1569" s="90" t="s">
        <v>58</v>
      </c>
      <c r="D1569" s="90" t="s">
        <v>664</v>
      </c>
      <c r="E1569" s="90" t="s">
        <v>529</v>
      </c>
      <c r="F1569" s="90" t="s">
        <v>511</v>
      </c>
      <c r="G1569" s="93">
        <v>107140.32</v>
      </c>
      <c r="H1569" s="92"/>
      <c r="I1569" s="92"/>
      <c r="J1569" s="93">
        <v>107140.32</v>
      </c>
      <c r="K1569" s="92"/>
      <c r="L1569" s="92"/>
      <c r="M1569" s="92"/>
      <c r="N1569" s="92"/>
      <c r="O1569" s="92"/>
      <c r="P1569" s="92"/>
      <c r="Q1569" s="92"/>
      <c r="R1569" s="92"/>
      <c r="S1569" s="92"/>
      <c r="T1569" s="92"/>
      <c r="U1569" s="92"/>
      <c r="V1569" s="92"/>
      <c r="W1569" s="92"/>
      <c r="X1569" s="92"/>
      <c r="Y1569" s="92"/>
      <c r="Z1569" s="92"/>
      <c r="AA1569" s="92"/>
      <c r="AB1569" s="92"/>
      <c r="AC1569" s="92"/>
      <c r="AD1569" s="93">
        <v>0</v>
      </c>
      <c r="AE1569" s="92"/>
      <c r="AF1569" s="92"/>
      <c r="AG1569" s="93">
        <v>107140.32</v>
      </c>
      <c r="AH1569" s="93">
        <v>0</v>
      </c>
    </row>
    <row r="1570" spans="1:34" ht="15.75" thickBot="1" x14ac:dyDescent="0.3">
      <c r="A1570" s="90" t="s">
        <v>1018</v>
      </c>
      <c r="B1570" s="90" t="s">
        <v>57</v>
      </c>
      <c r="C1570" s="90" t="s">
        <v>58</v>
      </c>
      <c r="D1570" s="90" t="s">
        <v>664</v>
      </c>
      <c r="E1570" s="90" t="s">
        <v>529</v>
      </c>
      <c r="F1570" s="90" t="s">
        <v>697</v>
      </c>
      <c r="G1570" s="95">
        <v>107140.32</v>
      </c>
      <c r="H1570" s="94"/>
      <c r="I1570" s="94"/>
      <c r="J1570" s="95">
        <v>107140.32</v>
      </c>
      <c r="K1570" s="94"/>
      <c r="L1570" s="94"/>
      <c r="M1570" s="94"/>
      <c r="N1570" s="94"/>
      <c r="O1570" s="94"/>
      <c r="P1570" s="94"/>
      <c r="Q1570" s="94"/>
      <c r="R1570" s="94"/>
      <c r="S1570" s="94"/>
      <c r="T1570" s="94"/>
      <c r="U1570" s="94"/>
      <c r="V1570" s="94"/>
      <c r="W1570" s="94"/>
      <c r="X1570" s="94"/>
      <c r="Y1570" s="94"/>
      <c r="Z1570" s="94"/>
      <c r="AA1570" s="94"/>
      <c r="AB1570" s="94"/>
      <c r="AC1570" s="94"/>
      <c r="AD1570" s="95">
        <v>0</v>
      </c>
      <c r="AE1570" s="94"/>
      <c r="AF1570" s="94"/>
      <c r="AG1570" s="95">
        <v>107140.32</v>
      </c>
      <c r="AH1570" s="95">
        <v>0</v>
      </c>
    </row>
    <row r="1571" spans="1:34" ht="15.75" thickBot="1" x14ac:dyDescent="0.3">
      <c r="A1571" s="90" t="s">
        <v>1018</v>
      </c>
      <c r="B1571" s="90" t="s">
        <v>57</v>
      </c>
      <c r="C1571" s="90" t="s">
        <v>58</v>
      </c>
      <c r="D1571" s="90" t="s">
        <v>664</v>
      </c>
      <c r="E1571" s="90" t="s">
        <v>676</v>
      </c>
      <c r="F1571" s="90" t="s">
        <v>511</v>
      </c>
      <c r="G1571" s="93">
        <v>452.09</v>
      </c>
      <c r="H1571" s="92"/>
      <c r="I1571" s="92"/>
      <c r="J1571" s="92"/>
      <c r="K1571" s="92"/>
      <c r="L1571" s="92"/>
      <c r="M1571" s="92"/>
      <c r="N1571" s="92"/>
      <c r="O1571" s="92"/>
      <c r="P1571" s="92"/>
      <c r="Q1571" s="92"/>
      <c r="R1571" s="92"/>
      <c r="S1571" s="92"/>
      <c r="T1571" s="92"/>
      <c r="U1571" s="93">
        <v>452.09</v>
      </c>
      <c r="V1571" s="92"/>
      <c r="W1571" s="92"/>
      <c r="X1571" s="92"/>
      <c r="Y1571" s="92"/>
      <c r="Z1571" s="92"/>
      <c r="AA1571" s="92"/>
      <c r="AB1571" s="92"/>
      <c r="AC1571" s="92"/>
      <c r="AD1571" s="93">
        <v>0</v>
      </c>
      <c r="AE1571" s="92"/>
      <c r="AF1571" s="92"/>
      <c r="AG1571" s="93">
        <v>452.09</v>
      </c>
      <c r="AH1571" s="93">
        <v>0</v>
      </c>
    </row>
    <row r="1572" spans="1:34" ht="15.75" thickBot="1" x14ac:dyDescent="0.3">
      <c r="A1572" s="90" t="s">
        <v>1018</v>
      </c>
      <c r="B1572" s="90" t="s">
        <v>57</v>
      </c>
      <c r="C1572" s="90" t="s">
        <v>58</v>
      </c>
      <c r="D1572" s="90" t="s">
        <v>664</v>
      </c>
      <c r="E1572" s="90" t="s">
        <v>676</v>
      </c>
      <c r="F1572" s="90" t="s">
        <v>697</v>
      </c>
      <c r="G1572" s="95">
        <v>452.09</v>
      </c>
      <c r="H1572" s="94"/>
      <c r="I1572" s="94"/>
      <c r="J1572" s="94"/>
      <c r="K1572" s="94"/>
      <c r="L1572" s="94"/>
      <c r="M1572" s="94"/>
      <c r="N1572" s="94"/>
      <c r="O1572" s="94"/>
      <c r="P1572" s="94"/>
      <c r="Q1572" s="94"/>
      <c r="R1572" s="94"/>
      <c r="S1572" s="94"/>
      <c r="T1572" s="94"/>
      <c r="U1572" s="95">
        <v>452.09</v>
      </c>
      <c r="V1572" s="94"/>
      <c r="W1572" s="94"/>
      <c r="X1572" s="94"/>
      <c r="Y1572" s="94"/>
      <c r="Z1572" s="94"/>
      <c r="AA1572" s="94"/>
      <c r="AB1572" s="94"/>
      <c r="AC1572" s="94"/>
      <c r="AD1572" s="95">
        <v>0</v>
      </c>
      <c r="AE1572" s="94"/>
      <c r="AF1572" s="94"/>
      <c r="AG1572" s="95">
        <v>452.09</v>
      </c>
      <c r="AH1572" s="95">
        <v>0</v>
      </c>
    </row>
    <row r="1573" spans="1:34" ht="15.75" thickBot="1" x14ac:dyDescent="0.3">
      <c r="A1573" s="90" t="s">
        <v>1018</v>
      </c>
      <c r="B1573" s="90" t="s">
        <v>57</v>
      </c>
      <c r="C1573" s="90" t="s">
        <v>58</v>
      </c>
      <c r="D1573" s="90" t="s">
        <v>664</v>
      </c>
      <c r="E1573" s="90" t="s">
        <v>677</v>
      </c>
      <c r="F1573" s="90" t="s">
        <v>511</v>
      </c>
      <c r="G1573" s="93">
        <v>495.34</v>
      </c>
      <c r="H1573" s="92"/>
      <c r="I1573" s="92"/>
      <c r="J1573" s="92"/>
      <c r="K1573" s="92"/>
      <c r="L1573" s="92"/>
      <c r="M1573" s="92"/>
      <c r="N1573" s="92"/>
      <c r="O1573" s="92"/>
      <c r="P1573" s="92"/>
      <c r="Q1573" s="92"/>
      <c r="R1573" s="92"/>
      <c r="S1573" s="92"/>
      <c r="T1573" s="92"/>
      <c r="U1573" s="92"/>
      <c r="V1573" s="93">
        <v>495.34</v>
      </c>
      <c r="W1573" s="92"/>
      <c r="X1573" s="92"/>
      <c r="Y1573" s="92"/>
      <c r="Z1573" s="92"/>
      <c r="AA1573" s="92"/>
      <c r="AB1573" s="92"/>
      <c r="AC1573" s="92"/>
      <c r="AD1573" s="93">
        <v>0</v>
      </c>
      <c r="AE1573" s="92"/>
      <c r="AF1573" s="92"/>
      <c r="AG1573" s="93">
        <v>495.34</v>
      </c>
      <c r="AH1573" s="93">
        <v>0</v>
      </c>
    </row>
    <row r="1574" spans="1:34" ht="15.75" thickBot="1" x14ac:dyDescent="0.3">
      <c r="A1574" s="90" t="s">
        <v>1018</v>
      </c>
      <c r="B1574" s="90" t="s">
        <v>57</v>
      </c>
      <c r="C1574" s="90" t="s">
        <v>58</v>
      </c>
      <c r="D1574" s="90" t="s">
        <v>664</v>
      </c>
      <c r="E1574" s="90" t="s">
        <v>677</v>
      </c>
      <c r="F1574" s="90" t="s">
        <v>697</v>
      </c>
      <c r="G1574" s="95">
        <v>495.34</v>
      </c>
      <c r="H1574" s="94"/>
      <c r="I1574" s="94"/>
      <c r="J1574" s="94"/>
      <c r="K1574" s="94"/>
      <c r="L1574" s="94"/>
      <c r="M1574" s="94"/>
      <c r="N1574" s="94"/>
      <c r="O1574" s="94"/>
      <c r="P1574" s="94"/>
      <c r="Q1574" s="94"/>
      <c r="R1574" s="94"/>
      <c r="S1574" s="94"/>
      <c r="T1574" s="94"/>
      <c r="U1574" s="94"/>
      <c r="V1574" s="95">
        <v>495.34</v>
      </c>
      <c r="W1574" s="94"/>
      <c r="X1574" s="94"/>
      <c r="Y1574" s="94"/>
      <c r="Z1574" s="94"/>
      <c r="AA1574" s="94"/>
      <c r="AB1574" s="94"/>
      <c r="AC1574" s="94"/>
      <c r="AD1574" s="95">
        <v>0</v>
      </c>
      <c r="AE1574" s="94"/>
      <c r="AF1574" s="94"/>
      <c r="AG1574" s="95">
        <v>495.34</v>
      </c>
      <c r="AH1574" s="95">
        <v>0</v>
      </c>
    </row>
    <row r="1575" spans="1:34" ht="15.75" thickBot="1" x14ac:dyDescent="0.3">
      <c r="A1575" s="90" t="s">
        <v>1018</v>
      </c>
      <c r="B1575" s="90" t="s">
        <v>35</v>
      </c>
      <c r="C1575" s="90" t="s">
        <v>36</v>
      </c>
      <c r="D1575" s="90" t="s">
        <v>17</v>
      </c>
      <c r="E1575" s="90" t="s">
        <v>528</v>
      </c>
      <c r="F1575" s="90" t="s">
        <v>686</v>
      </c>
      <c r="G1575" s="95">
        <v>190.35</v>
      </c>
      <c r="H1575" s="94"/>
      <c r="I1575" s="95">
        <v>190.35</v>
      </c>
      <c r="J1575" s="94"/>
      <c r="K1575" s="94"/>
      <c r="L1575" s="94"/>
      <c r="M1575" s="94"/>
      <c r="N1575" s="94"/>
      <c r="O1575" s="94"/>
      <c r="P1575" s="94"/>
      <c r="Q1575" s="94"/>
      <c r="R1575" s="94"/>
      <c r="S1575" s="94"/>
      <c r="T1575" s="94"/>
      <c r="U1575" s="94"/>
      <c r="V1575" s="94"/>
      <c r="W1575" s="94"/>
      <c r="X1575" s="94"/>
      <c r="Y1575" s="94"/>
      <c r="Z1575" s="94"/>
      <c r="AA1575" s="94"/>
      <c r="AB1575" s="94"/>
      <c r="AC1575" s="94"/>
      <c r="AD1575" s="95">
        <v>10.64</v>
      </c>
      <c r="AE1575" s="94"/>
      <c r="AF1575" s="94"/>
      <c r="AG1575" s="95">
        <v>200.99</v>
      </c>
      <c r="AH1575" s="95">
        <v>0</v>
      </c>
    </row>
    <row r="1576" spans="1:34" ht="15.75" thickBot="1" x14ac:dyDescent="0.3">
      <c r="A1576" s="90" t="s">
        <v>1018</v>
      </c>
      <c r="B1576" s="90" t="s">
        <v>35</v>
      </c>
      <c r="C1576" s="90" t="s">
        <v>36</v>
      </c>
      <c r="D1576" s="90" t="s">
        <v>17</v>
      </c>
      <c r="E1576" s="90" t="s">
        <v>528</v>
      </c>
      <c r="F1576" s="90" t="s">
        <v>697</v>
      </c>
      <c r="G1576" s="93">
        <v>190.35</v>
      </c>
      <c r="H1576" s="92"/>
      <c r="I1576" s="93">
        <v>190.35</v>
      </c>
      <c r="J1576" s="92"/>
      <c r="K1576" s="92"/>
      <c r="L1576" s="92"/>
      <c r="M1576" s="92"/>
      <c r="N1576" s="92"/>
      <c r="O1576" s="92"/>
      <c r="P1576" s="92"/>
      <c r="Q1576" s="92"/>
      <c r="R1576" s="92"/>
      <c r="S1576" s="92"/>
      <c r="T1576" s="92"/>
      <c r="U1576" s="92"/>
      <c r="V1576" s="92"/>
      <c r="W1576" s="92"/>
      <c r="X1576" s="92"/>
      <c r="Y1576" s="92"/>
      <c r="Z1576" s="92"/>
      <c r="AA1576" s="92"/>
      <c r="AB1576" s="92"/>
      <c r="AC1576" s="92"/>
      <c r="AD1576" s="93">
        <v>10.64</v>
      </c>
      <c r="AE1576" s="92"/>
      <c r="AF1576" s="92"/>
      <c r="AG1576" s="93">
        <v>200.99</v>
      </c>
      <c r="AH1576" s="93">
        <v>0</v>
      </c>
    </row>
    <row r="1577" spans="1:34" ht="15.75" thickBot="1" x14ac:dyDescent="0.3">
      <c r="A1577" s="90" t="s">
        <v>1018</v>
      </c>
      <c r="B1577" s="90" t="s">
        <v>35</v>
      </c>
      <c r="C1577" s="90" t="s">
        <v>36</v>
      </c>
      <c r="D1577" s="90" t="s">
        <v>17</v>
      </c>
      <c r="E1577" s="90" t="s">
        <v>518</v>
      </c>
      <c r="F1577" s="90" t="s">
        <v>686</v>
      </c>
      <c r="G1577" s="95">
        <v>33.01</v>
      </c>
      <c r="H1577" s="95">
        <v>115</v>
      </c>
      <c r="I1577" s="94"/>
      <c r="J1577" s="94"/>
      <c r="K1577" s="95">
        <v>33.01</v>
      </c>
      <c r="L1577" s="94"/>
      <c r="M1577" s="94"/>
      <c r="N1577" s="94"/>
      <c r="O1577" s="94"/>
      <c r="P1577" s="94"/>
      <c r="Q1577" s="94"/>
      <c r="R1577" s="94"/>
      <c r="S1577" s="94"/>
      <c r="T1577" s="94"/>
      <c r="U1577" s="94"/>
      <c r="V1577" s="94"/>
      <c r="W1577" s="94"/>
      <c r="X1577" s="94"/>
      <c r="Y1577" s="94"/>
      <c r="Z1577" s="94"/>
      <c r="AA1577" s="94"/>
      <c r="AB1577" s="94"/>
      <c r="AC1577" s="94"/>
      <c r="AD1577" s="95">
        <v>1.74</v>
      </c>
      <c r="AE1577" s="94"/>
      <c r="AF1577" s="94"/>
      <c r="AG1577" s="95">
        <v>34.75</v>
      </c>
      <c r="AH1577" s="95">
        <v>0</v>
      </c>
    </row>
    <row r="1578" spans="1:34" ht="15.75" thickBot="1" x14ac:dyDescent="0.3">
      <c r="A1578" s="90" t="s">
        <v>1018</v>
      </c>
      <c r="B1578" s="90" t="s">
        <v>35</v>
      </c>
      <c r="C1578" s="90" t="s">
        <v>36</v>
      </c>
      <c r="D1578" s="90" t="s">
        <v>17</v>
      </c>
      <c r="E1578" s="90" t="s">
        <v>518</v>
      </c>
      <c r="F1578" s="90" t="s">
        <v>697</v>
      </c>
      <c r="G1578" s="93">
        <v>33.01</v>
      </c>
      <c r="H1578" s="304">
        <v>115</v>
      </c>
      <c r="I1578" s="92"/>
      <c r="J1578" s="92"/>
      <c r="K1578" s="93">
        <v>33.01</v>
      </c>
      <c r="L1578" s="92"/>
      <c r="M1578" s="92"/>
      <c r="N1578" s="92"/>
      <c r="O1578" s="92"/>
      <c r="P1578" s="92"/>
      <c r="Q1578" s="92"/>
      <c r="R1578" s="92"/>
      <c r="S1578" s="92"/>
      <c r="T1578" s="92"/>
      <c r="U1578" s="92"/>
      <c r="V1578" s="92"/>
      <c r="W1578" s="92"/>
      <c r="X1578" s="92"/>
      <c r="Y1578" s="92"/>
      <c r="Z1578" s="92"/>
      <c r="AA1578" s="92"/>
      <c r="AB1578" s="92"/>
      <c r="AC1578" s="92"/>
      <c r="AD1578" s="93">
        <v>1.74</v>
      </c>
      <c r="AE1578" s="92"/>
      <c r="AF1578" s="92"/>
      <c r="AG1578" s="93">
        <v>34.75</v>
      </c>
      <c r="AH1578" s="93">
        <v>0</v>
      </c>
    </row>
    <row r="1579" spans="1:34" ht="15.75" thickBot="1" x14ac:dyDescent="0.3">
      <c r="A1579" s="90" t="s">
        <v>1018</v>
      </c>
      <c r="B1579" s="90" t="s">
        <v>35</v>
      </c>
      <c r="C1579" s="90" t="s">
        <v>36</v>
      </c>
      <c r="D1579" s="90" t="s">
        <v>17</v>
      </c>
      <c r="E1579" s="90" t="s">
        <v>727</v>
      </c>
      <c r="F1579" s="90" t="s">
        <v>686</v>
      </c>
      <c r="G1579" s="95">
        <v>1.23</v>
      </c>
      <c r="H1579" s="94"/>
      <c r="I1579" s="94"/>
      <c r="J1579" s="94"/>
      <c r="K1579" s="94"/>
      <c r="L1579" s="94"/>
      <c r="M1579" s="94"/>
      <c r="N1579" s="94"/>
      <c r="O1579" s="95">
        <v>1.23</v>
      </c>
      <c r="P1579" s="94"/>
      <c r="Q1579" s="94"/>
      <c r="R1579" s="94"/>
      <c r="S1579" s="94"/>
      <c r="T1579" s="94"/>
      <c r="U1579" s="94"/>
      <c r="V1579" s="94"/>
      <c r="W1579" s="94"/>
      <c r="X1579" s="94"/>
      <c r="Y1579" s="94"/>
      <c r="Z1579" s="94"/>
      <c r="AA1579" s="94"/>
      <c r="AB1579" s="94"/>
      <c r="AC1579" s="94"/>
      <c r="AD1579" s="95">
        <v>0.05</v>
      </c>
      <c r="AE1579" s="94"/>
      <c r="AF1579" s="94"/>
      <c r="AG1579" s="95">
        <v>1.28</v>
      </c>
      <c r="AH1579" s="95">
        <v>0</v>
      </c>
    </row>
    <row r="1580" spans="1:34" ht="15.75" thickBot="1" x14ac:dyDescent="0.3">
      <c r="A1580" s="90" t="s">
        <v>1018</v>
      </c>
      <c r="B1580" s="90" t="s">
        <v>35</v>
      </c>
      <c r="C1580" s="90" t="s">
        <v>36</v>
      </c>
      <c r="D1580" s="90" t="s">
        <v>17</v>
      </c>
      <c r="E1580" s="90" t="s">
        <v>727</v>
      </c>
      <c r="F1580" s="90" t="s">
        <v>697</v>
      </c>
      <c r="G1580" s="93">
        <v>1.23</v>
      </c>
      <c r="H1580" s="92"/>
      <c r="I1580" s="92"/>
      <c r="J1580" s="92"/>
      <c r="K1580" s="92"/>
      <c r="L1580" s="92"/>
      <c r="M1580" s="92"/>
      <c r="N1580" s="92"/>
      <c r="O1580" s="93">
        <v>1.23</v>
      </c>
      <c r="P1580" s="92"/>
      <c r="Q1580" s="92"/>
      <c r="R1580" s="92"/>
      <c r="S1580" s="92"/>
      <c r="T1580" s="92"/>
      <c r="U1580" s="92"/>
      <c r="V1580" s="92"/>
      <c r="W1580" s="92"/>
      <c r="X1580" s="92"/>
      <c r="Y1580" s="92"/>
      <c r="Z1580" s="92"/>
      <c r="AA1580" s="92"/>
      <c r="AB1580" s="92"/>
      <c r="AC1580" s="92"/>
      <c r="AD1580" s="93">
        <v>0.05</v>
      </c>
      <c r="AE1580" s="92"/>
      <c r="AF1580" s="92"/>
      <c r="AG1580" s="93">
        <v>1.28</v>
      </c>
      <c r="AH1580" s="93">
        <v>0</v>
      </c>
    </row>
    <row r="1581" spans="1:34" ht="15.75" thickBot="1" x14ac:dyDescent="0.3">
      <c r="A1581" s="90" t="s">
        <v>1018</v>
      </c>
      <c r="B1581" s="90" t="s">
        <v>35</v>
      </c>
      <c r="C1581" s="90" t="s">
        <v>36</v>
      </c>
      <c r="D1581" s="90" t="s">
        <v>17</v>
      </c>
      <c r="E1581" s="90" t="s">
        <v>728</v>
      </c>
      <c r="F1581" s="90" t="s">
        <v>686</v>
      </c>
      <c r="G1581" s="94"/>
      <c r="H1581" s="94"/>
      <c r="I1581" s="94"/>
      <c r="J1581" s="94"/>
      <c r="K1581" s="94"/>
      <c r="L1581" s="94"/>
      <c r="M1581" s="94"/>
      <c r="N1581" s="94"/>
      <c r="O1581" s="94"/>
      <c r="P1581" s="94"/>
      <c r="Q1581" s="94"/>
      <c r="R1581" s="94"/>
      <c r="S1581" s="94"/>
      <c r="T1581" s="94"/>
      <c r="U1581" s="94"/>
      <c r="V1581" s="94"/>
      <c r="W1581" s="94"/>
      <c r="X1581" s="94"/>
      <c r="Y1581" s="94"/>
      <c r="Z1581" s="94"/>
      <c r="AA1581" s="94"/>
      <c r="AB1581" s="95">
        <v>3.75</v>
      </c>
      <c r="AC1581" s="94"/>
      <c r="AD1581" s="95">
        <v>0</v>
      </c>
      <c r="AE1581" s="94"/>
      <c r="AF1581" s="94"/>
      <c r="AG1581" s="95">
        <v>3.75</v>
      </c>
      <c r="AH1581" s="95">
        <v>0</v>
      </c>
    </row>
    <row r="1582" spans="1:34" ht="15.75" thickBot="1" x14ac:dyDescent="0.3">
      <c r="A1582" s="90" t="s">
        <v>1018</v>
      </c>
      <c r="B1582" s="90" t="s">
        <v>35</v>
      </c>
      <c r="C1582" s="90" t="s">
        <v>36</v>
      </c>
      <c r="D1582" s="90" t="s">
        <v>17</v>
      </c>
      <c r="E1582" s="90" t="s">
        <v>728</v>
      </c>
      <c r="F1582" s="90" t="s">
        <v>697</v>
      </c>
      <c r="G1582" s="92"/>
      <c r="H1582" s="92"/>
      <c r="I1582" s="92"/>
      <c r="J1582" s="92"/>
      <c r="K1582" s="92"/>
      <c r="L1582" s="92"/>
      <c r="M1582" s="92"/>
      <c r="N1582" s="92"/>
      <c r="O1582" s="92"/>
      <c r="P1582" s="92"/>
      <c r="Q1582" s="92"/>
      <c r="R1582" s="92"/>
      <c r="S1582" s="92"/>
      <c r="T1582" s="92"/>
      <c r="U1582" s="92"/>
      <c r="V1582" s="92"/>
      <c r="W1582" s="92"/>
      <c r="X1582" s="92"/>
      <c r="Y1582" s="92"/>
      <c r="Z1582" s="92"/>
      <c r="AA1582" s="92"/>
      <c r="AB1582" s="93">
        <v>3.75</v>
      </c>
      <c r="AC1582" s="92"/>
      <c r="AD1582" s="93">
        <v>0</v>
      </c>
      <c r="AE1582" s="92"/>
      <c r="AF1582" s="92"/>
      <c r="AG1582" s="93">
        <v>3.75</v>
      </c>
      <c r="AH1582" s="93">
        <v>0</v>
      </c>
    </row>
    <row r="1583" spans="1:34" ht="15.75" thickBot="1" x14ac:dyDescent="0.3">
      <c r="A1583" s="90" t="s">
        <v>1018</v>
      </c>
      <c r="B1583" s="90" t="s">
        <v>35</v>
      </c>
      <c r="C1583" s="90" t="s">
        <v>36</v>
      </c>
      <c r="D1583" s="90" t="s">
        <v>17</v>
      </c>
      <c r="E1583" s="90" t="s">
        <v>673</v>
      </c>
      <c r="F1583" s="90" t="s">
        <v>686</v>
      </c>
      <c r="G1583" s="95">
        <v>72.47</v>
      </c>
      <c r="H1583" s="94"/>
      <c r="I1583" s="94"/>
      <c r="J1583" s="94"/>
      <c r="K1583" s="94"/>
      <c r="L1583" s="94"/>
      <c r="M1583" s="94"/>
      <c r="N1583" s="94"/>
      <c r="O1583" s="94"/>
      <c r="P1583" s="94"/>
      <c r="Q1583" s="94"/>
      <c r="R1583" s="94"/>
      <c r="S1583" s="94"/>
      <c r="T1583" s="94"/>
      <c r="U1583" s="94"/>
      <c r="V1583" s="94"/>
      <c r="W1583" s="94"/>
      <c r="X1583" s="95">
        <v>72.47</v>
      </c>
      <c r="Y1583" s="94"/>
      <c r="Z1583" s="94"/>
      <c r="AA1583" s="94"/>
      <c r="AB1583" s="94"/>
      <c r="AC1583" s="94"/>
      <c r="AD1583" s="95">
        <v>4.0599999999999996</v>
      </c>
      <c r="AE1583" s="94"/>
      <c r="AF1583" s="94"/>
      <c r="AG1583" s="95">
        <v>76.53</v>
      </c>
      <c r="AH1583" s="95">
        <v>0</v>
      </c>
    </row>
    <row r="1584" spans="1:34" ht="15.75" thickBot="1" x14ac:dyDescent="0.3">
      <c r="A1584" s="90" t="s">
        <v>1018</v>
      </c>
      <c r="B1584" s="90" t="s">
        <v>35</v>
      </c>
      <c r="C1584" s="90" t="s">
        <v>36</v>
      </c>
      <c r="D1584" s="90" t="s">
        <v>17</v>
      </c>
      <c r="E1584" s="90" t="s">
        <v>673</v>
      </c>
      <c r="F1584" s="90" t="s">
        <v>697</v>
      </c>
      <c r="G1584" s="93">
        <v>72.47</v>
      </c>
      <c r="H1584" s="92"/>
      <c r="I1584" s="92"/>
      <c r="J1584" s="92"/>
      <c r="K1584" s="92"/>
      <c r="L1584" s="92"/>
      <c r="M1584" s="92"/>
      <c r="N1584" s="92"/>
      <c r="O1584" s="92"/>
      <c r="P1584" s="92"/>
      <c r="Q1584" s="92"/>
      <c r="R1584" s="92"/>
      <c r="S1584" s="92"/>
      <c r="T1584" s="92"/>
      <c r="U1584" s="92"/>
      <c r="V1584" s="92"/>
      <c r="W1584" s="92"/>
      <c r="X1584" s="93">
        <v>72.47</v>
      </c>
      <c r="Y1584" s="92"/>
      <c r="Z1584" s="92"/>
      <c r="AA1584" s="92"/>
      <c r="AB1584" s="92"/>
      <c r="AC1584" s="92"/>
      <c r="AD1584" s="93">
        <v>4.0599999999999996</v>
      </c>
      <c r="AE1584" s="92"/>
      <c r="AF1584" s="92"/>
      <c r="AG1584" s="93">
        <v>76.53</v>
      </c>
      <c r="AH1584" s="93">
        <v>0</v>
      </c>
    </row>
    <row r="1585" spans="1:34" ht="15.75" thickBot="1" x14ac:dyDescent="0.3">
      <c r="A1585" s="90" t="s">
        <v>1018</v>
      </c>
      <c r="B1585" s="90" t="s">
        <v>35</v>
      </c>
      <c r="C1585" s="90" t="s">
        <v>36</v>
      </c>
      <c r="D1585" s="90" t="s">
        <v>17</v>
      </c>
      <c r="E1585" s="90" t="s">
        <v>196</v>
      </c>
      <c r="F1585" s="90" t="s">
        <v>686</v>
      </c>
      <c r="G1585" s="95">
        <v>40.409999999999997</v>
      </c>
      <c r="H1585" s="94"/>
      <c r="I1585" s="94"/>
      <c r="J1585" s="94"/>
      <c r="K1585" s="94"/>
      <c r="L1585" s="94"/>
      <c r="M1585" s="94"/>
      <c r="N1585" s="94"/>
      <c r="O1585" s="94"/>
      <c r="P1585" s="95">
        <v>40.409999999999997</v>
      </c>
      <c r="Q1585" s="94"/>
      <c r="R1585" s="94"/>
      <c r="S1585" s="94"/>
      <c r="T1585" s="94"/>
      <c r="U1585" s="94"/>
      <c r="V1585" s="94"/>
      <c r="W1585" s="94"/>
      <c r="X1585" s="94"/>
      <c r="Y1585" s="94"/>
      <c r="Z1585" s="94"/>
      <c r="AA1585" s="94"/>
      <c r="AB1585" s="94"/>
      <c r="AC1585" s="94"/>
      <c r="AD1585" s="95">
        <v>2.1</v>
      </c>
      <c r="AE1585" s="94"/>
      <c r="AF1585" s="94"/>
      <c r="AG1585" s="95">
        <v>42.51</v>
      </c>
      <c r="AH1585" s="95">
        <v>0</v>
      </c>
    </row>
    <row r="1586" spans="1:34" ht="15.75" thickBot="1" x14ac:dyDescent="0.3">
      <c r="A1586" s="90" t="s">
        <v>1018</v>
      </c>
      <c r="B1586" s="90" t="s">
        <v>35</v>
      </c>
      <c r="C1586" s="90" t="s">
        <v>36</v>
      </c>
      <c r="D1586" s="90" t="s">
        <v>17</v>
      </c>
      <c r="E1586" s="90" t="s">
        <v>196</v>
      </c>
      <c r="F1586" s="90" t="s">
        <v>697</v>
      </c>
      <c r="G1586" s="93">
        <v>40.409999999999997</v>
      </c>
      <c r="H1586" s="92"/>
      <c r="I1586" s="92"/>
      <c r="J1586" s="92"/>
      <c r="K1586" s="92"/>
      <c r="L1586" s="92"/>
      <c r="M1586" s="92"/>
      <c r="N1586" s="92"/>
      <c r="O1586" s="92"/>
      <c r="P1586" s="93">
        <v>40.409999999999997</v>
      </c>
      <c r="Q1586" s="92"/>
      <c r="R1586" s="92"/>
      <c r="S1586" s="92"/>
      <c r="T1586" s="92"/>
      <c r="U1586" s="92"/>
      <c r="V1586" s="92"/>
      <c r="W1586" s="92"/>
      <c r="X1586" s="92"/>
      <c r="Y1586" s="92"/>
      <c r="Z1586" s="92"/>
      <c r="AA1586" s="92"/>
      <c r="AB1586" s="92"/>
      <c r="AC1586" s="92"/>
      <c r="AD1586" s="93">
        <v>2.1</v>
      </c>
      <c r="AE1586" s="92"/>
      <c r="AF1586" s="92"/>
      <c r="AG1586" s="93">
        <v>42.51</v>
      </c>
      <c r="AH1586" s="93">
        <v>0</v>
      </c>
    </row>
    <row r="1587" spans="1:34" ht="15.75" thickBot="1" x14ac:dyDescent="0.3">
      <c r="A1587" s="90" t="s">
        <v>1018</v>
      </c>
      <c r="B1587" s="90" t="s">
        <v>35</v>
      </c>
      <c r="C1587" s="90" t="s">
        <v>36</v>
      </c>
      <c r="D1587" s="90" t="s">
        <v>20</v>
      </c>
      <c r="E1587" s="90" t="s">
        <v>528</v>
      </c>
      <c r="F1587" s="90" t="s">
        <v>686</v>
      </c>
      <c r="G1587" s="95">
        <v>850.5</v>
      </c>
      <c r="H1587" s="94"/>
      <c r="I1587" s="95">
        <v>850.5</v>
      </c>
      <c r="J1587" s="94"/>
      <c r="K1587" s="94"/>
      <c r="L1587" s="94"/>
      <c r="M1587" s="94"/>
      <c r="N1587" s="94"/>
      <c r="O1587" s="94"/>
      <c r="P1587" s="94"/>
      <c r="Q1587" s="94"/>
      <c r="R1587" s="94"/>
      <c r="S1587" s="94"/>
      <c r="T1587" s="94"/>
      <c r="U1587" s="94"/>
      <c r="V1587" s="94"/>
      <c r="W1587" s="94"/>
      <c r="X1587" s="94"/>
      <c r="Y1587" s="94"/>
      <c r="Z1587" s="94"/>
      <c r="AA1587" s="94"/>
      <c r="AB1587" s="94"/>
      <c r="AC1587" s="94"/>
      <c r="AD1587" s="95">
        <v>0.82</v>
      </c>
      <c r="AE1587" s="94"/>
      <c r="AF1587" s="94"/>
      <c r="AG1587" s="95">
        <v>851.32</v>
      </c>
      <c r="AH1587" s="95">
        <v>0</v>
      </c>
    </row>
    <row r="1588" spans="1:34" ht="15.75" thickBot="1" x14ac:dyDescent="0.3">
      <c r="A1588" s="90" t="s">
        <v>1018</v>
      </c>
      <c r="B1588" s="90" t="s">
        <v>35</v>
      </c>
      <c r="C1588" s="90" t="s">
        <v>36</v>
      </c>
      <c r="D1588" s="90" t="s">
        <v>20</v>
      </c>
      <c r="E1588" s="90" t="s">
        <v>528</v>
      </c>
      <c r="F1588" s="90" t="s">
        <v>697</v>
      </c>
      <c r="G1588" s="93">
        <v>850.5</v>
      </c>
      <c r="H1588" s="92"/>
      <c r="I1588" s="93">
        <v>850.5</v>
      </c>
      <c r="J1588" s="92"/>
      <c r="K1588" s="92"/>
      <c r="L1588" s="92"/>
      <c r="M1588" s="92"/>
      <c r="N1588" s="92"/>
      <c r="O1588" s="92"/>
      <c r="P1588" s="92"/>
      <c r="Q1588" s="92"/>
      <c r="R1588" s="92"/>
      <c r="S1588" s="92"/>
      <c r="T1588" s="92"/>
      <c r="U1588" s="92"/>
      <c r="V1588" s="92"/>
      <c r="W1588" s="92"/>
      <c r="X1588" s="92"/>
      <c r="Y1588" s="92"/>
      <c r="Z1588" s="92"/>
      <c r="AA1588" s="92"/>
      <c r="AB1588" s="92"/>
      <c r="AC1588" s="92"/>
      <c r="AD1588" s="93">
        <v>0.82</v>
      </c>
      <c r="AE1588" s="92"/>
      <c r="AF1588" s="92"/>
      <c r="AG1588" s="93">
        <v>851.32</v>
      </c>
      <c r="AH1588" s="93">
        <v>0</v>
      </c>
    </row>
    <row r="1589" spans="1:34" ht="15.75" thickBot="1" x14ac:dyDescent="0.3">
      <c r="A1589" s="90" t="s">
        <v>1018</v>
      </c>
      <c r="B1589" s="90" t="s">
        <v>35</v>
      </c>
      <c r="C1589" s="90" t="s">
        <v>36</v>
      </c>
      <c r="D1589" s="90" t="s">
        <v>20</v>
      </c>
      <c r="E1589" s="90" t="s">
        <v>518</v>
      </c>
      <c r="F1589" s="90" t="s">
        <v>686</v>
      </c>
      <c r="G1589" s="95">
        <v>175.6</v>
      </c>
      <c r="H1589" s="95">
        <v>612</v>
      </c>
      <c r="I1589" s="94"/>
      <c r="J1589" s="94"/>
      <c r="K1589" s="95">
        <v>175.6</v>
      </c>
      <c r="L1589" s="94"/>
      <c r="M1589" s="94"/>
      <c r="N1589" s="94"/>
      <c r="O1589" s="94"/>
      <c r="P1589" s="94"/>
      <c r="Q1589" s="94"/>
      <c r="R1589" s="94"/>
      <c r="S1589" s="94"/>
      <c r="T1589" s="94"/>
      <c r="U1589" s="94"/>
      <c r="V1589" s="94"/>
      <c r="W1589" s="94"/>
      <c r="X1589" s="94"/>
      <c r="Y1589" s="94"/>
      <c r="Z1589" s="94"/>
      <c r="AA1589" s="94"/>
      <c r="AB1589" s="94"/>
      <c r="AC1589" s="94"/>
      <c r="AD1589" s="95">
        <v>0.08</v>
      </c>
      <c r="AE1589" s="94"/>
      <c r="AF1589" s="94"/>
      <c r="AG1589" s="95">
        <v>175.68</v>
      </c>
      <c r="AH1589" s="95">
        <v>0</v>
      </c>
    </row>
    <row r="1590" spans="1:34" ht="15.75" thickBot="1" x14ac:dyDescent="0.3">
      <c r="A1590" s="90" t="s">
        <v>1018</v>
      </c>
      <c r="B1590" s="90" t="s">
        <v>35</v>
      </c>
      <c r="C1590" s="90" t="s">
        <v>36</v>
      </c>
      <c r="D1590" s="90" t="s">
        <v>20</v>
      </c>
      <c r="E1590" s="90" t="s">
        <v>518</v>
      </c>
      <c r="F1590" s="90" t="s">
        <v>697</v>
      </c>
      <c r="G1590" s="93">
        <v>175.6</v>
      </c>
      <c r="H1590" s="304">
        <v>612</v>
      </c>
      <c r="I1590" s="92"/>
      <c r="J1590" s="92"/>
      <c r="K1590" s="93">
        <v>175.6</v>
      </c>
      <c r="L1590" s="92"/>
      <c r="M1590" s="92"/>
      <c r="N1590" s="92"/>
      <c r="O1590" s="92"/>
      <c r="P1590" s="92"/>
      <c r="Q1590" s="92"/>
      <c r="R1590" s="92"/>
      <c r="S1590" s="92"/>
      <c r="T1590" s="92"/>
      <c r="U1590" s="92"/>
      <c r="V1590" s="92"/>
      <c r="W1590" s="92"/>
      <c r="X1590" s="92"/>
      <c r="Y1590" s="92"/>
      <c r="Z1590" s="92"/>
      <c r="AA1590" s="92"/>
      <c r="AB1590" s="92"/>
      <c r="AC1590" s="92"/>
      <c r="AD1590" s="93">
        <v>0.08</v>
      </c>
      <c r="AE1590" s="92"/>
      <c r="AF1590" s="92"/>
      <c r="AG1590" s="93">
        <v>175.68</v>
      </c>
      <c r="AH1590" s="93">
        <v>0</v>
      </c>
    </row>
    <row r="1591" spans="1:34" ht="15.75" thickBot="1" x14ac:dyDescent="0.3">
      <c r="A1591" s="90" t="s">
        <v>1018</v>
      </c>
      <c r="B1591" s="90" t="s">
        <v>35</v>
      </c>
      <c r="C1591" s="90" t="s">
        <v>36</v>
      </c>
      <c r="D1591" s="90" t="s">
        <v>20</v>
      </c>
      <c r="E1591" s="90" t="s">
        <v>727</v>
      </c>
      <c r="F1591" s="90" t="s">
        <v>686</v>
      </c>
      <c r="G1591" s="95">
        <v>6.66</v>
      </c>
      <c r="H1591" s="94"/>
      <c r="I1591" s="94"/>
      <c r="J1591" s="94"/>
      <c r="K1591" s="94"/>
      <c r="L1591" s="94"/>
      <c r="M1591" s="94"/>
      <c r="N1591" s="94"/>
      <c r="O1591" s="95">
        <v>6.66</v>
      </c>
      <c r="P1591" s="94"/>
      <c r="Q1591" s="94"/>
      <c r="R1591" s="94"/>
      <c r="S1591" s="94"/>
      <c r="T1591" s="94"/>
      <c r="U1591" s="94"/>
      <c r="V1591" s="94"/>
      <c r="W1591" s="94"/>
      <c r="X1591" s="94"/>
      <c r="Y1591" s="94"/>
      <c r="Z1591" s="94"/>
      <c r="AA1591" s="94"/>
      <c r="AB1591" s="94"/>
      <c r="AC1591" s="94"/>
      <c r="AD1591" s="95">
        <v>0</v>
      </c>
      <c r="AE1591" s="94"/>
      <c r="AF1591" s="94"/>
      <c r="AG1591" s="95">
        <v>6.66</v>
      </c>
      <c r="AH1591" s="95">
        <v>0</v>
      </c>
    </row>
    <row r="1592" spans="1:34" ht="15.75" thickBot="1" x14ac:dyDescent="0.3">
      <c r="A1592" s="90" t="s">
        <v>1018</v>
      </c>
      <c r="B1592" s="90" t="s">
        <v>35</v>
      </c>
      <c r="C1592" s="90" t="s">
        <v>36</v>
      </c>
      <c r="D1592" s="90" t="s">
        <v>20</v>
      </c>
      <c r="E1592" s="90" t="s">
        <v>727</v>
      </c>
      <c r="F1592" s="90" t="s">
        <v>697</v>
      </c>
      <c r="G1592" s="93">
        <v>6.66</v>
      </c>
      <c r="H1592" s="92"/>
      <c r="I1592" s="92"/>
      <c r="J1592" s="92"/>
      <c r="K1592" s="92"/>
      <c r="L1592" s="92"/>
      <c r="M1592" s="92"/>
      <c r="N1592" s="92"/>
      <c r="O1592" s="93">
        <v>6.66</v>
      </c>
      <c r="P1592" s="92"/>
      <c r="Q1592" s="92"/>
      <c r="R1592" s="92"/>
      <c r="S1592" s="92"/>
      <c r="T1592" s="92"/>
      <c r="U1592" s="92"/>
      <c r="V1592" s="92"/>
      <c r="W1592" s="92"/>
      <c r="X1592" s="92"/>
      <c r="Y1592" s="92"/>
      <c r="Z1592" s="92"/>
      <c r="AA1592" s="92"/>
      <c r="AB1592" s="92"/>
      <c r="AC1592" s="92"/>
      <c r="AD1592" s="93">
        <v>0</v>
      </c>
      <c r="AE1592" s="92"/>
      <c r="AF1592" s="92"/>
      <c r="AG1592" s="93">
        <v>6.66</v>
      </c>
      <c r="AH1592" s="93">
        <v>0</v>
      </c>
    </row>
    <row r="1593" spans="1:34" ht="15.75" thickBot="1" x14ac:dyDescent="0.3">
      <c r="A1593" s="90" t="s">
        <v>1018</v>
      </c>
      <c r="B1593" s="90" t="s">
        <v>35</v>
      </c>
      <c r="C1593" s="90" t="s">
        <v>36</v>
      </c>
      <c r="D1593" s="90" t="s">
        <v>20</v>
      </c>
      <c r="E1593" s="90" t="s">
        <v>728</v>
      </c>
      <c r="F1593" s="90" t="s">
        <v>686</v>
      </c>
      <c r="G1593" s="94"/>
      <c r="H1593" s="94"/>
      <c r="I1593" s="94"/>
      <c r="J1593" s="94"/>
      <c r="K1593" s="94"/>
      <c r="L1593" s="94"/>
      <c r="M1593" s="94"/>
      <c r="N1593" s="94"/>
      <c r="O1593" s="94"/>
      <c r="P1593" s="94"/>
      <c r="Q1593" s="94"/>
      <c r="R1593" s="94"/>
      <c r="S1593" s="94"/>
      <c r="T1593" s="94"/>
      <c r="U1593" s="94"/>
      <c r="V1593" s="94"/>
      <c r="W1593" s="94"/>
      <c r="X1593" s="94"/>
      <c r="Y1593" s="94"/>
      <c r="Z1593" s="94"/>
      <c r="AA1593" s="94"/>
      <c r="AB1593" s="95">
        <v>15.75</v>
      </c>
      <c r="AC1593" s="94"/>
      <c r="AD1593" s="95">
        <v>0</v>
      </c>
      <c r="AE1593" s="94"/>
      <c r="AF1593" s="94"/>
      <c r="AG1593" s="95">
        <v>15.75</v>
      </c>
      <c r="AH1593" s="95">
        <v>0</v>
      </c>
    </row>
    <row r="1594" spans="1:34" ht="15.75" thickBot="1" x14ac:dyDescent="0.3">
      <c r="A1594" s="90" t="s">
        <v>1018</v>
      </c>
      <c r="B1594" s="90" t="s">
        <v>35</v>
      </c>
      <c r="C1594" s="90" t="s">
        <v>36</v>
      </c>
      <c r="D1594" s="90" t="s">
        <v>20</v>
      </c>
      <c r="E1594" s="90" t="s">
        <v>728</v>
      </c>
      <c r="F1594" s="90" t="s">
        <v>697</v>
      </c>
      <c r="G1594" s="92"/>
      <c r="H1594" s="92"/>
      <c r="I1594" s="92"/>
      <c r="J1594" s="92"/>
      <c r="K1594" s="92"/>
      <c r="L1594" s="92"/>
      <c r="M1594" s="92"/>
      <c r="N1594" s="92"/>
      <c r="O1594" s="92"/>
      <c r="P1594" s="92"/>
      <c r="Q1594" s="92"/>
      <c r="R1594" s="92"/>
      <c r="S1594" s="92"/>
      <c r="T1594" s="92"/>
      <c r="U1594" s="92"/>
      <c r="V1594" s="92"/>
      <c r="W1594" s="92"/>
      <c r="X1594" s="92"/>
      <c r="Y1594" s="92"/>
      <c r="Z1594" s="92"/>
      <c r="AA1594" s="92"/>
      <c r="AB1594" s="93">
        <v>15.75</v>
      </c>
      <c r="AC1594" s="92"/>
      <c r="AD1594" s="93">
        <v>0</v>
      </c>
      <c r="AE1594" s="92"/>
      <c r="AF1594" s="92"/>
      <c r="AG1594" s="93">
        <v>15.75</v>
      </c>
      <c r="AH1594" s="93">
        <v>0</v>
      </c>
    </row>
    <row r="1595" spans="1:34" ht="15.75" thickBot="1" x14ac:dyDescent="0.3">
      <c r="A1595" s="90" t="s">
        <v>1018</v>
      </c>
      <c r="B1595" s="90" t="s">
        <v>35</v>
      </c>
      <c r="C1595" s="90" t="s">
        <v>36</v>
      </c>
      <c r="D1595" s="90" t="s">
        <v>20</v>
      </c>
      <c r="E1595" s="90" t="s">
        <v>673</v>
      </c>
      <c r="F1595" s="90" t="s">
        <v>686</v>
      </c>
      <c r="G1595" s="95">
        <v>323.82</v>
      </c>
      <c r="H1595" s="94"/>
      <c r="I1595" s="94"/>
      <c r="J1595" s="94"/>
      <c r="K1595" s="94"/>
      <c r="L1595" s="94"/>
      <c r="M1595" s="94"/>
      <c r="N1595" s="94"/>
      <c r="O1595" s="94"/>
      <c r="P1595" s="94"/>
      <c r="Q1595" s="94"/>
      <c r="R1595" s="94"/>
      <c r="S1595" s="94"/>
      <c r="T1595" s="94"/>
      <c r="U1595" s="94"/>
      <c r="V1595" s="94"/>
      <c r="W1595" s="94"/>
      <c r="X1595" s="95">
        <v>323.82</v>
      </c>
      <c r="Y1595" s="94"/>
      <c r="Z1595" s="94"/>
      <c r="AA1595" s="94"/>
      <c r="AB1595" s="94"/>
      <c r="AC1595" s="94"/>
      <c r="AD1595" s="95">
        <v>0.3</v>
      </c>
      <c r="AE1595" s="94"/>
      <c r="AF1595" s="94"/>
      <c r="AG1595" s="95">
        <v>324.12</v>
      </c>
      <c r="AH1595" s="95">
        <v>0</v>
      </c>
    </row>
    <row r="1596" spans="1:34" ht="15.75" thickBot="1" x14ac:dyDescent="0.3">
      <c r="A1596" s="90" t="s">
        <v>1018</v>
      </c>
      <c r="B1596" s="90" t="s">
        <v>35</v>
      </c>
      <c r="C1596" s="90" t="s">
        <v>36</v>
      </c>
      <c r="D1596" s="90" t="s">
        <v>20</v>
      </c>
      <c r="E1596" s="90" t="s">
        <v>673</v>
      </c>
      <c r="F1596" s="90" t="s">
        <v>697</v>
      </c>
      <c r="G1596" s="93">
        <v>323.82</v>
      </c>
      <c r="H1596" s="92"/>
      <c r="I1596" s="92"/>
      <c r="J1596" s="92"/>
      <c r="K1596" s="92"/>
      <c r="L1596" s="92"/>
      <c r="M1596" s="92"/>
      <c r="N1596" s="92"/>
      <c r="O1596" s="92"/>
      <c r="P1596" s="92"/>
      <c r="Q1596" s="92"/>
      <c r="R1596" s="92"/>
      <c r="S1596" s="92"/>
      <c r="T1596" s="92"/>
      <c r="U1596" s="92"/>
      <c r="V1596" s="92"/>
      <c r="W1596" s="92"/>
      <c r="X1596" s="93">
        <v>323.82</v>
      </c>
      <c r="Y1596" s="92"/>
      <c r="Z1596" s="92"/>
      <c r="AA1596" s="92"/>
      <c r="AB1596" s="92"/>
      <c r="AC1596" s="92"/>
      <c r="AD1596" s="93">
        <v>0.3</v>
      </c>
      <c r="AE1596" s="92"/>
      <c r="AF1596" s="92"/>
      <c r="AG1596" s="93">
        <v>324.12</v>
      </c>
      <c r="AH1596" s="93">
        <v>0</v>
      </c>
    </row>
    <row r="1597" spans="1:34" ht="15.75" thickBot="1" x14ac:dyDescent="0.3">
      <c r="A1597" s="90" t="s">
        <v>1018</v>
      </c>
      <c r="B1597" s="90" t="s">
        <v>35</v>
      </c>
      <c r="C1597" s="90" t="s">
        <v>36</v>
      </c>
      <c r="D1597" s="90" t="s">
        <v>20</v>
      </c>
      <c r="E1597" s="90" t="s">
        <v>196</v>
      </c>
      <c r="F1597" s="90" t="s">
        <v>686</v>
      </c>
      <c r="G1597" s="95">
        <v>214.98</v>
      </c>
      <c r="H1597" s="94"/>
      <c r="I1597" s="94"/>
      <c r="J1597" s="94"/>
      <c r="K1597" s="94"/>
      <c r="L1597" s="94"/>
      <c r="M1597" s="94"/>
      <c r="N1597" s="94"/>
      <c r="O1597" s="94"/>
      <c r="P1597" s="95">
        <v>214.98</v>
      </c>
      <c r="Q1597" s="94"/>
      <c r="R1597" s="94"/>
      <c r="S1597" s="94"/>
      <c r="T1597" s="94"/>
      <c r="U1597" s="94"/>
      <c r="V1597" s="94"/>
      <c r="W1597" s="94"/>
      <c r="X1597" s="94"/>
      <c r="Y1597" s="94"/>
      <c r="Z1597" s="94"/>
      <c r="AA1597" s="94"/>
      <c r="AB1597" s="94"/>
      <c r="AC1597" s="94"/>
      <c r="AD1597" s="95">
        <v>0.09</v>
      </c>
      <c r="AE1597" s="94"/>
      <c r="AF1597" s="94"/>
      <c r="AG1597" s="95">
        <v>215.07</v>
      </c>
      <c r="AH1597" s="95">
        <v>0</v>
      </c>
    </row>
    <row r="1598" spans="1:34" ht="15.75" thickBot="1" x14ac:dyDescent="0.3">
      <c r="A1598" s="90" t="s">
        <v>1018</v>
      </c>
      <c r="B1598" s="90" t="s">
        <v>35</v>
      </c>
      <c r="C1598" s="90" t="s">
        <v>36</v>
      </c>
      <c r="D1598" s="90" t="s">
        <v>20</v>
      </c>
      <c r="E1598" s="90" t="s">
        <v>196</v>
      </c>
      <c r="F1598" s="90" t="s">
        <v>697</v>
      </c>
      <c r="G1598" s="93">
        <v>214.98</v>
      </c>
      <c r="H1598" s="92"/>
      <c r="I1598" s="92"/>
      <c r="J1598" s="92"/>
      <c r="K1598" s="92"/>
      <c r="L1598" s="92"/>
      <c r="M1598" s="92"/>
      <c r="N1598" s="92"/>
      <c r="O1598" s="92"/>
      <c r="P1598" s="93">
        <v>214.98</v>
      </c>
      <c r="Q1598" s="92"/>
      <c r="R1598" s="92"/>
      <c r="S1598" s="92"/>
      <c r="T1598" s="92"/>
      <c r="U1598" s="92"/>
      <c r="V1598" s="92"/>
      <c r="W1598" s="92"/>
      <c r="X1598" s="92"/>
      <c r="Y1598" s="92"/>
      <c r="Z1598" s="92"/>
      <c r="AA1598" s="92"/>
      <c r="AB1598" s="92"/>
      <c r="AC1598" s="92"/>
      <c r="AD1598" s="93">
        <v>0.09</v>
      </c>
      <c r="AE1598" s="92"/>
      <c r="AF1598" s="92"/>
      <c r="AG1598" s="93">
        <v>215.07</v>
      </c>
      <c r="AH1598" s="93">
        <v>0</v>
      </c>
    </row>
    <row r="1599" spans="1:34" ht="15.75" thickBot="1" x14ac:dyDescent="0.3">
      <c r="A1599" s="90" t="s">
        <v>1018</v>
      </c>
      <c r="B1599" s="90" t="s">
        <v>35</v>
      </c>
      <c r="C1599" s="90" t="s">
        <v>36</v>
      </c>
      <c r="D1599" s="90" t="s">
        <v>28</v>
      </c>
      <c r="E1599" s="90" t="s">
        <v>919</v>
      </c>
      <c r="F1599" s="90" t="s">
        <v>686</v>
      </c>
      <c r="G1599" s="95">
        <v>-0.91</v>
      </c>
      <c r="H1599" s="94"/>
      <c r="I1599" s="95">
        <v>-0.91</v>
      </c>
      <c r="J1599" s="94"/>
      <c r="K1599" s="94"/>
      <c r="L1599" s="94"/>
      <c r="M1599" s="94"/>
      <c r="N1599" s="94"/>
      <c r="O1599" s="94"/>
      <c r="P1599" s="94"/>
      <c r="Q1599" s="94"/>
      <c r="R1599" s="94"/>
      <c r="S1599" s="94"/>
      <c r="T1599" s="94"/>
      <c r="U1599" s="94"/>
      <c r="V1599" s="94"/>
      <c r="W1599" s="94"/>
      <c r="X1599" s="94"/>
      <c r="Y1599" s="94"/>
      <c r="Z1599" s="94"/>
      <c r="AA1599" s="94"/>
      <c r="AB1599" s="94"/>
      <c r="AC1599" s="94"/>
      <c r="AD1599" s="95">
        <v>0</v>
      </c>
      <c r="AE1599" s="94"/>
      <c r="AF1599" s="94"/>
      <c r="AG1599" s="95">
        <v>-0.91</v>
      </c>
      <c r="AH1599" s="95">
        <v>0</v>
      </c>
    </row>
    <row r="1600" spans="1:34" ht="15.75" thickBot="1" x14ac:dyDescent="0.3">
      <c r="A1600" s="90" t="s">
        <v>1018</v>
      </c>
      <c r="B1600" s="90" t="s">
        <v>35</v>
      </c>
      <c r="C1600" s="90" t="s">
        <v>36</v>
      </c>
      <c r="D1600" s="90" t="s">
        <v>28</v>
      </c>
      <c r="E1600" s="90" t="s">
        <v>919</v>
      </c>
      <c r="F1600" s="90" t="s">
        <v>697</v>
      </c>
      <c r="G1600" s="93">
        <v>-0.91</v>
      </c>
      <c r="H1600" s="92"/>
      <c r="I1600" s="93">
        <v>-0.91</v>
      </c>
      <c r="J1600" s="92"/>
      <c r="K1600" s="92"/>
      <c r="L1600" s="92"/>
      <c r="M1600" s="92"/>
      <c r="N1600" s="92"/>
      <c r="O1600" s="92"/>
      <c r="P1600" s="92"/>
      <c r="Q1600" s="92"/>
      <c r="R1600" s="92"/>
      <c r="S1600" s="92"/>
      <c r="T1600" s="92"/>
      <c r="U1600" s="92"/>
      <c r="V1600" s="92"/>
      <c r="W1600" s="92"/>
      <c r="X1600" s="92"/>
      <c r="Y1600" s="92"/>
      <c r="Z1600" s="92"/>
      <c r="AA1600" s="92"/>
      <c r="AB1600" s="92"/>
      <c r="AC1600" s="92"/>
      <c r="AD1600" s="93">
        <v>0</v>
      </c>
      <c r="AE1600" s="92"/>
      <c r="AF1600" s="92"/>
      <c r="AG1600" s="93">
        <v>-0.91</v>
      </c>
      <c r="AH1600" s="93">
        <v>0</v>
      </c>
    </row>
    <row r="1601" spans="1:34" ht="15.75" thickBot="1" x14ac:dyDescent="0.3">
      <c r="A1601" s="90" t="s">
        <v>1018</v>
      </c>
      <c r="B1601" s="90" t="s">
        <v>35</v>
      </c>
      <c r="C1601" s="90" t="s">
        <v>36</v>
      </c>
      <c r="D1601" s="90" t="s">
        <v>28</v>
      </c>
      <c r="E1601" s="90" t="s">
        <v>726</v>
      </c>
      <c r="F1601" s="90" t="s">
        <v>686</v>
      </c>
      <c r="G1601" s="94"/>
      <c r="H1601" s="94"/>
      <c r="I1601" s="94"/>
      <c r="J1601" s="94"/>
      <c r="K1601" s="94"/>
      <c r="L1601" s="94"/>
      <c r="M1601" s="94"/>
      <c r="N1601" s="94"/>
      <c r="O1601" s="94"/>
      <c r="P1601" s="94"/>
      <c r="Q1601" s="94"/>
      <c r="R1601" s="94"/>
      <c r="S1601" s="94"/>
      <c r="T1601" s="94"/>
      <c r="U1601" s="94"/>
      <c r="V1601" s="94"/>
      <c r="W1601" s="94"/>
      <c r="X1601" s="94"/>
      <c r="Y1601" s="94"/>
      <c r="Z1601" s="94"/>
      <c r="AA1601" s="94"/>
      <c r="AB1601" s="94"/>
      <c r="AC1601" s="95">
        <v>1762.28</v>
      </c>
      <c r="AD1601" s="95">
        <v>0</v>
      </c>
      <c r="AE1601" s="94"/>
      <c r="AF1601" s="94"/>
      <c r="AG1601" s="95">
        <v>1762.28</v>
      </c>
      <c r="AH1601" s="95">
        <v>0</v>
      </c>
    </row>
    <row r="1602" spans="1:34" ht="15.75" thickBot="1" x14ac:dyDescent="0.3">
      <c r="A1602" s="90" t="s">
        <v>1018</v>
      </c>
      <c r="B1602" s="90" t="s">
        <v>35</v>
      </c>
      <c r="C1602" s="90" t="s">
        <v>36</v>
      </c>
      <c r="D1602" s="90" t="s">
        <v>28</v>
      </c>
      <c r="E1602" s="90" t="s">
        <v>726</v>
      </c>
      <c r="F1602" s="90" t="s">
        <v>697</v>
      </c>
      <c r="G1602" s="92"/>
      <c r="H1602" s="92"/>
      <c r="I1602" s="92"/>
      <c r="J1602" s="92"/>
      <c r="K1602" s="92"/>
      <c r="L1602" s="92"/>
      <c r="M1602" s="92"/>
      <c r="N1602" s="92"/>
      <c r="O1602" s="92"/>
      <c r="P1602" s="92"/>
      <c r="Q1602" s="92"/>
      <c r="R1602" s="92"/>
      <c r="S1602" s="92"/>
      <c r="T1602" s="92"/>
      <c r="U1602" s="92"/>
      <c r="V1602" s="92"/>
      <c r="W1602" s="92"/>
      <c r="X1602" s="92"/>
      <c r="Y1602" s="92"/>
      <c r="Z1602" s="92"/>
      <c r="AA1602" s="92"/>
      <c r="AB1602" s="92"/>
      <c r="AC1602" s="93">
        <v>1762.28</v>
      </c>
      <c r="AD1602" s="93">
        <v>0</v>
      </c>
      <c r="AE1602" s="92"/>
      <c r="AF1602" s="92"/>
      <c r="AG1602" s="93">
        <v>1762.28</v>
      </c>
      <c r="AH1602" s="93">
        <v>0</v>
      </c>
    </row>
    <row r="1603" spans="1:34" ht="15.75" thickBot="1" x14ac:dyDescent="0.3">
      <c r="A1603" s="90" t="s">
        <v>1018</v>
      </c>
      <c r="B1603" s="90" t="s">
        <v>35</v>
      </c>
      <c r="C1603" s="90" t="s">
        <v>36</v>
      </c>
      <c r="D1603" s="90" t="s">
        <v>28</v>
      </c>
      <c r="E1603" s="90" t="s">
        <v>528</v>
      </c>
      <c r="F1603" s="90" t="s">
        <v>686</v>
      </c>
      <c r="G1603" s="95">
        <v>3965844.2</v>
      </c>
      <c r="H1603" s="94"/>
      <c r="I1603" s="95">
        <v>3965844.2</v>
      </c>
      <c r="J1603" s="94"/>
      <c r="K1603" s="94"/>
      <c r="L1603" s="94"/>
      <c r="M1603" s="94"/>
      <c r="N1603" s="94"/>
      <c r="O1603" s="94"/>
      <c r="P1603" s="94"/>
      <c r="Q1603" s="94"/>
      <c r="R1603" s="94"/>
      <c r="S1603" s="94"/>
      <c r="T1603" s="94"/>
      <c r="U1603" s="94"/>
      <c r="V1603" s="94"/>
      <c r="W1603" s="94"/>
      <c r="X1603" s="94"/>
      <c r="Y1603" s="94"/>
      <c r="Z1603" s="94"/>
      <c r="AA1603" s="94"/>
      <c r="AB1603" s="94"/>
      <c r="AC1603" s="94"/>
      <c r="AD1603" s="95">
        <v>16935.29</v>
      </c>
      <c r="AE1603" s="94"/>
      <c r="AF1603" s="94"/>
      <c r="AG1603" s="95">
        <v>3982779.49</v>
      </c>
      <c r="AH1603" s="95">
        <v>0</v>
      </c>
    </row>
    <row r="1604" spans="1:34" ht="15.75" thickBot="1" x14ac:dyDescent="0.3">
      <c r="A1604" s="90" t="s">
        <v>1018</v>
      </c>
      <c r="B1604" s="90" t="s">
        <v>35</v>
      </c>
      <c r="C1604" s="90" t="s">
        <v>36</v>
      </c>
      <c r="D1604" s="90" t="s">
        <v>28</v>
      </c>
      <c r="E1604" s="90" t="s">
        <v>528</v>
      </c>
      <c r="F1604" s="90" t="s">
        <v>697</v>
      </c>
      <c r="G1604" s="93">
        <v>3965844.2</v>
      </c>
      <c r="H1604" s="92"/>
      <c r="I1604" s="93">
        <v>3965844.2</v>
      </c>
      <c r="J1604" s="92"/>
      <c r="K1604" s="92"/>
      <c r="L1604" s="92"/>
      <c r="M1604" s="92"/>
      <c r="N1604" s="92"/>
      <c r="O1604" s="92"/>
      <c r="P1604" s="92"/>
      <c r="Q1604" s="92"/>
      <c r="R1604" s="92"/>
      <c r="S1604" s="92"/>
      <c r="T1604" s="92"/>
      <c r="U1604" s="92"/>
      <c r="V1604" s="92"/>
      <c r="W1604" s="92"/>
      <c r="X1604" s="92"/>
      <c r="Y1604" s="92"/>
      <c r="Z1604" s="92"/>
      <c r="AA1604" s="92"/>
      <c r="AB1604" s="92"/>
      <c r="AC1604" s="92"/>
      <c r="AD1604" s="93">
        <v>16935.29</v>
      </c>
      <c r="AE1604" s="92"/>
      <c r="AF1604" s="92"/>
      <c r="AG1604" s="93">
        <v>3982779.49</v>
      </c>
      <c r="AH1604" s="93">
        <v>0</v>
      </c>
    </row>
    <row r="1605" spans="1:34" ht="15.75" thickBot="1" x14ac:dyDescent="0.3">
      <c r="A1605" s="90" t="s">
        <v>1018</v>
      </c>
      <c r="B1605" s="90" t="s">
        <v>35</v>
      </c>
      <c r="C1605" s="90" t="s">
        <v>36</v>
      </c>
      <c r="D1605" s="90" t="s">
        <v>28</v>
      </c>
      <c r="E1605" s="90" t="s">
        <v>518</v>
      </c>
      <c r="F1605" s="90" t="s">
        <v>686</v>
      </c>
      <c r="G1605" s="95">
        <v>1043018.5</v>
      </c>
      <c r="H1605" s="95">
        <v>3635080</v>
      </c>
      <c r="I1605" s="94"/>
      <c r="J1605" s="94"/>
      <c r="K1605" s="95">
        <v>1043018.5</v>
      </c>
      <c r="L1605" s="94"/>
      <c r="M1605" s="94"/>
      <c r="N1605" s="94"/>
      <c r="O1605" s="94"/>
      <c r="P1605" s="94"/>
      <c r="Q1605" s="94"/>
      <c r="R1605" s="94"/>
      <c r="S1605" s="94"/>
      <c r="T1605" s="94"/>
      <c r="U1605" s="94"/>
      <c r="V1605" s="94"/>
      <c r="W1605" s="94"/>
      <c r="X1605" s="94"/>
      <c r="Y1605" s="94"/>
      <c r="Z1605" s="94"/>
      <c r="AA1605" s="94"/>
      <c r="AB1605" s="94"/>
      <c r="AC1605" s="94"/>
      <c r="AD1605" s="95">
        <v>3987.01</v>
      </c>
      <c r="AE1605" s="94"/>
      <c r="AF1605" s="94"/>
      <c r="AG1605" s="95">
        <v>1047005.51</v>
      </c>
      <c r="AH1605" s="95">
        <v>0</v>
      </c>
    </row>
    <row r="1606" spans="1:34" ht="15.75" thickBot="1" x14ac:dyDescent="0.3">
      <c r="A1606" s="90" t="s">
        <v>1018</v>
      </c>
      <c r="B1606" s="90" t="s">
        <v>35</v>
      </c>
      <c r="C1606" s="90" t="s">
        <v>36</v>
      </c>
      <c r="D1606" s="90" t="s">
        <v>28</v>
      </c>
      <c r="E1606" s="90" t="s">
        <v>518</v>
      </c>
      <c r="F1606" s="90" t="s">
        <v>697</v>
      </c>
      <c r="G1606" s="93">
        <v>1043018.5</v>
      </c>
      <c r="H1606" s="304">
        <v>3635080</v>
      </c>
      <c r="I1606" s="92"/>
      <c r="J1606" s="92"/>
      <c r="K1606" s="93">
        <v>1043018.5</v>
      </c>
      <c r="L1606" s="92"/>
      <c r="M1606" s="92"/>
      <c r="N1606" s="92"/>
      <c r="O1606" s="92"/>
      <c r="P1606" s="92"/>
      <c r="Q1606" s="92"/>
      <c r="R1606" s="92"/>
      <c r="S1606" s="92"/>
      <c r="T1606" s="92"/>
      <c r="U1606" s="92"/>
      <c r="V1606" s="92"/>
      <c r="W1606" s="92"/>
      <c r="X1606" s="92"/>
      <c r="Y1606" s="92"/>
      <c r="Z1606" s="92"/>
      <c r="AA1606" s="92"/>
      <c r="AB1606" s="92"/>
      <c r="AC1606" s="92"/>
      <c r="AD1606" s="93">
        <v>3987.01</v>
      </c>
      <c r="AE1606" s="92"/>
      <c r="AF1606" s="92"/>
      <c r="AG1606" s="93">
        <v>1047005.51</v>
      </c>
      <c r="AH1606" s="93">
        <v>0</v>
      </c>
    </row>
    <row r="1607" spans="1:34" ht="15.75" thickBot="1" x14ac:dyDescent="0.3">
      <c r="A1607" s="90" t="s">
        <v>1018</v>
      </c>
      <c r="B1607" s="90" t="s">
        <v>35</v>
      </c>
      <c r="C1607" s="90" t="s">
        <v>36</v>
      </c>
      <c r="D1607" s="90" t="s">
        <v>28</v>
      </c>
      <c r="E1607" s="90" t="s">
        <v>727</v>
      </c>
      <c r="F1607" s="90" t="s">
        <v>686</v>
      </c>
      <c r="G1607" s="95">
        <v>39528.17</v>
      </c>
      <c r="H1607" s="94"/>
      <c r="I1607" s="94"/>
      <c r="J1607" s="94"/>
      <c r="K1607" s="94"/>
      <c r="L1607" s="94"/>
      <c r="M1607" s="94"/>
      <c r="N1607" s="94"/>
      <c r="O1607" s="95">
        <v>39528.17</v>
      </c>
      <c r="P1607" s="94"/>
      <c r="Q1607" s="94"/>
      <c r="R1607" s="94"/>
      <c r="S1607" s="94"/>
      <c r="T1607" s="94"/>
      <c r="U1607" s="94"/>
      <c r="V1607" s="94"/>
      <c r="W1607" s="94"/>
      <c r="X1607" s="94"/>
      <c r="Y1607" s="94"/>
      <c r="Z1607" s="94"/>
      <c r="AA1607" s="94"/>
      <c r="AB1607" s="94"/>
      <c r="AC1607" s="94"/>
      <c r="AD1607" s="95">
        <v>117.06</v>
      </c>
      <c r="AE1607" s="94"/>
      <c r="AF1607" s="94"/>
      <c r="AG1607" s="95">
        <v>39645.230000000003</v>
      </c>
      <c r="AH1607" s="95">
        <v>0</v>
      </c>
    </row>
    <row r="1608" spans="1:34" ht="15.75" thickBot="1" x14ac:dyDescent="0.3">
      <c r="A1608" s="90" t="s">
        <v>1018</v>
      </c>
      <c r="B1608" s="90" t="s">
        <v>35</v>
      </c>
      <c r="C1608" s="90" t="s">
        <v>36</v>
      </c>
      <c r="D1608" s="90" t="s">
        <v>28</v>
      </c>
      <c r="E1608" s="90" t="s">
        <v>727</v>
      </c>
      <c r="F1608" s="90" t="s">
        <v>697</v>
      </c>
      <c r="G1608" s="93">
        <v>39528.17</v>
      </c>
      <c r="H1608" s="92"/>
      <c r="I1608" s="92"/>
      <c r="J1608" s="92"/>
      <c r="K1608" s="92"/>
      <c r="L1608" s="92"/>
      <c r="M1608" s="92"/>
      <c r="N1608" s="92"/>
      <c r="O1608" s="93">
        <v>39528.17</v>
      </c>
      <c r="P1608" s="92"/>
      <c r="Q1608" s="92"/>
      <c r="R1608" s="92"/>
      <c r="S1608" s="92"/>
      <c r="T1608" s="92"/>
      <c r="U1608" s="92"/>
      <c r="V1608" s="92"/>
      <c r="W1608" s="92"/>
      <c r="X1608" s="92"/>
      <c r="Y1608" s="92"/>
      <c r="Z1608" s="92"/>
      <c r="AA1608" s="92"/>
      <c r="AB1608" s="92"/>
      <c r="AC1608" s="92"/>
      <c r="AD1608" s="93">
        <v>117.06</v>
      </c>
      <c r="AE1608" s="92"/>
      <c r="AF1608" s="92"/>
      <c r="AG1608" s="93">
        <v>39645.230000000003</v>
      </c>
      <c r="AH1608" s="93">
        <v>0</v>
      </c>
    </row>
    <row r="1609" spans="1:34" ht="15.75" thickBot="1" x14ac:dyDescent="0.3">
      <c r="A1609" s="90" t="s">
        <v>1018</v>
      </c>
      <c r="B1609" s="90" t="s">
        <v>35</v>
      </c>
      <c r="C1609" s="90" t="s">
        <v>36</v>
      </c>
      <c r="D1609" s="90" t="s">
        <v>28</v>
      </c>
      <c r="E1609" s="90" t="s">
        <v>728</v>
      </c>
      <c r="F1609" s="90" t="s">
        <v>686</v>
      </c>
      <c r="G1609" s="94"/>
      <c r="H1609" s="94"/>
      <c r="I1609" s="94"/>
      <c r="J1609" s="94"/>
      <c r="K1609" s="94"/>
      <c r="L1609" s="94"/>
      <c r="M1609" s="94"/>
      <c r="N1609" s="94"/>
      <c r="O1609" s="94"/>
      <c r="P1609" s="94"/>
      <c r="Q1609" s="94"/>
      <c r="R1609" s="94"/>
      <c r="S1609" s="94"/>
      <c r="T1609" s="94"/>
      <c r="U1609" s="94"/>
      <c r="V1609" s="94"/>
      <c r="W1609" s="94"/>
      <c r="X1609" s="94"/>
      <c r="Y1609" s="94"/>
      <c r="Z1609" s="94"/>
      <c r="AA1609" s="94"/>
      <c r="AB1609" s="95">
        <v>74137.25</v>
      </c>
      <c r="AC1609" s="94"/>
      <c r="AD1609" s="95">
        <v>0</v>
      </c>
      <c r="AE1609" s="94"/>
      <c r="AF1609" s="94"/>
      <c r="AG1609" s="95">
        <v>74137.25</v>
      </c>
      <c r="AH1609" s="95">
        <v>0</v>
      </c>
    </row>
    <row r="1610" spans="1:34" ht="15.75" thickBot="1" x14ac:dyDescent="0.3">
      <c r="A1610" s="90" t="s">
        <v>1018</v>
      </c>
      <c r="B1610" s="90" t="s">
        <v>35</v>
      </c>
      <c r="C1610" s="90" t="s">
        <v>36</v>
      </c>
      <c r="D1610" s="90" t="s">
        <v>28</v>
      </c>
      <c r="E1610" s="90" t="s">
        <v>728</v>
      </c>
      <c r="F1610" s="90" t="s">
        <v>697</v>
      </c>
      <c r="G1610" s="92"/>
      <c r="H1610" s="92"/>
      <c r="I1610" s="92"/>
      <c r="J1610" s="92"/>
      <c r="K1610" s="92"/>
      <c r="L1610" s="92"/>
      <c r="M1610" s="92"/>
      <c r="N1610" s="92"/>
      <c r="O1610" s="92"/>
      <c r="P1610" s="92"/>
      <c r="Q1610" s="92"/>
      <c r="R1610" s="92"/>
      <c r="S1610" s="92"/>
      <c r="T1610" s="92"/>
      <c r="U1610" s="92"/>
      <c r="V1610" s="92"/>
      <c r="W1610" s="92"/>
      <c r="X1610" s="92"/>
      <c r="Y1610" s="92"/>
      <c r="Z1610" s="92"/>
      <c r="AA1610" s="92"/>
      <c r="AB1610" s="93">
        <v>74137.25</v>
      </c>
      <c r="AC1610" s="92"/>
      <c r="AD1610" s="93">
        <v>0</v>
      </c>
      <c r="AE1610" s="92"/>
      <c r="AF1610" s="92"/>
      <c r="AG1610" s="93">
        <v>74137.25</v>
      </c>
      <c r="AH1610" s="93">
        <v>0</v>
      </c>
    </row>
    <row r="1611" spans="1:34" ht="15.75" thickBot="1" x14ac:dyDescent="0.3">
      <c r="A1611" s="90" t="s">
        <v>1018</v>
      </c>
      <c r="B1611" s="90" t="s">
        <v>35</v>
      </c>
      <c r="C1611" s="90" t="s">
        <v>36</v>
      </c>
      <c r="D1611" s="90" t="s">
        <v>28</v>
      </c>
      <c r="E1611" s="90" t="s">
        <v>673</v>
      </c>
      <c r="F1611" s="90" t="s">
        <v>686</v>
      </c>
      <c r="G1611" s="95">
        <v>1509928.2</v>
      </c>
      <c r="H1611" s="94"/>
      <c r="I1611" s="94"/>
      <c r="J1611" s="94"/>
      <c r="K1611" s="94"/>
      <c r="L1611" s="94"/>
      <c r="M1611" s="94"/>
      <c r="N1611" s="94"/>
      <c r="O1611" s="94"/>
      <c r="P1611" s="94"/>
      <c r="Q1611" s="94"/>
      <c r="R1611" s="94"/>
      <c r="S1611" s="94"/>
      <c r="T1611" s="94"/>
      <c r="U1611" s="94"/>
      <c r="V1611" s="94"/>
      <c r="W1611" s="94"/>
      <c r="X1611" s="95">
        <v>1509928.2</v>
      </c>
      <c r="Y1611" s="94"/>
      <c r="Z1611" s="94"/>
      <c r="AA1611" s="94"/>
      <c r="AB1611" s="94"/>
      <c r="AC1611" s="94"/>
      <c r="AD1611" s="95">
        <v>6263.76</v>
      </c>
      <c r="AE1611" s="94"/>
      <c r="AF1611" s="94"/>
      <c r="AG1611" s="95">
        <v>1516191.96</v>
      </c>
      <c r="AH1611" s="95">
        <v>0</v>
      </c>
    </row>
    <row r="1612" spans="1:34" ht="15.75" thickBot="1" x14ac:dyDescent="0.3">
      <c r="A1612" s="90" t="s">
        <v>1018</v>
      </c>
      <c r="B1612" s="90" t="s">
        <v>35</v>
      </c>
      <c r="C1612" s="90" t="s">
        <v>36</v>
      </c>
      <c r="D1612" s="90" t="s">
        <v>28</v>
      </c>
      <c r="E1612" s="90" t="s">
        <v>673</v>
      </c>
      <c r="F1612" s="90" t="s">
        <v>697</v>
      </c>
      <c r="G1612" s="93">
        <v>1509928.2</v>
      </c>
      <c r="H1612" s="92"/>
      <c r="I1612" s="92"/>
      <c r="J1612" s="92"/>
      <c r="K1612" s="92"/>
      <c r="L1612" s="92"/>
      <c r="M1612" s="92"/>
      <c r="N1612" s="92"/>
      <c r="O1612" s="92"/>
      <c r="P1612" s="92"/>
      <c r="Q1612" s="92"/>
      <c r="R1612" s="92"/>
      <c r="S1612" s="92"/>
      <c r="T1612" s="92"/>
      <c r="U1612" s="92"/>
      <c r="V1612" s="92"/>
      <c r="W1612" s="92"/>
      <c r="X1612" s="93">
        <v>1509928.2</v>
      </c>
      <c r="Y1612" s="92"/>
      <c r="Z1612" s="92"/>
      <c r="AA1612" s="92"/>
      <c r="AB1612" s="92"/>
      <c r="AC1612" s="92"/>
      <c r="AD1612" s="93">
        <v>6263.76</v>
      </c>
      <c r="AE1612" s="92"/>
      <c r="AF1612" s="92"/>
      <c r="AG1612" s="93">
        <v>1516191.96</v>
      </c>
      <c r="AH1612" s="93">
        <v>0</v>
      </c>
    </row>
    <row r="1613" spans="1:34" ht="15.75" thickBot="1" x14ac:dyDescent="0.3">
      <c r="A1613" s="90" t="s">
        <v>1018</v>
      </c>
      <c r="B1613" s="90" t="s">
        <v>35</v>
      </c>
      <c r="C1613" s="90" t="s">
        <v>36</v>
      </c>
      <c r="D1613" s="90" t="s">
        <v>28</v>
      </c>
      <c r="E1613" s="90" t="s">
        <v>196</v>
      </c>
      <c r="F1613" s="90" t="s">
        <v>686</v>
      </c>
      <c r="G1613" s="95">
        <v>1277488.72</v>
      </c>
      <c r="H1613" s="94"/>
      <c r="I1613" s="94"/>
      <c r="J1613" s="94"/>
      <c r="K1613" s="94"/>
      <c r="L1613" s="94"/>
      <c r="M1613" s="94"/>
      <c r="N1613" s="94"/>
      <c r="O1613" s="94"/>
      <c r="P1613" s="95">
        <v>1277488.72</v>
      </c>
      <c r="Q1613" s="94"/>
      <c r="R1613" s="94"/>
      <c r="S1613" s="94"/>
      <c r="T1613" s="94"/>
      <c r="U1613" s="94"/>
      <c r="V1613" s="94"/>
      <c r="W1613" s="94"/>
      <c r="X1613" s="94"/>
      <c r="Y1613" s="94"/>
      <c r="Z1613" s="94"/>
      <c r="AA1613" s="94"/>
      <c r="AB1613" s="94"/>
      <c r="AC1613" s="94"/>
      <c r="AD1613" s="95">
        <v>4869.18</v>
      </c>
      <c r="AE1613" s="94"/>
      <c r="AF1613" s="94"/>
      <c r="AG1613" s="95">
        <v>1282357.8999999999</v>
      </c>
      <c r="AH1613" s="95">
        <v>0</v>
      </c>
    </row>
    <row r="1614" spans="1:34" ht="15.75" thickBot="1" x14ac:dyDescent="0.3">
      <c r="A1614" s="90" t="s">
        <v>1018</v>
      </c>
      <c r="B1614" s="90" t="s">
        <v>35</v>
      </c>
      <c r="C1614" s="90" t="s">
        <v>36</v>
      </c>
      <c r="D1614" s="90" t="s">
        <v>28</v>
      </c>
      <c r="E1614" s="90" t="s">
        <v>196</v>
      </c>
      <c r="F1614" s="90" t="s">
        <v>697</v>
      </c>
      <c r="G1614" s="93">
        <v>1277488.72</v>
      </c>
      <c r="H1614" s="92"/>
      <c r="I1614" s="92"/>
      <c r="J1614" s="92"/>
      <c r="K1614" s="92"/>
      <c r="L1614" s="92"/>
      <c r="M1614" s="92"/>
      <c r="N1614" s="92"/>
      <c r="O1614" s="92"/>
      <c r="P1614" s="93">
        <v>1277488.72</v>
      </c>
      <c r="Q1614" s="92"/>
      <c r="R1614" s="92"/>
      <c r="S1614" s="92"/>
      <c r="T1614" s="92"/>
      <c r="U1614" s="92"/>
      <c r="V1614" s="92"/>
      <c r="W1614" s="92"/>
      <c r="X1614" s="92"/>
      <c r="Y1614" s="92"/>
      <c r="Z1614" s="92"/>
      <c r="AA1614" s="92"/>
      <c r="AB1614" s="92"/>
      <c r="AC1614" s="92"/>
      <c r="AD1614" s="93">
        <v>4869.18</v>
      </c>
      <c r="AE1614" s="92"/>
      <c r="AF1614" s="92"/>
      <c r="AG1614" s="93">
        <v>1282357.8999999999</v>
      </c>
      <c r="AH1614" s="93">
        <v>0</v>
      </c>
    </row>
    <row r="1615" spans="1:34" ht="15.75" thickBot="1" x14ac:dyDescent="0.3">
      <c r="A1615" s="90" t="s">
        <v>1018</v>
      </c>
      <c r="B1615" s="90" t="s">
        <v>35</v>
      </c>
      <c r="C1615" s="90" t="s">
        <v>36</v>
      </c>
      <c r="D1615" s="90" t="s">
        <v>28</v>
      </c>
      <c r="E1615" s="90" t="s">
        <v>674</v>
      </c>
      <c r="F1615" s="90" t="s">
        <v>686</v>
      </c>
      <c r="G1615" s="95">
        <v>-465.11</v>
      </c>
      <c r="H1615" s="94"/>
      <c r="I1615" s="94"/>
      <c r="J1615" s="94"/>
      <c r="K1615" s="94"/>
      <c r="L1615" s="94"/>
      <c r="M1615" s="94"/>
      <c r="N1615" s="94"/>
      <c r="O1615" s="94"/>
      <c r="P1615" s="94"/>
      <c r="Q1615" s="94"/>
      <c r="R1615" s="94"/>
      <c r="S1615" s="94"/>
      <c r="T1615" s="94"/>
      <c r="U1615" s="94"/>
      <c r="V1615" s="94"/>
      <c r="W1615" s="94"/>
      <c r="X1615" s="94"/>
      <c r="Y1615" s="95">
        <v>-465.11</v>
      </c>
      <c r="Z1615" s="94"/>
      <c r="AA1615" s="94"/>
      <c r="AB1615" s="94"/>
      <c r="AC1615" s="94"/>
      <c r="AD1615" s="95">
        <v>-3.15</v>
      </c>
      <c r="AE1615" s="94"/>
      <c r="AF1615" s="94"/>
      <c r="AG1615" s="95">
        <v>-468.26</v>
      </c>
      <c r="AH1615" s="95">
        <v>0</v>
      </c>
    </row>
    <row r="1616" spans="1:34" ht="15.75" thickBot="1" x14ac:dyDescent="0.3">
      <c r="A1616" s="90" t="s">
        <v>1018</v>
      </c>
      <c r="B1616" s="90" t="s">
        <v>35</v>
      </c>
      <c r="C1616" s="90" t="s">
        <v>36</v>
      </c>
      <c r="D1616" s="90" t="s">
        <v>28</v>
      </c>
      <c r="E1616" s="90" t="s">
        <v>674</v>
      </c>
      <c r="F1616" s="90" t="s">
        <v>697</v>
      </c>
      <c r="G1616" s="93">
        <v>-465.11</v>
      </c>
      <c r="H1616" s="92"/>
      <c r="I1616" s="92"/>
      <c r="J1616" s="92"/>
      <c r="K1616" s="92"/>
      <c r="L1616" s="92"/>
      <c r="M1616" s="92"/>
      <c r="N1616" s="92"/>
      <c r="O1616" s="92"/>
      <c r="P1616" s="92"/>
      <c r="Q1616" s="92"/>
      <c r="R1616" s="92"/>
      <c r="S1616" s="92"/>
      <c r="T1616" s="92"/>
      <c r="U1616" s="92"/>
      <c r="V1616" s="92"/>
      <c r="W1616" s="92"/>
      <c r="X1616" s="92"/>
      <c r="Y1616" s="93">
        <v>-465.11</v>
      </c>
      <c r="Z1616" s="92"/>
      <c r="AA1616" s="92"/>
      <c r="AB1616" s="92"/>
      <c r="AC1616" s="92"/>
      <c r="AD1616" s="93">
        <v>-3.15</v>
      </c>
      <c r="AE1616" s="92"/>
      <c r="AF1616" s="92"/>
      <c r="AG1616" s="93">
        <v>-468.26</v>
      </c>
      <c r="AH1616" s="93">
        <v>0</v>
      </c>
    </row>
    <row r="1617" spans="1:34" ht="15.75" thickBot="1" x14ac:dyDescent="0.3">
      <c r="A1617" s="90" t="s">
        <v>1018</v>
      </c>
      <c r="B1617" s="90" t="s">
        <v>37</v>
      </c>
      <c r="C1617" s="90" t="s">
        <v>38</v>
      </c>
      <c r="D1617" s="90" t="s">
        <v>20</v>
      </c>
      <c r="E1617" s="90" t="s">
        <v>528</v>
      </c>
      <c r="F1617" s="90" t="s">
        <v>686</v>
      </c>
      <c r="G1617" s="95">
        <v>13.5</v>
      </c>
      <c r="H1617" s="94"/>
      <c r="I1617" s="95">
        <v>13.5</v>
      </c>
      <c r="J1617" s="94"/>
      <c r="K1617" s="94"/>
      <c r="L1617" s="94"/>
      <c r="M1617" s="94"/>
      <c r="N1617" s="94"/>
      <c r="O1617" s="94"/>
      <c r="P1617" s="94"/>
      <c r="Q1617" s="94"/>
      <c r="R1617" s="94"/>
      <c r="S1617" s="94"/>
      <c r="T1617" s="94"/>
      <c r="U1617" s="94"/>
      <c r="V1617" s="94"/>
      <c r="W1617" s="94"/>
      <c r="X1617" s="94"/>
      <c r="Y1617" s="94"/>
      <c r="Z1617" s="94"/>
      <c r="AA1617" s="94"/>
      <c r="AB1617" s="94"/>
      <c r="AC1617" s="94"/>
      <c r="AD1617" s="95">
        <v>0</v>
      </c>
      <c r="AE1617" s="94"/>
      <c r="AF1617" s="94"/>
      <c r="AG1617" s="95">
        <v>13.5</v>
      </c>
      <c r="AH1617" s="95">
        <v>0</v>
      </c>
    </row>
    <row r="1618" spans="1:34" ht="15.75" thickBot="1" x14ac:dyDescent="0.3">
      <c r="A1618" s="90" t="s">
        <v>1018</v>
      </c>
      <c r="B1618" s="90" t="s">
        <v>37</v>
      </c>
      <c r="C1618" s="90" t="s">
        <v>38</v>
      </c>
      <c r="D1618" s="90" t="s">
        <v>20</v>
      </c>
      <c r="E1618" s="90" t="s">
        <v>528</v>
      </c>
      <c r="F1618" s="90" t="s">
        <v>697</v>
      </c>
      <c r="G1618" s="93">
        <v>13.5</v>
      </c>
      <c r="H1618" s="92"/>
      <c r="I1618" s="93">
        <v>13.5</v>
      </c>
      <c r="J1618" s="92"/>
      <c r="K1618" s="92"/>
      <c r="L1618" s="92"/>
      <c r="M1618" s="92"/>
      <c r="N1618" s="92"/>
      <c r="O1618" s="92"/>
      <c r="P1618" s="92"/>
      <c r="Q1618" s="92"/>
      <c r="R1618" s="92"/>
      <c r="S1618" s="92"/>
      <c r="T1618" s="92"/>
      <c r="U1618" s="92"/>
      <c r="V1618" s="92"/>
      <c r="W1618" s="92"/>
      <c r="X1618" s="92"/>
      <c r="Y1618" s="92"/>
      <c r="Z1618" s="92"/>
      <c r="AA1618" s="92"/>
      <c r="AB1618" s="92"/>
      <c r="AC1618" s="92"/>
      <c r="AD1618" s="93">
        <v>0</v>
      </c>
      <c r="AE1618" s="92"/>
      <c r="AF1618" s="92"/>
      <c r="AG1618" s="93">
        <v>13.5</v>
      </c>
      <c r="AH1618" s="93">
        <v>0</v>
      </c>
    </row>
    <row r="1619" spans="1:34" ht="15.75" thickBot="1" x14ac:dyDescent="0.3">
      <c r="A1619" s="90" t="s">
        <v>1018</v>
      </c>
      <c r="B1619" s="90" t="s">
        <v>37</v>
      </c>
      <c r="C1619" s="90" t="s">
        <v>38</v>
      </c>
      <c r="D1619" s="90" t="s">
        <v>20</v>
      </c>
      <c r="E1619" s="90" t="s">
        <v>518</v>
      </c>
      <c r="F1619" s="90" t="s">
        <v>686</v>
      </c>
      <c r="G1619" s="95">
        <v>28.12</v>
      </c>
      <c r="H1619" s="95">
        <v>98</v>
      </c>
      <c r="I1619" s="94"/>
      <c r="J1619" s="94"/>
      <c r="K1619" s="95">
        <v>28.12</v>
      </c>
      <c r="L1619" s="94"/>
      <c r="M1619" s="94"/>
      <c r="N1619" s="94"/>
      <c r="O1619" s="94"/>
      <c r="P1619" s="94"/>
      <c r="Q1619" s="94"/>
      <c r="R1619" s="94"/>
      <c r="S1619" s="94"/>
      <c r="T1619" s="94"/>
      <c r="U1619" s="94"/>
      <c r="V1619" s="94"/>
      <c r="W1619" s="94"/>
      <c r="X1619" s="94"/>
      <c r="Y1619" s="94"/>
      <c r="Z1619" s="94"/>
      <c r="AA1619" s="94"/>
      <c r="AB1619" s="94"/>
      <c r="AC1619" s="94"/>
      <c r="AD1619" s="95">
        <v>0</v>
      </c>
      <c r="AE1619" s="94"/>
      <c r="AF1619" s="94"/>
      <c r="AG1619" s="95">
        <v>28.12</v>
      </c>
      <c r="AH1619" s="95">
        <v>0</v>
      </c>
    </row>
    <row r="1620" spans="1:34" ht="15.75" thickBot="1" x14ac:dyDescent="0.3">
      <c r="A1620" s="90" t="s">
        <v>1018</v>
      </c>
      <c r="B1620" s="90" t="s">
        <v>37</v>
      </c>
      <c r="C1620" s="90" t="s">
        <v>38</v>
      </c>
      <c r="D1620" s="90" t="s">
        <v>20</v>
      </c>
      <c r="E1620" s="90" t="s">
        <v>518</v>
      </c>
      <c r="F1620" s="90" t="s">
        <v>697</v>
      </c>
      <c r="G1620" s="93">
        <v>28.12</v>
      </c>
      <c r="H1620" s="304">
        <v>98</v>
      </c>
      <c r="I1620" s="92"/>
      <c r="J1620" s="92"/>
      <c r="K1620" s="93">
        <v>28.12</v>
      </c>
      <c r="L1620" s="92"/>
      <c r="M1620" s="92"/>
      <c r="N1620" s="92"/>
      <c r="O1620" s="92"/>
      <c r="P1620" s="92"/>
      <c r="Q1620" s="92"/>
      <c r="R1620" s="92"/>
      <c r="S1620" s="92"/>
      <c r="T1620" s="92"/>
      <c r="U1620" s="92"/>
      <c r="V1620" s="92"/>
      <c r="W1620" s="92"/>
      <c r="X1620" s="92"/>
      <c r="Y1620" s="92"/>
      <c r="Z1620" s="92"/>
      <c r="AA1620" s="92"/>
      <c r="AB1620" s="92"/>
      <c r="AC1620" s="92"/>
      <c r="AD1620" s="93">
        <v>0</v>
      </c>
      <c r="AE1620" s="92"/>
      <c r="AF1620" s="92"/>
      <c r="AG1620" s="93">
        <v>28.12</v>
      </c>
      <c r="AH1620" s="93">
        <v>0</v>
      </c>
    </row>
    <row r="1621" spans="1:34" ht="15.75" thickBot="1" x14ac:dyDescent="0.3">
      <c r="A1621" s="90" t="s">
        <v>1018</v>
      </c>
      <c r="B1621" s="90" t="s">
        <v>37</v>
      </c>
      <c r="C1621" s="90" t="s">
        <v>38</v>
      </c>
      <c r="D1621" s="90" t="s">
        <v>20</v>
      </c>
      <c r="E1621" s="90" t="s">
        <v>727</v>
      </c>
      <c r="F1621" s="90" t="s">
        <v>686</v>
      </c>
      <c r="G1621" s="95">
        <v>1.06</v>
      </c>
      <c r="H1621" s="94"/>
      <c r="I1621" s="94"/>
      <c r="J1621" s="94"/>
      <c r="K1621" s="94"/>
      <c r="L1621" s="94"/>
      <c r="M1621" s="94"/>
      <c r="N1621" s="94"/>
      <c r="O1621" s="95">
        <v>1.06</v>
      </c>
      <c r="P1621" s="94"/>
      <c r="Q1621" s="94"/>
      <c r="R1621" s="94"/>
      <c r="S1621" s="94"/>
      <c r="T1621" s="94"/>
      <c r="U1621" s="94"/>
      <c r="V1621" s="94"/>
      <c r="W1621" s="94"/>
      <c r="X1621" s="94"/>
      <c r="Y1621" s="94"/>
      <c r="Z1621" s="94"/>
      <c r="AA1621" s="94"/>
      <c r="AB1621" s="94"/>
      <c r="AC1621" s="94"/>
      <c r="AD1621" s="95">
        <v>0</v>
      </c>
      <c r="AE1621" s="94"/>
      <c r="AF1621" s="94"/>
      <c r="AG1621" s="95">
        <v>1.06</v>
      </c>
      <c r="AH1621" s="95">
        <v>0</v>
      </c>
    </row>
    <row r="1622" spans="1:34" ht="15.75" thickBot="1" x14ac:dyDescent="0.3">
      <c r="A1622" s="90" t="s">
        <v>1018</v>
      </c>
      <c r="B1622" s="90" t="s">
        <v>37</v>
      </c>
      <c r="C1622" s="90" t="s">
        <v>38</v>
      </c>
      <c r="D1622" s="90" t="s">
        <v>20</v>
      </c>
      <c r="E1622" s="90" t="s">
        <v>727</v>
      </c>
      <c r="F1622" s="90" t="s">
        <v>697</v>
      </c>
      <c r="G1622" s="93">
        <v>1.06</v>
      </c>
      <c r="H1622" s="92"/>
      <c r="I1622" s="92"/>
      <c r="J1622" s="92"/>
      <c r="K1622" s="92"/>
      <c r="L1622" s="92"/>
      <c r="M1622" s="92"/>
      <c r="N1622" s="92"/>
      <c r="O1622" s="93">
        <v>1.06</v>
      </c>
      <c r="P1622" s="92"/>
      <c r="Q1622" s="92"/>
      <c r="R1622" s="92"/>
      <c r="S1622" s="92"/>
      <c r="T1622" s="92"/>
      <c r="U1622" s="92"/>
      <c r="V1622" s="92"/>
      <c r="W1622" s="92"/>
      <c r="X1622" s="92"/>
      <c r="Y1622" s="92"/>
      <c r="Z1622" s="92"/>
      <c r="AA1622" s="92"/>
      <c r="AB1622" s="92"/>
      <c r="AC1622" s="92"/>
      <c r="AD1622" s="93">
        <v>0</v>
      </c>
      <c r="AE1622" s="92"/>
      <c r="AF1622" s="92"/>
      <c r="AG1622" s="93">
        <v>1.06</v>
      </c>
      <c r="AH1622" s="93">
        <v>0</v>
      </c>
    </row>
    <row r="1623" spans="1:34" ht="15.75" thickBot="1" x14ac:dyDescent="0.3">
      <c r="A1623" s="90" t="s">
        <v>1018</v>
      </c>
      <c r="B1623" s="90" t="s">
        <v>37</v>
      </c>
      <c r="C1623" s="90" t="s">
        <v>38</v>
      </c>
      <c r="D1623" s="90" t="s">
        <v>20</v>
      </c>
      <c r="E1623" s="90" t="s">
        <v>673</v>
      </c>
      <c r="F1623" s="90" t="s">
        <v>686</v>
      </c>
      <c r="G1623" s="95">
        <v>5.14</v>
      </c>
      <c r="H1623" s="94"/>
      <c r="I1623" s="94"/>
      <c r="J1623" s="94"/>
      <c r="K1623" s="94"/>
      <c r="L1623" s="94"/>
      <c r="M1623" s="94"/>
      <c r="N1623" s="94"/>
      <c r="O1623" s="94"/>
      <c r="P1623" s="94"/>
      <c r="Q1623" s="94"/>
      <c r="R1623" s="94"/>
      <c r="S1623" s="94"/>
      <c r="T1623" s="94"/>
      <c r="U1623" s="94"/>
      <c r="V1623" s="94"/>
      <c r="W1623" s="94"/>
      <c r="X1623" s="95">
        <v>5.14</v>
      </c>
      <c r="Y1623" s="94"/>
      <c r="Z1623" s="94"/>
      <c r="AA1623" s="94"/>
      <c r="AB1623" s="94"/>
      <c r="AC1623" s="94"/>
      <c r="AD1623" s="95">
        <v>0</v>
      </c>
      <c r="AE1623" s="94"/>
      <c r="AF1623" s="94"/>
      <c r="AG1623" s="95">
        <v>5.14</v>
      </c>
      <c r="AH1623" s="95">
        <v>0</v>
      </c>
    </row>
    <row r="1624" spans="1:34" ht="15.75" thickBot="1" x14ac:dyDescent="0.3">
      <c r="A1624" s="90" t="s">
        <v>1018</v>
      </c>
      <c r="B1624" s="90" t="s">
        <v>37</v>
      </c>
      <c r="C1624" s="90" t="s">
        <v>38</v>
      </c>
      <c r="D1624" s="90" t="s">
        <v>20</v>
      </c>
      <c r="E1624" s="90" t="s">
        <v>673</v>
      </c>
      <c r="F1624" s="90" t="s">
        <v>697</v>
      </c>
      <c r="G1624" s="93">
        <v>5.14</v>
      </c>
      <c r="H1624" s="92"/>
      <c r="I1624" s="92"/>
      <c r="J1624" s="92"/>
      <c r="K1624" s="92"/>
      <c r="L1624" s="92"/>
      <c r="M1624" s="92"/>
      <c r="N1624" s="92"/>
      <c r="O1624" s="92"/>
      <c r="P1624" s="92"/>
      <c r="Q1624" s="92"/>
      <c r="R1624" s="92"/>
      <c r="S1624" s="92"/>
      <c r="T1624" s="92"/>
      <c r="U1624" s="92"/>
      <c r="V1624" s="92"/>
      <c r="W1624" s="92"/>
      <c r="X1624" s="93">
        <v>5.14</v>
      </c>
      <c r="Y1624" s="92"/>
      <c r="Z1624" s="92"/>
      <c r="AA1624" s="92"/>
      <c r="AB1624" s="92"/>
      <c r="AC1624" s="92"/>
      <c r="AD1624" s="93">
        <v>0</v>
      </c>
      <c r="AE1624" s="92"/>
      <c r="AF1624" s="92"/>
      <c r="AG1624" s="93">
        <v>5.14</v>
      </c>
      <c r="AH1624" s="93">
        <v>0</v>
      </c>
    </row>
    <row r="1625" spans="1:34" ht="15.75" thickBot="1" x14ac:dyDescent="0.3">
      <c r="A1625" s="90" t="s">
        <v>1018</v>
      </c>
      <c r="B1625" s="90" t="s">
        <v>37</v>
      </c>
      <c r="C1625" s="90" t="s">
        <v>38</v>
      </c>
      <c r="D1625" s="90" t="s">
        <v>20</v>
      </c>
      <c r="E1625" s="90" t="s">
        <v>196</v>
      </c>
      <c r="F1625" s="90" t="s">
        <v>686</v>
      </c>
      <c r="G1625" s="95">
        <v>34.43</v>
      </c>
      <c r="H1625" s="94"/>
      <c r="I1625" s="94"/>
      <c r="J1625" s="94"/>
      <c r="K1625" s="94"/>
      <c r="L1625" s="94"/>
      <c r="M1625" s="94"/>
      <c r="N1625" s="94"/>
      <c r="O1625" s="94"/>
      <c r="P1625" s="95">
        <v>34.43</v>
      </c>
      <c r="Q1625" s="94"/>
      <c r="R1625" s="94"/>
      <c r="S1625" s="94"/>
      <c r="T1625" s="94"/>
      <c r="U1625" s="94"/>
      <c r="V1625" s="94"/>
      <c r="W1625" s="94"/>
      <c r="X1625" s="94"/>
      <c r="Y1625" s="94"/>
      <c r="Z1625" s="94"/>
      <c r="AA1625" s="94"/>
      <c r="AB1625" s="94"/>
      <c r="AC1625" s="94"/>
      <c r="AD1625" s="95">
        <v>0</v>
      </c>
      <c r="AE1625" s="94"/>
      <c r="AF1625" s="94"/>
      <c r="AG1625" s="95">
        <v>34.43</v>
      </c>
      <c r="AH1625" s="95">
        <v>0</v>
      </c>
    </row>
    <row r="1626" spans="1:34" ht="15.75" thickBot="1" x14ac:dyDescent="0.3">
      <c r="A1626" s="90" t="s">
        <v>1018</v>
      </c>
      <c r="B1626" s="90" t="s">
        <v>37</v>
      </c>
      <c r="C1626" s="90" t="s">
        <v>38</v>
      </c>
      <c r="D1626" s="90" t="s">
        <v>20</v>
      </c>
      <c r="E1626" s="90" t="s">
        <v>196</v>
      </c>
      <c r="F1626" s="90" t="s">
        <v>697</v>
      </c>
      <c r="G1626" s="93">
        <v>34.43</v>
      </c>
      <c r="H1626" s="92"/>
      <c r="I1626" s="92"/>
      <c r="J1626" s="92"/>
      <c r="K1626" s="92"/>
      <c r="L1626" s="92"/>
      <c r="M1626" s="92"/>
      <c r="N1626" s="92"/>
      <c r="O1626" s="92"/>
      <c r="P1626" s="93">
        <v>34.43</v>
      </c>
      <c r="Q1626" s="92"/>
      <c r="R1626" s="92"/>
      <c r="S1626" s="92"/>
      <c r="T1626" s="92"/>
      <c r="U1626" s="92"/>
      <c r="V1626" s="92"/>
      <c r="W1626" s="92"/>
      <c r="X1626" s="92"/>
      <c r="Y1626" s="92"/>
      <c r="Z1626" s="92"/>
      <c r="AA1626" s="92"/>
      <c r="AB1626" s="92"/>
      <c r="AC1626" s="92"/>
      <c r="AD1626" s="93">
        <v>0</v>
      </c>
      <c r="AE1626" s="92"/>
      <c r="AF1626" s="92"/>
      <c r="AG1626" s="93">
        <v>34.43</v>
      </c>
      <c r="AH1626" s="93">
        <v>0</v>
      </c>
    </row>
    <row r="1627" spans="1:34" ht="15.75" thickBot="1" x14ac:dyDescent="0.3">
      <c r="A1627" s="90" t="s">
        <v>1018</v>
      </c>
      <c r="B1627" s="90" t="s">
        <v>37</v>
      </c>
      <c r="C1627" s="90" t="s">
        <v>38</v>
      </c>
      <c r="D1627" s="90" t="s">
        <v>28</v>
      </c>
      <c r="E1627" s="90" t="s">
        <v>528</v>
      </c>
      <c r="F1627" s="90" t="s">
        <v>686</v>
      </c>
      <c r="G1627" s="95">
        <v>27</v>
      </c>
      <c r="H1627" s="94"/>
      <c r="I1627" s="95">
        <v>27</v>
      </c>
      <c r="J1627" s="94"/>
      <c r="K1627" s="94"/>
      <c r="L1627" s="94"/>
      <c r="M1627" s="94"/>
      <c r="N1627" s="94"/>
      <c r="O1627" s="94"/>
      <c r="P1627" s="94"/>
      <c r="Q1627" s="94"/>
      <c r="R1627" s="94"/>
      <c r="S1627" s="94"/>
      <c r="T1627" s="94"/>
      <c r="U1627" s="94"/>
      <c r="V1627" s="94"/>
      <c r="W1627" s="94"/>
      <c r="X1627" s="94"/>
      <c r="Y1627" s="94"/>
      <c r="Z1627" s="94"/>
      <c r="AA1627" s="94"/>
      <c r="AB1627" s="94"/>
      <c r="AC1627" s="94"/>
      <c r="AD1627" s="95">
        <v>0</v>
      </c>
      <c r="AE1627" s="94"/>
      <c r="AF1627" s="94"/>
      <c r="AG1627" s="95">
        <v>27</v>
      </c>
      <c r="AH1627" s="95">
        <v>0</v>
      </c>
    </row>
    <row r="1628" spans="1:34" ht="15.75" thickBot="1" x14ac:dyDescent="0.3">
      <c r="A1628" s="90" t="s">
        <v>1018</v>
      </c>
      <c r="B1628" s="90" t="s">
        <v>37</v>
      </c>
      <c r="C1628" s="90" t="s">
        <v>38</v>
      </c>
      <c r="D1628" s="90" t="s">
        <v>28</v>
      </c>
      <c r="E1628" s="90" t="s">
        <v>528</v>
      </c>
      <c r="F1628" s="90" t="s">
        <v>697</v>
      </c>
      <c r="G1628" s="93">
        <v>27</v>
      </c>
      <c r="H1628" s="92"/>
      <c r="I1628" s="93">
        <v>27</v>
      </c>
      <c r="J1628" s="92"/>
      <c r="K1628" s="92"/>
      <c r="L1628" s="92"/>
      <c r="M1628" s="92"/>
      <c r="N1628" s="92"/>
      <c r="O1628" s="92"/>
      <c r="P1628" s="92"/>
      <c r="Q1628" s="92"/>
      <c r="R1628" s="92"/>
      <c r="S1628" s="92"/>
      <c r="T1628" s="92"/>
      <c r="U1628" s="92"/>
      <c r="V1628" s="92"/>
      <c r="W1628" s="92"/>
      <c r="X1628" s="92"/>
      <c r="Y1628" s="92"/>
      <c r="Z1628" s="92"/>
      <c r="AA1628" s="92"/>
      <c r="AB1628" s="92"/>
      <c r="AC1628" s="92"/>
      <c r="AD1628" s="93">
        <v>0</v>
      </c>
      <c r="AE1628" s="92"/>
      <c r="AF1628" s="92"/>
      <c r="AG1628" s="93">
        <v>27</v>
      </c>
      <c r="AH1628" s="93">
        <v>0</v>
      </c>
    </row>
    <row r="1629" spans="1:34" ht="15.75" thickBot="1" x14ac:dyDescent="0.3">
      <c r="A1629" s="90" t="s">
        <v>1018</v>
      </c>
      <c r="B1629" s="90" t="s">
        <v>37</v>
      </c>
      <c r="C1629" s="90" t="s">
        <v>38</v>
      </c>
      <c r="D1629" s="90" t="s">
        <v>28</v>
      </c>
      <c r="E1629" s="90" t="s">
        <v>518</v>
      </c>
      <c r="F1629" s="90" t="s">
        <v>686</v>
      </c>
      <c r="G1629" s="95">
        <v>51.93</v>
      </c>
      <c r="H1629" s="95">
        <v>181</v>
      </c>
      <c r="I1629" s="94"/>
      <c r="J1629" s="94"/>
      <c r="K1629" s="95">
        <v>51.93</v>
      </c>
      <c r="L1629" s="94"/>
      <c r="M1629" s="94"/>
      <c r="N1629" s="94"/>
      <c r="O1629" s="94"/>
      <c r="P1629" s="94"/>
      <c r="Q1629" s="94"/>
      <c r="R1629" s="94"/>
      <c r="S1629" s="94"/>
      <c r="T1629" s="94"/>
      <c r="U1629" s="94"/>
      <c r="V1629" s="94"/>
      <c r="W1629" s="94"/>
      <c r="X1629" s="94"/>
      <c r="Y1629" s="94"/>
      <c r="Z1629" s="94"/>
      <c r="AA1629" s="94"/>
      <c r="AB1629" s="94"/>
      <c r="AC1629" s="94"/>
      <c r="AD1629" s="95">
        <v>0</v>
      </c>
      <c r="AE1629" s="94"/>
      <c r="AF1629" s="94"/>
      <c r="AG1629" s="95">
        <v>51.93</v>
      </c>
      <c r="AH1629" s="95">
        <v>0</v>
      </c>
    </row>
    <row r="1630" spans="1:34" ht="15.75" thickBot="1" x14ac:dyDescent="0.3">
      <c r="A1630" s="90" t="s">
        <v>1018</v>
      </c>
      <c r="B1630" s="90" t="s">
        <v>37</v>
      </c>
      <c r="C1630" s="90" t="s">
        <v>38</v>
      </c>
      <c r="D1630" s="90" t="s">
        <v>28</v>
      </c>
      <c r="E1630" s="90" t="s">
        <v>518</v>
      </c>
      <c r="F1630" s="90" t="s">
        <v>697</v>
      </c>
      <c r="G1630" s="93">
        <v>51.93</v>
      </c>
      <c r="H1630" s="304">
        <v>181</v>
      </c>
      <c r="I1630" s="92"/>
      <c r="J1630" s="92"/>
      <c r="K1630" s="93">
        <v>51.93</v>
      </c>
      <c r="L1630" s="92"/>
      <c r="M1630" s="92"/>
      <c r="N1630" s="92"/>
      <c r="O1630" s="92"/>
      <c r="P1630" s="92"/>
      <c r="Q1630" s="92"/>
      <c r="R1630" s="92"/>
      <c r="S1630" s="92"/>
      <c r="T1630" s="92"/>
      <c r="U1630" s="92"/>
      <c r="V1630" s="92"/>
      <c r="W1630" s="92"/>
      <c r="X1630" s="92"/>
      <c r="Y1630" s="92"/>
      <c r="Z1630" s="92"/>
      <c r="AA1630" s="92"/>
      <c r="AB1630" s="92"/>
      <c r="AC1630" s="92"/>
      <c r="AD1630" s="93">
        <v>0</v>
      </c>
      <c r="AE1630" s="92"/>
      <c r="AF1630" s="92"/>
      <c r="AG1630" s="93">
        <v>51.93</v>
      </c>
      <c r="AH1630" s="93">
        <v>0</v>
      </c>
    </row>
    <row r="1631" spans="1:34" ht="15.75" thickBot="1" x14ac:dyDescent="0.3">
      <c r="A1631" s="90" t="s">
        <v>1018</v>
      </c>
      <c r="B1631" s="90" t="s">
        <v>37</v>
      </c>
      <c r="C1631" s="90" t="s">
        <v>38</v>
      </c>
      <c r="D1631" s="90" t="s">
        <v>28</v>
      </c>
      <c r="E1631" s="90" t="s">
        <v>727</v>
      </c>
      <c r="F1631" s="90" t="s">
        <v>686</v>
      </c>
      <c r="G1631" s="95">
        <v>1.96</v>
      </c>
      <c r="H1631" s="94"/>
      <c r="I1631" s="94"/>
      <c r="J1631" s="94"/>
      <c r="K1631" s="94"/>
      <c r="L1631" s="94"/>
      <c r="M1631" s="94"/>
      <c r="N1631" s="94"/>
      <c r="O1631" s="95">
        <v>1.96</v>
      </c>
      <c r="P1631" s="94"/>
      <c r="Q1631" s="94"/>
      <c r="R1631" s="94"/>
      <c r="S1631" s="94"/>
      <c r="T1631" s="94"/>
      <c r="U1631" s="94"/>
      <c r="V1631" s="94"/>
      <c r="W1631" s="94"/>
      <c r="X1631" s="94"/>
      <c r="Y1631" s="94"/>
      <c r="Z1631" s="94"/>
      <c r="AA1631" s="94"/>
      <c r="AB1631" s="94"/>
      <c r="AC1631" s="94"/>
      <c r="AD1631" s="95">
        <v>0</v>
      </c>
      <c r="AE1631" s="94"/>
      <c r="AF1631" s="94"/>
      <c r="AG1631" s="95">
        <v>1.96</v>
      </c>
      <c r="AH1631" s="95">
        <v>0</v>
      </c>
    </row>
    <row r="1632" spans="1:34" ht="15.75" thickBot="1" x14ac:dyDescent="0.3">
      <c r="A1632" s="90" t="s">
        <v>1018</v>
      </c>
      <c r="B1632" s="90" t="s">
        <v>37</v>
      </c>
      <c r="C1632" s="90" t="s">
        <v>38</v>
      </c>
      <c r="D1632" s="90" t="s">
        <v>28</v>
      </c>
      <c r="E1632" s="90" t="s">
        <v>727</v>
      </c>
      <c r="F1632" s="90" t="s">
        <v>697</v>
      </c>
      <c r="G1632" s="93">
        <v>1.96</v>
      </c>
      <c r="H1632" s="92"/>
      <c r="I1632" s="92"/>
      <c r="J1632" s="92"/>
      <c r="K1632" s="92"/>
      <c r="L1632" s="92"/>
      <c r="M1632" s="92"/>
      <c r="N1632" s="92"/>
      <c r="O1632" s="93">
        <v>1.96</v>
      </c>
      <c r="P1632" s="92"/>
      <c r="Q1632" s="92"/>
      <c r="R1632" s="92"/>
      <c r="S1632" s="92"/>
      <c r="T1632" s="92"/>
      <c r="U1632" s="92"/>
      <c r="V1632" s="92"/>
      <c r="W1632" s="92"/>
      <c r="X1632" s="92"/>
      <c r="Y1632" s="92"/>
      <c r="Z1632" s="92"/>
      <c r="AA1632" s="92"/>
      <c r="AB1632" s="92"/>
      <c r="AC1632" s="92"/>
      <c r="AD1632" s="93">
        <v>0</v>
      </c>
      <c r="AE1632" s="92"/>
      <c r="AF1632" s="92"/>
      <c r="AG1632" s="93">
        <v>1.96</v>
      </c>
      <c r="AH1632" s="93">
        <v>0</v>
      </c>
    </row>
    <row r="1633" spans="1:34" ht="15.75" thickBot="1" x14ac:dyDescent="0.3">
      <c r="A1633" s="90" t="s">
        <v>1018</v>
      </c>
      <c r="B1633" s="90" t="s">
        <v>37</v>
      </c>
      <c r="C1633" s="90" t="s">
        <v>38</v>
      </c>
      <c r="D1633" s="90" t="s">
        <v>28</v>
      </c>
      <c r="E1633" s="90" t="s">
        <v>673</v>
      </c>
      <c r="F1633" s="90" t="s">
        <v>686</v>
      </c>
      <c r="G1633" s="95">
        <v>10.28</v>
      </c>
      <c r="H1633" s="94"/>
      <c r="I1633" s="94"/>
      <c r="J1633" s="94"/>
      <c r="K1633" s="94"/>
      <c r="L1633" s="94"/>
      <c r="M1633" s="94"/>
      <c r="N1633" s="94"/>
      <c r="O1633" s="94"/>
      <c r="P1633" s="94"/>
      <c r="Q1633" s="94"/>
      <c r="R1633" s="94"/>
      <c r="S1633" s="94"/>
      <c r="T1633" s="94"/>
      <c r="U1633" s="94"/>
      <c r="V1633" s="94"/>
      <c r="W1633" s="94"/>
      <c r="X1633" s="95">
        <v>10.28</v>
      </c>
      <c r="Y1633" s="94"/>
      <c r="Z1633" s="94"/>
      <c r="AA1633" s="94"/>
      <c r="AB1633" s="94"/>
      <c r="AC1633" s="94"/>
      <c r="AD1633" s="95">
        <v>0</v>
      </c>
      <c r="AE1633" s="94"/>
      <c r="AF1633" s="94"/>
      <c r="AG1633" s="95">
        <v>10.28</v>
      </c>
      <c r="AH1633" s="95">
        <v>0</v>
      </c>
    </row>
    <row r="1634" spans="1:34" ht="15.75" thickBot="1" x14ac:dyDescent="0.3">
      <c r="A1634" s="90" t="s">
        <v>1018</v>
      </c>
      <c r="B1634" s="90" t="s">
        <v>37</v>
      </c>
      <c r="C1634" s="90" t="s">
        <v>38</v>
      </c>
      <c r="D1634" s="90" t="s">
        <v>28</v>
      </c>
      <c r="E1634" s="90" t="s">
        <v>673</v>
      </c>
      <c r="F1634" s="90" t="s">
        <v>697</v>
      </c>
      <c r="G1634" s="93">
        <v>10.28</v>
      </c>
      <c r="H1634" s="92"/>
      <c r="I1634" s="92"/>
      <c r="J1634" s="92"/>
      <c r="K1634" s="92"/>
      <c r="L1634" s="92"/>
      <c r="M1634" s="92"/>
      <c r="N1634" s="92"/>
      <c r="O1634" s="92"/>
      <c r="P1634" s="92"/>
      <c r="Q1634" s="92"/>
      <c r="R1634" s="92"/>
      <c r="S1634" s="92"/>
      <c r="T1634" s="92"/>
      <c r="U1634" s="92"/>
      <c r="V1634" s="92"/>
      <c r="W1634" s="92"/>
      <c r="X1634" s="93">
        <v>10.28</v>
      </c>
      <c r="Y1634" s="92"/>
      <c r="Z1634" s="92"/>
      <c r="AA1634" s="92"/>
      <c r="AB1634" s="92"/>
      <c r="AC1634" s="92"/>
      <c r="AD1634" s="93">
        <v>0</v>
      </c>
      <c r="AE1634" s="92"/>
      <c r="AF1634" s="92"/>
      <c r="AG1634" s="93">
        <v>10.28</v>
      </c>
      <c r="AH1634" s="93">
        <v>0</v>
      </c>
    </row>
    <row r="1635" spans="1:34" ht="15.75" thickBot="1" x14ac:dyDescent="0.3">
      <c r="A1635" s="90" t="s">
        <v>1018</v>
      </c>
      <c r="B1635" s="90" t="s">
        <v>37</v>
      </c>
      <c r="C1635" s="90" t="s">
        <v>38</v>
      </c>
      <c r="D1635" s="90" t="s">
        <v>28</v>
      </c>
      <c r="E1635" s="90" t="s">
        <v>196</v>
      </c>
      <c r="F1635" s="90" t="s">
        <v>686</v>
      </c>
      <c r="G1635" s="95">
        <v>63.58</v>
      </c>
      <c r="H1635" s="94"/>
      <c r="I1635" s="94"/>
      <c r="J1635" s="94"/>
      <c r="K1635" s="94"/>
      <c r="L1635" s="94"/>
      <c r="M1635" s="94"/>
      <c r="N1635" s="94"/>
      <c r="O1635" s="94"/>
      <c r="P1635" s="95">
        <v>63.58</v>
      </c>
      <c r="Q1635" s="94"/>
      <c r="R1635" s="94"/>
      <c r="S1635" s="94"/>
      <c r="T1635" s="94"/>
      <c r="U1635" s="94"/>
      <c r="V1635" s="94"/>
      <c r="W1635" s="94"/>
      <c r="X1635" s="94"/>
      <c r="Y1635" s="94"/>
      <c r="Z1635" s="94"/>
      <c r="AA1635" s="94"/>
      <c r="AB1635" s="94"/>
      <c r="AC1635" s="94"/>
      <c r="AD1635" s="95">
        <v>0</v>
      </c>
      <c r="AE1635" s="94"/>
      <c r="AF1635" s="94"/>
      <c r="AG1635" s="95">
        <v>63.58</v>
      </c>
      <c r="AH1635" s="95">
        <v>0</v>
      </c>
    </row>
    <row r="1636" spans="1:34" ht="15.75" thickBot="1" x14ac:dyDescent="0.3">
      <c r="A1636" s="90" t="s">
        <v>1018</v>
      </c>
      <c r="B1636" s="90" t="s">
        <v>37</v>
      </c>
      <c r="C1636" s="90" t="s">
        <v>38</v>
      </c>
      <c r="D1636" s="90" t="s">
        <v>28</v>
      </c>
      <c r="E1636" s="90" t="s">
        <v>196</v>
      </c>
      <c r="F1636" s="90" t="s">
        <v>697</v>
      </c>
      <c r="G1636" s="93">
        <v>63.58</v>
      </c>
      <c r="H1636" s="92"/>
      <c r="I1636" s="92"/>
      <c r="J1636" s="92"/>
      <c r="K1636" s="92"/>
      <c r="L1636" s="92"/>
      <c r="M1636" s="92"/>
      <c r="N1636" s="92"/>
      <c r="O1636" s="92"/>
      <c r="P1636" s="93">
        <v>63.58</v>
      </c>
      <c r="Q1636" s="92"/>
      <c r="R1636" s="92"/>
      <c r="S1636" s="92"/>
      <c r="T1636" s="92"/>
      <c r="U1636" s="92"/>
      <c r="V1636" s="92"/>
      <c r="W1636" s="92"/>
      <c r="X1636" s="92"/>
      <c r="Y1636" s="92"/>
      <c r="Z1636" s="92"/>
      <c r="AA1636" s="92"/>
      <c r="AB1636" s="92"/>
      <c r="AC1636" s="92"/>
      <c r="AD1636" s="93">
        <v>0</v>
      </c>
      <c r="AE1636" s="92"/>
      <c r="AF1636" s="92"/>
      <c r="AG1636" s="93">
        <v>63.58</v>
      </c>
      <c r="AH1636" s="93">
        <v>0</v>
      </c>
    </row>
    <row r="1637" spans="1:34" ht="15.75" thickBot="1" x14ac:dyDescent="0.3">
      <c r="A1637" s="90" t="s">
        <v>1018</v>
      </c>
      <c r="B1637" s="90" t="s">
        <v>29</v>
      </c>
      <c r="C1637" s="90" t="s">
        <v>30</v>
      </c>
      <c r="D1637" s="90" t="s">
        <v>17</v>
      </c>
      <c r="E1637" s="90" t="s">
        <v>726</v>
      </c>
      <c r="F1637" s="90" t="s">
        <v>686</v>
      </c>
      <c r="G1637" s="94"/>
      <c r="H1637" s="94"/>
      <c r="I1637" s="94"/>
      <c r="J1637" s="94"/>
      <c r="K1637" s="94"/>
      <c r="L1637" s="94"/>
      <c r="M1637" s="94"/>
      <c r="N1637" s="94"/>
      <c r="O1637" s="94"/>
      <c r="P1637" s="94"/>
      <c r="Q1637" s="94"/>
      <c r="R1637" s="94"/>
      <c r="S1637" s="94"/>
      <c r="T1637" s="94"/>
      <c r="U1637" s="94"/>
      <c r="V1637" s="94"/>
      <c r="W1637" s="94"/>
      <c r="X1637" s="94"/>
      <c r="Y1637" s="94"/>
      <c r="Z1637" s="94"/>
      <c r="AA1637" s="94"/>
      <c r="AB1637" s="94"/>
      <c r="AC1637" s="95">
        <v>2.44</v>
      </c>
      <c r="AD1637" s="95">
        <v>0.14000000000000001</v>
      </c>
      <c r="AE1637" s="94"/>
      <c r="AF1637" s="94"/>
      <c r="AG1637" s="95">
        <v>2.58</v>
      </c>
      <c r="AH1637" s="95">
        <v>0</v>
      </c>
    </row>
    <row r="1638" spans="1:34" ht="15.75" thickBot="1" x14ac:dyDescent="0.3">
      <c r="A1638" s="90" t="s">
        <v>1018</v>
      </c>
      <c r="B1638" s="90" t="s">
        <v>29</v>
      </c>
      <c r="C1638" s="90" t="s">
        <v>30</v>
      </c>
      <c r="D1638" s="90" t="s">
        <v>17</v>
      </c>
      <c r="E1638" s="90" t="s">
        <v>726</v>
      </c>
      <c r="F1638" s="90" t="s">
        <v>697</v>
      </c>
      <c r="G1638" s="92"/>
      <c r="H1638" s="92"/>
      <c r="I1638" s="92"/>
      <c r="J1638" s="92"/>
      <c r="K1638" s="92"/>
      <c r="L1638" s="92"/>
      <c r="M1638" s="92"/>
      <c r="N1638" s="92"/>
      <c r="O1638" s="92"/>
      <c r="P1638" s="92"/>
      <c r="Q1638" s="92"/>
      <c r="R1638" s="92"/>
      <c r="S1638" s="92"/>
      <c r="T1638" s="92"/>
      <c r="U1638" s="92"/>
      <c r="V1638" s="92"/>
      <c r="W1638" s="92"/>
      <c r="X1638" s="92"/>
      <c r="Y1638" s="92"/>
      <c r="Z1638" s="92"/>
      <c r="AA1638" s="92"/>
      <c r="AB1638" s="92"/>
      <c r="AC1638" s="93">
        <v>2.44</v>
      </c>
      <c r="AD1638" s="93">
        <v>0.14000000000000001</v>
      </c>
      <c r="AE1638" s="92"/>
      <c r="AF1638" s="92"/>
      <c r="AG1638" s="93">
        <v>2.58</v>
      </c>
      <c r="AH1638" s="93">
        <v>0</v>
      </c>
    </row>
    <row r="1639" spans="1:34" ht="15.75" thickBot="1" x14ac:dyDescent="0.3">
      <c r="A1639" s="90" t="s">
        <v>1018</v>
      </c>
      <c r="B1639" s="90" t="s">
        <v>29</v>
      </c>
      <c r="C1639" s="90" t="s">
        <v>30</v>
      </c>
      <c r="D1639" s="90" t="s">
        <v>17</v>
      </c>
      <c r="E1639" s="90" t="s">
        <v>528</v>
      </c>
      <c r="F1639" s="90" t="s">
        <v>686</v>
      </c>
      <c r="G1639" s="95">
        <v>24800</v>
      </c>
      <c r="H1639" s="94"/>
      <c r="I1639" s="95">
        <v>24800</v>
      </c>
      <c r="J1639" s="94"/>
      <c r="K1639" s="94"/>
      <c r="L1639" s="94"/>
      <c r="M1639" s="94"/>
      <c r="N1639" s="94"/>
      <c r="O1639" s="94"/>
      <c r="P1639" s="94"/>
      <c r="Q1639" s="94"/>
      <c r="R1639" s="94"/>
      <c r="S1639" s="94"/>
      <c r="T1639" s="94"/>
      <c r="U1639" s="94"/>
      <c r="V1639" s="94"/>
      <c r="W1639" s="94"/>
      <c r="X1639" s="94"/>
      <c r="Y1639" s="94"/>
      <c r="Z1639" s="94"/>
      <c r="AA1639" s="94"/>
      <c r="AB1639" s="94"/>
      <c r="AC1639" s="94"/>
      <c r="AD1639" s="95">
        <v>1571.18</v>
      </c>
      <c r="AE1639" s="94"/>
      <c r="AF1639" s="94"/>
      <c r="AG1639" s="95">
        <v>26371.18</v>
      </c>
      <c r="AH1639" s="95">
        <v>0</v>
      </c>
    </row>
    <row r="1640" spans="1:34" ht="15.75" thickBot="1" x14ac:dyDescent="0.3">
      <c r="A1640" s="90" t="s">
        <v>1018</v>
      </c>
      <c r="B1640" s="90" t="s">
        <v>29</v>
      </c>
      <c r="C1640" s="90" t="s">
        <v>30</v>
      </c>
      <c r="D1640" s="90" t="s">
        <v>17</v>
      </c>
      <c r="E1640" s="90" t="s">
        <v>528</v>
      </c>
      <c r="F1640" s="90" t="s">
        <v>697</v>
      </c>
      <c r="G1640" s="93">
        <v>24800</v>
      </c>
      <c r="H1640" s="92"/>
      <c r="I1640" s="93">
        <v>24800</v>
      </c>
      <c r="J1640" s="92"/>
      <c r="K1640" s="92"/>
      <c r="L1640" s="92"/>
      <c r="M1640" s="92"/>
      <c r="N1640" s="92"/>
      <c r="O1640" s="92"/>
      <c r="P1640" s="92"/>
      <c r="Q1640" s="92"/>
      <c r="R1640" s="92"/>
      <c r="S1640" s="92"/>
      <c r="T1640" s="92"/>
      <c r="U1640" s="92"/>
      <c r="V1640" s="92"/>
      <c r="W1640" s="92"/>
      <c r="X1640" s="92"/>
      <c r="Y1640" s="92"/>
      <c r="Z1640" s="92"/>
      <c r="AA1640" s="92"/>
      <c r="AB1640" s="92"/>
      <c r="AC1640" s="92"/>
      <c r="AD1640" s="93">
        <v>1571.18</v>
      </c>
      <c r="AE1640" s="92"/>
      <c r="AF1640" s="92"/>
      <c r="AG1640" s="93">
        <v>26371.18</v>
      </c>
      <c r="AH1640" s="93">
        <v>0</v>
      </c>
    </row>
    <row r="1641" spans="1:34" ht="15.75" thickBot="1" x14ac:dyDescent="0.3">
      <c r="A1641" s="90" t="s">
        <v>1018</v>
      </c>
      <c r="B1641" s="90" t="s">
        <v>29</v>
      </c>
      <c r="C1641" s="90" t="s">
        <v>30</v>
      </c>
      <c r="D1641" s="90" t="s">
        <v>17</v>
      </c>
      <c r="E1641" s="90" t="s">
        <v>518</v>
      </c>
      <c r="F1641" s="90" t="s">
        <v>686</v>
      </c>
      <c r="G1641" s="95">
        <v>134.77000000000001</v>
      </c>
      <c r="H1641" s="95">
        <v>613</v>
      </c>
      <c r="I1641" s="94"/>
      <c r="J1641" s="94"/>
      <c r="K1641" s="95">
        <v>134.77000000000001</v>
      </c>
      <c r="L1641" s="94"/>
      <c r="M1641" s="94"/>
      <c r="N1641" s="94"/>
      <c r="O1641" s="94"/>
      <c r="P1641" s="94"/>
      <c r="Q1641" s="94"/>
      <c r="R1641" s="94"/>
      <c r="S1641" s="94"/>
      <c r="T1641" s="94"/>
      <c r="U1641" s="94"/>
      <c r="V1641" s="94"/>
      <c r="W1641" s="94"/>
      <c r="X1641" s="94"/>
      <c r="Y1641" s="94"/>
      <c r="Z1641" s="94"/>
      <c r="AA1641" s="94"/>
      <c r="AB1641" s="94"/>
      <c r="AC1641" s="94"/>
      <c r="AD1641" s="95">
        <v>6.85</v>
      </c>
      <c r="AE1641" s="94"/>
      <c r="AF1641" s="94"/>
      <c r="AG1641" s="95">
        <v>141.62</v>
      </c>
      <c r="AH1641" s="95">
        <v>0</v>
      </c>
    </row>
    <row r="1642" spans="1:34" ht="15.75" thickBot="1" x14ac:dyDescent="0.3">
      <c r="A1642" s="90" t="s">
        <v>1018</v>
      </c>
      <c r="B1642" s="90" t="s">
        <v>29</v>
      </c>
      <c r="C1642" s="90" t="s">
        <v>30</v>
      </c>
      <c r="D1642" s="90" t="s">
        <v>17</v>
      </c>
      <c r="E1642" s="90" t="s">
        <v>518</v>
      </c>
      <c r="F1642" s="90" t="s">
        <v>697</v>
      </c>
      <c r="G1642" s="93">
        <v>134.77000000000001</v>
      </c>
      <c r="H1642" s="304">
        <v>613</v>
      </c>
      <c r="I1642" s="92"/>
      <c r="J1642" s="92"/>
      <c r="K1642" s="93">
        <v>134.77000000000001</v>
      </c>
      <c r="L1642" s="92"/>
      <c r="M1642" s="92"/>
      <c r="N1642" s="92"/>
      <c r="O1642" s="92"/>
      <c r="P1642" s="92"/>
      <c r="Q1642" s="92"/>
      <c r="R1642" s="92"/>
      <c r="S1642" s="92"/>
      <c r="T1642" s="92"/>
      <c r="U1642" s="92"/>
      <c r="V1642" s="92"/>
      <c r="W1642" s="92"/>
      <c r="X1642" s="92"/>
      <c r="Y1642" s="92"/>
      <c r="Z1642" s="92"/>
      <c r="AA1642" s="92"/>
      <c r="AB1642" s="92"/>
      <c r="AC1642" s="92"/>
      <c r="AD1642" s="93">
        <v>6.85</v>
      </c>
      <c r="AE1642" s="92"/>
      <c r="AF1642" s="92"/>
      <c r="AG1642" s="93">
        <v>141.62</v>
      </c>
      <c r="AH1642" s="93">
        <v>0</v>
      </c>
    </row>
    <row r="1643" spans="1:34" ht="15.75" thickBot="1" x14ac:dyDescent="0.3">
      <c r="A1643" s="90" t="s">
        <v>1018</v>
      </c>
      <c r="B1643" s="90" t="s">
        <v>29</v>
      </c>
      <c r="C1643" s="90" t="s">
        <v>30</v>
      </c>
      <c r="D1643" s="90" t="s">
        <v>17</v>
      </c>
      <c r="E1643" s="90" t="s">
        <v>196</v>
      </c>
      <c r="F1643" s="90" t="s">
        <v>686</v>
      </c>
      <c r="G1643" s="95">
        <v>214.55</v>
      </c>
      <c r="H1643" s="94"/>
      <c r="I1643" s="94"/>
      <c r="J1643" s="94"/>
      <c r="K1643" s="94"/>
      <c r="L1643" s="94"/>
      <c r="M1643" s="94"/>
      <c r="N1643" s="94"/>
      <c r="O1643" s="94"/>
      <c r="P1643" s="95">
        <v>214.55</v>
      </c>
      <c r="Q1643" s="94"/>
      <c r="R1643" s="94"/>
      <c r="S1643" s="94"/>
      <c r="T1643" s="94"/>
      <c r="U1643" s="94"/>
      <c r="V1643" s="94"/>
      <c r="W1643" s="94"/>
      <c r="X1643" s="94"/>
      <c r="Y1643" s="94"/>
      <c r="Z1643" s="94"/>
      <c r="AA1643" s="94"/>
      <c r="AB1643" s="94"/>
      <c r="AC1643" s="94"/>
      <c r="AD1643" s="95">
        <v>12.89</v>
      </c>
      <c r="AE1643" s="94"/>
      <c r="AF1643" s="94"/>
      <c r="AG1643" s="95">
        <v>227.44</v>
      </c>
      <c r="AH1643" s="95">
        <v>0</v>
      </c>
    </row>
    <row r="1644" spans="1:34" ht="15.75" thickBot="1" x14ac:dyDescent="0.3">
      <c r="A1644" s="90" t="s">
        <v>1018</v>
      </c>
      <c r="B1644" s="90" t="s">
        <v>29</v>
      </c>
      <c r="C1644" s="90" t="s">
        <v>30</v>
      </c>
      <c r="D1644" s="90" t="s">
        <v>17</v>
      </c>
      <c r="E1644" s="90" t="s">
        <v>196</v>
      </c>
      <c r="F1644" s="90" t="s">
        <v>697</v>
      </c>
      <c r="G1644" s="93">
        <v>214.55</v>
      </c>
      <c r="H1644" s="92"/>
      <c r="I1644" s="92"/>
      <c r="J1644" s="92"/>
      <c r="K1644" s="92"/>
      <c r="L1644" s="92"/>
      <c r="M1644" s="92"/>
      <c r="N1644" s="92"/>
      <c r="O1644" s="92"/>
      <c r="P1644" s="93">
        <v>214.55</v>
      </c>
      <c r="Q1644" s="92"/>
      <c r="R1644" s="92"/>
      <c r="S1644" s="92"/>
      <c r="T1644" s="92"/>
      <c r="U1644" s="92"/>
      <c r="V1644" s="92"/>
      <c r="W1644" s="92"/>
      <c r="X1644" s="92"/>
      <c r="Y1644" s="92"/>
      <c r="Z1644" s="92"/>
      <c r="AA1644" s="92"/>
      <c r="AB1644" s="92"/>
      <c r="AC1644" s="92"/>
      <c r="AD1644" s="93">
        <v>12.89</v>
      </c>
      <c r="AE1644" s="92"/>
      <c r="AF1644" s="92"/>
      <c r="AG1644" s="93">
        <v>227.44</v>
      </c>
      <c r="AH1644" s="93">
        <v>0</v>
      </c>
    </row>
    <row r="1645" spans="1:34" ht="15.75" thickBot="1" x14ac:dyDescent="0.3">
      <c r="A1645" s="90" t="s">
        <v>1046</v>
      </c>
      <c r="B1645" s="90" t="s">
        <v>26</v>
      </c>
      <c r="C1645" s="90" t="s">
        <v>875</v>
      </c>
      <c r="D1645" s="90" t="s">
        <v>17</v>
      </c>
      <c r="E1645" s="90" t="s">
        <v>919</v>
      </c>
      <c r="F1645" s="90" t="s">
        <v>686</v>
      </c>
      <c r="G1645" s="93">
        <v>-0.91</v>
      </c>
      <c r="H1645" s="92"/>
      <c r="I1645" s="93">
        <v>-0.91</v>
      </c>
      <c r="J1645" s="92"/>
      <c r="K1645" s="92"/>
      <c r="L1645" s="92"/>
      <c r="M1645" s="92"/>
      <c r="N1645" s="92"/>
      <c r="O1645" s="92"/>
      <c r="P1645" s="92"/>
      <c r="Q1645" s="92"/>
      <c r="R1645" s="92"/>
      <c r="S1645" s="92"/>
      <c r="T1645" s="92"/>
      <c r="U1645" s="92"/>
      <c r="V1645" s="92"/>
      <c r="W1645" s="92"/>
      <c r="X1645" s="92"/>
      <c r="Y1645" s="92"/>
      <c r="Z1645" s="92"/>
      <c r="AA1645" s="92"/>
      <c r="AB1645" s="92"/>
      <c r="AC1645" s="92"/>
      <c r="AD1645" s="93">
        <v>0</v>
      </c>
      <c r="AE1645" s="92"/>
      <c r="AF1645" s="92"/>
      <c r="AG1645" s="93">
        <v>-0.91</v>
      </c>
      <c r="AH1645" s="93">
        <v>0</v>
      </c>
    </row>
    <row r="1646" spans="1:34" ht="15.75" thickBot="1" x14ac:dyDescent="0.3">
      <c r="A1646" s="90" t="s">
        <v>1046</v>
      </c>
      <c r="B1646" s="90" t="s">
        <v>26</v>
      </c>
      <c r="C1646" s="90" t="s">
        <v>875</v>
      </c>
      <c r="D1646" s="90" t="s">
        <v>17</v>
      </c>
      <c r="E1646" s="90" t="s">
        <v>919</v>
      </c>
      <c r="F1646" s="90" t="s">
        <v>697</v>
      </c>
      <c r="G1646" s="95">
        <v>-0.91</v>
      </c>
      <c r="H1646" s="94"/>
      <c r="I1646" s="95">
        <v>-0.91</v>
      </c>
      <c r="J1646" s="94"/>
      <c r="K1646" s="94"/>
      <c r="L1646" s="94"/>
      <c r="M1646" s="94"/>
      <c r="N1646" s="94"/>
      <c r="O1646" s="94"/>
      <c r="P1646" s="94"/>
      <c r="Q1646" s="94"/>
      <c r="R1646" s="94"/>
      <c r="S1646" s="94"/>
      <c r="T1646" s="94"/>
      <c r="U1646" s="94"/>
      <c r="V1646" s="94"/>
      <c r="W1646" s="94"/>
      <c r="X1646" s="94"/>
      <c r="Y1646" s="94"/>
      <c r="Z1646" s="94"/>
      <c r="AA1646" s="94"/>
      <c r="AB1646" s="94"/>
      <c r="AC1646" s="94"/>
      <c r="AD1646" s="95">
        <v>0</v>
      </c>
      <c r="AE1646" s="94"/>
      <c r="AF1646" s="94"/>
      <c r="AG1646" s="95">
        <v>-0.91</v>
      </c>
      <c r="AH1646" s="95">
        <v>0</v>
      </c>
    </row>
    <row r="1647" spans="1:34" ht="15.75" thickBot="1" x14ac:dyDescent="0.3">
      <c r="A1647" s="90" t="s">
        <v>1046</v>
      </c>
      <c r="B1647" s="90" t="s">
        <v>26</v>
      </c>
      <c r="C1647" s="90" t="s">
        <v>875</v>
      </c>
      <c r="D1647" s="90" t="s">
        <v>17</v>
      </c>
      <c r="E1647" s="90" t="s">
        <v>726</v>
      </c>
      <c r="F1647" s="90" t="s">
        <v>686</v>
      </c>
      <c r="G1647" s="92"/>
      <c r="H1647" s="92"/>
      <c r="I1647" s="92"/>
      <c r="J1647" s="92"/>
      <c r="K1647" s="92"/>
      <c r="L1647" s="92"/>
      <c r="M1647" s="92"/>
      <c r="N1647" s="92"/>
      <c r="O1647" s="92"/>
      <c r="P1647" s="92"/>
      <c r="Q1647" s="92"/>
      <c r="R1647" s="92"/>
      <c r="S1647" s="92"/>
      <c r="T1647" s="92"/>
      <c r="U1647" s="92"/>
      <c r="V1647" s="92"/>
      <c r="W1647" s="92"/>
      <c r="X1647" s="92"/>
      <c r="Y1647" s="92"/>
      <c r="Z1647" s="92"/>
      <c r="AA1647" s="92"/>
      <c r="AB1647" s="92"/>
      <c r="AC1647" s="93">
        <v>1151.42</v>
      </c>
      <c r="AD1647" s="93">
        <v>62.41</v>
      </c>
      <c r="AE1647" s="92"/>
      <c r="AF1647" s="92"/>
      <c r="AG1647" s="93">
        <v>1213.83</v>
      </c>
      <c r="AH1647" s="93">
        <v>0</v>
      </c>
    </row>
    <row r="1648" spans="1:34" ht="15.75" thickBot="1" x14ac:dyDescent="0.3">
      <c r="A1648" s="90" t="s">
        <v>1046</v>
      </c>
      <c r="B1648" s="90" t="s">
        <v>26</v>
      </c>
      <c r="C1648" s="90" t="s">
        <v>875</v>
      </c>
      <c r="D1648" s="90" t="s">
        <v>17</v>
      </c>
      <c r="E1648" s="90" t="s">
        <v>726</v>
      </c>
      <c r="F1648" s="90" t="s">
        <v>697</v>
      </c>
      <c r="G1648" s="94"/>
      <c r="H1648" s="94"/>
      <c r="I1648" s="94"/>
      <c r="J1648" s="94"/>
      <c r="K1648" s="94"/>
      <c r="L1648" s="94"/>
      <c r="M1648" s="94"/>
      <c r="N1648" s="94"/>
      <c r="O1648" s="94"/>
      <c r="P1648" s="94"/>
      <c r="Q1648" s="94"/>
      <c r="R1648" s="94"/>
      <c r="S1648" s="94"/>
      <c r="T1648" s="94"/>
      <c r="U1648" s="94"/>
      <c r="V1648" s="94"/>
      <c r="W1648" s="94"/>
      <c r="X1648" s="94"/>
      <c r="Y1648" s="94"/>
      <c r="Z1648" s="94"/>
      <c r="AA1648" s="94"/>
      <c r="AB1648" s="94"/>
      <c r="AC1648" s="95">
        <v>1151.42</v>
      </c>
      <c r="AD1648" s="95">
        <v>62.41</v>
      </c>
      <c r="AE1648" s="94"/>
      <c r="AF1648" s="94"/>
      <c r="AG1648" s="95">
        <v>1213.83</v>
      </c>
      <c r="AH1648" s="95">
        <v>0</v>
      </c>
    </row>
    <row r="1649" spans="1:34" ht="15.75" thickBot="1" x14ac:dyDescent="0.3">
      <c r="A1649" s="90" t="s">
        <v>1046</v>
      </c>
      <c r="B1649" s="90" t="s">
        <v>26</v>
      </c>
      <c r="C1649" s="90" t="s">
        <v>875</v>
      </c>
      <c r="D1649" s="90" t="s">
        <v>17</v>
      </c>
      <c r="E1649" s="90" t="s">
        <v>528</v>
      </c>
      <c r="F1649" s="90" t="s">
        <v>686</v>
      </c>
      <c r="G1649" s="93">
        <v>1068122.3899999999</v>
      </c>
      <c r="H1649" s="92"/>
      <c r="I1649" s="93">
        <v>1068122.3899999999</v>
      </c>
      <c r="J1649" s="92"/>
      <c r="K1649" s="92"/>
      <c r="L1649" s="92"/>
      <c r="M1649" s="92"/>
      <c r="N1649" s="92"/>
      <c r="O1649" s="92"/>
      <c r="P1649" s="92"/>
      <c r="Q1649" s="92"/>
      <c r="R1649" s="92"/>
      <c r="S1649" s="92"/>
      <c r="T1649" s="92"/>
      <c r="U1649" s="92"/>
      <c r="V1649" s="92"/>
      <c r="W1649" s="92"/>
      <c r="X1649" s="92"/>
      <c r="Y1649" s="92"/>
      <c r="Z1649" s="92"/>
      <c r="AA1649" s="92"/>
      <c r="AB1649" s="92"/>
      <c r="AC1649" s="92"/>
      <c r="AD1649" s="93">
        <v>62352.11</v>
      </c>
      <c r="AE1649" s="92"/>
      <c r="AF1649" s="92"/>
      <c r="AG1649" s="93">
        <v>1130474.5</v>
      </c>
      <c r="AH1649" s="93">
        <v>0</v>
      </c>
    </row>
    <row r="1650" spans="1:34" ht="15.75" thickBot="1" x14ac:dyDescent="0.3">
      <c r="A1650" s="90" t="s">
        <v>1046</v>
      </c>
      <c r="B1650" s="90" t="s">
        <v>26</v>
      </c>
      <c r="C1650" s="90" t="s">
        <v>875</v>
      </c>
      <c r="D1650" s="90" t="s">
        <v>17</v>
      </c>
      <c r="E1650" s="90" t="s">
        <v>528</v>
      </c>
      <c r="F1650" s="90" t="s">
        <v>697</v>
      </c>
      <c r="G1650" s="95">
        <v>1068122.3899999999</v>
      </c>
      <c r="H1650" s="94"/>
      <c r="I1650" s="95">
        <v>1068122.3899999999</v>
      </c>
      <c r="J1650" s="94"/>
      <c r="K1650" s="94"/>
      <c r="L1650" s="94"/>
      <c r="M1650" s="94"/>
      <c r="N1650" s="94"/>
      <c r="O1650" s="94"/>
      <c r="P1650" s="94"/>
      <c r="Q1650" s="94"/>
      <c r="R1650" s="94"/>
      <c r="S1650" s="94"/>
      <c r="T1650" s="94"/>
      <c r="U1650" s="94"/>
      <c r="V1650" s="94"/>
      <c r="W1650" s="94"/>
      <c r="X1650" s="94"/>
      <c r="Y1650" s="94"/>
      <c r="Z1650" s="94"/>
      <c r="AA1650" s="94"/>
      <c r="AB1650" s="94"/>
      <c r="AC1650" s="94"/>
      <c r="AD1650" s="95">
        <v>62352.11</v>
      </c>
      <c r="AE1650" s="94"/>
      <c r="AF1650" s="94"/>
      <c r="AG1650" s="95">
        <v>1130474.5</v>
      </c>
      <c r="AH1650" s="95">
        <v>0</v>
      </c>
    </row>
    <row r="1651" spans="1:34" ht="15.75" thickBot="1" x14ac:dyDescent="0.3">
      <c r="A1651" s="90" t="s">
        <v>1046</v>
      </c>
      <c r="B1651" s="90" t="s">
        <v>26</v>
      </c>
      <c r="C1651" s="90" t="s">
        <v>875</v>
      </c>
      <c r="D1651" s="90" t="s">
        <v>17</v>
      </c>
      <c r="E1651" s="90" t="s">
        <v>518</v>
      </c>
      <c r="F1651" s="90" t="s">
        <v>686</v>
      </c>
      <c r="G1651" s="93">
        <v>484629.57</v>
      </c>
      <c r="H1651" s="93">
        <v>2420059</v>
      </c>
      <c r="I1651" s="92"/>
      <c r="J1651" s="92"/>
      <c r="K1651" s="93">
        <v>484629.57</v>
      </c>
      <c r="L1651" s="92"/>
      <c r="M1651" s="92"/>
      <c r="N1651" s="92"/>
      <c r="O1651" s="92"/>
      <c r="P1651" s="92"/>
      <c r="Q1651" s="92"/>
      <c r="R1651" s="92"/>
      <c r="S1651" s="92"/>
      <c r="T1651" s="92"/>
      <c r="U1651" s="92"/>
      <c r="V1651" s="92"/>
      <c r="W1651" s="92"/>
      <c r="X1651" s="92"/>
      <c r="Y1651" s="92"/>
      <c r="Z1651" s="92"/>
      <c r="AA1651" s="92"/>
      <c r="AB1651" s="92"/>
      <c r="AC1651" s="92"/>
      <c r="AD1651" s="93">
        <v>27332.1</v>
      </c>
      <c r="AE1651" s="92"/>
      <c r="AF1651" s="92"/>
      <c r="AG1651" s="93">
        <v>511961.67</v>
      </c>
      <c r="AH1651" s="93">
        <v>0</v>
      </c>
    </row>
    <row r="1652" spans="1:34" ht="15.75" thickBot="1" x14ac:dyDescent="0.3">
      <c r="A1652" s="90" t="s">
        <v>1046</v>
      </c>
      <c r="B1652" s="90" t="s">
        <v>26</v>
      </c>
      <c r="C1652" s="90" t="s">
        <v>875</v>
      </c>
      <c r="D1652" s="90" t="s">
        <v>17</v>
      </c>
      <c r="E1652" s="90" t="s">
        <v>518</v>
      </c>
      <c r="F1652" s="90" t="s">
        <v>697</v>
      </c>
      <c r="G1652" s="95">
        <v>484629.57</v>
      </c>
      <c r="H1652" s="305">
        <v>2420059</v>
      </c>
      <c r="I1652" s="94"/>
      <c r="J1652" s="94"/>
      <c r="K1652" s="95">
        <v>484629.57</v>
      </c>
      <c r="L1652" s="94"/>
      <c r="M1652" s="94"/>
      <c r="N1652" s="94"/>
      <c r="O1652" s="94"/>
      <c r="P1652" s="94"/>
      <c r="Q1652" s="94"/>
      <c r="R1652" s="94"/>
      <c r="S1652" s="94"/>
      <c r="T1652" s="94"/>
      <c r="U1652" s="94"/>
      <c r="V1652" s="94"/>
      <c r="W1652" s="94"/>
      <c r="X1652" s="94"/>
      <c r="Y1652" s="94"/>
      <c r="Z1652" s="94"/>
      <c r="AA1652" s="94"/>
      <c r="AB1652" s="94"/>
      <c r="AC1652" s="94"/>
      <c r="AD1652" s="95">
        <v>27332.1</v>
      </c>
      <c r="AE1652" s="94"/>
      <c r="AF1652" s="94"/>
      <c r="AG1652" s="95">
        <v>511961.67</v>
      </c>
      <c r="AH1652" s="95">
        <v>0</v>
      </c>
    </row>
    <row r="1653" spans="1:34" ht="15.75" thickBot="1" x14ac:dyDescent="0.3">
      <c r="A1653" s="90" t="s">
        <v>1046</v>
      </c>
      <c r="B1653" s="90" t="s">
        <v>26</v>
      </c>
      <c r="C1653" s="90" t="s">
        <v>875</v>
      </c>
      <c r="D1653" s="90" t="s">
        <v>17</v>
      </c>
      <c r="E1653" s="90" t="s">
        <v>727</v>
      </c>
      <c r="F1653" s="90" t="s">
        <v>686</v>
      </c>
      <c r="G1653" s="93">
        <v>1378.52</v>
      </c>
      <c r="H1653" s="92"/>
      <c r="I1653" s="92"/>
      <c r="J1653" s="92"/>
      <c r="K1653" s="92"/>
      <c r="L1653" s="92"/>
      <c r="M1653" s="92"/>
      <c r="N1653" s="92"/>
      <c r="O1653" s="93">
        <v>1378.52</v>
      </c>
      <c r="P1653" s="92"/>
      <c r="Q1653" s="92"/>
      <c r="R1653" s="92"/>
      <c r="S1653" s="92"/>
      <c r="T1653" s="92"/>
      <c r="U1653" s="92"/>
      <c r="V1653" s="92"/>
      <c r="W1653" s="92"/>
      <c r="X1653" s="92"/>
      <c r="Y1653" s="92"/>
      <c r="Z1653" s="92"/>
      <c r="AA1653" s="92"/>
      <c r="AB1653" s="92"/>
      <c r="AC1653" s="92"/>
      <c r="AD1653" s="93">
        <v>70.95</v>
      </c>
      <c r="AE1653" s="92"/>
      <c r="AF1653" s="92"/>
      <c r="AG1653" s="93">
        <v>1449.47</v>
      </c>
      <c r="AH1653" s="93">
        <v>0</v>
      </c>
    </row>
    <row r="1654" spans="1:34" ht="15.75" thickBot="1" x14ac:dyDescent="0.3">
      <c r="A1654" s="90" t="s">
        <v>1046</v>
      </c>
      <c r="B1654" s="90" t="s">
        <v>26</v>
      </c>
      <c r="C1654" s="90" t="s">
        <v>875</v>
      </c>
      <c r="D1654" s="90" t="s">
        <v>17</v>
      </c>
      <c r="E1654" s="90" t="s">
        <v>727</v>
      </c>
      <c r="F1654" s="90" t="s">
        <v>697</v>
      </c>
      <c r="G1654" s="95">
        <v>1378.52</v>
      </c>
      <c r="H1654" s="94"/>
      <c r="I1654" s="94"/>
      <c r="J1654" s="94"/>
      <c r="K1654" s="94"/>
      <c r="L1654" s="94"/>
      <c r="M1654" s="94"/>
      <c r="N1654" s="94"/>
      <c r="O1654" s="95">
        <v>1378.52</v>
      </c>
      <c r="P1654" s="94"/>
      <c r="Q1654" s="94"/>
      <c r="R1654" s="94"/>
      <c r="S1654" s="94"/>
      <c r="T1654" s="94"/>
      <c r="U1654" s="94"/>
      <c r="V1654" s="94"/>
      <c r="W1654" s="94"/>
      <c r="X1654" s="94"/>
      <c r="Y1654" s="94"/>
      <c r="Z1654" s="94"/>
      <c r="AA1654" s="94"/>
      <c r="AB1654" s="94"/>
      <c r="AC1654" s="94"/>
      <c r="AD1654" s="95">
        <v>70.95</v>
      </c>
      <c r="AE1654" s="94"/>
      <c r="AF1654" s="94"/>
      <c r="AG1654" s="95">
        <v>1449.47</v>
      </c>
      <c r="AH1654" s="95">
        <v>0</v>
      </c>
    </row>
    <row r="1655" spans="1:34" ht="15.75" thickBot="1" x14ac:dyDescent="0.3">
      <c r="A1655" s="90" t="s">
        <v>1046</v>
      </c>
      <c r="B1655" s="90" t="s">
        <v>26</v>
      </c>
      <c r="C1655" s="90" t="s">
        <v>875</v>
      </c>
      <c r="D1655" s="90" t="s">
        <v>17</v>
      </c>
      <c r="E1655" s="90" t="s">
        <v>673</v>
      </c>
      <c r="F1655" s="90" t="s">
        <v>686</v>
      </c>
      <c r="G1655" s="93">
        <v>648867.09</v>
      </c>
      <c r="H1655" s="92"/>
      <c r="I1655" s="92"/>
      <c r="J1655" s="92"/>
      <c r="K1655" s="92"/>
      <c r="L1655" s="92"/>
      <c r="M1655" s="92"/>
      <c r="N1655" s="92"/>
      <c r="O1655" s="92"/>
      <c r="P1655" s="92"/>
      <c r="Q1655" s="92"/>
      <c r="R1655" s="92"/>
      <c r="S1655" s="92"/>
      <c r="T1655" s="92"/>
      <c r="U1655" s="92"/>
      <c r="V1655" s="92"/>
      <c r="W1655" s="92"/>
      <c r="X1655" s="93">
        <v>648867.09</v>
      </c>
      <c r="Y1655" s="92"/>
      <c r="Z1655" s="92"/>
      <c r="AA1655" s="92"/>
      <c r="AB1655" s="92"/>
      <c r="AC1655" s="92"/>
      <c r="AD1655" s="93">
        <v>38643.300000000003</v>
      </c>
      <c r="AE1655" s="92"/>
      <c r="AF1655" s="92"/>
      <c r="AG1655" s="93">
        <v>687510.39</v>
      </c>
      <c r="AH1655" s="93">
        <v>0</v>
      </c>
    </row>
    <row r="1656" spans="1:34" ht="15.75" thickBot="1" x14ac:dyDescent="0.3">
      <c r="A1656" s="90" t="s">
        <v>1046</v>
      </c>
      <c r="B1656" s="90" t="s">
        <v>26</v>
      </c>
      <c r="C1656" s="90" t="s">
        <v>875</v>
      </c>
      <c r="D1656" s="90" t="s">
        <v>17</v>
      </c>
      <c r="E1656" s="90" t="s">
        <v>673</v>
      </c>
      <c r="F1656" s="90" t="s">
        <v>697</v>
      </c>
      <c r="G1656" s="95">
        <v>648867.09</v>
      </c>
      <c r="H1656" s="94"/>
      <c r="I1656" s="94"/>
      <c r="J1656" s="94"/>
      <c r="K1656" s="94"/>
      <c r="L1656" s="94"/>
      <c r="M1656" s="94"/>
      <c r="N1656" s="94"/>
      <c r="O1656" s="94"/>
      <c r="P1656" s="94"/>
      <c r="Q1656" s="94"/>
      <c r="R1656" s="94"/>
      <c r="S1656" s="94"/>
      <c r="T1656" s="94"/>
      <c r="U1656" s="94"/>
      <c r="V1656" s="94"/>
      <c r="W1656" s="94"/>
      <c r="X1656" s="95">
        <v>648867.09</v>
      </c>
      <c r="Y1656" s="94"/>
      <c r="Z1656" s="94"/>
      <c r="AA1656" s="94"/>
      <c r="AB1656" s="94"/>
      <c r="AC1656" s="94"/>
      <c r="AD1656" s="95">
        <v>38643.300000000003</v>
      </c>
      <c r="AE1656" s="94"/>
      <c r="AF1656" s="94"/>
      <c r="AG1656" s="95">
        <v>687510.39</v>
      </c>
      <c r="AH1656" s="95">
        <v>0</v>
      </c>
    </row>
    <row r="1657" spans="1:34" ht="15.75" thickBot="1" x14ac:dyDescent="0.3">
      <c r="A1657" s="90" t="s">
        <v>1046</v>
      </c>
      <c r="B1657" s="90" t="s">
        <v>26</v>
      </c>
      <c r="C1657" s="90" t="s">
        <v>875</v>
      </c>
      <c r="D1657" s="90" t="s">
        <v>17</v>
      </c>
      <c r="E1657" s="90" t="s">
        <v>196</v>
      </c>
      <c r="F1657" s="90" t="s">
        <v>686</v>
      </c>
      <c r="G1657" s="93">
        <v>891898.64</v>
      </c>
      <c r="H1657" s="92"/>
      <c r="I1657" s="92"/>
      <c r="J1657" s="92"/>
      <c r="K1657" s="92"/>
      <c r="L1657" s="92"/>
      <c r="M1657" s="92"/>
      <c r="N1657" s="92"/>
      <c r="O1657" s="92"/>
      <c r="P1657" s="93">
        <v>891898.64</v>
      </c>
      <c r="Q1657" s="92"/>
      <c r="R1657" s="92"/>
      <c r="S1657" s="92"/>
      <c r="T1657" s="92"/>
      <c r="U1657" s="92"/>
      <c r="V1657" s="92"/>
      <c r="W1657" s="92"/>
      <c r="X1657" s="92"/>
      <c r="Y1657" s="92"/>
      <c r="Z1657" s="92"/>
      <c r="AA1657" s="92"/>
      <c r="AB1657" s="92"/>
      <c r="AC1657" s="92"/>
      <c r="AD1657" s="93">
        <v>49918.77</v>
      </c>
      <c r="AE1657" s="92"/>
      <c r="AF1657" s="92"/>
      <c r="AG1657" s="93">
        <v>941817.41</v>
      </c>
      <c r="AH1657" s="93">
        <v>0</v>
      </c>
    </row>
    <row r="1658" spans="1:34" ht="15.75" thickBot="1" x14ac:dyDescent="0.3">
      <c r="A1658" s="90" t="s">
        <v>1046</v>
      </c>
      <c r="B1658" s="90" t="s">
        <v>26</v>
      </c>
      <c r="C1658" s="90" t="s">
        <v>875</v>
      </c>
      <c r="D1658" s="90" t="s">
        <v>17</v>
      </c>
      <c r="E1658" s="90" t="s">
        <v>196</v>
      </c>
      <c r="F1658" s="90" t="s">
        <v>697</v>
      </c>
      <c r="G1658" s="95">
        <v>891898.64</v>
      </c>
      <c r="H1658" s="94"/>
      <c r="I1658" s="94"/>
      <c r="J1658" s="94"/>
      <c r="K1658" s="94"/>
      <c r="L1658" s="94"/>
      <c r="M1658" s="94"/>
      <c r="N1658" s="94"/>
      <c r="O1658" s="94"/>
      <c r="P1658" s="95">
        <v>891898.64</v>
      </c>
      <c r="Q1658" s="94"/>
      <c r="R1658" s="94"/>
      <c r="S1658" s="94"/>
      <c r="T1658" s="94"/>
      <c r="U1658" s="94"/>
      <c r="V1658" s="94"/>
      <c r="W1658" s="94"/>
      <c r="X1658" s="94"/>
      <c r="Y1658" s="94"/>
      <c r="Z1658" s="94"/>
      <c r="AA1658" s="94"/>
      <c r="AB1658" s="94"/>
      <c r="AC1658" s="94"/>
      <c r="AD1658" s="95">
        <v>49918.77</v>
      </c>
      <c r="AE1658" s="94"/>
      <c r="AF1658" s="94"/>
      <c r="AG1658" s="95">
        <v>941817.41</v>
      </c>
      <c r="AH1658" s="95">
        <v>0</v>
      </c>
    </row>
    <row r="1659" spans="1:34" ht="15.75" thickBot="1" x14ac:dyDescent="0.3">
      <c r="A1659" s="90" t="s">
        <v>1046</v>
      </c>
      <c r="B1659" s="90" t="s">
        <v>26</v>
      </c>
      <c r="C1659" s="90" t="s">
        <v>875</v>
      </c>
      <c r="D1659" s="90" t="s">
        <v>17</v>
      </c>
      <c r="E1659" s="90" t="s">
        <v>674</v>
      </c>
      <c r="F1659" s="90" t="s">
        <v>686</v>
      </c>
      <c r="G1659" s="93">
        <v>-28.04</v>
      </c>
      <c r="H1659" s="92"/>
      <c r="I1659" s="92"/>
      <c r="J1659" s="92"/>
      <c r="K1659" s="92"/>
      <c r="L1659" s="92"/>
      <c r="M1659" s="92"/>
      <c r="N1659" s="92"/>
      <c r="O1659" s="92"/>
      <c r="P1659" s="92"/>
      <c r="Q1659" s="92"/>
      <c r="R1659" s="92"/>
      <c r="S1659" s="92"/>
      <c r="T1659" s="92"/>
      <c r="U1659" s="92"/>
      <c r="V1659" s="92"/>
      <c r="W1659" s="92"/>
      <c r="X1659" s="92"/>
      <c r="Y1659" s="93">
        <v>-28.04</v>
      </c>
      <c r="Z1659" s="92"/>
      <c r="AA1659" s="92"/>
      <c r="AB1659" s="92"/>
      <c r="AC1659" s="92"/>
      <c r="AD1659" s="93">
        <v>-2.34</v>
      </c>
      <c r="AE1659" s="92"/>
      <c r="AF1659" s="92"/>
      <c r="AG1659" s="93">
        <v>-30.38</v>
      </c>
      <c r="AH1659" s="93">
        <v>0</v>
      </c>
    </row>
    <row r="1660" spans="1:34" ht="15.75" thickBot="1" x14ac:dyDescent="0.3">
      <c r="A1660" s="90" t="s">
        <v>1046</v>
      </c>
      <c r="B1660" s="90" t="s">
        <v>26</v>
      </c>
      <c r="C1660" s="90" t="s">
        <v>875</v>
      </c>
      <c r="D1660" s="90" t="s">
        <v>17</v>
      </c>
      <c r="E1660" s="90" t="s">
        <v>674</v>
      </c>
      <c r="F1660" s="90" t="s">
        <v>697</v>
      </c>
      <c r="G1660" s="95">
        <v>-28.04</v>
      </c>
      <c r="H1660" s="94"/>
      <c r="I1660" s="94"/>
      <c r="J1660" s="94"/>
      <c r="K1660" s="94"/>
      <c r="L1660" s="94"/>
      <c r="M1660" s="94"/>
      <c r="N1660" s="94"/>
      <c r="O1660" s="94"/>
      <c r="P1660" s="94"/>
      <c r="Q1660" s="94"/>
      <c r="R1660" s="94"/>
      <c r="S1660" s="94"/>
      <c r="T1660" s="94"/>
      <c r="U1660" s="94"/>
      <c r="V1660" s="94"/>
      <c r="W1660" s="94"/>
      <c r="X1660" s="94"/>
      <c r="Y1660" s="95">
        <v>-28.04</v>
      </c>
      <c r="Z1660" s="94"/>
      <c r="AA1660" s="94"/>
      <c r="AB1660" s="94"/>
      <c r="AC1660" s="94"/>
      <c r="AD1660" s="95">
        <v>-2.34</v>
      </c>
      <c r="AE1660" s="94"/>
      <c r="AF1660" s="94"/>
      <c r="AG1660" s="95">
        <v>-30.38</v>
      </c>
      <c r="AH1660" s="95">
        <v>0</v>
      </c>
    </row>
    <row r="1661" spans="1:34" ht="15.75" thickBot="1" x14ac:dyDescent="0.3">
      <c r="A1661" s="90" t="s">
        <v>1046</v>
      </c>
      <c r="B1661" s="90" t="s">
        <v>26</v>
      </c>
      <c r="C1661" s="90" t="s">
        <v>875</v>
      </c>
      <c r="D1661" s="90" t="s">
        <v>20</v>
      </c>
      <c r="E1661" s="90" t="s">
        <v>726</v>
      </c>
      <c r="F1661" s="90" t="s">
        <v>686</v>
      </c>
      <c r="G1661" s="92"/>
      <c r="H1661" s="92"/>
      <c r="I1661" s="92"/>
      <c r="J1661" s="92"/>
      <c r="K1661" s="92"/>
      <c r="L1661" s="92"/>
      <c r="M1661" s="92"/>
      <c r="N1661" s="92"/>
      <c r="O1661" s="92"/>
      <c r="P1661" s="92"/>
      <c r="Q1661" s="92"/>
      <c r="R1661" s="92"/>
      <c r="S1661" s="92"/>
      <c r="T1661" s="92"/>
      <c r="U1661" s="92"/>
      <c r="V1661" s="92"/>
      <c r="W1661" s="92"/>
      <c r="X1661" s="92"/>
      <c r="Y1661" s="92"/>
      <c r="Z1661" s="92"/>
      <c r="AA1661" s="92"/>
      <c r="AB1661" s="92"/>
      <c r="AC1661" s="93">
        <v>122.33</v>
      </c>
      <c r="AD1661" s="93">
        <v>0</v>
      </c>
      <c r="AE1661" s="92"/>
      <c r="AF1661" s="92"/>
      <c r="AG1661" s="93">
        <v>122.33</v>
      </c>
      <c r="AH1661" s="93">
        <v>0</v>
      </c>
    </row>
    <row r="1662" spans="1:34" ht="15.75" thickBot="1" x14ac:dyDescent="0.3">
      <c r="A1662" s="90" t="s">
        <v>1046</v>
      </c>
      <c r="B1662" s="90" t="s">
        <v>26</v>
      </c>
      <c r="C1662" s="90" t="s">
        <v>875</v>
      </c>
      <c r="D1662" s="90" t="s">
        <v>20</v>
      </c>
      <c r="E1662" s="90" t="s">
        <v>726</v>
      </c>
      <c r="F1662" s="90" t="s">
        <v>697</v>
      </c>
      <c r="G1662" s="94"/>
      <c r="H1662" s="94"/>
      <c r="I1662" s="94"/>
      <c r="J1662" s="94"/>
      <c r="K1662" s="94"/>
      <c r="L1662" s="94"/>
      <c r="M1662" s="94"/>
      <c r="N1662" s="94"/>
      <c r="O1662" s="94"/>
      <c r="P1662" s="94"/>
      <c r="Q1662" s="94"/>
      <c r="R1662" s="94"/>
      <c r="S1662" s="94"/>
      <c r="T1662" s="94"/>
      <c r="U1662" s="94"/>
      <c r="V1662" s="94"/>
      <c r="W1662" s="94"/>
      <c r="X1662" s="94"/>
      <c r="Y1662" s="94"/>
      <c r="Z1662" s="94"/>
      <c r="AA1662" s="94"/>
      <c r="AB1662" s="94"/>
      <c r="AC1662" s="95">
        <v>122.33</v>
      </c>
      <c r="AD1662" s="95">
        <v>0</v>
      </c>
      <c r="AE1662" s="94"/>
      <c r="AF1662" s="94"/>
      <c r="AG1662" s="95">
        <v>122.33</v>
      </c>
      <c r="AH1662" s="95">
        <v>0</v>
      </c>
    </row>
    <row r="1663" spans="1:34" ht="15.75" thickBot="1" x14ac:dyDescent="0.3">
      <c r="A1663" s="90" t="s">
        <v>1046</v>
      </c>
      <c r="B1663" s="90" t="s">
        <v>26</v>
      </c>
      <c r="C1663" s="90" t="s">
        <v>875</v>
      </c>
      <c r="D1663" s="90" t="s">
        <v>20</v>
      </c>
      <c r="E1663" s="90" t="s">
        <v>528</v>
      </c>
      <c r="F1663" s="90" t="s">
        <v>686</v>
      </c>
      <c r="G1663" s="93">
        <v>85244</v>
      </c>
      <c r="H1663" s="92"/>
      <c r="I1663" s="93">
        <v>85244</v>
      </c>
      <c r="J1663" s="92"/>
      <c r="K1663" s="92"/>
      <c r="L1663" s="92"/>
      <c r="M1663" s="92"/>
      <c r="N1663" s="92"/>
      <c r="O1663" s="92"/>
      <c r="P1663" s="92"/>
      <c r="Q1663" s="92"/>
      <c r="R1663" s="92"/>
      <c r="S1663" s="92"/>
      <c r="T1663" s="92"/>
      <c r="U1663" s="92"/>
      <c r="V1663" s="92"/>
      <c r="W1663" s="92"/>
      <c r="X1663" s="92"/>
      <c r="Y1663" s="92"/>
      <c r="Z1663" s="92"/>
      <c r="AA1663" s="92"/>
      <c r="AB1663" s="92"/>
      <c r="AC1663" s="92"/>
      <c r="AD1663" s="93">
        <v>598.20000000000005</v>
      </c>
      <c r="AE1663" s="92"/>
      <c r="AF1663" s="92"/>
      <c r="AG1663" s="93">
        <v>85842.2</v>
      </c>
      <c r="AH1663" s="93">
        <v>0</v>
      </c>
    </row>
    <row r="1664" spans="1:34" ht="15.75" thickBot="1" x14ac:dyDescent="0.3">
      <c r="A1664" s="90" t="s">
        <v>1046</v>
      </c>
      <c r="B1664" s="90" t="s">
        <v>26</v>
      </c>
      <c r="C1664" s="90" t="s">
        <v>875</v>
      </c>
      <c r="D1664" s="90" t="s">
        <v>20</v>
      </c>
      <c r="E1664" s="90" t="s">
        <v>528</v>
      </c>
      <c r="F1664" s="90" t="s">
        <v>697</v>
      </c>
      <c r="G1664" s="95">
        <v>85244</v>
      </c>
      <c r="H1664" s="94"/>
      <c r="I1664" s="95">
        <v>85244</v>
      </c>
      <c r="J1664" s="94"/>
      <c r="K1664" s="94"/>
      <c r="L1664" s="94"/>
      <c r="M1664" s="94"/>
      <c r="N1664" s="94"/>
      <c r="O1664" s="94"/>
      <c r="P1664" s="94"/>
      <c r="Q1664" s="94"/>
      <c r="R1664" s="94"/>
      <c r="S1664" s="94"/>
      <c r="T1664" s="94"/>
      <c r="U1664" s="94"/>
      <c r="V1664" s="94"/>
      <c r="W1664" s="94"/>
      <c r="X1664" s="94"/>
      <c r="Y1664" s="94"/>
      <c r="Z1664" s="94"/>
      <c r="AA1664" s="94"/>
      <c r="AB1664" s="94"/>
      <c r="AC1664" s="94"/>
      <c r="AD1664" s="95">
        <v>598.20000000000005</v>
      </c>
      <c r="AE1664" s="94"/>
      <c r="AF1664" s="94"/>
      <c r="AG1664" s="95">
        <v>85842.2</v>
      </c>
      <c r="AH1664" s="95">
        <v>0</v>
      </c>
    </row>
    <row r="1665" spans="1:34" ht="15.75" thickBot="1" x14ac:dyDescent="0.3">
      <c r="A1665" s="90" t="s">
        <v>1046</v>
      </c>
      <c r="B1665" s="90" t="s">
        <v>26</v>
      </c>
      <c r="C1665" s="90" t="s">
        <v>875</v>
      </c>
      <c r="D1665" s="90" t="s">
        <v>20</v>
      </c>
      <c r="E1665" s="90" t="s">
        <v>518</v>
      </c>
      <c r="F1665" s="90" t="s">
        <v>686</v>
      </c>
      <c r="G1665" s="93">
        <v>47755.39</v>
      </c>
      <c r="H1665" s="93">
        <v>249800</v>
      </c>
      <c r="I1665" s="92"/>
      <c r="J1665" s="92"/>
      <c r="K1665" s="93">
        <v>47755.39</v>
      </c>
      <c r="L1665" s="92"/>
      <c r="M1665" s="92"/>
      <c r="N1665" s="92"/>
      <c r="O1665" s="92"/>
      <c r="P1665" s="92"/>
      <c r="Q1665" s="92"/>
      <c r="R1665" s="92"/>
      <c r="S1665" s="92"/>
      <c r="T1665" s="92"/>
      <c r="U1665" s="92"/>
      <c r="V1665" s="92"/>
      <c r="W1665" s="92"/>
      <c r="X1665" s="92"/>
      <c r="Y1665" s="92"/>
      <c r="Z1665" s="92"/>
      <c r="AA1665" s="92"/>
      <c r="AB1665" s="92"/>
      <c r="AC1665" s="92"/>
      <c r="AD1665" s="93">
        <v>273.93</v>
      </c>
      <c r="AE1665" s="92"/>
      <c r="AF1665" s="92"/>
      <c r="AG1665" s="93">
        <v>48029.32</v>
      </c>
      <c r="AH1665" s="93">
        <v>0</v>
      </c>
    </row>
    <row r="1666" spans="1:34" ht="15.75" thickBot="1" x14ac:dyDescent="0.3">
      <c r="A1666" s="90" t="s">
        <v>1046</v>
      </c>
      <c r="B1666" s="90" t="s">
        <v>26</v>
      </c>
      <c r="C1666" s="90" t="s">
        <v>875</v>
      </c>
      <c r="D1666" s="90" t="s">
        <v>20</v>
      </c>
      <c r="E1666" s="90" t="s">
        <v>518</v>
      </c>
      <c r="F1666" s="90" t="s">
        <v>697</v>
      </c>
      <c r="G1666" s="95">
        <v>47755.39</v>
      </c>
      <c r="H1666" s="305">
        <v>249800</v>
      </c>
      <c r="I1666" s="94"/>
      <c r="J1666" s="94"/>
      <c r="K1666" s="95">
        <v>47755.39</v>
      </c>
      <c r="L1666" s="94"/>
      <c r="M1666" s="94"/>
      <c r="N1666" s="94"/>
      <c r="O1666" s="94"/>
      <c r="P1666" s="94"/>
      <c r="Q1666" s="94"/>
      <c r="R1666" s="94"/>
      <c r="S1666" s="94"/>
      <c r="T1666" s="94"/>
      <c r="U1666" s="94"/>
      <c r="V1666" s="94"/>
      <c r="W1666" s="94"/>
      <c r="X1666" s="94"/>
      <c r="Y1666" s="94"/>
      <c r="Z1666" s="94"/>
      <c r="AA1666" s="94"/>
      <c r="AB1666" s="94"/>
      <c r="AC1666" s="94"/>
      <c r="AD1666" s="95">
        <v>273.93</v>
      </c>
      <c r="AE1666" s="94"/>
      <c r="AF1666" s="94"/>
      <c r="AG1666" s="95">
        <v>48029.32</v>
      </c>
      <c r="AH1666" s="95">
        <v>0</v>
      </c>
    </row>
    <row r="1667" spans="1:34" ht="15.75" thickBot="1" x14ac:dyDescent="0.3">
      <c r="A1667" s="90" t="s">
        <v>1046</v>
      </c>
      <c r="B1667" s="90" t="s">
        <v>26</v>
      </c>
      <c r="C1667" s="90" t="s">
        <v>875</v>
      </c>
      <c r="D1667" s="90" t="s">
        <v>20</v>
      </c>
      <c r="E1667" s="90" t="s">
        <v>727</v>
      </c>
      <c r="F1667" s="90" t="s">
        <v>686</v>
      </c>
      <c r="G1667" s="93">
        <v>141.94</v>
      </c>
      <c r="H1667" s="92"/>
      <c r="I1667" s="92"/>
      <c r="J1667" s="92"/>
      <c r="K1667" s="92"/>
      <c r="L1667" s="92"/>
      <c r="M1667" s="92"/>
      <c r="N1667" s="92"/>
      <c r="O1667" s="93">
        <v>141.94</v>
      </c>
      <c r="P1667" s="92"/>
      <c r="Q1667" s="92"/>
      <c r="R1667" s="92"/>
      <c r="S1667" s="92"/>
      <c r="T1667" s="92"/>
      <c r="U1667" s="92"/>
      <c r="V1667" s="92"/>
      <c r="W1667" s="92"/>
      <c r="X1667" s="92"/>
      <c r="Y1667" s="92"/>
      <c r="Z1667" s="92"/>
      <c r="AA1667" s="92"/>
      <c r="AB1667" s="92"/>
      <c r="AC1667" s="92"/>
      <c r="AD1667" s="93">
        <v>0.67</v>
      </c>
      <c r="AE1667" s="92"/>
      <c r="AF1667" s="92"/>
      <c r="AG1667" s="93">
        <v>142.61000000000001</v>
      </c>
      <c r="AH1667" s="93">
        <v>0</v>
      </c>
    </row>
    <row r="1668" spans="1:34" ht="15.75" thickBot="1" x14ac:dyDescent="0.3">
      <c r="A1668" s="90" t="s">
        <v>1046</v>
      </c>
      <c r="B1668" s="90" t="s">
        <v>26</v>
      </c>
      <c r="C1668" s="90" t="s">
        <v>875</v>
      </c>
      <c r="D1668" s="90" t="s">
        <v>20</v>
      </c>
      <c r="E1668" s="90" t="s">
        <v>727</v>
      </c>
      <c r="F1668" s="90" t="s">
        <v>697</v>
      </c>
      <c r="G1668" s="95">
        <v>141.94</v>
      </c>
      <c r="H1668" s="94"/>
      <c r="I1668" s="94"/>
      <c r="J1668" s="94"/>
      <c r="K1668" s="94"/>
      <c r="L1668" s="94"/>
      <c r="M1668" s="94"/>
      <c r="N1668" s="94"/>
      <c r="O1668" s="95">
        <v>141.94</v>
      </c>
      <c r="P1668" s="94"/>
      <c r="Q1668" s="94"/>
      <c r="R1668" s="94"/>
      <c r="S1668" s="94"/>
      <c r="T1668" s="94"/>
      <c r="U1668" s="94"/>
      <c r="V1668" s="94"/>
      <c r="W1668" s="94"/>
      <c r="X1668" s="94"/>
      <c r="Y1668" s="94"/>
      <c r="Z1668" s="94"/>
      <c r="AA1668" s="94"/>
      <c r="AB1668" s="94"/>
      <c r="AC1668" s="94"/>
      <c r="AD1668" s="95">
        <v>0.67</v>
      </c>
      <c r="AE1668" s="94"/>
      <c r="AF1668" s="94"/>
      <c r="AG1668" s="95">
        <v>142.61000000000001</v>
      </c>
      <c r="AH1668" s="95">
        <v>0</v>
      </c>
    </row>
    <row r="1669" spans="1:34" ht="15.75" thickBot="1" x14ac:dyDescent="0.3">
      <c r="A1669" s="90" t="s">
        <v>1046</v>
      </c>
      <c r="B1669" s="90" t="s">
        <v>26</v>
      </c>
      <c r="C1669" s="90" t="s">
        <v>875</v>
      </c>
      <c r="D1669" s="90" t="s">
        <v>20</v>
      </c>
      <c r="E1669" s="90" t="s">
        <v>673</v>
      </c>
      <c r="F1669" s="90" t="s">
        <v>686</v>
      </c>
      <c r="G1669" s="93">
        <v>31651.79</v>
      </c>
      <c r="H1669" s="92"/>
      <c r="I1669" s="92"/>
      <c r="J1669" s="92"/>
      <c r="K1669" s="92"/>
      <c r="L1669" s="92"/>
      <c r="M1669" s="92"/>
      <c r="N1669" s="92"/>
      <c r="O1669" s="92"/>
      <c r="P1669" s="92"/>
      <c r="Q1669" s="92"/>
      <c r="R1669" s="92"/>
      <c r="S1669" s="92"/>
      <c r="T1669" s="92"/>
      <c r="U1669" s="92"/>
      <c r="V1669" s="92"/>
      <c r="W1669" s="92"/>
      <c r="X1669" s="93">
        <v>31651.79</v>
      </c>
      <c r="Y1669" s="92"/>
      <c r="Z1669" s="92"/>
      <c r="AA1669" s="92"/>
      <c r="AB1669" s="92"/>
      <c r="AC1669" s="92"/>
      <c r="AD1669" s="93">
        <v>259.95999999999998</v>
      </c>
      <c r="AE1669" s="92"/>
      <c r="AF1669" s="92"/>
      <c r="AG1669" s="93">
        <v>31911.75</v>
      </c>
      <c r="AH1669" s="93">
        <v>0</v>
      </c>
    </row>
    <row r="1670" spans="1:34" ht="15.75" thickBot="1" x14ac:dyDescent="0.3">
      <c r="A1670" s="90" t="s">
        <v>1046</v>
      </c>
      <c r="B1670" s="90" t="s">
        <v>26</v>
      </c>
      <c r="C1670" s="90" t="s">
        <v>875</v>
      </c>
      <c r="D1670" s="90" t="s">
        <v>20</v>
      </c>
      <c r="E1670" s="90" t="s">
        <v>673</v>
      </c>
      <c r="F1670" s="90" t="s">
        <v>697</v>
      </c>
      <c r="G1670" s="95">
        <v>31651.79</v>
      </c>
      <c r="H1670" s="94"/>
      <c r="I1670" s="94"/>
      <c r="J1670" s="94"/>
      <c r="K1670" s="94"/>
      <c r="L1670" s="94"/>
      <c r="M1670" s="94"/>
      <c r="N1670" s="94"/>
      <c r="O1670" s="94"/>
      <c r="P1670" s="94"/>
      <c r="Q1670" s="94"/>
      <c r="R1670" s="94"/>
      <c r="S1670" s="94"/>
      <c r="T1670" s="94"/>
      <c r="U1670" s="94"/>
      <c r="V1670" s="94"/>
      <c r="W1670" s="94"/>
      <c r="X1670" s="95">
        <v>31651.79</v>
      </c>
      <c r="Y1670" s="94"/>
      <c r="Z1670" s="94"/>
      <c r="AA1670" s="94"/>
      <c r="AB1670" s="94"/>
      <c r="AC1670" s="94"/>
      <c r="AD1670" s="95">
        <v>259.95999999999998</v>
      </c>
      <c r="AE1670" s="94"/>
      <c r="AF1670" s="94"/>
      <c r="AG1670" s="95">
        <v>31911.75</v>
      </c>
      <c r="AH1670" s="95">
        <v>0</v>
      </c>
    </row>
    <row r="1671" spans="1:34" ht="15.75" thickBot="1" x14ac:dyDescent="0.3">
      <c r="A1671" s="90" t="s">
        <v>1046</v>
      </c>
      <c r="B1671" s="90" t="s">
        <v>26</v>
      </c>
      <c r="C1671" s="90" t="s">
        <v>875</v>
      </c>
      <c r="D1671" s="90" t="s">
        <v>20</v>
      </c>
      <c r="E1671" s="90" t="s">
        <v>196</v>
      </c>
      <c r="F1671" s="90" t="s">
        <v>686</v>
      </c>
      <c r="G1671" s="93">
        <v>91585.35</v>
      </c>
      <c r="H1671" s="92"/>
      <c r="I1671" s="92"/>
      <c r="J1671" s="92"/>
      <c r="K1671" s="92"/>
      <c r="L1671" s="92"/>
      <c r="M1671" s="92"/>
      <c r="N1671" s="92"/>
      <c r="O1671" s="92"/>
      <c r="P1671" s="93">
        <v>91585.35</v>
      </c>
      <c r="Q1671" s="92"/>
      <c r="R1671" s="92"/>
      <c r="S1671" s="92"/>
      <c r="T1671" s="92"/>
      <c r="U1671" s="92"/>
      <c r="V1671" s="92"/>
      <c r="W1671" s="92"/>
      <c r="X1671" s="92"/>
      <c r="Y1671" s="92"/>
      <c r="Z1671" s="92"/>
      <c r="AA1671" s="92"/>
      <c r="AB1671" s="92"/>
      <c r="AC1671" s="92"/>
      <c r="AD1671" s="93">
        <v>530.89</v>
      </c>
      <c r="AE1671" s="92"/>
      <c r="AF1671" s="92"/>
      <c r="AG1671" s="93">
        <v>92116.24</v>
      </c>
      <c r="AH1671" s="93">
        <v>0</v>
      </c>
    </row>
    <row r="1672" spans="1:34" ht="15.75" thickBot="1" x14ac:dyDescent="0.3">
      <c r="A1672" s="90" t="s">
        <v>1046</v>
      </c>
      <c r="B1672" s="90" t="s">
        <v>26</v>
      </c>
      <c r="C1672" s="90" t="s">
        <v>875</v>
      </c>
      <c r="D1672" s="90" t="s">
        <v>20</v>
      </c>
      <c r="E1672" s="90" t="s">
        <v>196</v>
      </c>
      <c r="F1672" s="90" t="s">
        <v>697</v>
      </c>
      <c r="G1672" s="95">
        <v>91585.35</v>
      </c>
      <c r="H1672" s="94"/>
      <c r="I1672" s="94"/>
      <c r="J1672" s="94"/>
      <c r="K1672" s="94"/>
      <c r="L1672" s="94"/>
      <c r="M1672" s="94"/>
      <c r="N1672" s="94"/>
      <c r="O1672" s="94"/>
      <c r="P1672" s="95">
        <v>91585.35</v>
      </c>
      <c r="Q1672" s="94"/>
      <c r="R1672" s="94"/>
      <c r="S1672" s="94"/>
      <c r="T1672" s="94"/>
      <c r="U1672" s="94"/>
      <c r="V1672" s="94"/>
      <c r="W1672" s="94"/>
      <c r="X1672" s="94"/>
      <c r="Y1672" s="94"/>
      <c r="Z1672" s="94"/>
      <c r="AA1672" s="94"/>
      <c r="AB1672" s="94"/>
      <c r="AC1672" s="94"/>
      <c r="AD1672" s="95">
        <v>530.89</v>
      </c>
      <c r="AE1672" s="94"/>
      <c r="AF1672" s="94"/>
      <c r="AG1672" s="95">
        <v>92116.24</v>
      </c>
      <c r="AH1672" s="95">
        <v>0</v>
      </c>
    </row>
    <row r="1673" spans="1:34" ht="15.75" thickBot="1" x14ac:dyDescent="0.3">
      <c r="A1673" s="90" t="s">
        <v>1046</v>
      </c>
      <c r="B1673" s="90" t="s">
        <v>26</v>
      </c>
      <c r="C1673" s="90" t="s">
        <v>875</v>
      </c>
      <c r="D1673" s="90" t="s">
        <v>20</v>
      </c>
      <c r="E1673" s="90" t="s">
        <v>674</v>
      </c>
      <c r="F1673" s="90" t="s">
        <v>686</v>
      </c>
      <c r="G1673" s="93">
        <v>134.04</v>
      </c>
      <c r="H1673" s="92"/>
      <c r="I1673" s="92"/>
      <c r="J1673" s="92"/>
      <c r="K1673" s="92"/>
      <c r="L1673" s="92"/>
      <c r="M1673" s="92"/>
      <c r="N1673" s="92"/>
      <c r="O1673" s="92"/>
      <c r="P1673" s="92"/>
      <c r="Q1673" s="92"/>
      <c r="R1673" s="92"/>
      <c r="S1673" s="92"/>
      <c r="T1673" s="92"/>
      <c r="U1673" s="92"/>
      <c r="V1673" s="92"/>
      <c r="W1673" s="92"/>
      <c r="X1673" s="92"/>
      <c r="Y1673" s="93">
        <v>134.04</v>
      </c>
      <c r="Z1673" s="92"/>
      <c r="AA1673" s="92"/>
      <c r="AB1673" s="92"/>
      <c r="AC1673" s="92"/>
      <c r="AD1673" s="93">
        <v>0</v>
      </c>
      <c r="AE1673" s="92"/>
      <c r="AF1673" s="92"/>
      <c r="AG1673" s="93">
        <v>134.04</v>
      </c>
      <c r="AH1673" s="93">
        <v>0</v>
      </c>
    </row>
    <row r="1674" spans="1:34" ht="15.75" thickBot="1" x14ac:dyDescent="0.3">
      <c r="A1674" s="90" t="s">
        <v>1046</v>
      </c>
      <c r="B1674" s="90" t="s">
        <v>26</v>
      </c>
      <c r="C1674" s="90" t="s">
        <v>875</v>
      </c>
      <c r="D1674" s="90" t="s">
        <v>20</v>
      </c>
      <c r="E1674" s="90" t="s">
        <v>674</v>
      </c>
      <c r="F1674" s="90" t="s">
        <v>697</v>
      </c>
      <c r="G1674" s="95">
        <v>134.04</v>
      </c>
      <c r="H1674" s="94"/>
      <c r="I1674" s="94"/>
      <c r="J1674" s="94"/>
      <c r="K1674" s="94"/>
      <c r="L1674" s="94"/>
      <c r="M1674" s="94"/>
      <c r="N1674" s="94"/>
      <c r="O1674" s="94"/>
      <c r="P1674" s="94"/>
      <c r="Q1674" s="94"/>
      <c r="R1674" s="94"/>
      <c r="S1674" s="94"/>
      <c r="T1674" s="94"/>
      <c r="U1674" s="94"/>
      <c r="V1674" s="94"/>
      <c r="W1674" s="94"/>
      <c r="X1674" s="94"/>
      <c r="Y1674" s="95">
        <v>134.04</v>
      </c>
      <c r="Z1674" s="94"/>
      <c r="AA1674" s="94"/>
      <c r="AB1674" s="94"/>
      <c r="AC1674" s="94"/>
      <c r="AD1674" s="95">
        <v>0</v>
      </c>
      <c r="AE1674" s="94"/>
      <c r="AF1674" s="94"/>
      <c r="AG1674" s="95">
        <v>134.04</v>
      </c>
      <c r="AH1674" s="95">
        <v>0</v>
      </c>
    </row>
    <row r="1675" spans="1:34" ht="15.75" thickBot="1" x14ac:dyDescent="0.3">
      <c r="A1675" s="90" t="s">
        <v>1046</v>
      </c>
      <c r="B1675" s="90" t="s">
        <v>26</v>
      </c>
      <c r="C1675" s="90" t="s">
        <v>875</v>
      </c>
      <c r="D1675" s="90" t="s">
        <v>28</v>
      </c>
      <c r="E1675" s="90" t="s">
        <v>528</v>
      </c>
      <c r="F1675" s="90" t="s">
        <v>686</v>
      </c>
      <c r="G1675" s="93">
        <v>480</v>
      </c>
      <c r="H1675" s="92"/>
      <c r="I1675" s="93">
        <v>480</v>
      </c>
      <c r="J1675" s="92"/>
      <c r="K1675" s="92"/>
      <c r="L1675" s="92"/>
      <c r="M1675" s="92"/>
      <c r="N1675" s="92"/>
      <c r="O1675" s="92"/>
      <c r="P1675" s="92"/>
      <c r="Q1675" s="92"/>
      <c r="R1675" s="92"/>
      <c r="S1675" s="92"/>
      <c r="T1675" s="92"/>
      <c r="U1675" s="92"/>
      <c r="V1675" s="92"/>
      <c r="W1675" s="92"/>
      <c r="X1675" s="92"/>
      <c r="Y1675" s="92"/>
      <c r="Z1675" s="92"/>
      <c r="AA1675" s="92"/>
      <c r="AB1675" s="92"/>
      <c r="AC1675" s="92"/>
      <c r="AD1675" s="93">
        <v>3.61</v>
      </c>
      <c r="AE1675" s="92"/>
      <c r="AF1675" s="92"/>
      <c r="AG1675" s="93">
        <v>483.61</v>
      </c>
      <c r="AH1675" s="93">
        <v>0</v>
      </c>
    </row>
    <row r="1676" spans="1:34" ht="15.75" thickBot="1" x14ac:dyDescent="0.3">
      <c r="A1676" s="90" t="s">
        <v>1046</v>
      </c>
      <c r="B1676" s="90" t="s">
        <v>26</v>
      </c>
      <c r="C1676" s="90" t="s">
        <v>875</v>
      </c>
      <c r="D1676" s="90" t="s">
        <v>28</v>
      </c>
      <c r="E1676" s="90" t="s">
        <v>528</v>
      </c>
      <c r="F1676" s="90" t="s">
        <v>697</v>
      </c>
      <c r="G1676" s="95">
        <v>480</v>
      </c>
      <c r="H1676" s="94"/>
      <c r="I1676" s="95">
        <v>480</v>
      </c>
      <c r="J1676" s="94"/>
      <c r="K1676" s="94"/>
      <c r="L1676" s="94"/>
      <c r="M1676" s="94"/>
      <c r="N1676" s="94"/>
      <c r="O1676" s="94"/>
      <c r="P1676" s="94"/>
      <c r="Q1676" s="94"/>
      <c r="R1676" s="94"/>
      <c r="S1676" s="94"/>
      <c r="T1676" s="94"/>
      <c r="U1676" s="94"/>
      <c r="V1676" s="94"/>
      <c r="W1676" s="94"/>
      <c r="X1676" s="94"/>
      <c r="Y1676" s="94"/>
      <c r="Z1676" s="94"/>
      <c r="AA1676" s="94"/>
      <c r="AB1676" s="94"/>
      <c r="AC1676" s="94"/>
      <c r="AD1676" s="95">
        <v>3.61</v>
      </c>
      <c r="AE1676" s="94"/>
      <c r="AF1676" s="94"/>
      <c r="AG1676" s="95">
        <v>483.61</v>
      </c>
      <c r="AH1676" s="95">
        <v>0</v>
      </c>
    </row>
    <row r="1677" spans="1:34" ht="15.75" thickBot="1" x14ac:dyDescent="0.3">
      <c r="A1677" s="90" t="s">
        <v>1046</v>
      </c>
      <c r="B1677" s="90" t="s">
        <v>26</v>
      </c>
      <c r="C1677" s="90" t="s">
        <v>875</v>
      </c>
      <c r="D1677" s="90" t="s">
        <v>28</v>
      </c>
      <c r="E1677" s="90" t="s">
        <v>518</v>
      </c>
      <c r="F1677" s="90" t="s">
        <v>686</v>
      </c>
      <c r="G1677" s="93">
        <v>254.83</v>
      </c>
      <c r="H1677" s="93">
        <v>1185</v>
      </c>
      <c r="I1677" s="92"/>
      <c r="J1677" s="92"/>
      <c r="K1677" s="93">
        <v>254.83</v>
      </c>
      <c r="L1677" s="92"/>
      <c r="M1677" s="92"/>
      <c r="N1677" s="92"/>
      <c r="O1677" s="92"/>
      <c r="P1677" s="92"/>
      <c r="Q1677" s="92"/>
      <c r="R1677" s="92"/>
      <c r="S1677" s="92"/>
      <c r="T1677" s="92"/>
      <c r="U1677" s="92"/>
      <c r="V1677" s="92"/>
      <c r="W1677" s="92"/>
      <c r="X1677" s="92"/>
      <c r="Y1677" s="92"/>
      <c r="Z1677" s="92"/>
      <c r="AA1677" s="92"/>
      <c r="AB1677" s="92"/>
      <c r="AC1677" s="92"/>
      <c r="AD1677" s="93">
        <v>0.68</v>
      </c>
      <c r="AE1677" s="92"/>
      <c r="AF1677" s="92"/>
      <c r="AG1677" s="93">
        <v>255.51</v>
      </c>
      <c r="AH1677" s="93">
        <v>0</v>
      </c>
    </row>
    <row r="1678" spans="1:34" ht="15.75" thickBot="1" x14ac:dyDescent="0.3">
      <c r="A1678" s="90" t="s">
        <v>1046</v>
      </c>
      <c r="B1678" s="90" t="s">
        <v>26</v>
      </c>
      <c r="C1678" s="90" t="s">
        <v>875</v>
      </c>
      <c r="D1678" s="90" t="s">
        <v>28</v>
      </c>
      <c r="E1678" s="90" t="s">
        <v>518</v>
      </c>
      <c r="F1678" s="90" t="s">
        <v>697</v>
      </c>
      <c r="G1678" s="95">
        <v>254.83</v>
      </c>
      <c r="H1678" s="305">
        <v>1185</v>
      </c>
      <c r="I1678" s="94"/>
      <c r="J1678" s="94"/>
      <c r="K1678" s="95">
        <v>254.83</v>
      </c>
      <c r="L1678" s="94"/>
      <c r="M1678" s="94"/>
      <c r="N1678" s="94"/>
      <c r="O1678" s="94"/>
      <c r="P1678" s="94"/>
      <c r="Q1678" s="94"/>
      <c r="R1678" s="94"/>
      <c r="S1678" s="94"/>
      <c r="T1678" s="94"/>
      <c r="U1678" s="94"/>
      <c r="V1678" s="94"/>
      <c r="W1678" s="94"/>
      <c r="X1678" s="94"/>
      <c r="Y1678" s="94"/>
      <c r="Z1678" s="94"/>
      <c r="AA1678" s="94"/>
      <c r="AB1678" s="94"/>
      <c r="AC1678" s="94"/>
      <c r="AD1678" s="95">
        <v>0.68</v>
      </c>
      <c r="AE1678" s="94"/>
      <c r="AF1678" s="94"/>
      <c r="AG1678" s="95">
        <v>255.51</v>
      </c>
      <c r="AH1678" s="95">
        <v>0</v>
      </c>
    </row>
    <row r="1679" spans="1:34" ht="15.75" thickBot="1" x14ac:dyDescent="0.3">
      <c r="A1679" s="90" t="s">
        <v>1046</v>
      </c>
      <c r="B1679" s="90" t="s">
        <v>26</v>
      </c>
      <c r="C1679" s="90" t="s">
        <v>875</v>
      </c>
      <c r="D1679" s="90" t="s">
        <v>28</v>
      </c>
      <c r="E1679" s="90" t="s">
        <v>727</v>
      </c>
      <c r="F1679" s="90" t="s">
        <v>686</v>
      </c>
      <c r="G1679" s="93">
        <v>0.67</v>
      </c>
      <c r="H1679" s="92"/>
      <c r="I1679" s="92"/>
      <c r="J1679" s="92"/>
      <c r="K1679" s="92"/>
      <c r="L1679" s="92"/>
      <c r="M1679" s="92"/>
      <c r="N1679" s="92"/>
      <c r="O1679" s="93">
        <v>0.67</v>
      </c>
      <c r="P1679" s="92"/>
      <c r="Q1679" s="92"/>
      <c r="R1679" s="92"/>
      <c r="S1679" s="92"/>
      <c r="T1679" s="92"/>
      <c r="U1679" s="92"/>
      <c r="V1679" s="92"/>
      <c r="W1679" s="92"/>
      <c r="X1679" s="92"/>
      <c r="Y1679" s="92"/>
      <c r="Z1679" s="92"/>
      <c r="AA1679" s="92"/>
      <c r="AB1679" s="92"/>
      <c r="AC1679" s="92"/>
      <c r="AD1679" s="93">
        <v>0</v>
      </c>
      <c r="AE1679" s="92"/>
      <c r="AF1679" s="92"/>
      <c r="AG1679" s="93">
        <v>0.67</v>
      </c>
      <c r="AH1679" s="93">
        <v>0</v>
      </c>
    </row>
    <row r="1680" spans="1:34" ht="15.75" thickBot="1" x14ac:dyDescent="0.3">
      <c r="A1680" s="90" t="s">
        <v>1046</v>
      </c>
      <c r="B1680" s="90" t="s">
        <v>26</v>
      </c>
      <c r="C1680" s="90" t="s">
        <v>875</v>
      </c>
      <c r="D1680" s="90" t="s">
        <v>28</v>
      </c>
      <c r="E1680" s="90" t="s">
        <v>727</v>
      </c>
      <c r="F1680" s="90" t="s">
        <v>697</v>
      </c>
      <c r="G1680" s="95">
        <v>0.67</v>
      </c>
      <c r="H1680" s="94"/>
      <c r="I1680" s="94"/>
      <c r="J1680" s="94"/>
      <c r="K1680" s="94"/>
      <c r="L1680" s="94"/>
      <c r="M1680" s="94"/>
      <c r="N1680" s="94"/>
      <c r="O1680" s="95">
        <v>0.67</v>
      </c>
      <c r="P1680" s="94"/>
      <c r="Q1680" s="94"/>
      <c r="R1680" s="94"/>
      <c r="S1680" s="94"/>
      <c r="T1680" s="94"/>
      <c r="U1680" s="94"/>
      <c r="V1680" s="94"/>
      <c r="W1680" s="94"/>
      <c r="X1680" s="94"/>
      <c r="Y1680" s="94"/>
      <c r="Z1680" s="94"/>
      <c r="AA1680" s="94"/>
      <c r="AB1680" s="94"/>
      <c r="AC1680" s="94"/>
      <c r="AD1680" s="95">
        <v>0</v>
      </c>
      <c r="AE1680" s="94"/>
      <c r="AF1680" s="94"/>
      <c r="AG1680" s="95">
        <v>0.67</v>
      </c>
      <c r="AH1680" s="95">
        <v>0</v>
      </c>
    </row>
    <row r="1681" spans="1:34" ht="15.75" thickBot="1" x14ac:dyDescent="0.3">
      <c r="A1681" s="90" t="s">
        <v>1046</v>
      </c>
      <c r="B1681" s="90" t="s">
        <v>26</v>
      </c>
      <c r="C1681" s="90" t="s">
        <v>875</v>
      </c>
      <c r="D1681" s="90" t="s">
        <v>28</v>
      </c>
      <c r="E1681" s="90" t="s">
        <v>673</v>
      </c>
      <c r="F1681" s="90" t="s">
        <v>686</v>
      </c>
      <c r="G1681" s="93">
        <v>328.92</v>
      </c>
      <c r="H1681" s="92"/>
      <c r="I1681" s="92"/>
      <c r="J1681" s="92"/>
      <c r="K1681" s="92"/>
      <c r="L1681" s="92"/>
      <c r="M1681" s="92"/>
      <c r="N1681" s="92"/>
      <c r="O1681" s="92"/>
      <c r="P1681" s="92"/>
      <c r="Q1681" s="92"/>
      <c r="R1681" s="92"/>
      <c r="S1681" s="92"/>
      <c r="T1681" s="92"/>
      <c r="U1681" s="92"/>
      <c r="V1681" s="92"/>
      <c r="W1681" s="92"/>
      <c r="X1681" s="93">
        <v>328.92</v>
      </c>
      <c r="Y1681" s="92"/>
      <c r="Z1681" s="92"/>
      <c r="AA1681" s="92"/>
      <c r="AB1681" s="92"/>
      <c r="AC1681" s="92"/>
      <c r="AD1681" s="93">
        <v>2.46</v>
      </c>
      <c r="AE1681" s="92"/>
      <c r="AF1681" s="92"/>
      <c r="AG1681" s="93">
        <v>331.38</v>
      </c>
      <c r="AH1681" s="93">
        <v>0</v>
      </c>
    </row>
    <row r="1682" spans="1:34" ht="15.75" thickBot="1" x14ac:dyDescent="0.3">
      <c r="A1682" s="90" t="s">
        <v>1046</v>
      </c>
      <c r="B1682" s="90" t="s">
        <v>26</v>
      </c>
      <c r="C1682" s="90" t="s">
        <v>875</v>
      </c>
      <c r="D1682" s="90" t="s">
        <v>28</v>
      </c>
      <c r="E1682" s="90" t="s">
        <v>673</v>
      </c>
      <c r="F1682" s="90" t="s">
        <v>697</v>
      </c>
      <c r="G1682" s="95">
        <v>328.92</v>
      </c>
      <c r="H1682" s="94"/>
      <c r="I1682" s="94"/>
      <c r="J1682" s="94"/>
      <c r="K1682" s="94"/>
      <c r="L1682" s="94"/>
      <c r="M1682" s="94"/>
      <c r="N1682" s="94"/>
      <c r="O1682" s="94"/>
      <c r="P1682" s="94"/>
      <c r="Q1682" s="94"/>
      <c r="R1682" s="94"/>
      <c r="S1682" s="94"/>
      <c r="T1682" s="94"/>
      <c r="U1682" s="94"/>
      <c r="V1682" s="94"/>
      <c r="W1682" s="94"/>
      <c r="X1682" s="95">
        <v>328.92</v>
      </c>
      <c r="Y1682" s="94"/>
      <c r="Z1682" s="94"/>
      <c r="AA1682" s="94"/>
      <c r="AB1682" s="94"/>
      <c r="AC1682" s="94"/>
      <c r="AD1682" s="95">
        <v>2.46</v>
      </c>
      <c r="AE1682" s="94"/>
      <c r="AF1682" s="94"/>
      <c r="AG1682" s="95">
        <v>331.38</v>
      </c>
      <c r="AH1682" s="95">
        <v>0</v>
      </c>
    </row>
    <row r="1683" spans="1:34" ht="15.75" thickBot="1" x14ac:dyDescent="0.3">
      <c r="A1683" s="90" t="s">
        <v>1046</v>
      </c>
      <c r="B1683" s="90" t="s">
        <v>26</v>
      </c>
      <c r="C1683" s="90" t="s">
        <v>875</v>
      </c>
      <c r="D1683" s="90" t="s">
        <v>28</v>
      </c>
      <c r="E1683" s="90" t="s">
        <v>196</v>
      </c>
      <c r="F1683" s="90" t="s">
        <v>686</v>
      </c>
      <c r="G1683" s="93">
        <v>432.01</v>
      </c>
      <c r="H1683" s="92"/>
      <c r="I1683" s="92"/>
      <c r="J1683" s="92"/>
      <c r="K1683" s="92"/>
      <c r="L1683" s="92"/>
      <c r="M1683" s="92"/>
      <c r="N1683" s="92"/>
      <c r="O1683" s="92"/>
      <c r="P1683" s="93">
        <v>432.01</v>
      </c>
      <c r="Q1683" s="92"/>
      <c r="R1683" s="92"/>
      <c r="S1683" s="92"/>
      <c r="T1683" s="92"/>
      <c r="U1683" s="92"/>
      <c r="V1683" s="92"/>
      <c r="W1683" s="92"/>
      <c r="X1683" s="92"/>
      <c r="Y1683" s="92"/>
      <c r="Z1683" s="92"/>
      <c r="AA1683" s="92"/>
      <c r="AB1683" s="92"/>
      <c r="AC1683" s="92"/>
      <c r="AD1683" s="93">
        <v>1.1499999999999999</v>
      </c>
      <c r="AE1683" s="92"/>
      <c r="AF1683" s="92"/>
      <c r="AG1683" s="93">
        <v>433.16</v>
      </c>
      <c r="AH1683" s="93">
        <v>0</v>
      </c>
    </row>
    <row r="1684" spans="1:34" ht="15.75" thickBot="1" x14ac:dyDescent="0.3">
      <c r="A1684" s="90" t="s">
        <v>1046</v>
      </c>
      <c r="B1684" s="90" t="s">
        <v>26</v>
      </c>
      <c r="C1684" s="90" t="s">
        <v>875</v>
      </c>
      <c r="D1684" s="90" t="s">
        <v>28</v>
      </c>
      <c r="E1684" s="90" t="s">
        <v>196</v>
      </c>
      <c r="F1684" s="90" t="s">
        <v>697</v>
      </c>
      <c r="G1684" s="95">
        <v>432.01</v>
      </c>
      <c r="H1684" s="94"/>
      <c r="I1684" s="94"/>
      <c r="J1684" s="94"/>
      <c r="K1684" s="94"/>
      <c r="L1684" s="94"/>
      <c r="M1684" s="94"/>
      <c r="N1684" s="94"/>
      <c r="O1684" s="94"/>
      <c r="P1684" s="95">
        <v>432.01</v>
      </c>
      <c r="Q1684" s="94"/>
      <c r="R1684" s="94"/>
      <c r="S1684" s="94"/>
      <c r="T1684" s="94"/>
      <c r="U1684" s="94"/>
      <c r="V1684" s="94"/>
      <c r="W1684" s="94"/>
      <c r="X1684" s="94"/>
      <c r="Y1684" s="94"/>
      <c r="Z1684" s="94"/>
      <c r="AA1684" s="94"/>
      <c r="AB1684" s="94"/>
      <c r="AC1684" s="94"/>
      <c r="AD1684" s="95">
        <v>1.1499999999999999</v>
      </c>
      <c r="AE1684" s="94"/>
      <c r="AF1684" s="94"/>
      <c r="AG1684" s="95">
        <v>433.16</v>
      </c>
      <c r="AH1684" s="95">
        <v>0</v>
      </c>
    </row>
    <row r="1685" spans="1:34" ht="15.75" thickBot="1" x14ac:dyDescent="0.3">
      <c r="A1685" s="90" t="s">
        <v>1046</v>
      </c>
      <c r="B1685" s="90" t="s">
        <v>707</v>
      </c>
      <c r="C1685" s="90" t="s">
        <v>876</v>
      </c>
      <c r="D1685" s="90" t="s">
        <v>17</v>
      </c>
      <c r="E1685" s="90" t="s">
        <v>528</v>
      </c>
      <c r="F1685" s="90" t="s">
        <v>686</v>
      </c>
      <c r="G1685" s="93">
        <v>40</v>
      </c>
      <c r="H1685" s="92"/>
      <c r="I1685" s="93">
        <v>40</v>
      </c>
      <c r="J1685" s="92"/>
      <c r="K1685" s="92"/>
      <c r="L1685" s="92"/>
      <c r="M1685" s="92"/>
      <c r="N1685" s="92"/>
      <c r="O1685" s="92"/>
      <c r="P1685" s="92"/>
      <c r="Q1685" s="92"/>
      <c r="R1685" s="92"/>
      <c r="S1685" s="92"/>
      <c r="T1685" s="92"/>
      <c r="U1685" s="92"/>
      <c r="V1685" s="92"/>
      <c r="W1685" s="92"/>
      <c r="X1685" s="92"/>
      <c r="Y1685" s="92"/>
      <c r="Z1685" s="92"/>
      <c r="AA1685" s="92"/>
      <c r="AB1685" s="92"/>
      <c r="AC1685" s="92"/>
      <c r="AD1685" s="93">
        <v>2.41</v>
      </c>
      <c r="AE1685" s="92"/>
      <c r="AF1685" s="92"/>
      <c r="AG1685" s="93">
        <v>42.41</v>
      </c>
      <c r="AH1685" s="93">
        <v>0</v>
      </c>
    </row>
    <row r="1686" spans="1:34" ht="15.75" thickBot="1" x14ac:dyDescent="0.3">
      <c r="A1686" s="90" t="s">
        <v>1046</v>
      </c>
      <c r="B1686" s="90" t="s">
        <v>707</v>
      </c>
      <c r="C1686" s="90" t="s">
        <v>876</v>
      </c>
      <c r="D1686" s="90" t="s">
        <v>17</v>
      </c>
      <c r="E1686" s="90" t="s">
        <v>528</v>
      </c>
      <c r="F1686" s="90" t="s">
        <v>697</v>
      </c>
      <c r="G1686" s="95">
        <v>40</v>
      </c>
      <c r="H1686" s="94"/>
      <c r="I1686" s="95">
        <v>40</v>
      </c>
      <c r="J1686" s="94"/>
      <c r="K1686" s="94"/>
      <c r="L1686" s="94"/>
      <c r="M1686" s="94"/>
      <c r="N1686" s="94"/>
      <c r="O1686" s="94"/>
      <c r="P1686" s="94"/>
      <c r="Q1686" s="94"/>
      <c r="R1686" s="94"/>
      <c r="S1686" s="94"/>
      <c r="T1686" s="94"/>
      <c r="U1686" s="94"/>
      <c r="V1686" s="94"/>
      <c r="W1686" s="94"/>
      <c r="X1686" s="94"/>
      <c r="Y1686" s="94"/>
      <c r="Z1686" s="94"/>
      <c r="AA1686" s="94"/>
      <c r="AB1686" s="94"/>
      <c r="AC1686" s="94"/>
      <c r="AD1686" s="95">
        <v>2.41</v>
      </c>
      <c r="AE1686" s="94"/>
      <c r="AF1686" s="94"/>
      <c r="AG1686" s="95">
        <v>42.41</v>
      </c>
      <c r="AH1686" s="95">
        <v>0</v>
      </c>
    </row>
    <row r="1687" spans="1:34" ht="15.75" thickBot="1" x14ac:dyDescent="0.3">
      <c r="A1687" s="90" t="s">
        <v>1046</v>
      </c>
      <c r="B1687" s="90" t="s">
        <v>707</v>
      </c>
      <c r="C1687" s="90" t="s">
        <v>876</v>
      </c>
      <c r="D1687" s="90" t="s">
        <v>17</v>
      </c>
      <c r="E1687" s="90" t="s">
        <v>518</v>
      </c>
      <c r="F1687" s="90" t="s">
        <v>686</v>
      </c>
      <c r="G1687" s="93">
        <v>59.35</v>
      </c>
      <c r="H1687" s="93">
        <v>276</v>
      </c>
      <c r="I1687" s="92"/>
      <c r="J1687" s="92"/>
      <c r="K1687" s="93">
        <v>59.35</v>
      </c>
      <c r="L1687" s="92"/>
      <c r="M1687" s="92"/>
      <c r="N1687" s="92"/>
      <c r="O1687" s="92"/>
      <c r="P1687" s="92"/>
      <c r="Q1687" s="92"/>
      <c r="R1687" s="92"/>
      <c r="S1687" s="92"/>
      <c r="T1687" s="92"/>
      <c r="U1687" s="92"/>
      <c r="V1687" s="92"/>
      <c r="W1687" s="92"/>
      <c r="X1687" s="92"/>
      <c r="Y1687" s="92"/>
      <c r="Z1687" s="92"/>
      <c r="AA1687" s="92"/>
      <c r="AB1687" s="92"/>
      <c r="AC1687" s="92"/>
      <c r="AD1687" s="93">
        <v>3.56</v>
      </c>
      <c r="AE1687" s="92"/>
      <c r="AF1687" s="92"/>
      <c r="AG1687" s="93">
        <v>62.91</v>
      </c>
      <c r="AH1687" s="93">
        <v>0</v>
      </c>
    </row>
    <row r="1688" spans="1:34" ht="15.75" thickBot="1" x14ac:dyDescent="0.3">
      <c r="A1688" s="90" t="s">
        <v>1046</v>
      </c>
      <c r="B1688" s="90" t="s">
        <v>707</v>
      </c>
      <c r="C1688" s="90" t="s">
        <v>876</v>
      </c>
      <c r="D1688" s="90" t="s">
        <v>17</v>
      </c>
      <c r="E1688" s="90" t="s">
        <v>518</v>
      </c>
      <c r="F1688" s="90" t="s">
        <v>697</v>
      </c>
      <c r="G1688" s="95">
        <v>59.35</v>
      </c>
      <c r="H1688" s="305">
        <v>276</v>
      </c>
      <c r="I1688" s="94"/>
      <c r="J1688" s="94"/>
      <c r="K1688" s="95">
        <v>59.35</v>
      </c>
      <c r="L1688" s="94"/>
      <c r="M1688" s="94"/>
      <c r="N1688" s="94"/>
      <c r="O1688" s="94"/>
      <c r="P1688" s="94"/>
      <c r="Q1688" s="94"/>
      <c r="R1688" s="94"/>
      <c r="S1688" s="94"/>
      <c r="T1688" s="94"/>
      <c r="U1688" s="94"/>
      <c r="V1688" s="94"/>
      <c r="W1688" s="94"/>
      <c r="X1688" s="94"/>
      <c r="Y1688" s="94"/>
      <c r="Z1688" s="94"/>
      <c r="AA1688" s="94"/>
      <c r="AB1688" s="94"/>
      <c r="AC1688" s="94"/>
      <c r="AD1688" s="95">
        <v>3.56</v>
      </c>
      <c r="AE1688" s="94"/>
      <c r="AF1688" s="94"/>
      <c r="AG1688" s="95">
        <v>62.91</v>
      </c>
      <c r="AH1688" s="95">
        <v>0</v>
      </c>
    </row>
    <row r="1689" spans="1:34" ht="15.75" thickBot="1" x14ac:dyDescent="0.3">
      <c r="A1689" s="90" t="s">
        <v>1046</v>
      </c>
      <c r="B1689" s="90" t="s">
        <v>707</v>
      </c>
      <c r="C1689" s="90" t="s">
        <v>876</v>
      </c>
      <c r="D1689" s="90" t="s">
        <v>17</v>
      </c>
      <c r="E1689" s="90" t="s">
        <v>727</v>
      </c>
      <c r="F1689" s="90" t="s">
        <v>686</v>
      </c>
      <c r="G1689" s="93">
        <v>0.16</v>
      </c>
      <c r="H1689" s="92"/>
      <c r="I1689" s="92"/>
      <c r="J1689" s="92"/>
      <c r="K1689" s="92"/>
      <c r="L1689" s="92"/>
      <c r="M1689" s="92"/>
      <c r="N1689" s="92"/>
      <c r="O1689" s="93">
        <v>0.16</v>
      </c>
      <c r="P1689" s="92"/>
      <c r="Q1689" s="92"/>
      <c r="R1689" s="92"/>
      <c r="S1689" s="92"/>
      <c r="T1689" s="92"/>
      <c r="U1689" s="92"/>
      <c r="V1689" s="92"/>
      <c r="W1689" s="92"/>
      <c r="X1689" s="92"/>
      <c r="Y1689" s="92"/>
      <c r="Z1689" s="92"/>
      <c r="AA1689" s="92"/>
      <c r="AB1689" s="92"/>
      <c r="AC1689" s="92"/>
      <c r="AD1689" s="93">
        <v>0.01</v>
      </c>
      <c r="AE1689" s="92"/>
      <c r="AF1689" s="92"/>
      <c r="AG1689" s="93">
        <v>0.17</v>
      </c>
      <c r="AH1689" s="93">
        <v>0</v>
      </c>
    </row>
    <row r="1690" spans="1:34" ht="15.75" thickBot="1" x14ac:dyDescent="0.3">
      <c r="A1690" s="90" t="s">
        <v>1046</v>
      </c>
      <c r="B1690" s="90" t="s">
        <v>707</v>
      </c>
      <c r="C1690" s="90" t="s">
        <v>876</v>
      </c>
      <c r="D1690" s="90" t="s">
        <v>17</v>
      </c>
      <c r="E1690" s="90" t="s">
        <v>727</v>
      </c>
      <c r="F1690" s="90" t="s">
        <v>697</v>
      </c>
      <c r="G1690" s="95">
        <v>0.16</v>
      </c>
      <c r="H1690" s="94"/>
      <c r="I1690" s="94"/>
      <c r="J1690" s="94"/>
      <c r="K1690" s="94"/>
      <c r="L1690" s="94"/>
      <c r="M1690" s="94"/>
      <c r="N1690" s="94"/>
      <c r="O1690" s="95">
        <v>0.16</v>
      </c>
      <c r="P1690" s="94"/>
      <c r="Q1690" s="94"/>
      <c r="R1690" s="94"/>
      <c r="S1690" s="94"/>
      <c r="T1690" s="94"/>
      <c r="U1690" s="94"/>
      <c r="V1690" s="94"/>
      <c r="W1690" s="94"/>
      <c r="X1690" s="94"/>
      <c r="Y1690" s="94"/>
      <c r="Z1690" s="94"/>
      <c r="AA1690" s="94"/>
      <c r="AB1690" s="94"/>
      <c r="AC1690" s="94"/>
      <c r="AD1690" s="95">
        <v>0.01</v>
      </c>
      <c r="AE1690" s="94"/>
      <c r="AF1690" s="94"/>
      <c r="AG1690" s="95">
        <v>0.17</v>
      </c>
      <c r="AH1690" s="95">
        <v>0</v>
      </c>
    </row>
    <row r="1691" spans="1:34" ht="15.75" thickBot="1" x14ac:dyDescent="0.3">
      <c r="A1691" s="90" t="s">
        <v>1046</v>
      </c>
      <c r="B1691" s="90" t="s">
        <v>707</v>
      </c>
      <c r="C1691" s="90" t="s">
        <v>876</v>
      </c>
      <c r="D1691" s="90" t="s">
        <v>17</v>
      </c>
      <c r="E1691" s="90" t="s">
        <v>673</v>
      </c>
      <c r="F1691" s="90" t="s">
        <v>686</v>
      </c>
      <c r="G1691" s="93">
        <v>27.41</v>
      </c>
      <c r="H1691" s="92"/>
      <c r="I1691" s="92"/>
      <c r="J1691" s="92"/>
      <c r="K1691" s="92"/>
      <c r="L1691" s="92"/>
      <c r="M1691" s="92"/>
      <c r="N1691" s="92"/>
      <c r="O1691" s="92"/>
      <c r="P1691" s="92"/>
      <c r="Q1691" s="92"/>
      <c r="R1691" s="92"/>
      <c r="S1691" s="92"/>
      <c r="T1691" s="92"/>
      <c r="U1691" s="92"/>
      <c r="V1691" s="92"/>
      <c r="W1691" s="92"/>
      <c r="X1691" s="93">
        <v>27.41</v>
      </c>
      <c r="Y1691" s="92"/>
      <c r="Z1691" s="92"/>
      <c r="AA1691" s="92"/>
      <c r="AB1691" s="92"/>
      <c r="AC1691" s="92"/>
      <c r="AD1691" s="93">
        <v>1.64</v>
      </c>
      <c r="AE1691" s="92"/>
      <c r="AF1691" s="92"/>
      <c r="AG1691" s="93">
        <v>29.05</v>
      </c>
      <c r="AH1691" s="93">
        <v>0</v>
      </c>
    </row>
    <row r="1692" spans="1:34" ht="15.75" thickBot="1" x14ac:dyDescent="0.3">
      <c r="A1692" s="90" t="s">
        <v>1046</v>
      </c>
      <c r="B1692" s="90" t="s">
        <v>707</v>
      </c>
      <c r="C1692" s="90" t="s">
        <v>876</v>
      </c>
      <c r="D1692" s="90" t="s">
        <v>17</v>
      </c>
      <c r="E1692" s="90" t="s">
        <v>673</v>
      </c>
      <c r="F1692" s="90" t="s">
        <v>697</v>
      </c>
      <c r="G1692" s="95">
        <v>27.41</v>
      </c>
      <c r="H1692" s="94"/>
      <c r="I1692" s="94"/>
      <c r="J1692" s="94"/>
      <c r="K1692" s="94"/>
      <c r="L1692" s="94"/>
      <c r="M1692" s="94"/>
      <c r="N1692" s="94"/>
      <c r="O1692" s="94"/>
      <c r="P1692" s="94"/>
      <c r="Q1692" s="94"/>
      <c r="R1692" s="94"/>
      <c r="S1692" s="94"/>
      <c r="T1692" s="94"/>
      <c r="U1692" s="94"/>
      <c r="V1692" s="94"/>
      <c r="W1692" s="94"/>
      <c r="X1692" s="95">
        <v>27.41</v>
      </c>
      <c r="Y1692" s="94"/>
      <c r="Z1692" s="94"/>
      <c r="AA1692" s="94"/>
      <c r="AB1692" s="94"/>
      <c r="AC1692" s="94"/>
      <c r="AD1692" s="95">
        <v>1.64</v>
      </c>
      <c r="AE1692" s="94"/>
      <c r="AF1692" s="94"/>
      <c r="AG1692" s="95">
        <v>29.05</v>
      </c>
      <c r="AH1692" s="95">
        <v>0</v>
      </c>
    </row>
    <row r="1693" spans="1:34" ht="15.75" thickBot="1" x14ac:dyDescent="0.3">
      <c r="A1693" s="90" t="s">
        <v>1046</v>
      </c>
      <c r="B1693" s="90" t="s">
        <v>707</v>
      </c>
      <c r="C1693" s="90" t="s">
        <v>876</v>
      </c>
      <c r="D1693" s="90" t="s">
        <v>17</v>
      </c>
      <c r="E1693" s="90" t="s">
        <v>196</v>
      </c>
      <c r="F1693" s="90" t="s">
        <v>686</v>
      </c>
      <c r="G1693" s="93">
        <v>104.37</v>
      </c>
      <c r="H1693" s="92"/>
      <c r="I1693" s="92"/>
      <c r="J1693" s="92"/>
      <c r="K1693" s="92"/>
      <c r="L1693" s="92"/>
      <c r="M1693" s="92"/>
      <c r="N1693" s="92"/>
      <c r="O1693" s="92"/>
      <c r="P1693" s="93">
        <v>104.37</v>
      </c>
      <c r="Q1693" s="92"/>
      <c r="R1693" s="92"/>
      <c r="S1693" s="92"/>
      <c r="T1693" s="92"/>
      <c r="U1693" s="92"/>
      <c r="V1693" s="92"/>
      <c r="W1693" s="92"/>
      <c r="X1693" s="92"/>
      <c r="Y1693" s="92"/>
      <c r="Z1693" s="92"/>
      <c r="AA1693" s="92"/>
      <c r="AB1693" s="92"/>
      <c r="AC1693" s="92"/>
      <c r="AD1693" s="93">
        <v>6.26</v>
      </c>
      <c r="AE1693" s="92"/>
      <c r="AF1693" s="92"/>
      <c r="AG1693" s="93">
        <v>110.63</v>
      </c>
      <c r="AH1693" s="93">
        <v>0</v>
      </c>
    </row>
    <row r="1694" spans="1:34" ht="15.75" thickBot="1" x14ac:dyDescent="0.3">
      <c r="A1694" s="90" t="s">
        <v>1046</v>
      </c>
      <c r="B1694" s="90" t="s">
        <v>707</v>
      </c>
      <c r="C1694" s="90" t="s">
        <v>876</v>
      </c>
      <c r="D1694" s="90" t="s">
        <v>17</v>
      </c>
      <c r="E1694" s="90" t="s">
        <v>196</v>
      </c>
      <c r="F1694" s="90" t="s">
        <v>697</v>
      </c>
      <c r="G1694" s="95">
        <v>104.37</v>
      </c>
      <c r="H1694" s="94"/>
      <c r="I1694" s="94"/>
      <c r="J1694" s="94"/>
      <c r="K1694" s="94"/>
      <c r="L1694" s="94"/>
      <c r="M1694" s="94"/>
      <c r="N1694" s="94"/>
      <c r="O1694" s="94"/>
      <c r="P1694" s="95">
        <v>104.37</v>
      </c>
      <c r="Q1694" s="94"/>
      <c r="R1694" s="94"/>
      <c r="S1694" s="94"/>
      <c r="T1694" s="94"/>
      <c r="U1694" s="94"/>
      <c r="V1694" s="94"/>
      <c r="W1694" s="94"/>
      <c r="X1694" s="94"/>
      <c r="Y1694" s="94"/>
      <c r="Z1694" s="94"/>
      <c r="AA1694" s="94"/>
      <c r="AB1694" s="94"/>
      <c r="AC1694" s="94"/>
      <c r="AD1694" s="95">
        <v>6.26</v>
      </c>
      <c r="AE1694" s="94"/>
      <c r="AF1694" s="94"/>
      <c r="AG1694" s="95">
        <v>110.63</v>
      </c>
      <c r="AH1694" s="95">
        <v>0</v>
      </c>
    </row>
    <row r="1695" spans="1:34" ht="15.75" thickBot="1" x14ac:dyDescent="0.3">
      <c r="A1695" s="90" t="s">
        <v>1046</v>
      </c>
      <c r="B1695" s="90" t="s">
        <v>18</v>
      </c>
      <c r="C1695" s="90" t="s">
        <v>453</v>
      </c>
      <c r="D1695" s="90" t="s">
        <v>17</v>
      </c>
      <c r="E1695" s="90" t="s">
        <v>528</v>
      </c>
      <c r="F1695" s="90" t="s">
        <v>686</v>
      </c>
      <c r="G1695" s="93">
        <v>400</v>
      </c>
      <c r="H1695" s="92"/>
      <c r="I1695" s="93">
        <v>400</v>
      </c>
      <c r="J1695" s="92"/>
      <c r="K1695" s="92"/>
      <c r="L1695" s="92"/>
      <c r="M1695" s="92"/>
      <c r="N1695" s="92"/>
      <c r="O1695" s="92"/>
      <c r="P1695" s="92"/>
      <c r="Q1695" s="92"/>
      <c r="R1695" s="92"/>
      <c r="S1695" s="92"/>
      <c r="T1695" s="92"/>
      <c r="U1695" s="92"/>
      <c r="V1695" s="92"/>
      <c r="W1695" s="92"/>
      <c r="X1695" s="92"/>
      <c r="Y1695" s="92"/>
      <c r="Z1695" s="92"/>
      <c r="AA1695" s="92"/>
      <c r="AB1695" s="92"/>
      <c r="AC1695" s="92"/>
      <c r="AD1695" s="93">
        <v>24.01</v>
      </c>
      <c r="AE1695" s="92"/>
      <c r="AF1695" s="92"/>
      <c r="AG1695" s="93">
        <v>424.01</v>
      </c>
      <c r="AH1695" s="93">
        <v>0</v>
      </c>
    </row>
    <row r="1696" spans="1:34" ht="15.75" thickBot="1" x14ac:dyDescent="0.3">
      <c r="A1696" s="90" t="s">
        <v>1046</v>
      </c>
      <c r="B1696" s="90" t="s">
        <v>18</v>
      </c>
      <c r="C1696" s="90" t="s">
        <v>453</v>
      </c>
      <c r="D1696" s="90" t="s">
        <v>17</v>
      </c>
      <c r="E1696" s="90" t="s">
        <v>528</v>
      </c>
      <c r="F1696" s="90" t="s">
        <v>697</v>
      </c>
      <c r="G1696" s="95">
        <v>400</v>
      </c>
      <c r="H1696" s="94"/>
      <c r="I1696" s="95">
        <v>400</v>
      </c>
      <c r="J1696" s="94"/>
      <c r="K1696" s="94"/>
      <c r="L1696" s="94"/>
      <c r="M1696" s="94"/>
      <c r="N1696" s="94"/>
      <c r="O1696" s="94"/>
      <c r="P1696" s="94"/>
      <c r="Q1696" s="94"/>
      <c r="R1696" s="94"/>
      <c r="S1696" s="94"/>
      <c r="T1696" s="94"/>
      <c r="U1696" s="94"/>
      <c r="V1696" s="94"/>
      <c r="W1696" s="94"/>
      <c r="X1696" s="94"/>
      <c r="Y1696" s="94"/>
      <c r="Z1696" s="94"/>
      <c r="AA1696" s="94"/>
      <c r="AB1696" s="94"/>
      <c r="AC1696" s="94"/>
      <c r="AD1696" s="95">
        <v>24.01</v>
      </c>
      <c r="AE1696" s="94"/>
      <c r="AF1696" s="94"/>
      <c r="AG1696" s="95">
        <v>424.01</v>
      </c>
      <c r="AH1696" s="95">
        <v>0</v>
      </c>
    </row>
    <row r="1697" spans="1:34" ht="15.75" thickBot="1" x14ac:dyDescent="0.3">
      <c r="A1697" s="90" t="s">
        <v>1046</v>
      </c>
      <c r="B1697" s="90" t="s">
        <v>18</v>
      </c>
      <c r="C1697" s="90" t="s">
        <v>453</v>
      </c>
      <c r="D1697" s="90" t="s">
        <v>17</v>
      </c>
      <c r="E1697" s="90" t="s">
        <v>518</v>
      </c>
      <c r="F1697" s="90" t="s">
        <v>686</v>
      </c>
      <c r="G1697" s="93">
        <v>729.08</v>
      </c>
      <c r="H1697" s="93">
        <v>10402</v>
      </c>
      <c r="I1697" s="92"/>
      <c r="J1697" s="92"/>
      <c r="K1697" s="93">
        <v>729.08</v>
      </c>
      <c r="L1697" s="92"/>
      <c r="M1697" s="92"/>
      <c r="N1697" s="92"/>
      <c r="O1697" s="92"/>
      <c r="P1697" s="92"/>
      <c r="Q1697" s="92"/>
      <c r="R1697" s="92"/>
      <c r="S1697" s="92"/>
      <c r="T1697" s="92"/>
      <c r="U1697" s="92"/>
      <c r="V1697" s="92"/>
      <c r="W1697" s="92"/>
      <c r="X1697" s="92"/>
      <c r="Y1697" s="92"/>
      <c r="Z1697" s="92"/>
      <c r="AA1697" s="92"/>
      <c r="AB1697" s="92"/>
      <c r="AC1697" s="92"/>
      <c r="AD1697" s="93">
        <v>43.74</v>
      </c>
      <c r="AE1697" s="92"/>
      <c r="AF1697" s="92"/>
      <c r="AG1697" s="93">
        <v>772.82</v>
      </c>
      <c r="AH1697" s="93">
        <v>0</v>
      </c>
    </row>
    <row r="1698" spans="1:34" ht="15.75" thickBot="1" x14ac:dyDescent="0.3">
      <c r="A1698" s="90" t="s">
        <v>1046</v>
      </c>
      <c r="B1698" s="90" t="s">
        <v>18</v>
      </c>
      <c r="C1698" s="90" t="s">
        <v>453</v>
      </c>
      <c r="D1698" s="90" t="s">
        <v>17</v>
      </c>
      <c r="E1698" s="90" t="s">
        <v>518</v>
      </c>
      <c r="F1698" s="90" t="s">
        <v>697</v>
      </c>
      <c r="G1698" s="95">
        <v>729.08</v>
      </c>
      <c r="H1698" s="305">
        <v>10402</v>
      </c>
      <c r="I1698" s="94"/>
      <c r="J1698" s="94"/>
      <c r="K1698" s="95">
        <v>729.08</v>
      </c>
      <c r="L1698" s="94"/>
      <c r="M1698" s="94"/>
      <c r="N1698" s="94"/>
      <c r="O1698" s="94"/>
      <c r="P1698" s="94"/>
      <c r="Q1698" s="94"/>
      <c r="R1698" s="94"/>
      <c r="S1698" s="94"/>
      <c r="T1698" s="94"/>
      <c r="U1698" s="94"/>
      <c r="V1698" s="94"/>
      <c r="W1698" s="94"/>
      <c r="X1698" s="94"/>
      <c r="Y1698" s="94"/>
      <c r="Z1698" s="94"/>
      <c r="AA1698" s="94"/>
      <c r="AB1698" s="94"/>
      <c r="AC1698" s="94"/>
      <c r="AD1698" s="95">
        <v>43.74</v>
      </c>
      <c r="AE1698" s="94"/>
      <c r="AF1698" s="94"/>
      <c r="AG1698" s="95">
        <v>772.82</v>
      </c>
      <c r="AH1698" s="95">
        <v>0</v>
      </c>
    </row>
    <row r="1699" spans="1:34" ht="15.75" thickBot="1" x14ac:dyDescent="0.3">
      <c r="A1699" s="90" t="s">
        <v>1046</v>
      </c>
      <c r="B1699" s="90" t="s">
        <v>18</v>
      </c>
      <c r="C1699" s="90" t="s">
        <v>453</v>
      </c>
      <c r="D1699" s="90" t="s">
        <v>17</v>
      </c>
      <c r="E1699" s="90" t="s">
        <v>727</v>
      </c>
      <c r="F1699" s="90" t="s">
        <v>686</v>
      </c>
      <c r="G1699" s="93">
        <v>5.93</v>
      </c>
      <c r="H1699" s="92"/>
      <c r="I1699" s="92"/>
      <c r="J1699" s="92"/>
      <c r="K1699" s="92"/>
      <c r="L1699" s="92"/>
      <c r="M1699" s="92"/>
      <c r="N1699" s="92"/>
      <c r="O1699" s="93">
        <v>5.93</v>
      </c>
      <c r="P1699" s="92"/>
      <c r="Q1699" s="92"/>
      <c r="R1699" s="92"/>
      <c r="S1699" s="92"/>
      <c r="T1699" s="92"/>
      <c r="U1699" s="92"/>
      <c r="V1699" s="92"/>
      <c r="W1699" s="92"/>
      <c r="X1699" s="92"/>
      <c r="Y1699" s="92"/>
      <c r="Z1699" s="92"/>
      <c r="AA1699" s="92"/>
      <c r="AB1699" s="92"/>
      <c r="AC1699" s="92"/>
      <c r="AD1699" s="93">
        <v>0.36</v>
      </c>
      <c r="AE1699" s="92"/>
      <c r="AF1699" s="92"/>
      <c r="AG1699" s="93">
        <v>6.29</v>
      </c>
      <c r="AH1699" s="93">
        <v>0</v>
      </c>
    </row>
    <row r="1700" spans="1:34" ht="15.75" thickBot="1" x14ac:dyDescent="0.3">
      <c r="A1700" s="90" t="s">
        <v>1046</v>
      </c>
      <c r="B1700" s="90" t="s">
        <v>18</v>
      </c>
      <c r="C1700" s="90" t="s">
        <v>453</v>
      </c>
      <c r="D1700" s="90" t="s">
        <v>17</v>
      </c>
      <c r="E1700" s="90" t="s">
        <v>727</v>
      </c>
      <c r="F1700" s="90" t="s">
        <v>697</v>
      </c>
      <c r="G1700" s="95">
        <v>5.93</v>
      </c>
      <c r="H1700" s="94"/>
      <c r="I1700" s="94"/>
      <c r="J1700" s="94"/>
      <c r="K1700" s="94"/>
      <c r="L1700" s="94"/>
      <c r="M1700" s="94"/>
      <c r="N1700" s="94"/>
      <c r="O1700" s="95">
        <v>5.93</v>
      </c>
      <c r="P1700" s="94"/>
      <c r="Q1700" s="94"/>
      <c r="R1700" s="94"/>
      <c r="S1700" s="94"/>
      <c r="T1700" s="94"/>
      <c r="U1700" s="94"/>
      <c r="V1700" s="94"/>
      <c r="W1700" s="94"/>
      <c r="X1700" s="94"/>
      <c r="Y1700" s="94"/>
      <c r="Z1700" s="94"/>
      <c r="AA1700" s="94"/>
      <c r="AB1700" s="94"/>
      <c r="AC1700" s="94"/>
      <c r="AD1700" s="95">
        <v>0.36</v>
      </c>
      <c r="AE1700" s="94"/>
      <c r="AF1700" s="94"/>
      <c r="AG1700" s="95">
        <v>6.29</v>
      </c>
      <c r="AH1700" s="95">
        <v>0</v>
      </c>
    </row>
    <row r="1701" spans="1:34" ht="15.75" thickBot="1" x14ac:dyDescent="0.3">
      <c r="A1701" s="90" t="s">
        <v>1046</v>
      </c>
      <c r="B1701" s="90" t="s">
        <v>18</v>
      </c>
      <c r="C1701" s="90" t="s">
        <v>453</v>
      </c>
      <c r="D1701" s="90" t="s">
        <v>17</v>
      </c>
      <c r="E1701" s="90" t="s">
        <v>673</v>
      </c>
      <c r="F1701" s="90" t="s">
        <v>686</v>
      </c>
      <c r="G1701" s="93">
        <v>2838.87</v>
      </c>
      <c r="H1701" s="92"/>
      <c r="I1701" s="92"/>
      <c r="J1701" s="92"/>
      <c r="K1701" s="92"/>
      <c r="L1701" s="92"/>
      <c r="M1701" s="92"/>
      <c r="N1701" s="92"/>
      <c r="O1701" s="92"/>
      <c r="P1701" s="92"/>
      <c r="Q1701" s="92"/>
      <c r="R1701" s="92"/>
      <c r="S1701" s="92"/>
      <c r="T1701" s="92"/>
      <c r="U1701" s="92"/>
      <c r="V1701" s="92"/>
      <c r="W1701" s="92"/>
      <c r="X1701" s="93">
        <v>2838.87</v>
      </c>
      <c r="Y1701" s="92"/>
      <c r="Z1701" s="92"/>
      <c r="AA1701" s="92"/>
      <c r="AB1701" s="92"/>
      <c r="AC1701" s="92"/>
      <c r="AD1701" s="93">
        <v>170.33</v>
      </c>
      <c r="AE1701" s="92"/>
      <c r="AF1701" s="92"/>
      <c r="AG1701" s="93">
        <v>3009.2</v>
      </c>
      <c r="AH1701" s="93">
        <v>0</v>
      </c>
    </row>
    <row r="1702" spans="1:34" ht="15.75" thickBot="1" x14ac:dyDescent="0.3">
      <c r="A1702" s="90" t="s">
        <v>1046</v>
      </c>
      <c r="B1702" s="90" t="s">
        <v>18</v>
      </c>
      <c r="C1702" s="90" t="s">
        <v>453</v>
      </c>
      <c r="D1702" s="90" t="s">
        <v>17</v>
      </c>
      <c r="E1702" s="90" t="s">
        <v>673</v>
      </c>
      <c r="F1702" s="90" t="s">
        <v>697</v>
      </c>
      <c r="G1702" s="95">
        <v>2838.87</v>
      </c>
      <c r="H1702" s="94"/>
      <c r="I1702" s="94"/>
      <c r="J1702" s="94"/>
      <c r="K1702" s="94"/>
      <c r="L1702" s="94"/>
      <c r="M1702" s="94"/>
      <c r="N1702" s="94"/>
      <c r="O1702" s="94"/>
      <c r="P1702" s="94"/>
      <c r="Q1702" s="94"/>
      <c r="R1702" s="94"/>
      <c r="S1702" s="94"/>
      <c r="T1702" s="94"/>
      <c r="U1702" s="94"/>
      <c r="V1702" s="94"/>
      <c r="W1702" s="94"/>
      <c r="X1702" s="95">
        <v>2838.87</v>
      </c>
      <c r="Y1702" s="94"/>
      <c r="Z1702" s="94"/>
      <c r="AA1702" s="94"/>
      <c r="AB1702" s="94"/>
      <c r="AC1702" s="94"/>
      <c r="AD1702" s="95">
        <v>170.33</v>
      </c>
      <c r="AE1702" s="94"/>
      <c r="AF1702" s="94"/>
      <c r="AG1702" s="95">
        <v>3009.2</v>
      </c>
      <c r="AH1702" s="95">
        <v>0</v>
      </c>
    </row>
    <row r="1703" spans="1:34" ht="15.75" thickBot="1" x14ac:dyDescent="0.3">
      <c r="A1703" s="90" t="s">
        <v>1046</v>
      </c>
      <c r="B1703" s="90" t="s">
        <v>18</v>
      </c>
      <c r="C1703" s="90" t="s">
        <v>453</v>
      </c>
      <c r="D1703" s="90" t="s">
        <v>17</v>
      </c>
      <c r="E1703" s="90" t="s">
        <v>196</v>
      </c>
      <c r="F1703" s="90" t="s">
        <v>686</v>
      </c>
      <c r="G1703" s="93">
        <v>3765.6</v>
      </c>
      <c r="H1703" s="92"/>
      <c r="I1703" s="92"/>
      <c r="J1703" s="92"/>
      <c r="K1703" s="92"/>
      <c r="L1703" s="92"/>
      <c r="M1703" s="92"/>
      <c r="N1703" s="92"/>
      <c r="O1703" s="92"/>
      <c r="P1703" s="93">
        <v>3765.6</v>
      </c>
      <c r="Q1703" s="92"/>
      <c r="R1703" s="92"/>
      <c r="S1703" s="92"/>
      <c r="T1703" s="92"/>
      <c r="U1703" s="92"/>
      <c r="V1703" s="92"/>
      <c r="W1703" s="92"/>
      <c r="X1703" s="92"/>
      <c r="Y1703" s="92"/>
      <c r="Z1703" s="92"/>
      <c r="AA1703" s="92"/>
      <c r="AB1703" s="92"/>
      <c r="AC1703" s="92"/>
      <c r="AD1703" s="93">
        <v>225.93</v>
      </c>
      <c r="AE1703" s="92"/>
      <c r="AF1703" s="92"/>
      <c r="AG1703" s="93">
        <v>3991.53</v>
      </c>
      <c r="AH1703" s="93">
        <v>0</v>
      </c>
    </row>
    <row r="1704" spans="1:34" ht="15.75" thickBot="1" x14ac:dyDescent="0.3">
      <c r="A1704" s="90" t="s">
        <v>1046</v>
      </c>
      <c r="B1704" s="90" t="s">
        <v>18</v>
      </c>
      <c r="C1704" s="90" t="s">
        <v>453</v>
      </c>
      <c r="D1704" s="90" t="s">
        <v>17</v>
      </c>
      <c r="E1704" s="90" t="s">
        <v>196</v>
      </c>
      <c r="F1704" s="90" t="s">
        <v>697</v>
      </c>
      <c r="G1704" s="95">
        <v>3765.6</v>
      </c>
      <c r="H1704" s="94"/>
      <c r="I1704" s="94"/>
      <c r="J1704" s="94"/>
      <c r="K1704" s="94"/>
      <c r="L1704" s="94"/>
      <c r="M1704" s="94"/>
      <c r="N1704" s="94"/>
      <c r="O1704" s="94"/>
      <c r="P1704" s="95">
        <v>3765.6</v>
      </c>
      <c r="Q1704" s="94"/>
      <c r="R1704" s="94"/>
      <c r="S1704" s="94"/>
      <c r="T1704" s="94"/>
      <c r="U1704" s="94"/>
      <c r="V1704" s="94"/>
      <c r="W1704" s="94"/>
      <c r="X1704" s="94"/>
      <c r="Y1704" s="94"/>
      <c r="Z1704" s="94"/>
      <c r="AA1704" s="94"/>
      <c r="AB1704" s="94"/>
      <c r="AC1704" s="94"/>
      <c r="AD1704" s="95">
        <v>225.93</v>
      </c>
      <c r="AE1704" s="94"/>
      <c r="AF1704" s="94"/>
      <c r="AG1704" s="95">
        <v>3991.53</v>
      </c>
      <c r="AH1704" s="95">
        <v>0</v>
      </c>
    </row>
    <row r="1705" spans="1:34" ht="15.75" thickBot="1" x14ac:dyDescent="0.3">
      <c r="A1705" s="90" t="s">
        <v>1046</v>
      </c>
      <c r="B1705" s="90" t="s">
        <v>18</v>
      </c>
      <c r="C1705" s="90" t="s">
        <v>453</v>
      </c>
      <c r="D1705" s="90" t="s">
        <v>20</v>
      </c>
      <c r="E1705" s="90" t="s">
        <v>528</v>
      </c>
      <c r="F1705" s="90" t="s">
        <v>686</v>
      </c>
      <c r="G1705" s="93">
        <v>400</v>
      </c>
      <c r="H1705" s="92"/>
      <c r="I1705" s="93">
        <v>400</v>
      </c>
      <c r="J1705" s="92"/>
      <c r="K1705" s="92"/>
      <c r="L1705" s="92"/>
      <c r="M1705" s="92"/>
      <c r="N1705" s="92"/>
      <c r="O1705" s="92"/>
      <c r="P1705" s="92"/>
      <c r="Q1705" s="92"/>
      <c r="R1705" s="92"/>
      <c r="S1705" s="92"/>
      <c r="T1705" s="92"/>
      <c r="U1705" s="92"/>
      <c r="V1705" s="92"/>
      <c r="W1705" s="92"/>
      <c r="X1705" s="92"/>
      <c r="Y1705" s="92"/>
      <c r="Z1705" s="92"/>
      <c r="AA1705" s="92"/>
      <c r="AB1705" s="92"/>
      <c r="AC1705" s="92"/>
      <c r="AD1705" s="93">
        <v>0</v>
      </c>
      <c r="AE1705" s="92"/>
      <c r="AF1705" s="92"/>
      <c r="AG1705" s="93">
        <v>400</v>
      </c>
      <c r="AH1705" s="93">
        <v>0</v>
      </c>
    </row>
    <row r="1706" spans="1:34" ht="15.75" thickBot="1" x14ac:dyDescent="0.3">
      <c r="A1706" s="90" t="s">
        <v>1046</v>
      </c>
      <c r="B1706" s="90" t="s">
        <v>18</v>
      </c>
      <c r="C1706" s="90" t="s">
        <v>453</v>
      </c>
      <c r="D1706" s="90" t="s">
        <v>20</v>
      </c>
      <c r="E1706" s="90" t="s">
        <v>528</v>
      </c>
      <c r="F1706" s="90" t="s">
        <v>697</v>
      </c>
      <c r="G1706" s="95">
        <v>400</v>
      </c>
      <c r="H1706" s="94"/>
      <c r="I1706" s="95">
        <v>400</v>
      </c>
      <c r="J1706" s="94"/>
      <c r="K1706" s="94"/>
      <c r="L1706" s="94"/>
      <c r="M1706" s="94"/>
      <c r="N1706" s="94"/>
      <c r="O1706" s="94"/>
      <c r="P1706" s="94"/>
      <c r="Q1706" s="94"/>
      <c r="R1706" s="94"/>
      <c r="S1706" s="94"/>
      <c r="T1706" s="94"/>
      <c r="U1706" s="94"/>
      <c r="V1706" s="94"/>
      <c r="W1706" s="94"/>
      <c r="X1706" s="94"/>
      <c r="Y1706" s="94"/>
      <c r="Z1706" s="94"/>
      <c r="AA1706" s="94"/>
      <c r="AB1706" s="94"/>
      <c r="AC1706" s="94"/>
      <c r="AD1706" s="95">
        <v>0</v>
      </c>
      <c r="AE1706" s="94"/>
      <c r="AF1706" s="94"/>
      <c r="AG1706" s="95">
        <v>400</v>
      </c>
      <c r="AH1706" s="95">
        <v>0</v>
      </c>
    </row>
    <row r="1707" spans="1:34" ht="15.75" thickBot="1" x14ac:dyDescent="0.3">
      <c r="A1707" s="90" t="s">
        <v>1046</v>
      </c>
      <c r="B1707" s="90" t="s">
        <v>18</v>
      </c>
      <c r="C1707" s="90" t="s">
        <v>453</v>
      </c>
      <c r="D1707" s="90" t="s">
        <v>20</v>
      </c>
      <c r="E1707" s="90" t="s">
        <v>518</v>
      </c>
      <c r="F1707" s="90" t="s">
        <v>686</v>
      </c>
      <c r="G1707" s="93">
        <v>1039.29</v>
      </c>
      <c r="H1707" s="93">
        <v>14828</v>
      </c>
      <c r="I1707" s="92"/>
      <c r="J1707" s="92"/>
      <c r="K1707" s="93">
        <v>1039.29</v>
      </c>
      <c r="L1707" s="92"/>
      <c r="M1707" s="92"/>
      <c r="N1707" s="92"/>
      <c r="O1707" s="92"/>
      <c r="P1707" s="92"/>
      <c r="Q1707" s="92"/>
      <c r="R1707" s="92"/>
      <c r="S1707" s="92"/>
      <c r="T1707" s="92"/>
      <c r="U1707" s="92"/>
      <c r="V1707" s="92"/>
      <c r="W1707" s="92"/>
      <c r="X1707" s="92"/>
      <c r="Y1707" s="92"/>
      <c r="Z1707" s="92"/>
      <c r="AA1707" s="92"/>
      <c r="AB1707" s="92"/>
      <c r="AC1707" s="92"/>
      <c r="AD1707" s="93">
        <v>0</v>
      </c>
      <c r="AE1707" s="92"/>
      <c r="AF1707" s="92"/>
      <c r="AG1707" s="93">
        <v>1039.29</v>
      </c>
      <c r="AH1707" s="93">
        <v>0</v>
      </c>
    </row>
    <row r="1708" spans="1:34" ht="15.75" thickBot="1" x14ac:dyDescent="0.3">
      <c r="A1708" s="90" t="s">
        <v>1046</v>
      </c>
      <c r="B1708" s="90" t="s">
        <v>18</v>
      </c>
      <c r="C1708" s="90" t="s">
        <v>453</v>
      </c>
      <c r="D1708" s="90" t="s">
        <v>20</v>
      </c>
      <c r="E1708" s="90" t="s">
        <v>518</v>
      </c>
      <c r="F1708" s="90" t="s">
        <v>697</v>
      </c>
      <c r="G1708" s="95">
        <v>1039.29</v>
      </c>
      <c r="H1708" s="305">
        <v>14828</v>
      </c>
      <c r="I1708" s="94"/>
      <c r="J1708" s="94"/>
      <c r="K1708" s="95">
        <v>1039.29</v>
      </c>
      <c r="L1708" s="94"/>
      <c r="M1708" s="94"/>
      <c r="N1708" s="94"/>
      <c r="O1708" s="94"/>
      <c r="P1708" s="94"/>
      <c r="Q1708" s="94"/>
      <c r="R1708" s="94"/>
      <c r="S1708" s="94"/>
      <c r="T1708" s="94"/>
      <c r="U1708" s="94"/>
      <c r="V1708" s="94"/>
      <c r="W1708" s="94"/>
      <c r="X1708" s="94"/>
      <c r="Y1708" s="94"/>
      <c r="Z1708" s="94"/>
      <c r="AA1708" s="94"/>
      <c r="AB1708" s="94"/>
      <c r="AC1708" s="94"/>
      <c r="AD1708" s="95">
        <v>0</v>
      </c>
      <c r="AE1708" s="94"/>
      <c r="AF1708" s="94"/>
      <c r="AG1708" s="95">
        <v>1039.29</v>
      </c>
      <c r="AH1708" s="95">
        <v>0</v>
      </c>
    </row>
    <row r="1709" spans="1:34" ht="15.75" thickBot="1" x14ac:dyDescent="0.3">
      <c r="A1709" s="90" t="s">
        <v>1046</v>
      </c>
      <c r="B1709" s="90" t="s">
        <v>18</v>
      </c>
      <c r="C1709" s="90" t="s">
        <v>453</v>
      </c>
      <c r="D1709" s="90" t="s">
        <v>20</v>
      </c>
      <c r="E1709" s="90" t="s">
        <v>727</v>
      </c>
      <c r="F1709" s="90" t="s">
        <v>686</v>
      </c>
      <c r="G1709" s="93">
        <v>8.4499999999999993</v>
      </c>
      <c r="H1709" s="92"/>
      <c r="I1709" s="92"/>
      <c r="J1709" s="92"/>
      <c r="K1709" s="92"/>
      <c r="L1709" s="92"/>
      <c r="M1709" s="92"/>
      <c r="N1709" s="92"/>
      <c r="O1709" s="93">
        <v>8.4499999999999993</v>
      </c>
      <c r="P1709" s="92"/>
      <c r="Q1709" s="92"/>
      <c r="R1709" s="92"/>
      <c r="S1709" s="92"/>
      <c r="T1709" s="92"/>
      <c r="U1709" s="92"/>
      <c r="V1709" s="92"/>
      <c r="W1709" s="92"/>
      <c r="X1709" s="92"/>
      <c r="Y1709" s="92"/>
      <c r="Z1709" s="92"/>
      <c r="AA1709" s="92"/>
      <c r="AB1709" s="92"/>
      <c r="AC1709" s="92"/>
      <c r="AD1709" s="93">
        <v>0</v>
      </c>
      <c r="AE1709" s="92"/>
      <c r="AF1709" s="92"/>
      <c r="AG1709" s="93">
        <v>8.4499999999999993</v>
      </c>
      <c r="AH1709" s="93">
        <v>0</v>
      </c>
    </row>
    <row r="1710" spans="1:34" ht="15.75" thickBot="1" x14ac:dyDescent="0.3">
      <c r="A1710" s="90" t="s">
        <v>1046</v>
      </c>
      <c r="B1710" s="90" t="s">
        <v>18</v>
      </c>
      <c r="C1710" s="90" t="s">
        <v>453</v>
      </c>
      <c r="D1710" s="90" t="s">
        <v>20</v>
      </c>
      <c r="E1710" s="90" t="s">
        <v>727</v>
      </c>
      <c r="F1710" s="90" t="s">
        <v>697</v>
      </c>
      <c r="G1710" s="95">
        <v>8.4499999999999993</v>
      </c>
      <c r="H1710" s="94"/>
      <c r="I1710" s="94"/>
      <c r="J1710" s="94"/>
      <c r="K1710" s="94"/>
      <c r="L1710" s="94"/>
      <c r="M1710" s="94"/>
      <c r="N1710" s="94"/>
      <c r="O1710" s="95">
        <v>8.4499999999999993</v>
      </c>
      <c r="P1710" s="94"/>
      <c r="Q1710" s="94"/>
      <c r="R1710" s="94"/>
      <c r="S1710" s="94"/>
      <c r="T1710" s="94"/>
      <c r="U1710" s="94"/>
      <c r="V1710" s="94"/>
      <c r="W1710" s="94"/>
      <c r="X1710" s="94"/>
      <c r="Y1710" s="94"/>
      <c r="Z1710" s="94"/>
      <c r="AA1710" s="94"/>
      <c r="AB1710" s="94"/>
      <c r="AC1710" s="94"/>
      <c r="AD1710" s="95">
        <v>0</v>
      </c>
      <c r="AE1710" s="94"/>
      <c r="AF1710" s="94"/>
      <c r="AG1710" s="95">
        <v>8.4499999999999993</v>
      </c>
      <c r="AH1710" s="95">
        <v>0</v>
      </c>
    </row>
    <row r="1711" spans="1:34" ht="15.75" thickBot="1" x14ac:dyDescent="0.3">
      <c r="A1711" s="90" t="s">
        <v>1046</v>
      </c>
      <c r="B1711" s="90" t="s">
        <v>18</v>
      </c>
      <c r="C1711" s="90" t="s">
        <v>453</v>
      </c>
      <c r="D1711" s="90" t="s">
        <v>20</v>
      </c>
      <c r="E1711" s="90" t="s">
        <v>673</v>
      </c>
      <c r="F1711" s="90" t="s">
        <v>686</v>
      </c>
      <c r="G1711" s="93">
        <v>2838.87</v>
      </c>
      <c r="H1711" s="92"/>
      <c r="I1711" s="92"/>
      <c r="J1711" s="92"/>
      <c r="K1711" s="92"/>
      <c r="L1711" s="92"/>
      <c r="M1711" s="92"/>
      <c r="N1711" s="92"/>
      <c r="O1711" s="92"/>
      <c r="P1711" s="92"/>
      <c r="Q1711" s="92"/>
      <c r="R1711" s="92"/>
      <c r="S1711" s="92"/>
      <c r="T1711" s="92"/>
      <c r="U1711" s="92"/>
      <c r="V1711" s="92"/>
      <c r="W1711" s="92"/>
      <c r="X1711" s="93">
        <v>2838.87</v>
      </c>
      <c r="Y1711" s="92"/>
      <c r="Z1711" s="92"/>
      <c r="AA1711" s="92"/>
      <c r="AB1711" s="92"/>
      <c r="AC1711" s="92"/>
      <c r="AD1711" s="93">
        <v>0</v>
      </c>
      <c r="AE1711" s="92"/>
      <c r="AF1711" s="92"/>
      <c r="AG1711" s="93">
        <v>2838.87</v>
      </c>
      <c r="AH1711" s="93">
        <v>0</v>
      </c>
    </row>
    <row r="1712" spans="1:34" ht="15.75" thickBot="1" x14ac:dyDescent="0.3">
      <c r="A1712" s="90" t="s">
        <v>1046</v>
      </c>
      <c r="B1712" s="90" t="s">
        <v>18</v>
      </c>
      <c r="C1712" s="90" t="s">
        <v>453</v>
      </c>
      <c r="D1712" s="90" t="s">
        <v>20</v>
      </c>
      <c r="E1712" s="90" t="s">
        <v>673</v>
      </c>
      <c r="F1712" s="90" t="s">
        <v>697</v>
      </c>
      <c r="G1712" s="95">
        <v>2838.87</v>
      </c>
      <c r="H1712" s="94"/>
      <c r="I1712" s="94"/>
      <c r="J1712" s="94"/>
      <c r="K1712" s="94"/>
      <c r="L1712" s="94"/>
      <c r="M1712" s="94"/>
      <c r="N1712" s="94"/>
      <c r="O1712" s="94"/>
      <c r="P1712" s="94"/>
      <c r="Q1712" s="94"/>
      <c r="R1712" s="94"/>
      <c r="S1712" s="94"/>
      <c r="T1712" s="94"/>
      <c r="U1712" s="94"/>
      <c r="V1712" s="94"/>
      <c r="W1712" s="94"/>
      <c r="X1712" s="95">
        <v>2838.87</v>
      </c>
      <c r="Y1712" s="94"/>
      <c r="Z1712" s="94"/>
      <c r="AA1712" s="94"/>
      <c r="AB1712" s="94"/>
      <c r="AC1712" s="94"/>
      <c r="AD1712" s="95">
        <v>0</v>
      </c>
      <c r="AE1712" s="94"/>
      <c r="AF1712" s="94"/>
      <c r="AG1712" s="95">
        <v>2838.87</v>
      </c>
      <c r="AH1712" s="95">
        <v>0</v>
      </c>
    </row>
    <row r="1713" spans="1:34" ht="15.75" thickBot="1" x14ac:dyDescent="0.3">
      <c r="A1713" s="90" t="s">
        <v>1046</v>
      </c>
      <c r="B1713" s="90" t="s">
        <v>18</v>
      </c>
      <c r="C1713" s="90" t="s">
        <v>453</v>
      </c>
      <c r="D1713" s="90" t="s">
        <v>20</v>
      </c>
      <c r="E1713" s="90" t="s">
        <v>196</v>
      </c>
      <c r="F1713" s="90" t="s">
        <v>686</v>
      </c>
      <c r="G1713" s="93">
        <v>5572.73</v>
      </c>
      <c r="H1713" s="92"/>
      <c r="I1713" s="92"/>
      <c r="J1713" s="92"/>
      <c r="K1713" s="92"/>
      <c r="L1713" s="92"/>
      <c r="M1713" s="92"/>
      <c r="N1713" s="92"/>
      <c r="O1713" s="92"/>
      <c r="P1713" s="93">
        <v>5572.73</v>
      </c>
      <c r="Q1713" s="92"/>
      <c r="R1713" s="92"/>
      <c r="S1713" s="92"/>
      <c r="T1713" s="92"/>
      <c r="U1713" s="92"/>
      <c r="V1713" s="92"/>
      <c r="W1713" s="92"/>
      <c r="X1713" s="92"/>
      <c r="Y1713" s="92"/>
      <c r="Z1713" s="92"/>
      <c r="AA1713" s="92"/>
      <c r="AB1713" s="92"/>
      <c r="AC1713" s="92"/>
      <c r="AD1713" s="93">
        <v>0</v>
      </c>
      <c r="AE1713" s="92"/>
      <c r="AF1713" s="92"/>
      <c r="AG1713" s="93">
        <v>5572.73</v>
      </c>
      <c r="AH1713" s="93">
        <v>0</v>
      </c>
    </row>
    <row r="1714" spans="1:34" ht="15.75" thickBot="1" x14ac:dyDescent="0.3">
      <c r="A1714" s="90" t="s">
        <v>1046</v>
      </c>
      <c r="B1714" s="90" t="s">
        <v>18</v>
      </c>
      <c r="C1714" s="90" t="s">
        <v>453</v>
      </c>
      <c r="D1714" s="90" t="s">
        <v>20</v>
      </c>
      <c r="E1714" s="90" t="s">
        <v>196</v>
      </c>
      <c r="F1714" s="90" t="s">
        <v>697</v>
      </c>
      <c r="G1714" s="95">
        <v>5572.73</v>
      </c>
      <c r="H1714" s="94"/>
      <c r="I1714" s="94"/>
      <c r="J1714" s="94"/>
      <c r="K1714" s="94"/>
      <c r="L1714" s="94"/>
      <c r="M1714" s="94"/>
      <c r="N1714" s="94"/>
      <c r="O1714" s="94"/>
      <c r="P1714" s="95">
        <v>5572.73</v>
      </c>
      <c r="Q1714" s="94"/>
      <c r="R1714" s="94"/>
      <c r="S1714" s="94"/>
      <c r="T1714" s="94"/>
      <c r="U1714" s="94"/>
      <c r="V1714" s="94"/>
      <c r="W1714" s="94"/>
      <c r="X1714" s="94"/>
      <c r="Y1714" s="94"/>
      <c r="Z1714" s="94"/>
      <c r="AA1714" s="94"/>
      <c r="AB1714" s="94"/>
      <c r="AC1714" s="94"/>
      <c r="AD1714" s="95">
        <v>0</v>
      </c>
      <c r="AE1714" s="94"/>
      <c r="AF1714" s="94"/>
      <c r="AG1714" s="95">
        <v>5572.73</v>
      </c>
      <c r="AH1714" s="95">
        <v>0</v>
      </c>
    </row>
    <row r="1715" spans="1:34" ht="15.75" thickBot="1" x14ac:dyDescent="0.3">
      <c r="A1715" s="90" t="s">
        <v>1046</v>
      </c>
      <c r="B1715" s="90" t="s">
        <v>68</v>
      </c>
      <c r="C1715" s="90" t="s">
        <v>877</v>
      </c>
      <c r="D1715" s="90" t="s">
        <v>17</v>
      </c>
      <c r="E1715" s="90" t="s">
        <v>528</v>
      </c>
      <c r="F1715" s="90" t="s">
        <v>686</v>
      </c>
      <c r="G1715" s="93">
        <v>40</v>
      </c>
      <c r="H1715" s="92"/>
      <c r="I1715" s="93">
        <v>40</v>
      </c>
      <c r="J1715" s="92"/>
      <c r="K1715" s="92"/>
      <c r="L1715" s="92"/>
      <c r="M1715" s="92"/>
      <c r="N1715" s="92"/>
      <c r="O1715" s="92"/>
      <c r="P1715" s="92"/>
      <c r="Q1715" s="92"/>
      <c r="R1715" s="92"/>
      <c r="S1715" s="92"/>
      <c r="T1715" s="92"/>
      <c r="U1715" s="92"/>
      <c r="V1715" s="92"/>
      <c r="W1715" s="92"/>
      <c r="X1715" s="92"/>
      <c r="Y1715" s="92"/>
      <c r="Z1715" s="92"/>
      <c r="AA1715" s="92"/>
      <c r="AB1715" s="92"/>
      <c r="AC1715" s="92"/>
      <c r="AD1715" s="93">
        <v>2.41</v>
      </c>
      <c r="AE1715" s="92"/>
      <c r="AF1715" s="92"/>
      <c r="AG1715" s="93">
        <v>42.41</v>
      </c>
      <c r="AH1715" s="93">
        <v>0</v>
      </c>
    </row>
    <row r="1716" spans="1:34" ht="15.75" thickBot="1" x14ac:dyDescent="0.3">
      <c r="A1716" s="90" t="s">
        <v>1046</v>
      </c>
      <c r="B1716" s="90" t="s">
        <v>68</v>
      </c>
      <c r="C1716" s="90" t="s">
        <v>877</v>
      </c>
      <c r="D1716" s="90" t="s">
        <v>17</v>
      </c>
      <c r="E1716" s="90" t="s">
        <v>528</v>
      </c>
      <c r="F1716" s="90" t="s">
        <v>697</v>
      </c>
      <c r="G1716" s="95">
        <v>40</v>
      </c>
      <c r="H1716" s="94"/>
      <c r="I1716" s="95">
        <v>40</v>
      </c>
      <c r="J1716" s="94"/>
      <c r="K1716" s="94"/>
      <c r="L1716" s="94"/>
      <c r="M1716" s="94"/>
      <c r="N1716" s="94"/>
      <c r="O1716" s="94"/>
      <c r="P1716" s="94"/>
      <c r="Q1716" s="94"/>
      <c r="R1716" s="94"/>
      <c r="S1716" s="94"/>
      <c r="T1716" s="94"/>
      <c r="U1716" s="94"/>
      <c r="V1716" s="94"/>
      <c r="W1716" s="94"/>
      <c r="X1716" s="94"/>
      <c r="Y1716" s="94"/>
      <c r="Z1716" s="94"/>
      <c r="AA1716" s="94"/>
      <c r="AB1716" s="94"/>
      <c r="AC1716" s="94"/>
      <c r="AD1716" s="95">
        <v>2.41</v>
      </c>
      <c r="AE1716" s="94"/>
      <c r="AF1716" s="94"/>
      <c r="AG1716" s="95">
        <v>42.41</v>
      </c>
      <c r="AH1716" s="95">
        <v>0</v>
      </c>
    </row>
    <row r="1717" spans="1:34" ht="15.75" thickBot="1" x14ac:dyDescent="0.3">
      <c r="A1717" s="90" t="s">
        <v>1046</v>
      </c>
      <c r="B1717" s="90" t="s">
        <v>68</v>
      </c>
      <c r="C1717" s="90" t="s">
        <v>877</v>
      </c>
      <c r="D1717" s="90" t="s">
        <v>17</v>
      </c>
      <c r="E1717" s="90" t="s">
        <v>547</v>
      </c>
      <c r="F1717" s="90" t="s">
        <v>686</v>
      </c>
      <c r="G1717" s="93">
        <v>544</v>
      </c>
      <c r="H1717" s="92"/>
      <c r="I1717" s="92"/>
      <c r="J1717" s="93">
        <v>544</v>
      </c>
      <c r="K1717" s="92"/>
      <c r="L1717" s="92"/>
      <c r="M1717" s="92"/>
      <c r="N1717" s="92"/>
      <c r="O1717" s="92"/>
      <c r="P1717" s="92"/>
      <c r="Q1717" s="92"/>
      <c r="R1717" s="92"/>
      <c r="S1717" s="92"/>
      <c r="T1717" s="92"/>
      <c r="U1717" s="92"/>
      <c r="V1717" s="92"/>
      <c r="W1717" s="92"/>
      <c r="X1717" s="92"/>
      <c r="Y1717" s="92"/>
      <c r="Z1717" s="92"/>
      <c r="AA1717" s="92"/>
      <c r="AB1717" s="92"/>
      <c r="AC1717" s="92"/>
      <c r="AD1717" s="93">
        <v>32.64</v>
      </c>
      <c r="AE1717" s="92"/>
      <c r="AF1717" s="92"/>
      <c r="AG1717" s="93">
        <v>576.64</v>
      </c>
      <c r="AH1717" s="93">
        <v>0</v>
      </c>
    </row>
    <row r="1718" spans="1:34" ht="15.75" thickBot="1" x14ac:dyDescent="0.3">
      <c r="A1718" s="90" t="s">
        <v>1046</v>
      </c>
      <c r="B1718" s="90" t="s">
        <v>68</v>
      </c>
      <c r="C1718" s="90" t="s">
        <v>877</v>
      </c>
      <c r="D1718" s="90" t="s">
        <v>17</v>
      </c>
      <c r="E1718" s="90" t="s">
        <v>547</v>
      </c>
      <c r="F1718" s="90" t="s">
        <v>697</v>
      </c>
      <c r="G1718" s="95">
        <v>544</v>
      </c>
      <c r="H1718" s="94"/>
      <c r="I1718" s="94"/>
      <c r="J1718" s="95">
        <v>544</v>
      </c>
      <c r="K1718" s="94"/>
      <c r="L1718" s="94"/>
      <c r="M1718" s="94"/>
      <c r="N1718" s="94"/>
      <c r="O1718" s="94"/>
      <c r="P1718" s="94"/>
      <c r="Q1718" s="94"/>
      <c r="R1718" s="94"/>
      <c r="S1718" s="94"/>
      <c r="T1718" s="94"/>
      <c r="U1718" s="94"/>
      <c r="V1718" s="94"/>
      <c r="W1718" s="94"/>
      <c r="X1718" s="94"/>
      <c r="Y1718" s="94"/>
      <c r="Z1718" s="94"/>
      <c r="AA1718" s="94"/>
      <c r="AB1718" s="94"/>
      <c r="AC1718" s="94"/>
      <c r="AD1718" s="95">
        <v>32.64</v>
      </c>
      <c r="AE1718" s="94"/>
      <c r="AF1718" s="94"/>
      <c r="AG1718" s="95">
        <v>576.64</v>
      </c>
      <c r="AH1718" s="95">
        <v>0</v>
      </c>
    </row>
    <row r="1719" spans="1:34" ht="15.75" thickBot="1" x14ac:dyDescent="0.3">
      <c r="A1719" s="90" t="s">
        <v>1046</v>
      </c>
      <c r="B1719" s="90" t="s">
        <v>68</v>
      </c>
      <c r="C1719" s="90" t="s">
        <v>877</v>
      </c>
      <c r="D1719" s="90" t="s">
        <v>17</v>
      </c>
      <c r="E1719" s="90" t="s">
        <v>518</v>
      </c>
      <c r="F1719" s="90" t="s">
        <v>686</v>
      </c>
      <c r="G1719" s="93">
        <v>0.23</v>
      </c>
      <c r="H1719" s="93">
        <v>7</v>
      </c>
      <c r="I1719" s="92"/>
      <c r="J1719" s="92"/>
      <c r="K1719" s="93">
        <v>0.23</v>
      </c>
      <c r="L1719" s="92"/>
      <c r="M1719" s="92"/>
      <c r="N1719" s="92"/>
      <c r="O1719" s="92"/>
      <c r="P1719" s="92"/>
      <c r="Q1719" s="92"/>
      <c r="R1719" s="92"/>
      <c r="S1719" s="92"/>
      <c r="T1719" s="92"/>
      <c r="U1719" s="92"/>
      <c r="V1719" s="92"/>
      <c r="W1719" s="92"/>
      <c r="X1719" s="92"/>
      <c r="Y1719" s="92"/>
      <c r="Z1719" s="92"/>
      <c r="AA1719" s="92"/>
      <c r="AB1719" s="92"/>
      <c r="AC1719" s="92"/>
      <c r="AD1719" s="93">
        <v>0.01</v>
      </c>
      <c r="AE1719" s="92"/>
      <c r="AF1719" s="92"/>
      <c r="AG1719" s="93">
        <v>0.24</v>
      </c>
      <c r="AH1719" s="93">
        <v>0</v>
      </c>
    </row>
    <row r="1720" spans="1:34" ht="15.75" thickBot="1" x14ac:dyDescent="0.3">
      <c r="A1720" s="90" t="s">
        <v>1046</v>
      </c>
      <c r="B1720" s="90" t="s">
        <v>68</v>
      </c>
      <c r="C1720" s="90" t="s">
        <v>877</v>
      </c>
      <c r="D1720" s="90" t="s">
        <v>17</v>
      </c>
      <c r="E1720" s="90" t="s">
        <v>518</v>
      </c>
      <c r="F1720" s="90" t="s">
        <v>697</v>
      </c>
      <c r="G1720" s="95">
        <v>0.23</v>
      </c>
      <c r="H1720" s="305">
        <v>7</v>
      </c>
      <c r="I1720" s="94"/>
      <c r="J1720" s="94"/>
      <c r="K1720" s="95">
        <v>0.23</v>
      </c>
      <c r="L1720" s="94"/>
      <c r="M1720" s="94"/>
      <c r="N1720" s="94"/>
      <c r="O1720" s="94"/>
      <c r="P1720" s="94"/>
      <c r="Q1720" s="94"/>
      <c r="R1720" s="94"/>
      <c r="S1720" s="94"/>
      <c r="T1720" s="94"/>
      <c r="U1720" s="94"/>
      <c r="V1720" s="94"/>
      <c r="W1720" s="94"/>
      <c r="X1720" s="94"/>
      <c r="Y1720" s="94"/>
      <c r="Z1720" s="94"/>
      <c r="AA1720" s="94"/>
      <c r="AB1720" s="94"/>
      <c r="AC1720" s="94"/>
      <c r="AD1720" s="95">
        <v>0.01</v>
      </c>
      <c r="AE1720" s="94"/>
      <c r="AF1720" s="94"/>
      <c r="AG1720" s="95">
        <v>0.24</v>
      </c>
      <c r="AH1720" s="95">
        <v>0</v>
      </c>
    </row>
    <row r="1721" spans="1:34" ht="15.75" thickBot="1" x14ac:dyDescent="0.3">
      <c r="A1721" s="90" t="s">
        <v>1046</v>
      </c>
      <c r="B1721" s="90" t="s">
        <v>68</v>
      </c>
      <c r="C1721" s="90" t="s">
        <v>877</v>
      </c>
      <c r="D1721" s="90" t="s">
        <v>17</v>
      </c>
      <c r="E1721" s="90" t="s">
        <v>196</v>
      </c>
      <c r="F1721" s="90" t="s">
        <v>686</v>
      </c>
      <c r="G1721" s="93">
        <v>2.61</v>
      </c>
      <c r="H1721" s="92"/>
      <c r="I1721" s="92"/>
      <c r="J1721" s="92"/>
      <c r="K1721" s="92"/>
      <c r="L1721" s="92"/>
      <c r="M1721" s="92"/>
      <c r="N1721" s="92"/>
      <c r="O1721" s="92"/>
      <c r="P1721" s="93">
        <v>2.61</v>
      </c>
      <c r="Q1721" s="92"/>
      <c r="R1721" s="92"/>
      <c r="S1721" s="92"/>
      <c r="T1721" s="92"/>
      <c r="U1721" s="92"/>
      <c r="V1721" s="92"/>
      <c r="W1721" s="92"/>
      <c r="X1721" s="92"/>
      <c r="Y1721" s="92"/>
      <c r="Z1721" s="92"/>
      <c r="AA1721" s="92"/>
      <c r="AB1721" s="92"/>
      <c r="AC1721" s="92"/>
      <c r="AD1721" s="93">
        <v>0.15</v>
      </c>
      <c r="AE1721" s="92"/>
      <c r="AF1721" s="92"/>
      <c r="AG1721" s="93">
        <v>2.76</v>
      </c>
      <c r="AH1721" s="93">
        <v>0</v>
      </c>
    </row>
    <row r="1722" spans="1:34" ht="15.75" thickBot="1" x14ac:dyDescent="0.3">
      <c r="A1722" s="90" t="s">
        <v>1046</v>
      </c>
      <c r="B1722" s="90" t="s">
        <v>68</v>
      </c>
      <c r="C1722" s="90" t="s">
        <v>877</v>
      </c>
      <c r="D1722" s="90" t="s">
        <v>17</v>
      </c>
      <c r="E1722" s="90" t="s">
        <v>196</v>
      </c>
      <c r="F1722" s="90" t="s">
        <v>697</v>
      </c>
      <c r="G1722" s="95">
        <v>2.61</v>
      </c>
      <c r="H1722" s="94"/>
      <c r="I1722" s="94"/>
      <c r="J1722" s="94"/>
      <c r="K1722" s="94"/>
      <c r="L1722" s="94"/>
      <c r="M1722" s="94"/>
      <c r="N1722" s="94"/>
      <c r="O1722" s="94"/>
      <c r="P1722" s="95">
        <v>2.61</v>
      </c>
      <c r="Q1722" s="94"/>
      <c r="R1722" s="94"/>
      <c r="S1722" s="94"/>
      <c r="T1722" s="94"/>
      <c r="U1722" s="94"/>
      <c r="V1722" s="94"/>
      <c r="W1722" s="94"/>
      <c r="X1722" s="94"/>
      <c r="Y1722" s="94"/>
      <c r="Z1722" s="94"/>
      <c r="AA1722" s="94"/>
      <c r="AB1722" s="94"/>
      <c r="AC1722" s="94"/>
      <c r="AD1722" s="95">
        <v>0.15</v>
      </c>
      <c r="AE1722" s="94"/>
      <c r="AF1722" s="94"/>
      <c r="AG1722" s="95">
        <v>2.76</v>
      </c>
      <c r="AH1722" s="95">
        <v>0</v>
      </c>
    </row>
    <row r="1723" spans="1:34" ht="15.75" thickBot="1" x14ac:dyDescent="0.3">
      <c r="A1723" s="90" t="s">
        <v>1046</v>
      </c>
      <c r="B1723" s="90" t="s">
        <v>50</v>
      </c>
      <c r="C1723" s="90" t="s">
        <v>881</v>
      </c>
      <c r="D1723" s="90" t="s">
        <v>661</v>
      </c>
      <c r="E1723" s="90" t="s">
        <v>198</v>
      </c>
      <c r="F1723" s="90" t="s">
        <v>522</v>
      </c>
      <c r="G1723" s="93">
        <v>190.36</v>
      </c>
      <c r="H1723" s="92"/>
      <c r="I1723" s="92"/>
      <c r="J1723" s="92"/>
      <c r="K1723" s="92"/>
      <c r="L1723" s="92"/>
      <c r="M1723" s="92"/>
      <c r="N1723" s="92"/>
      <c r="O1723" s="93">
        <v>190.36</v>
      </c>
      <c r="P1723" s="92"/>
      <c r="Q1723" s="92"/>
      <c r="R1723" s="92"/>
      <c r="S1723" s="92"/>
      <c r="T1723" s="92"/>
      <c r="U1723" s="92"/>
      <c r="V1723" s="92"/>
      <c r="W1723" s="92"/>
      <c r="X1723" s="92"/>
      <c r="Y1723" s="92"/>
      <c r="Z1723" s="92"/>
      <c r="AA1723" s="92"/>
      <c r="AB1723" s="92"/>
      <c r="AC1723" s="92"/>
      <c r="AD1723" s="93">
        <v>3.82</v>
      </c>
      <c r="AE1723" s="92"/>
      <c r="AF1723" s="92"/>
      <c r="AG1723" s="93">
        <v>194.18</v>
      </c>
      <c r="AH1723" s="93">
        <v>0</v>
      </c>
    </row>
    <row r="1724" spans="1:34" ht="15.75" thickBot="1" x14ac:dyDescent="0.3">
      <c r="A1724" s="90" t="s">
        <v>1046</v>
      </c>
      <c r="B1724" s="90" t="s">
        <v>50</v>
      </c>
      <c r="C1724" s="90" t="s">
        <v>881</v>
      </c>
      <c r="D1724" s="90" t="s">
        <v>661</v>
      </c>
      <c r="E1724" s="90" t="s">
        <v>198</v>
      </c>
      <c r="F1724" s="90" t="s">
        <v>697</v>
      </c>
      <c r="G1724" s="95">
        <v>190.36</v>
      </c>
      <c r="H1724" s="94"/>
      <c r="I1724" s="94"/>
      <c r="J1724" s="94"/>
      <c r="K1724" s="94"/>
      <c r="L1724" s="94"/>
      <c r="M1724" s="94"/>
      <c r="N1724" s="94"/>
      <c r="O1724" s="95">
        <v>190.36</v>
      </c>
      <c r="P1724" s="94"/>
      <c r="Q1724" s="94"/>
      <c r="R1724" s="94"/>
      <c r="S1724" s="94"/>
      <c r="T1724" s="94"/>
      <c r="U1724" s="94"/>
      <c r="V1724" s="94"/>
      <c r="W1724" s="94"/>
      <c r="X1724" s="94"/>
      <c r="Y1724" s="94"/>
      <c r="Z1724" s="94"/>
      <c r="AA1724" s="94"/>
      <c r="AB1724" s="94"/>
      <c r="AC1724" s="94"/>
      <c r="AD1724" s="95">
        <v>3.82</v>
      </c>
      <c r="AE1724" s="94"/>
      <c r="AF1724" s="94"/>
      <c r="AG1724" s="95">
        <v>194.18</v>
      </c>
      <c r="AH1724" s="95">
        <v>0</v>
      </c>
    </row>
    <row r="1725" spans="1:34" ht="15.75" thickBot="1" x14ac:dyDescent="0.3">
      <c r="A1725" s="90" t="s">
        <v>1046</v>
      </c>
      <c r="B1725" s="90" t="s">
        <v>50</v>
      </c>
      <c r="C1725" s="90" t="s">
        <v>881</v>
      </c>
      <c r="D1725" s="90" t="s">
        <v>661</v>
      </c>
      <c r="E1725" s="90" t="s">
        <v>518</v>
      </c>
      <c r="F1725" s="90" t="s">
        <v>522</v>
      </c>
      <c r="G1725" s="93">
        <v>14368.08</v>
      </c>
      <c r="H1725" s="93">
        <v>333986</v>
      </c>
      <c r="I1725" s="92"/>
      <c r="J1725" s="92"/>
      <c r="K1725" s="93">
        <v>14368.08</v>
      </c>
      <c r="L1725" s="92"/>
      <c r="M1725" s="92"/>
      <c r="N1725" s="92"/>
      <c r="O1725" s="92"/>
      <c r="P1725" s="92"/>
      <c r="Q1725" s="92"/>
      <c r="R1725" s="92"/>
      <c r="S1725" s="92"/>
      <c r="T1725" s="92"/>
      <c r="U1725" s="92"/>
      <c r="V1725" s="92"/>
      <c r="W1725" s="92"/>
      <c r="X1725" s="92"/>
      <c r="Y1725" s="92"/>
      <c r="Z1725" s="92"/>
      <c r="AA1725" s="92"/>
      <c r="AB1725" s="92"/>
      <c r="AC1725" s="92"/>
      <c r="AD1725" s="93">
        <v>288.20999999999998</v>
      </c>
      <c r="AE1725" s="92"/>
      <c r="AF1725" s="92"/>
      <c r="AG1725" s="93">
        <v>14656.29</v>
      </c>
      <c r="AH1725" s="93">
        <v>0</v>
      </c>
    </row>
    <row r="1726" spans="1:34" ht="15.75" thickBot="1" x14ac:dyDescent="0.3">
      <c r="A1726" s="90" t="s">
        <v>1046</v>
      </c>
      <c r="B1726" s="90" t="s">
        <v>50</v>
      </c>
      <c r="C1726" s="90" t="s">
        <v>881</v>
      </c>
      <c r="D1726" s="90" t="s">
        <v>661</v>
      </c>
      <c r="E1726" s="90" t="s">
        <v>518</v>
      </c>
      <c r="F1726" s="90" t="s">
        <v>697</v>
      </c>
      <c r="G1726" s="95">
        <v>14368.08</v>
      </c>
      <c r="H1726" s="305">
        <v>333986</v>
      </c>
      <c r="I1726" s="94"/>
      <c r="J1726" s="94"/>
      <c r="K1726" s="95">
        <v>14368.08</v>
      </c>
      <c r="L1726" s="94"/>
      <c r="M1726" s="94"/>
      <c r="N1726" s="94"/>
      <c r="O1726" s="94"/>
      <c r="P1726" s="94"/>
      <c r="Q1726" s="94"/>
      <c r="R1726" s="94"/>
      <c r="S1726" s="94"/>
      <c r="T1726" s="94"/>
      <c r="U1726" s="94"/>
      <c r="V1726" s="94"/>
      <c r="W1726" s="94"/>
      <c r="X1726" s="94"/>
      <c r="Y1726" s="94"/>
      <c r="Z1726" s="94"/>
      <c r="AA1726" s="94"/>
      <c r="AB1726" s="94"/>
      <c r="AC1726" s="94"/>
      <c r="AD1726" s="95">
        <v>288.20999999999998</v>
      </c>
      <c r="AE1726" s="94"/>
      <c r="AF1726" s="94"/>
      <c r="AG1726" s="95">
        <v>14656.29</v>
      </c>
      <c r="AH1726" s="95">
        <v>0</v>
      </c>
    </row>
    <row r="1727" spans="1:34" ht="15.75" thickBot="1" x14ac:dyDescent="0.3">
      <c r="A1727" s="90" t="s">
        <v>1046</v>
      </c>
      <c r="B1727" s="90" t="s">
        <v>50</v>
      </c>
      <c r="C1727" s="90" t="s">
        <v>881</v>
      </c>
      <c r="D1727" s="90" t="s">
        <v>661</v>
      </c>
      <c r="E1727" s="90" t="s">
        <v>524</v>
      </c>
      <c r="F1727" s="90" t="s">
        <v>522</v>
      </c>
      <c r="G1727" s="93">
        <v>4400</v>
      </c>
      <c r="H1727" s="92"/>
      <c r="I1727" s="93">
        <v>4400</v>
      </c>
      <c r="J1727" s="92"/>
      <c r="K1727" s="92"/>
      <c r="L1727" s="92"/>
      <c r="M1727" s="92"/>
      <c r="N1727" s="92"/>
      <c r="O1727" s="92"/>
      <c r="P1727" s="92"/>
      <c r="Q1727" s="92"/>
      <c r="R1727" s="92"/>
      <c r="S1727" s="92"/>
      <c r="T1727" s="92"/>
      <c r="U1727" s="92"/>
      <c r="V1727" s="92"/>
      <c r="W1727" s="92"/>
      <c r="X1727" s="92"/>
      <c r="Y1727" s="92"/>
      <c r="Z1727" s="92"/>
      <c r="AA1727" s="92"/>
      <c r="AB1727" s="92"/>
      <c r="AC1727" s="92"/>
      <c r="AD1727" s="93">
        <v>66</v>
      </c>
      <c r="AE1727" s="92"/>
      <c r="AF1727" s="92"/>
      <c r="AG1727" s="93">
        <v>4466</v>
      </c>
      <c r="AH1727" s="93">
        <v>0</v>
      </c>
    </row>
    <row r="1728" spans="1:34" ht="15.75" thickBot="1" x14ac:dyDescent="0.3">
      <c r="A1728" s="90" t="s">
        <v>1046</v>
      </c>
      <c r="B1728" s="90" t="s">
        <v>50</v>
      </c>
      <c r="C1728" s="90" t="s">
        <v>881</v>
      </c>
      <c r="D1728" s="90" t="s">
        <v>661</v>
      </c>
      <c r="E1728" s="90" t="s">
        <v>524</v>
      </c>
      <c r="F1728" s="90" t="s">
        <v>697</v>
      </c>
      <c r="G1728" s="95">
        <v>4400</v>
      </c>
      <c r="H1728" s="94"/>
      <c r="I1728" s="95">
        <v>4400</v>
      </c>
      <c r="J1728" s="94"/>
      <c r="K1728" s="94"/>
      <c r="L1728" s="94"/>
      <c r="M1728" s="94"/>
      <c r="N1728" s="94"/>
      <c r="O1728" s="94"/>
      <c r="P1728" s="94"/>
      <c r="Q1728" s="94"/>
      <c r="R1728" s="94"/>
      <c r="S1728" s="94"/>
      <c r="T1728" s="94"/>
      <c r="U1728" s="94"/>
      <c r="V1728" s="94"/>
      <c r="W1728" s="94"/>
      <c r="X1728" s="94"/>
      <c r="Y1728" s="94"/>
      <c r="Z1728" s="94"/>
      <c r="AA1728" s="94"/>
      <c r="AB1728" s="94"/>
      <c r="AC1728" s="94"/>
      <c r="AD1728" s="95">
        <v>66</v>
      </c>
      <c r="AE1728" s="94"/>
      <c r="AF1728" s="94"/>
      <c r="AG1728" s="95">
        <v>4466</v>
      </c>
      <c r="AH1728" s="95">
        <v>0</v>
      </c>
    </row>
    <row r="1729" spans="1:34" ht="15.75" thickBot="1" x14ac:dyDescent="0.3">
      <c r="A1729" s="90" t="s">
        <v>1046</v>
      </c>
      <c r="B1729" s="90" t="s">
        <v>50</v>
      </c>
      <c r="C1729" s="90" t="s">
        <v>881</v>
      </c>
      <c r="D1729" s="90" t="s">
        <v>662</v>
      </c>
      <c r="E1729" s="90" t="s">
        <v>198</v>
      </c>
      <c r="F1729" s="90" t="s">
        <v>522</v>
      </c>
      <c r="G1729" s="93">
        <v>40.99</v>
      </c>
      <c r="H1729" s="92"/>
      <c r="I1729" s="92"/>
      <c r="J1729" s="92"/>
      <c r="K1729" s="92"/>
      <c r="L1729" s="92"/>
      <c r="M1729" s="92"/>
      <c r="N1729" s="92"/>
      <c r="O1729" s="93">
        <v>40.99</v>
      </c>
      <c r="P1729" s="92"/>
      <c r="Q1729" s="92"/>
      <c r="R1729" s="92"/>
      <c r="S1729" s="92"/>
      <c r="T1729" s="92"/>
      <c r="U1729" s="92"/>
      <c r="V1729" s="92"/>
      <c r="W1729" s="92"/>
      <c r="X1729" s="92"/>
      <c r="Y1729" s="92"/>
      <c r="Z1729" s="92"/>
      <c r="AA1729" s="92"/>
      <c r="AB1729" s="92"/>
      <c r="AC1729" s="92"/>
      <c r="AD1729" s="93">
        <v>0.69</v>
      </c>
      <c r="AE1729" s="92"/>
      <c r="AF1729" s="92"/>
      <c r="AG1729" s="93">
        <v>41.68</v>
      </c>
      <c r="AH1729" s="93">
        <v>0</v>
      </c>
    </row>
    <row r="1730" spans="1:34" ht="15.75" thickBot="1" x14ac:dyDescent="0.3">
      <c r="A1730" s="90" t="s">
        <v>1046</v>
      </c>
      <c r="B1730" s="90" t="s">
        <v>50</v>
      </c>
      <c r="C1730" s="90" t="s">
        <v>881</v>
      </c>
      <c r="D1730" s="90" t="s">
        <v>662</v>
      </c>
      <c r="E1730" s="90" t="s">
        <v>198</v>
      </c>
      <c r="F1730" s="90" t="s">
        <v>697</v>
      </c>
      <c r="G1730" s="95">
        <v>40.99</v>
      </c>
      <c r="H1730" s="94"/>
      <c r="I1730" s="94"/>
      <c r="J1730" s="94"/>
      <c r="K1730" s="94"/>
      <c r="L1730" s="94"/>
      <c r="M1730" s="94"/>
      <c r="N1730" s="94"/>
      <c r="O1730" s="95">
        <v>40.99</v>
      </c>
      <c r="P1730" s="94"/>
      <c r="Q1730" s="94"/>
      <c r="R1730" s="94"/>
      <c r="S1730" s="94"/>
      <c r="T1730" s="94"/>
      <c r="U1730" s="94"/>
      <c r="V1730" s="94"/>
      <c r="W1730" s="94"/>
      <c r="X1730" s="94"/>
      <c r="Y1730" s="94"/>
      <c r="Z1730" s="94"/>
      <c r="AA1730" s="94"/>
      <c r="AB1730" s="94"/>
      <c r="AC1730" s="94"/>
      <c r="AD1730" s="95">
        <v>0.69</v>
      </c>
      <c r="AE1730" s="94"/>
      <c r="AF1730" s="94"/>
      <c r="AG1730" s="95">
        <v>41.68</v>
      </c>
      <c r="AH1730" s="95">
        <v>0</v>
      </c>
    </row>
    <row r="1731" spans="1:34" ht="15.75" thickBot="1" x14ac:dyDescent="0.3">
      <c r="A1731" s="90" t="s">
        <v>1046</v>
      </c>
      <c r="B1731" s="90" t="s">
        <v>50</v>
      </c>
      <c r="C1731" s="90" t="s">
        <v>881</v>
      </c>
      <c r="D1731" s="90" t="s">
        <v>662</v>
      </c>
      <c r="E1731" s="90" t="s">
        <v>525</v>
      </c>
      <c r="F1731" s="90" t="s">
        <v>690</v>
      </c>
      <c r="G1731" s="93">
        <v>-1648.76</v>
      </c>
      <c r="H1731" s="92"/>
      <c r="I1731" s="92"/>
      <c r="J1731" s="92"/>
      <c r="K1731" s="92"/>
      <c r="L1731" s="92"/>
      <c r="M1731" s="92"/>
      <c r="N1731" s="92"/>
      <c r="O1731" s="92"/>
      <c r="P1731" s="92"/>
      <c r="Q1731" s="92"/>
      <c r="R1731" s="93">
        <v>-1648.76</v>
      </c>
      <c r="S1731" s="92"/>
      <c r="T1731" s="92"/>
      <c r="U1731" s="92"/>
      <c r="V1731" s="92"/>
      <c r="W1731" s="92"/>
      <c r="X1731" s="92"/>
      <c r="Y1731" s="92"/>
      <c r="Z1731" s="92"/>
      <c r="AA1731" s="92"/>
      <c r="AB1731" s="92"/>
      <c r="AC1731" s="92"/>
      <c r="AD1731" s="93">
        <v>-49.46</v>
      </c>
      <c r="AE1731" s="92"/>
      <c r="AF1731" s="92"/>
      <c r="AG1731" s="93">
        <v>-1698.22</v>
      </c>
      <c r="AH1731" s="93">
        <v>0</v>
      </c>
    </row>
    <row r="1732" spans="1:34" ht="15.75" thickBot="1" x14ac:dyDescent="0.3">
      <c r="A1732" s="90" t="s">
        <v>1046</v>
      </c>
      <c r="B1732" s="90" t="s">
        <v>50</v>
      </c>
      <c r="C1732" s="90" t="s">
        <v>881</v>
      </c>
      <c r="D1732" s="90" t="s">
        <v>662</v>
      </c>
      <c r="E1732" s="90" t="s">
        <v>525</v>
      </c>
      <c r="F1732" s="90" t="s">
        <v>697</v>
      </c>
      <c r="G1732" s="95">
        <v>-1648.76</v>
      </c>
      <c r="H1732" s="94"/>
      <c r="I1732" s="94"/>
      <c r="J1732" s="94"/>
      <c r="K1732" s="94"/>
      <c r="L1732" s="94"/>
      <c r="M1732" s="94"/>
      <c r="N1732" s="94"/>
      <c r="O1732" s="94"/>
      <c r="P1732" s="94"/>
      <c r="Q1732" s="94"/>
      <c r="R1732" s="95">
        <v>-1648.76</v>
      </c>
      <c r="S1732" s="94"/>
      <c r="T1732" s="94"/>
      <c r="U1732" s="94"/>
      <c r="V1732" s="94"/>
      <c r="W1732" s="94"/>
      <c r="X1732" s="94"/>
      <c r="Y1732" s="94"/>
      <c r="Z1732" s="94"/>
      <c r="AA1732" s="94"/>
      <c r="AB1732" s="94"/>
      <c r="AC1732" s="94"/>
      <c r="AD1732" s="95">
        <v>-49.46</v>
      </c>
      <c r="AE1732" s="94"/>
      <c r="AF1732" s="94"/>
      <c r="AG1732" s="95">
        <v>-1698.22</v>
      </c>
      <c r="AH1732" s="95">
        <v>0</v>
      </c>
    </row>
    <row r="1733" spans="1:34" ht="15.75" thickBot="1" x14ac:dyDescent="0.3">
      <c r="A1733" s="90" t="s">
        <v>1046</v>
      </c>
      <c r="B1733" s="90" t="s">
        <v>50</v>
      </c>
      <c r="C1733" s="90" t="s">
        <v>881</v>
      </c>
      <c r="D1733" s="90" t="s">
        <v>662</v>
      </c>
      <c r="E1733" s="90" t="s">
        <v>518</v>
      </c>
      <c r="F1733" s="90" t="s">
        <v>522</v>
      </c>
      <c r="G1733" s="93">
        <v>3093.78</v>
      </c>
      <c r="H1733" s="93">
        <v>71915</v>
      </c>
      <c r="I1733" s="92"/>
      <c r="J1733" s="92"/>
      <c r="K1733" s="93">
        <v>3093.78</v>
      </c>
      <c r="L1733" s="92"/>
      <c r="M1733" s="92"/>
      <c r="N1733" s="92"/>
      <c r="O1733" s="92"/>
      <c r="P1733" s="92"/>
      <c r="Q1733" s="92"/>
      <c r="R1733" s="92"/>
      <c r="S1733" s="92"/>
      <c r="T1733" s="92"/>
      <c r="U1733" s="92"/>
      <c r="V1733" s="92"/>
      <c r="W1733" s="92"/>
      <c r="X1733" s="92"/>
      <c r="Y1733" s="92"/>
      <c r="Z1733" s="92"/>
      <c r="AA1733" s="92"/>
      <c r="AB1733" s="92"/>
      <c r="AC1733" s="92"/>
      <c r="AD1733" s="93">
        <v>52.36</v>
      </c>
      <c r="AE1733" s="92"/>
      <c r="AF1733" s="92"/>
      <c r="AG1733" s="93">
        <v>3146.14</v>
      </c>
      <c r="AH1733" s="93">
        <v>0</v>
      </c>
    </row>
    <row r="1734" spans="1:34" ht="15.75" thickBot="1" x14ac:dyDescent="0.3">
      <c r="A1734" s="90" t="s">
        <v>1046</v>
      </c>
      <c r="B1734" s="90" t="s">
        <v>50</v>
      </c>
      <c r="C1734" s="90" t="s">
        <v>881</v>
      </c>
      <c r="D1734" s="90" t="s">
        <v>662</v>
      </c>
      <c r="E1734" s="90" t="s">
        <v>518</v>
      </c>
      <c r="F1734" s="90" t="s">
        <v>697</v>
      </c>
      <c r="G1734" s="95">
        <v>3093.78</v>
      </c>
      <c r="H1734" s="305">
        <v>71915</v>
      </c>
      <c r="I1734" s="94"/>
      <c r="J1734" s="94"/>
      <c r="K1734" s="95">
        <v>3093.78</v>
      </c>
      <c r="L1734" s="94"/>
      <c r="M1734" s="94"/>
      <c r="N1734" s="94"/>
      <c r="O1734" s="94"/>
      <c r="P1734" s="94"/>
      <c r="Q1734" s="94"/>
      <c r="R1734" s="94"/>
      <c r="S1734" s="94"/>
      <c r="T1734" s="94"/>
      <c r="U1734" s="94"/>
      <c r="V1734" s="94"/>
      <c r="W1734" s="94"/>
      <c r="X1734" s="94"/>
      <c r="Y1734" s="94"/>
      <c r="Z1734" s="94"/>
      <c r="AA1734" s="94"/>
      <c r="AB1734" s="94"/>
      <c r="AC1734" s="94"/>
      <c r="AD1734" s="95">
        <v>52.36</v>
      </c>
      <c r="AE1734" s="94"/>
      <c r="AF1734" s="94"/>
      <c r="AG1734" s="95">
        <v>3146.14</v>
      </c>
      <c r="AH1734" s="95">
        <v>0</v>
      </c>
    </row>
    <row r="1735" spans="1:34" ht="15.75" thickBot="1" x14ac:dyDescent="0.3">
      <c r="A1735" s="90" t="s">
        <v>1046</v>
      </c>
      <c r="B1735" s="90" t="s">
        <v>50</v>
      </c>
      <c r="C1735" s="90" t="s">
        <v>881</v>
      </c>
      <c r="D1735" s="90" t="s">
        <v>662</v>
      </c>
      <c r="E1735" s="90" t="s">
        <v>527</v>
      </c>
      <c r="F1735" s="90" t="s">
        <v>690</v>
      </c>
      <c r="G1735" s="93">
        <v>61.98</v>
      </c>
      <c r="H1735" s="92"/>
      <c r="I1735" s="92"/>
      <c r="J1735" s="92"/>
      <c r="K1735" s="92"/>
      <c r="L1735" s="92"/>
      <c r="M1735" s="92"/>
      <c r="N1735" s="92"/>
      <c r="O1735" s="92"/>
      <c r="P1735" s="92"/>
      <c r="Q1735" s="92"/>
      <c r="R1735" s="92"/>
      <c r="S1735" s="93">
        <v>61.98</v>
      </c>
      <c r="T1735" s="92"/>
      <c r="U1735" s="92"/>
      <c r="V1735" s="92"/>
      <c r="W1735" s="92"/>
      <c r="X1735" s="92"/>
      <c r="Y1735" s="92"/>
      <c r="Z1735" s="92"/>
      <c r="AA1735" s="92"/>
      <c r="AB1735" s="92"/>
      <c r="AC1735" s="92"/>
      <c r="AD1735" s="93">
        <v>1.86</v>
      </c>
      <c r="AE1735" s="92"/>
      <c r="AF1735" s="92"/>
      <c r="AG1735" s="93">
        <v>63.84</v>
      </c>
      <c r="AH1735" s="93">
        <v>0</v>
      </c>
    </row>
    <row r="1736" spans="1:34" ht="15.75" thickBot="1" x14ac:dyDescent="0.3">
      <c r="A1736" s="90" t="s">
        <v>1046</v>
      </c>
      <c r="B1736" s="90" t="s">
        <v>50</v>
      </c>
      <c r="C1736" s="90" t="s">
        <v>881</v>
      </c>
      <c r="D1736" s="90" t="s">
        <v>662</v>
      </c>
      <c r="E1736" s="90" t="s">
        <v>527</v>
      </c>
      <c r="F1736" s="90" t="s">
        <v>697</v>
      </c>
      <c r="G1736" s="95">
        <v>61.98</v>
      </c>
      <c r="H1736" s="94"/>
      <c r="I1736" s="94"/>
      <c r="J1736" s="94"/>
      <c r="K1736" s="94"/>
      <c r="L1736" s="94"/>
      <c r="M1736" s="94"/>
      <c r="N1736" s="94"/>
      <c r="O1736" s="94"/>
      <c r="P1736" s="94"/>
      <c r="Q1736" s="94"/>
      <c r="R1736" s="94"/>
      <c r="S1736" s="95">
        <v>61.98</v>
      </c>
      <c r="T1736" s="94"/>
      <c r="U1736" s="94"/>
      <c r="V1736" s="94"/>
      <c r="W1736" s="94"/>
      <c r="X1736" s="94"/>
      <c r="Y1736" s="94"/>
      <c r="Z1736" s="94"/>
      <c r="AA1736" s="94"/>
      <c r="AB1736" s="94"/>
      <c r="AC1736" s="94"/>
      <c r="AD1736" s="95">
        <v>1.86</v>
      </c>
      <c r="AE1736" s="94"/>
      <c r="AF1736" s="94"/>
      <c r="AG1736" s="95">
        <v>63.84</v>
      </c>
      <c r="AH1736" s="95">
        <v>0</v>
      </c>
    </row>
    <row r="1737" spans="1:34" ht="15.75" thickBot="1" x14ac:dyDescent="0.3">
      <c r="A1737" s="90" t="s">
        <v>1046</v>
      </c>
      <c r="B1737" s="90" t="s">
        <v>50</v>
      </c>
      <c r="C1737" s="90" t="s">
        <v>881</v>
      </c>
      <c r="D1737" s="90" t="s">
        <v>662</v>
      </c>
      <c r="E1737" s="90" t="s">
        <v>671</v>
      </c>
      <c r="F1737" s="90" t="s">
        <v>522</v>
      </c>
      <c r="G1737" s="93">
        <v>47.15</v>
      </c>
      <c r="H1737" s="92"/>
      <c r="I1737" s="92"/>
      <c r="J1737" s="92"/>
      <c r="K1737" s="92"/>
      <c r="L1737" s="93">
        <v>47.15</v>
      </c>
      <c r="M1737" s="92"/>
      <c r="N1737" s="92"/>
      <c r="O1737" s="92"/>
      <c r="P1737" s="92"/>
      <c r="Q1737" s="92"/>
      <c r="R1737" s="92"/>
      <c r="S1737" s="92"/>
      <c r="T1737" s="92"/>
      <c r="U1737" s="92"/>
      <c r="V1737" s="92"/>
      <c r="W1737" s="92"/>
      <c r="X1737" s="92"/>
      <c r="Y1737" s="92"/>
      <c r="Z1737" s="92"/>
      <c r="AA1737" s="92"/>
      <c r="AB1737" s="92"/>
      <c r="AC1737" s="92"/>
      <c r="AD1737" s="93">
        <v>0</v>
      </c>
      <c r="AE1737" s="92"/>
      <c r="AF1737" s="92"/>
      <c r="AG1737" s="93">
        <v>47.15</v>
      </c>
      <c r="AH1737" s="93">
        <v>0</v>
      </c>
    </row>
    <row r="1738" spans="1:34" ht="15.75" thickBot="1" x14ac:dyDescent="0.3">
      <c r="A1738" s="90" t="s">
        <v>1046</v>
      </c>
      <c r="B1738" s="90" t="s">
        <v>50</v>
      </c>
      <c r="C1738" s="90" t="s">
        <v>881</v>
      </c>
      <c r="D1738" s="90" t="s">
        <v>662</v>
      </c>
      <c r="E1738" s="90" t="s">
        <v>671</v>
      </c>
      <c r="F1738" s="90" t="s">
        <v>697</v>
      </c>
      <c r="G1738" s="95">
        <v>47.15</v>
      </c>
      <c r="H1738" s="94"/>
      <c r="I1738" s="94"/>
      <c r="J1738" s="94"/>
      <c r="K1738" s="94"/>
      <c r="L1738" s="95">
        <v>47.15</v>
      </c>
      <c r="M1738" s="94"/>
      <c r="N1738" s="94"/>
      <c r="O1738" s="94"/>
      <c r="P1738" s="94"/>
      <c r="Q1738" s="94"/>
      <c r="R1738" s="94"/>
      <c r="S1738" s="94"/>
      <c r="T1738" s="94"/>
      <c r="U1738" s="94"/>
      <c r="V1738" s="94"/>
      <c r="W1738" s="94"/>
      <c r="X1738" s="94"/>
      <c r="Y1738" s="94"/>
      <c r="Z1738" s="94"/>
      <c r="AA1738" s="94"/>
      <c r="AB1738" s="94"/>
      <c r="AC1738" s="94"/>
      <c r="AD1738" s="95">
        <v>0</v>
      </c>
      <c r="AE1738" s="94"/>
      <c r="AF1738" s="94"/>
      <c r="AG1738" s="95">
        <v>47.15</v>
      </c>
      <c r="AH1738" s="95">
        <v>0</v>
      </c>
    </row>
    <row r="1739" spans="1:34" ht="15.75" thickBot="1" x14ac:dyDescent="0.3">
      <c r="A1739" s="90" t="s">
        <v>1046</v>
      </c>
      <c r="B1739" s="90" t="s">
        <v>50</v>
      </c>
      <c r="C1739" s="90" t="s">
        <v>881</v>
      </c>
      <c r="D1739" s="90" t="s">
        <v>662</v>
      </c>
      <c r="E1739" s="90" t="s">
        <v>524</v>
      </c>
      <c r="F1739" s="90" t="s">
        <v>522</v>
      </c>
      <c r="G1739" s="93">
        <v>1100</v>
      </c>
      <c r="H1739" s="92"/>
      <c r="I1739" s="93">
        <v>1100</v>
      </c>
      <c r="J1739" s="92"/>
      <c r="K1739" s="92"/>
      <c r="L1739" s="92"/>
      <c r="M1739" s="92"/>
      <c r="N1739" s="92"/>
      <c r="O1739" s="92"/>
      <c r="P1739" s="92"/>
      <c r="Q1739" s="92"/>
      <c r="R1739" s="92"/>
      <c r="S1739" s="92"/>
      <c r="T1739" s="92"/>
      <c r="U1739" s="92"/>
      <c r="V1739" s="92"/>
      <c r="W1739" s="92"/>
      <c r="X1739" s="92"/>
      <c r="Y1739" s="92"/>
      <c r="Z1739" s="92"/>
      <c r="AA1739" s="92"/>
      <c r="AB1739" s="92"/>
      <c r="AC1739" s="92"/>
      <c r="AD1739" s="93">
        <v>16.489999999999998</v>
      </c>
      <c r="AE1739" s="92"/>
      <c r="AF1739" s="92"/>
      <c r="AG1739" s="93">
        <v>1116.49</v>
      </c>
      <c r="AH1739" s="93">
        <v>0</v>
      </c>
    </row>
    <row r="1740" spans="1:34" ht="15.75" thickBot="1" x14ac:dyDescent="0.3">
      <c r="A1740" s="90" t="s">
        <v>1046</v>
      </c>
      <c r="B1740" s="90" t="s">
        <v>50</v>
      </c>
      <c r="C1740" s="90" t="s">
        <v>881</v>
      </c>
      <c r="D1740" s="90" t="s">
        <v>662</v>
      </c>
      <c r="E1740" s="90" t="s">
        <v>524</v>
      </c>
      <c r="F1740" s="90" t="s">
        <v>697</v>
      </c>
      <c r="G1740" s="95">
        <v>1100</v>
      </c>
      <c r="H1740" s="94"/>
      <c r="I1740" s="95">
        <v>1100</v>
      </c>
      <c r="J1740" s="94"/>
      <c r="K1740" s="94"/>
      <c r="L1740" s="94"/>
      <c r="M1740" s="94"/>
      <c r="N1740" s="94"/>
      <c r="O1740" s="94"/>
      <c r="P1740" s="94"/>
      <c r="Q1740" s="94"/>
      <c r="R1740" s="94"/>
      <c r="S1740" s="94"/>
      <c r="T1740" s="94"/>
      <c r="U1740" s="94"/>
      <c r="V1740" s="94"/>
      <c r="W1740" s="94"/>
      <c r="X1740" s="94"/>
      <c r="Y1740" s="94"/>
      <c r="Z1740" s="94"/>
      <c r="AA1740" s="94"/>
      <c r="AB1740" s="94"/>
      <c r="AC1740" s="94"/>
      <c r="AD1740" s="95">
        <v>16.489999999999998</v>
      </c>
      <c r="AE1740" s="94"/>
      <c r="AF1740" s="94"/>
      <c r="AG1740" s="95">
        <v>1116.49</v>
      </c>
      <c r="AH1740" s="95">
        <v>0</v>
      </c>
    </row>
    <row r="1741" spans="1:34" ht="15.75" thickBot="1" x14ac:dyDescent="0.3">
      <c r="A1741" s="90" t="s">
        <v>1046</v>
      </c>
      <c r="B1741" s="90" t="s">
        <v>50</v>
      </c>
      <c r="C1741" s="90" t="s">
        <v>881</v>
      </c>
      <c r="D1741" s="90" t="s">
        <v>662</v>
      </c>
      <c r="E1741" s="90" t="s">
        <v>676</v>
      </c>
      <c r="F1741" s="90" t="s">
        <v>522</v>
      </c>
      <c r="G1741" s="93">
        <v>100.56</v>
      </c>
      <c r="H1741" s="92"/>
      <c r="I1741" s="92"/>
      <c r="J1741" s="92"/>
      <c r="K1741" s="92"/>
      <c r="L1741" s="92"/>
      <c r="M1741" s="92"/>
      <c r="N1741" s="92"/>
      <c r="O1741" s="92"/>
      <c r="P1741" s="92"/>
      <c r="Q1741" s="92"/>
      <c r="R1741" s="92"/>
      <c r="S1741" s="92"/>
      <c r="T1741" s="92"/>
      <c r="U1741" s="93">
        <v>100.56</v>
      </c>
      <c r="V1741" s="92"/>
      <c r="W1741" s="92"/>
      <c r="X1741" s="92"/>
      <c r="Y1741" s="92"/>
      <c r="Z1741" s="92"/>
      <c r="AA1741" s="92"/>
      <c r="AB1741" s="92"/>
      <c r="AC1741" s="92"/>
      <c r="AD1741" s="93">
        <v>3.02</v>
      </c>
      <c r="AE1741" s="92"/>
      <c r="AF1741" s="92"/>
      <c r="AG1741" s="93">
        <v>103.58</v>
      </c>
      <c r="AH1741" s="93">
        <v>0</v>
      </c>
    </row>
    <row r="1742" spans="1:34" ht="15.75" thickBot="1" x14ac:dyDescent="0.3">
      <c r="A1742" s="90" t="s">
        <v>1046</v>
      </c>
      <c r="B1742" s="90" t="s">
        <v>50</v>
      </c>
      <c r="C1742" s="90" t="s">
        <v>881</v>
      </c>
      <c r="D1742" s="90" t="s">
        <v>662</v>
      </c>
      <c r="E1742" s="90" t="s">
        <v>676</v>
      </c>
      <c r="F1742" s="90" t="s">
        <v>697</v>
      </c>
      <c r="G1742" s="95">
        <v>100.56</v>
      </c>
      <c r="H1742" s="94"/>
      <c r="I1742" s="94"/>
      <c r="J1742" s="94"/>
      <c r="K1742" s="94"/>
      <c r="L1742" s="94"/>
      <c r="M1742" s="94"/>
      <c r="N1742" s="94"/>
      <c r="O1742" s="94"/>
      <c r="P1742" s="94"/>
      <c r="Q1742" s="94"/>
      <c r="R1742" s="94"/>
      <c r="S1742" s="94"/>
      <c r="T1742" s="94"/>
      <c r="U1742" s="95">
        <v>100.56</v>
      </c>
      <c r="V1742" s="94"/>
      <c r="W1742" s="94"/>
      <c r="X1742" s="94"/>
      <c r="Y1742" s="94"/>
      <c r="Z1742" s="94"/>
      <c r="AA1742" s="94"/>
      <c r="AB1742" s="94"/>
      <c r="AC1742" s="94"/>
      <c r="AD1742" s="95">
        <v>3.02</v>
      </c>
      <c r="AE1742" s="94"/>
      <c r="AF1742" s="94"/>
      <c r="AG1742" s="95">
        <v>103.58</v>
      </c>
      <c r="AH1742" s="95">
        <v>0</v>
      </c>
    </row>
    <row r="1743" spans="1:34" ht="15.75" thickBot="1" x14ac:dyDescent="0.3">
      <c r="A1743" s="90" t="s">
        <v>1046</v>
      </c>
      <c r="B1743" s="90" t="s">
        <v>50</v>
      </c>
      <c r="C1743" s="90" t="s">
        <v>881</v>
      </c>
      <c r="D1743" s="90" t="s">
        <v>662</v>
      </c>
      <c r="E1743" s="90" t="s">
        <v>677</v>
      </c>
      <c r="F1743" s="90" t="s">
        <v>522</v>
      </c>
      <c r="G1743" s="93">
        <v>110.19</v>
      </c>
      <c r="H1743" s="92"/>
      <c r="I1743" s="92"/>
      <c r="J1743" s="92"/>
      <c r="K1743" s="92"/>
      <c r="L1743" s="92"/>
      <c r="M1743" s="92"/>
      <c r="N1743" s="92"/>
      <c r="O1743" s="92"/>
      <c r="P1743" s="92"/>
      <c r="Q1743" s="92"/>
      <c r="R1743" s="92"/>
      <c r="S1743" s="92"/>
      <c r="T1743" s="92"/>
      <c r="U1743" s="92"/>
      <c r="V1743" s="93">
        <v>110.19</v>
      </c>
      <c r="W1743" s="92"/>
      <c r="X1743" s="92"/>
      <c r="Y1743" s="92"/>
      <c r="Z1743" s="92"/>
      <c r="AA1743" s="92"/>
      <c r="AB1743" s="92"/>
      <c r="AC1743" s="92"/>
      <c r="AD1743" s="93">
        <v>3.31</v>
      </c>
      <c r="AE1743" s="92"/>
      <c r="AF1743" s="92"/>
      <c r="AG1743" s="93">
        <v>113.5</v>
      </c>
      <c r="AH1743" s="93">
        <v>0</v>
      </c>
    </row>
    <row r="1744" spans="1:34" ht="15.75" thickBot="1" x14ac:dyDescent="0.3">
      <c r="A1744" s="90" t="s">
        <v>1046</v>
      </c>
      <c r="B1744" s="90" t="s">
        <v>50</v>
      </c>
      <c r="C1744" s="90" t="s">
        <v>881</v>
      </c>
      <c r="D1744" s="90" t="s">
        <v>662</v>
      </c>
      <c r="E1744" s="90" t="s">
        <v>677</v>
      </c>
      <c r="F1744" s="90" t="s">
        <v>697</v>
      </c>
      <c r="G1744" s="95">
        <v>110.19</v>
      </c>
      <c r="H1744" s="94"/>
      <c r="I1744" s="94"/>
      <c r="J1744" s="94"/>
      <c r="K1744" s="94"/>
      <c r="L1744" s="94"/>
      <c r="M1744" s="94"/>
      <c r="N1744" s="94"/>
      <c r="O1744" s="94"/>
      <c r="P1744" s="94"/>
      <c r="Q1744" s="94"/>
      <c r="R1744" s="94"/>
      <c r="S1744" s="94"/>
      <c r="T1744" s="94"/>
      <c r="U1744" s="94"/>
      <c r="V1744" s="95">
        <v>110.19</v>
      </c>
      <c r="W1744" s="94"/>
      <c r="X1744" s="94"/>
      <c r="Y1744" s="94"/>
      <c r="Z1744" s="94"/>
      <c r="AA1744" s="94"/>
      <c r="AB1744" s="94"/>
      <c r="AC1744" s="94"/>
      <c r="AD1744" s="95">
        <v>3.31</v>
      </c>
      <c r="AE1744" s="94"/>
      <c r="AF1744" s="94"/>
      <c r="AG1744" s="95">
        <v>113.5</v>
      </c>
      <c r="AH1744" s="95">
        <v>0</v>
      </c>
    </row>
    <row r="1745" spans="1:34" ht="15.75" thickBot="1" x14ac:dyDescent="0.3">
      <c r="A1745" s="90" t="s">
        <v>1046</v>
      </c>
      <c r="B1745" s="90" t="s">
        <v>31</v>
      </c>
      <c r="C1745" s="90" t="s">
        <v>880</v>
      </c>
      <c r="D1745" s="90" t="s">
        <v>21</v>
      </c>
      <c r="E1745" s="90" t="s">
        <v>919</v>
      </c>
      <c r="F1745" s="90" t="s">
        <v>686</v>
      </c>
      <c r="G1745" s="93">
        <v>0.26</v>
      </c>
      <c r="H1745" s="92"/>
      <c r="I1745" s="93">
        <v>0.26</v>
      </c>
      <c r="J1745" s="92"/>
      <c r="K1745" s="92"/>
      <c r="L1745" s="92"/>
      <c r="M1745" s="92"/>
      <c r="N1745" s="92"/>
      <c r="O1745" s="92"/>
      <c r="P1745" s="92"/>
      <c r="Q1745" s="92"/>
      <c r="R1745" s="92"/>
      <c r="S1745" s="92"/>
      <c r="T1745" s="92"/>
      <c r="U1745" s="92"/>
      <c r="V1745" s="92"/>
      <c r="W1745" s="92"/>
      <c r="X1745" s="92"/>
      <c r="Y1745" s="92"/>
      <c r="Z1745" s="92"/>
      <c r="AA1745" s="92"/>
      <c r="AB1745" s="92"/>
      <c r="AC1745" s="92"/>
      <c r="AD1745" s="93">
        <v>0.02</v>
      </c>
      <c r="AE1745" s="92"/>
      <c r="AF1745" s="92"/>
      <c r="AG1745" s="93">
        <v>0.28000000000000003</v>
      </c>
      <c r="AH1745" s="93">
        <v>0</v>
      </c>
    </row>
    <row r="1746" spans="1:34" ht="15.75" thickBot="1" x14ac:dyDescent="0.3">
      <c r="A1746" s="90" t="s">
        <v>1046</v>
      </c>
      <c r="B1746" s="90" t="s">
        <v>31</v>
      </c>
      <c r="C1746" s="90" t="s">
        <v>880</v>
      </c>
      <c r="D1746" s="90" t="s">
        <v>21</v>
      </c>
      <c r="E1746" s="90" t="s">
        <v>919</v>
      </c>
      <c r="F1746" s="90" t="s">
        <v>697</v>
      </c>
      <c r="G1746" s="95">
        <v>0.26</v>
      </c>
      <c r="H1746" s="94"/>
      <c r="I1746" s="95">
        <v>0.26</v>
      </c>
      <c r="J1746" s="94"/>
      <c r="K1746" s="94"/>
      <c r="L1746" s="94"/>
      <c r="M1746" s="94"/>
      <c r="N1746" s="94"/>
      <c r="O1746" s="94"/>
      <c r="P1746" s="94"/>
      <c r="Q1746" s="94"/>
      <c r="R1746" s="94"/>
      <c r="S1746" s="94"/>
      <c r="T1746" s="94"/>
      <c r="U1746" s="94"/>
      <c r="V1746" s="94"/>
      <c r="W1746" s="94"/>
      <c r="X1746" s="94"/>
      <c r="Y1746" s="94"/>
      <c r="Z1746" s="94"/>
      <c r="AA1746" s="94"/>
      <c r="AB1746" s="94"/>
      <c r="AC1746" s="94"/>
      <c r="AD1746" s="95">
        <v>0.02</v>
      </c>
      <c r="AE1746" s="94"/>
      <c r="AF1746" s="94"/>
      <c r="AG1746" s="95">
        <v>0.28000000000000003</v>
      </c>
      <c r="AH1746" s="95">
        <v>0</v>
      </c>
    </row>
    <row r="1747" spans="1:34" ht="15.75" thickBot="1" x14ac:dyDescent="0.3">
      <c r="A1747" s="90" t="s">
        <v>1046</v>
      </c>
      <c r="B1747" s="90" t="s">
        <v>31</v>
      </c>
      <c r="C1747" s="90" t="s">
        <v>880</v>
      </c>
      <c r="D1747" s="90" t="s">
        <v>21</v>
      </c>
      <c r="E1747" s="90" t="s">
        <v>726</v>
      </c>
      <c r="F1747" s="90" t="s">
        <v>686</v>
      </c>
      <c r="G1747" s="92"/>
      <c r="H1747" s="92"/>
      <c r="I1747" s="92"/>
      <c r="J1747" s="92"/>
      <c r="K1747" s="92"/>
      <c r="L1747" s="92"/>
      <c r="M1747" s="92"/>
      <c r="N1747" s="92"/>
      <c r="O1747" s="92"/>
      <c r="P1747" s="92"/>
      <c r="Q1747" s="92"/>
      <c r="R1747" s="92"/>
      <c r="S1747" s="92"/>
      <c r="T1747" s="92"/>
      <c r="U1747" s="92"/>
      <c r="V1747" s="92"/>
      <c r="W1747" s="92"/>
      <c r="X1747" s="92"/>
      <c r="Y1747" s="92"/>
      <c r="Z1747" s="92"/>
      <c r="AA1747" s="92"/>
      <c r="AB1747" s="92"/>
      <c r="AC1747" s="93">
        <v>-68.5</v>
      </c>
      <c r="AD1747" s="93">
        <v>-4.1100000000000003</v>
      </c>
      <c r="AE1747" s="92"/>
      <c r="AF1747" s="92"/>
      <c r="AG1747" s="93">
        <v>-72.61</v>
      </c>
      <c r="AH1747" s="93">
        <v>0</v>
      </c>
    </row>
    <row r="1748" spans="1:34" ht="15.75" thickBot="1" x14ac:dyDescent="0.3">
      <c r="A1748" s="90" t="s">
        <v>1046</v>
      </c>
      <c r="B1748" s="90" t="s">
        <v>31</v>
      </c>
      <c r="C1748" s="90" t="s">
        <v>880</v>
      </c>
      <c r="D1748" s="90" t="s">
        <v>21</v>
      </c>
      <c r="E1748" s="90" t="s">
        <v>726</v>
      </c>
      <c r="F1748" s="90" t="s">
        <v>697</v>
      </c>
      <c r="G1748" s="94"/>
      <c r="H1748" s="94"/>
      <c r="I1748" s="94"/>
      <c r="J1748" s="94"/>
      <c r="K1748" s="94"/>
      <c r="L1748" s="94"/>
      <c r="M1748" s="94"/>
      <c r="N1748" s="94"/>
      <c r="O1748" s="94"/>
      <c r="P1748" s="94"/>
      <c r="Q1748" s="94"/>
      <c r="R1748" s="94"/>
      <c r="S1748" s="94"/>
      <c r="T1748" s="94"/>
      <c r="U1748" s="94"/>
      <c r="V1748" s="94"/>
      <c r="W1748" s="94"/>
      <c r="X1748" s="94"/>
      <c r="Y1748" s="94"/>
      <c r="Z1748" s="94"/>
      <c r="AA1748" s="94"/>
      <c r="AB1748" s="94"/>
      <c r="AC1748" s="95">
        <v>-68.5</v>
      </c>
      <c r="AD1748" s="95">
        <v>-4.1100000000000003</v>
      </c>
      <c r="AE1748" s="94"/>
      <c r="AF1748" s="94"/>
      <c r="AG1748" s="95">
        <v>-72.61</v>
      </c>
      <c r="AH1748" s="95">
        <v>0</v>
      </c>
    </row>
    <row r="1749" spans="1:34" ht="15.75" thickBot="1" x14ac:dyDescent="0.3">
      <c r="A1749" s="90" t="s">
        <v>1046</v>
      </c>
      <c r="B1749" s="90" t="s">
        <v>31</v>
      </c>
      <c r="C1749" s="90" t="s">
        <v>880</v>
      </c>
      <c r="D1749" s="90" t="s">
        <v>21</v>
      </c>
      <c r="E1749" s="90" t="s">
        <v>528</v>
      </c>
      <c r="F1749" s="90" t="s">
        <v>686</v>
      </c>
      <c r="G1749" s="93">
        <v>-1792.66</v>
      </c>
      <c r="H1749" s="92"/>
      <c r="I1749" s="93">
        <v>-1792.66</v>
      </c>
      <c r="J1749" s="92"/>
      <c r="K1749" s="92"/>
      <c r="L1749" s="92"/>
      <c r="M1749" s="92"/>
      <c r="N1749" s="92"/>
      <c r="O1749" s="92"/>
      <c r="P1749" s="92"/>
      <c r="Q1749" s="92"/>
      <c r="R1749" s="92"/>
      <c r="S1749" s="92"/>
      <c r="T1749" s="92"/>
      <c r="U1749" s="92"/>
      <c r="V1749" s="92"/>
      <c r="W1749" s="92"/>
      <c r="X1749" s="92"/>
      <c r="Y1749" s="92"/>
      <c r="Z1749" s="92"/>
      <c r="AA1749" s="92"/>
      <c r="AB1749" s="92"/>
      <c r="AC1749" s="92"/>
      <c r="AD1749" s="93">
        <v>-107.53</v>
      </c>
      <c r="AE1749" s="92"/>
      <c r="AF1749" s="92"/>
      <c r="AG1749" s="93">
        <v>-1900.19</v>
      </c>
      <c r="AH1749" s="93">
        <v>0</v>
      </c>
    </row>
    <row r="1750" spans="1:34" ht="15.75" thickBot="1" x14ac:dyDescent="0.3">
      <c r="A1750" s="90" t="s">
        <v>1046</v>
      </c>
      <c r="B1750" s="90" t="s">
        <v>31</v>
      </c>
      <c r="C1750" s="90" t="s">
        <v>880</v>
      </c>
      <c r="D1750" s="90" t="s">
        <v>21</v>
      </c>
      <c r="E1750" s="90" t="s">
        <v>528</v>
      </c>
      <c r="F1750" s="90" t="s">
        <v>697</v>
      </c>
      <c r="G1750" s="95">
        <v>-1792.66</v>
      </c>
      <c r="H1750" s="94"/>
      <c r="I1750" s="95">
        <v>-1792.66</v>
      </c>
      <c r="J1750" s="94"/>
      <c r="K1750" s="94"/>
      <c r="L1750" s="94"/>
      <c r="M1750" s="94"/>
      <c r="N1750" s="94"/>
      <c r="O1750" s="94"/>
      <c r="P1750" s="94"/>
      <c r="Q1750" s="94"/>
      <c r="R1750" s="94"/>
      <c r="S1750" s="94"/>
      <c r="T1750" s="94"/>
      <c r="U1750" s="94"/>
      <c r="V1750" s="94"/>
      <c r="W1750" s="94"/>
      <c r="X1750" s="94"/>
      <c r="Y1750" s="94"/>
      <c r="Z1750" s="94"/>
      <c r="AA1750" s="94"/>
      <c r="AB1750" s="94"/>
      <c r="AC1750" s="94"/>
      <c r="AD1750" s="95">
        <v>-107.53</v>
      </c>
      <c r="AE1750" s="94"/>
      <c r="AF1750" s="94"/>
      <c r="AG1750" s="95">
        <v>-1900.19</v>
      </c>
      <c r="AH1750" s="95">
        <v>0</v>
      </c>
    </row>
    <row r="1751" spans="1:34" ht="15.75" thickBot="1" x14ac:dyDescent="0.3">
      <c r="A1751" s="90" t="s">
        <v>1046</v>
      </c>
      <c r="B1751" s="90" t="s">
        <v>31</v>
      </c>
      <c r="C1751" s="90" t="s">
        <v>880</v>
      </c>
      <c r="D1751" s="90" t="s">
        <v>21</v>
      </c>
      <c r="E1751" s="90" t="s">
        <v>518</v>
      </c>
      <c r="F1751" s="90" t="s">
        <v>686</v>
      </c>
      <c r="G1751" s="93">
        <v>-2227.09</v>
      </c>
      <c r="H1751" s="93">
        <v>-10542</v>
      </c>
      <c r="I1751" s="92"/>
      <c r="J1751" s="92"/>
      <c r="K1751" s="93">
        <v>-2227.09</v>
      </c>
      <c r="L1751" s="92"/>
      <c r="M1751" s="92"/>
      <c r="N1751" s="92"/>
      <c r="O1751" s="92"/>
      <c r="P1751" s="92"/>
      <c r="Q1751" s="92"/>
      <c r="R1751" s="92"/>
      <c r="S1751" s="92"/>
      <c r="T1751" s="92"/>
      <c r="U1751" s="92"/>
      <c r="V1751" s="92"/>
      <c r="W1751" s="92"/>
      <c r="X1751" s="92"/>
      <c r="Y1751" s="92"/>
      <c r="Z1751" s="92"/>
      <c r="AA1751" s="92"/>
      <c r="AB1751" s="92"/>
      <c r="AC1751" s="92"/>
      <c r="AD1751" s="93">
        <v>-133.65</v>
      </c>
      <c r="AE1751" s="92"/>
      <c r="AF1751" s="92"/>
      <c r="AG1751" s="93">
        <v>-2360.7399999999998</v>
      </c>
      <c r="AH1751" s="93">
        <v>0</v>
      </c>
    </row>
    <row r="1752" spans="1:34" ht="15.75" thickBot="1" x14ac:dyDescent="0.3">
      <c r="A1752" s="90" t="s">
        <v>1046</v>
      </c>
      <c r="B1752" s="90" t="s">
        <v>31</v>
      </c>
      <c r="C1752" s="90" t="s">
        <v>880</v>
      </c>
      <c r="D1752" s="90" t="s">
        <v>21</v>
      </c>
      <c r="E1752" s="90" t="s">
        <v>518</v>
      </c>
      <c r="F1752" s="90" t="s">
        <v>697</v>
      </c>
      <c r="G1752" s="95">
        <v>-2227.09</v>
      </c>
      <c r="H1752" s="305">
        <v>-10542</v>
      </c>
      <c r="I1752" s="94"/>
      <c r="J1752" s="94"/>
      <c r="K1752" s="95">
        <v>-2227.09</v>
      </c>
      <c r="L1752" s="94"/>
      <c r="M1752" s="94"/>
      <c r="N1752" s="94"/>
      <c r="O1752" s="94"/>
      <c r="P1752" s="94"/>
      <c r="Q1752" s="94"/>
      <c r="R1752" s="94"/>
      <c r="S1752" s="94"/>
      <c r="T1752" s="94"/>
      <c r="U1752" s="94"/>
      <c r="V1752" s="94"/>
      <c r="W1752" s="94"/>
      <c r="X1752" s="94"/>
      <c r="Y1752" s="94"/>
      <c r="Z1752" s="94"/>
      <c r="AA1752" s="94"/>
      <c r="AB1752" s="94"/>
      <c r="AC1752" s="94"/>
      <c r="AD1752" s="95">
        <v>-133.65</v>
      </c>
      <c r="AE1752" s="94"/>
      <c r="AF1752" s="94"/>
      <c r="AG1752" s="95">
        <v>-2360.7399999999998</v>
      </c>
      <c r="AH1752" s="95">
        <v>0</v>
      </c>
    </row>
    <row r="1753" spans="1:34" ht="15.75" thickBot="1" x14ac:dyDescent="0.3">
      <c r="A1753" s="90" t="s">
        <v>1046</v>
      </c>
      <c r="B1753" s="90" t="s">
        <v>31</v>
      </c>
      <c r="C1753" s="90" t="s">
        <v>880</v>
      </c>
      <c r="D1753" s="90" t="s">
        <v>21</v>
      </c>
      <c r="E1753" s="90" t="s">
        <v>673</v>
      </c>
      <c r="F1753" s="90" t="s">
        <v>686</v>
      </c>
      <c r="G1753" s="93">
        <v>-4071.27</v>
      </c>
      <c r="H1753" s="92"/>
      <c r="I1753" s="92"/>
      <c r="J1753" s="92"/>
      <c r="K1753" s="92"/>
      <c r="L1753" s="92"/>
      <c r="M1753" s="92"/>
      <c r="N1753" s="92"/>
      <c r="O1753" s="92"/>
      <c r="P1753" s="92"/>
      <c r="Q1753" s="92"/>
      <c r="R1753" s="92"/>
      <c r="S1753" s="92"/>
      <c r="T1753" s="92"/>
      <c r="U1753" s="92"/>
      <c r="V1753" s="92"/>
      <c r="W1753" s="92"/>
      <c r="X1753" s="93">
        <v>-4071.27</v>
      </c>
      <c r="Y1753" s="92"/>
      <c r="Z1753" s="92"/>
      <c r="AA1753" s="92"/>
      <c r="AB1753" s="92"/>
      <c r="AC1753" s="92"/>
      <c r="AD1753" s="93">
        <v>-244.31</v>
      </c>
      <c r="AE1753" s="92"/>
      <c r="AF1753" s="92"/>
      <c r="AG1753" s="93">
        <v>-4315.58</v>
      </c>
      <c r="AH1753" s="93">
        <v>0</v>
      </c>
    </row>
    <row r="1754" spans="1:34" ht="15.75" thickBot="1" x14ac:dyDescent="0.3">
      <c r="A1754" s="90" t="s">
        <v>1046</v>
      </c>
      <c r="B1754" s="90" t="s">
        <v>31</v>
      </c>
      <c r="C1754" s="90" t="s">
        <v>880</v>
      </c>
      <c r="D1754" s="90" t="s">
        <v>21</v>
      </c>
      <c r="E1754" s="90" t="s">
        <v>673</v>
      </c>
      <c r="F1754" s="90" t="s">
        <v>697</v>
      </c>
      <c r="G1754" s="95">
        <v>-4071.27</v>
      </c>
      <c r="H1754" s="94"/>
      <c r="I1754" s="94"/>
      <c r="J1754" s="94"/>
      <c r="K1754" s="94"/>
      <c r="L1754" s="94"/>
      <c r="M1754" s="94"/>
      <c r="N1754" s="94"/>
      <c r="O1754" s="94"/>
      <c r="P1754" s="94"/>
      <c r="Q1754" s="94"/>
      <c r="R1754" s="94"/>
      <c r="S1754" s="94"/>
      <c r="T1754" s="94"/>
      <c r="U1754" s="94"/>
      <c r="V1754" s="94"/>
      <c r="W1754" s="94"/>
      <c r="X1754" s="95">
        <v>-4071.27</v>
      </c>
      <c r="Y1754" s="94"/>
      <c r="Z1754" s="94"/>
      <c r="AA1754" s="94"/>
      <c r="AB1754" s="94"/>
      <c r="AC1754" s="94"/>
      <c r="AD1754" s="95">
        <v>-244.31</v>
      </c>
      <c r="AE1754" s="94"/>
      <c r="AF1754" s="94"/>
      <c r="AG1754" s="95">
        <v>-4315.58</v>
      </c>
      <c r="AH1754" s="95">
        <v>0</v>
      </c>
    </row>
    <row r="1755" spans="1:34" ht="15.75" thickBot="1" x14ac:dyDescent="0.3">
      <c r="A1755" s="90" t="s">
        <v>1046</v>
      </c>
      <c r="B1755" s="90" t="s">
        <v>31</v>
      </c>
      <c r="C1755" s="90" t="s">
        <v>880</v>
      </c>
      <c r="D1755" s="90" t="s">
        <v>21</v>
      </c>
      <c r="E1755" s="90" t="s">
        <v>196</v>
      </c>
      <c r="F1755" s="90" t="s">
        <v>686</v>
      </c>
      <c r="G1755" s="93">
        <v>-4870.37</v>
      </c>
      <c r="H1755" s="92"/>
      <c r="I1755" s="92"/>
      <c r="J1755" s="92"/>
      <c r="K1755" s="92"/>
      <c r="L1755" s="92"/>
      <c r="M1755" s="92"/>
      <c r="N1755" s="92"/>
      <c r="O1755" s="92"/>
      <c r="P1755" s="93">
        <v>-4870.37</v>
      </c>
      <c r="Q1755" s="92"/>
      <c r="R1755" s="92"/>
      <c r="S1755" s="92"/>
      <c r="T1755" s="92"/>
      <c r="U1755" s="92"/>
      <c r="V1755" s="92"/>
      <c r="W1755" s="92"/>
      <c r="X1755" s="92"/>
      <c r="Y1755" s="92"/>
      <c r="Z1755" s="92"/>
      <c r="AA1755" s="92"/>
      <c r="AB1755" s="92"/>
      <c r="AC1755" s="92"/>
      <c r="AD1755" s="93">
        <v>-292.22000000000003</v>
      </c>
      <c r="AE1755" s="92"/>
      <c r="AF1755" s="92"/>
      <c r="AG1755" s="93">
        <v>-5162.59</v>
      </c>
      <c r="AH1755" s="93">
        <v>0</v>
      </c>
    </row>
    <row r="1756" spans="1:34" ht="15.75" thickBot="1" x14ac:dyDescent="0.3">
      <c r="A1756" s="90" t="s">
        <v>1046</v>
      </c>
      <c r="B1756" s="90" t="s">
        <v>31</v>
      </c>
      <c r="C1756" s="90" t="s">
        <v>880</v>
      </c>
      <c r="D1756" s="90" t="s">
        <v>21</v>
      </c>
      <c r="E1756" s="90" t="s">
        <v>196</v>
      </c>
      <c r="F1756" s="90" t="s">
        <v>697</v>
      </c>
      <c r="G1756" s="95">
        <v>-4870.37</v>
      </c>
      <c r="H1756" s="94"/>
      <c r="I1756" s="94"/>
      <c r="J1756" s="94"/>
      <c r="K1756" s="94"/>
      <c r="L1756" s="94"/>
      <c r="M1756" s="94"/>
      <c r="N1756" s="94"/>
      <c r="O1756" s="94"/>
      <c r="P1756" s="95">
        <v>-4870.37</v>
      </c>
      <c r="Q1756" s="94"/>
      <c r="R1756" s="94"/>
      <c r="S1756" s="94"/>
      <c r="T1756" s="94"/>
      <c r="U1756" s="94"/>
      <c r="V1756" s="94"/>
      <c r="W1756" s="94"/>
      <c r="X1756" s="94"/>
      <c r="Y1756" s="94"/>
      <c r="Z1756" s="94"/>
      <c r="AA1756" s="94"/>
      <c r="AB1756" s="94"/>
      <c r="AC1756" s="94"/>
      <c r="AD1756" s="95">
        <v>-292.22000000000003</v>
      </c>
      <c r="AE1756" s="94"/>
      <c r="AF1756" s="94"/>
      <c r="AG1756" s="95">
        <v>-5162.59</v>
      </c>
      <c r="AH1756" s="95">
        <v>0</v>
      </c>
    </row>
    <row r="1757" spans="1:34" ht="15.75" thickBot="1" x14ac:dyDescent="0.3">
      <c r="A1757" s="90" t="s">
        <v>1046</v>
      </c>
      <c r="B1757" s="90" t="s">
        <v>31</v>
      </c>
      <c r="C1757" s="90" t="s">
        <v>880</v>
      </c>
      <c r="D1757" s="90" t="s">
        <v>17</v>
      </c>
      <c r="E1757" s="90" t="s">
        <v>919</v>
      </c>
      <c r="F1757" s="90" t="s">
        <v>686</v>
      </c>
      <c r="G1757" s="93">
        <v>0.65</v>
      </c>
      <c r="H1757" s="92"/>
      <c r="I1757" s="93">
        <v>0.65</v>
      </c>
      <c r="J1757" s="92"/>
      <c r="K1757" s="92"/>
      <c r="L1757" s="92"/>
      <c r="M1757" s="92"/>
      <c r="N1757" s="92"/>
      <c r="O1757" s="92"/>
      <c r="P1757" s="92"/>
      <c r="Q1757" s="92"/>
      <c r="R1757" s="92"/>
      <c r="S1757" s="92"/>
      <c r="T1757" s="92"/>
      <c r="U1757" s="92"/>
      <c r="V1757" s="92"/>
      <c r="W1757" s="92"/>
      <c r="X1757" s="92"/>
      <c r="Y1757" s="92"/>
      <c r="Z1757" s="92"/>
      <c r="AA1757" s="92"/>
      <c r="AB1757" s="92"/>
      <c r="AC1757" s="92"/>
      <c r="AD1757" s="93">
        <v>0.05</v>
      </c>
      <c r="AE1757" s="92"/>
      <c r="AF1757" s="92"/>
      <c r="AG1757" s="93">
        <v>0.7</v>
      </c>
      <c r="AH1757" s="93">
        <v>0</v>
      </c>
    </row>
    <row r="1758" spans="1:34" ht="15.75" thickBot="1" x14ac:dyDescent="0.3">
      <c r="A1758" s="90" t="s">
        <v>1046</v>
      </c>
      <c r="B1758" s="90" t="s">
        <v>31</v>
      </c>
      <c r="C1758" s="90" t="s">
        <v>880</v>
      </c>
      <c r="D1758" s="90" t="s">
        <v>17</v>
      </c>
      <c r="E1758" s="90" t="s">
        <v>919</v>
      </c>
      <c r="F1758" s="90" t="s">
        <v>697</v>
      </c>
      <c r="G1758" s="95">
        <v>0.65</v>
      </c>
      <c r="H1758" s="94"/>
      <c r="I1758" s="95">
        <v>0.65</v>
      </c>
      <c r="J1758" s="94"/>
      <c r="K1758" s="94"/>
      <c r="L1758" s="94"/>
      <c r="M1758" s="94"/>
      <c r="N1758" s="94"/>
      <c r="O1758" s="94"/>
      <c r="P1758" s="94"/>
      <c r="Q1758" s="94"/>
      <c r="R1758" s="94"/>
      <c r="S1758" s="94"/>
      <c r="T1758" s="94"/>
      <c r="U1758" s="94"/>
      <c r="V1758" s="94"/>
      <c r="W1758" s="94"/>
      <c r="X1758" s="94"/>
      <c r="Y1758" s="94"/>
      <c r="Z1758" s="94"/>
      <c r="AA1758" s="94"/>
      <c r="AB1758" s="94"/>
      <c r="AC1758" s="94"/>
      <c r="AD1758" s="95">
        <v>0.05</v>
      </c>
      <c r="AE1758" s="94"/>
      <c r="AF1758" s="94"/>
      <c r="AG1758" s="95">
        <v>0.7</v>
      </c>
      <c r="AH1758" s="95">
        <v>0</v>
      </c>
    </row>
    <row r="1759" spans="1:34" ht="15.75" thickBot="1" x14ac:dyDescent="0.3">
      <c r="A1759" s="90" t="s">
        <v>1046</v>
      </c>
      <c r="B1759" s="90" t="s">
        <v>31</v>
      </c>
      <c r="C1759" s="90" t="s">
        <v>880</v>
      </c>
      <c r="D1759" s="90" t="s">
        <v>17</v>
      </c>
      <c r="E1759" s="90" t="s">
        <v>726</v>
      </c>
      <c r="F1759" s="90" t="s">
        <v>686</v>
      </c>
      <c r="G1759" s="92"/>
      <c r="H1759" s="92"/>
      <c r="I1759" s="92"/>
      <c r="J1759" s="92"/>
      <c r="K1759" s="92"/>
      <c r="L1759" s="92"/>
      <c r="M1759" s="92"/>
      <c r="N1759" s="92"/>
      <c r="O1759" s="92"/>
      <c r="P1759" s="92"/>
      <c r="Q1759" s="92"/>
      <c r="R1759" s="92"/>
      <c r="S1759" s="92"/>
      <c r="T1759" s="92"/>
      <c r="U1759" s="92"/>
      <c r="V1759" s="92"/>
      <c r="W1759" s="92"/>
      <c r="X1759" s="92"/>
      <c r="Y1759" s="92"/>
      <c r="Z1759" s="92"/>
      <c r="AA1759" s="92"/>
      <c r="AB1759" s="92"/>
      <c r="AC1759" s="93">
        <v>-49.2</v>
      </c>
      <c r="AD1759" s="93">
        <v>-2.95</v>
      </c>
      <c r="AE1759" s="92"/>
      <c r="AF1759" s="92"/>
      <c r="AG1759" s="93">
        <v>-52.15</v>
      </c>
      <c r="AH1759" s="93">
        <v>0</v>
      </c>
    </row>
    <row r="1760" spans="1:34" ht="15.75" thickBot="1" x14ac:dyDescent="0.3">
      <c r="A1760" s="90" t="s">
        <v>1046</v>
      </c>
      <c r="B1760" s="90" t="s">
        <v>31</v>
      </c>
      <c r="C1760" s="90" t="s">
        <v>880</v>
      </c>
      <c r="D1760" s="90" t="s">
        <v>17</v>
      </c>
      <c r="E1760" s="90" t="s">
        <v>726</v>
      </c>
      <c r="F1760" s="90" t="s">
        <v>697</v>
      </c>
      <c r="G1760" s="94"/>
      <c r="H1760" s="94"/>
      <c r="I1760" s="94"/>
      <c r="J1760" s="94"/>
      <c r="K1760" s="94"/>
      <c r="L1760" s="94"/>
      <c r="M1760" s="94"/>
      <c r="N1760" s="94"/>
      <c r="O1760" s="94"/>
      <c r="P1760" s="94"/>
      <c r="Q1760" s="94"/>
      <c r="R1760" s="94"/>
      <c r="S1760" s="94"/>
      <c r="T1760" s="94"/>
      <c r="U1760" s="94"/>
      <c r="V1760" s="94"/>
      <c r="W1760" s="94"/>
      <c r="X1760" s="94"/>
      <c r="Y1760" s="94"/>
      <c r="Z1760" s="94"/>
      <c r="AA1760" s="94"/>
      <c r="AB1760" s="94"/>
      <c r="AC1760" s="95">
        <v>-49.2</v>
      </c>
      <c r="AD1760" s="95">
        <v>-2.95</v>
      </c>
      <c r="AE1760" s="94"/>
      <c r="AF1760" s="94"/>
      <c r="AG1760" s="95">
        <v>-52.15</v>
      </c>
      <c r="AH1760" s="95">
        <v>0</v>
      </c>
    </row>
    <row r="1761" spans="1:34" ht="15.75" thickBot="1" x14ac:dyDescent="0.3">
      <c r="A1761" s="90" t="s">
        <v>1046</v>
      </c>
      <c r="B1761" s="90" t="s">
        <v>31</v>
      </c>
      <c r="C1761" s="90" t="s">
        <v>880</v>
      </c>
      <c r="D1761" s="90" t="s">
        <v>17</v>
      </c>
      <c r="E1761" s="90" t="s">
        <v>528</v>
      </c>
      <c r="F1761" s="90" t="s">
        <v>686</v>
      </c>
      <c r="G1761" s="93">
        <v>-175</v>
      </c>
      <c r="H1761" s="92"/>
      <c r="I1761" s="93">
        <v>-175</v>
      </c>
      <c r="J1761" s="92"/>
      <c r="K1761" s="92"/>
      <c r="L1761" s="92"/>
      <c r="M1761" s="92"/>
      <c r="N1761" s="92"/>
      <c r="O1761" s="92"/>
      <c r="P1761" s="92"/>
      <c r="Q1761" s="92"/>
      <c r="R1761" s="92"/>
      <c r="S1761" s="92"/>
      <c r="T1761" s="92"/>
      <c r="U1761" s="92"/>
      <c r="V1761" s="92"/>
      <c r="W1761" s="92"/>
      <c r="X1761" s="92"/>
      <c r="Y1761" s="92"/>
      <c r="Z1761" s="92"/>
      <c r="AA1761" s="92"/>
      <c r="AB1761" s="92"/>
      <c r="AC1761" s="92"/>
      <c r="AD1761" s="93">
        <v>-10.5</v>
      </c>
      <c r="AE1761" s="92"/>
      <c r="AF1761" s="92"/>
      <c r="AG1761" s="93">
        <v>-185.5</v>
      </c>
      <c r="AH1761" s="93">
        <v>0</v>
      </c>
    </row>
    <row r="1762" spans="1:34" ht="15.75" thickBot="1" x14ac:dyDescent="0.3">
      <c r="A1762" s="90" t="s">
        <v>1046</v>
      </c>
      <c r="B1762" s="90" t="s">
        <v>31</v>
      </c>
      <c r="C1762" s="90" t="s">
        <v>880</v>
      </c>
      <c r="D1762" s="90" t="s">
        <v>17</v>
      </c>
      <c r="E1762" s="90" t="s">
        <v>528</v>
      </c>
      <c r="F1762" s="90" t="s">
        <v>697</v>
      </c>
      <c r="G1762" s="95">
        <v>-175</v>
      </c>
      <c r="H1762" s="94"/>
      <c r="I1762" s="95">
        <v>-175</v>
      </c>
      <c r="J1762" s="94"/>
      <c r="K1762" s="94"/>
      <c r="L1762" s="94"/>
      <c r="M1762" s="94"/>
      <c r="N1762" s="94"/>
      <c r="O1762" s="94"/>
      <c r="P1762" s="94"/>
      <c r="Q1762" s="94"/>
      <c r="R1762" s="94"/>
      <c r="S1762" s="94"/>
      <c r="T1762" s="94"/>
      <c r="U1762" s="94"/>
      <c r="V1762" s="94"/>
      <c r="W1762" s="94"/>
      <c r="X1762" s="94"/>
      <c r="Y1762" s="94"/>
      <c r="Z1762" s="94"/>
      <c r="AA1762" s="94"/>
      <c r="AB1762" s="94"/>
      <c r="AC1762" s="94"/>
      <c r="AD1762" s="95">
        <v>-10.5</v>
      </c>
      <c r="AE1762" s="94"/>
      <c r="AF1762" s="94"/>
      <c r="AG1762" s="95">
        <v>-185.5</v>
      </c>
      <c r="AH1762" s="95">
        <v>0</v>
      </c>
    </row>
    <row r="1763" spans="1:34" ht="15.75" thickBot="1" x14ac:dyDescent="0.3">
      <c r="A1763" s="90" t="s">
        <v>1046</v>
      </c>
      <c r="B1763" s="90" t="s">
        <v>31</v>
      </c>
      <c r="C1763" s="90" t="s">
        <v>880</v>
      </c>
      <c r="D1763" s="90" t="s">
        <v>17</v>
      </c>
      <c r="E1763" s="90" t="s">
        <v>518</v>
      </c>
      <c r="F1763" s="90" t="s">
        <v>686</v>
      </c>
      <c r="G1763" s="93">
        <v>-533.08000000000004</v>
      </c>
      <c r="H1763" s="93">
        <v>-2485</v>
      </c>
      <c r="I1763" s="92"/>
      <c r="J1763" s="92"/>
      <c r="K1763" s="93">
        <v>-533.08000000000004</v>
      </c>
      <c r="L1763" s="92"/>
      <c r="M1763" s="92"/>
      <c r="N1763" s="92"/>
      <c r="O1763" s="92"/>
      <c r="P1763" s="92"/>
      <c r="Q1763" s="92"/>
      <c r="R1763" s="92"/>
      <c r="S1763" s="92"/>
      <c r="T1763" s="92"/>
      <c r="U1763" s="92"/>
      <c r="V1763" s="92"/>
      <c r="W1763" s="92"/>
      <c r="X1763" s="92"/>
      <c r="Y1763" s="92"/>
      <c r="Z1763" s="92"/>
      <c r="AA1763" s="92"/>
      <c r="AB1763" s="92"/>
      <c r="AC1763" s="92"/>
      <c r="AD1763" s="93">
        <v>-31.98</v>
      </c>
      <c r="AE1763" s="92"/>
      <c r="AF1763" s="92"/>
      <c r="AG1763" s="93">
        <v>-565.05999999999995</v>
      </c>
      <c r="AH1763" s="93">
        <v>0</v>
      </c>
    </row>
    <row r="1764" spans="1:34" ht="15.75" thickBot="1" x14ac:dyDescent="0.3">
      <c r="A1764" s="90" t="s">
        <v>1046</v>
      </c>
      <c r="B1764" s="90" t="s">
        <v>31</v>
      </c>
      <c r="C1764" s="90" t="s">
        <v>880</v>
      </c>
      <c r="D1764" s="90" t="s">
        <v>17</v>
      </c>
      <c r="E1764" s="90" t="s">
        <v>518</v>
      </c>
      <c r="F1764" s="90" t="s">
        <v>697</v>
      </c>
      <c r="G1764" s="95">
        <v>-533.08000000000004</v>
      </c>
      <c r="H1764" s="305">
        <v>-2485</v>
      </c>
      <c r="I1764" s="94"/>
      <c r="J1764" s="94"/>
      <c r="K1764" s="95">
        <v>-533.08000000000004</v>
      </c>
      <c r="L1764" s="94"/>
      <c r="M1764" s="94"/>
      <c r="N1764" s="94"/>
      <c r="O1764" s="94"/>
      <c r="P1764" s="94"/>
      <c r="Q1764" s="94"/>
      <c r="R1764" s="94"/>
      <c r="S1764" s="94"/>
      <c r="T1764" s="94"/>
      <c r="U1764" s="94"/>
      <c r="V1764" s="94"/>
      <c r="W1764" s="94"/>
      <c r="X1764" s="94"/>
      <c r="Y1764" s="94"/>
      <c r="Z1764" s="94"/>
      <c r="AA1764" s="94"/>
      <c r="AB1764" s="94"/>
      <c r="AC1764" s="94"/>
      <c r="AD1764" s="95">
        <v>-31.98</v>
      </c>
      <c r="AE1764" s="94"/>
      <c r="AF1764" s="94"/>
      <c r="AG1764" s="95">
        <v>-565.05999999999995</v>
      </c>
      <c r="AH1764" s="95">
        <v>0</v>
      </c>
    </row>
    <row r="1765" spans="1:34" ht="15.75" thickBot="1" x14ac:dyDescent="0.3">
      <c r="A1765" s="90" t="s">
        <v>1046</v>
      </c>
      <c r="B1765" s="90" t="s">
        <v>31</v>
      </c>
      <c r="C1765" s="90" t="s">
        <v>880</v>
      </c>
      <c r="D1765" s="90" t="s">
        <v>17</v>
      </c>
      <c r="E1765" s="90" t="s">
        <v>673</v>
      </c>
      <c r="F1765" s="90" t="s">
        <v>686</v>
      </c>
      <c r="G1765" s="93">
        <v>-433.47</v>
      </c>
      <c r="H1765" s="92"/>
      <c r="I1765" s="92"/>
      <c r="J1765" s="92"/>
      <c r="K1765" s="92"/>
      <c r="L1765" s="92"/>
      <c r="M1765" s="92"/>
      <c r="N1765" s="92"/>
      <c r="O1765" s="92"/>
      <c r="P1765" s="92"/>
      <c r="Q1765" s="92"/>
      <c r="R1765" s="92"/>
      <c r="S1765" s="92"/>
      <c r="T1765" s="92"/>
      <c r="U1765" s="92"/>
      <c r="V1765" s="92"/>
      <c r="W1765" s="92"/>
      <c r="X1765" s="93">
        <v>-433.47</v>
      </c>
      <c r="Y1765" s="92"/>
      <c r="Z1765" s="92"/>
      <c r="AA1765" s="92"/>
      <c r="AB1765" s="92"/>
      <c r="AC1765" s="92"/>
      <c r="AD1765" s="93">
        <v>-26.01</v>
      </c>
      <c r="AE1765" s="92"/>
      <c r="AF1765" s="92"/>
      <c r="AG1765" s="93">
        <v>-459.48</v>
      </c>
      <c r="AH1765" s="93">
        <v>0</v>
      </c>
    </row>
    <row r="1766" spans="1:34" ht="15.75" thickBot="1" x14ac:dyDescent="0.3">
      <c r="A1766" s="90" t="s">
        <v>1046</v>
      </c>
      <c r="B1766" s="90" t="s">
        <v>31</v>
      </c>
      <c r="C1766" s="90" t="s">
        <v>880</v>
      </c>
      <c r="D1766" s="90" t="s">
        <v>17</v>
      </c>
      <c r="E1766" s="90" t="s">
        <v>673</v>
      </c>
      <c r="F1766" s="90" t="s">
        <v>697</v>
      </c>
      <c r="G1766" s="95">
        <v>-433.47</v>
      </c>
      <c r="H1766" s="94"/>
      <c r="I1766" s="94"/>
      <c r="J1766" s="94"/>
      <c r="K1766" s="94"/>
      <c r="L1766" s="94"/>
      <c r="M1766" s="94"/>
      <c r="N1766" s="94"/>
      <c r="O1766" s="94"/>
      <c r="P1766" s="94"/>
      <c r="Q1766" s="94"/>
      <c r="R1766" s="94"/>
      <c r="S1766" s="94"/>
      <c r="T1766" s="94"/>
      <c r="U1766" s="94"/>
      <c r="V1766" s="94"/>
      <c r="W1766" s="94"/>
      <c r="X1766" s="95">
        <v>-433.47</v>
      </c>
      <c r="Y1766" s="94"/>
      <c r="Z1766" s="94"/>
      <c r="AA1766" s="94"/>
      <c r="AB1766" s="94"/>
      <c r="AC1766" s="94"/>
      <c r="AD1766" s="95">
        <v>-26.01</v>
      </c>
      <c r="AE1766" s="94"/>
      <c r="AF1766" s="94"/>
      <c r="AG1766" s="95">
        <v>-459.48</v>
      </c>
      <c r="AH1766" s="95">
        <v>0</v>
      </c>
    </row>
    <row r="1767" spans="1:34" ht="15.75" thickBot="1" x14ac:dyDescent="0.3">
      <c r="A1767" s="90" t="s">
        <v>1046</v>
      </c>
      <c r="B1767" s="90" t="s">
        <v>31</v>
      </c>
      <c r="C1767" s="90" t="s">
        <v>880</v>
      </c>
      <c r="D1767" s="90" t="s">
        <v>17</v>
      </c>
      <c r="E1767" s="90" t="s">
        <v>196</v>
      </c>
      <c r="F1767" s="90" t="s">
        <v>686</v>
      </c>
      <c r="G1767" s="93">
        <v>-1318.19</v>
      </c>
      <c r="H1767" s="92"/>
      <c r="I1767" s="92"/>
      <c r="J1767" s="92"/>
      <c r="K1767" s="92"/>
      <c r="L1767" s="92"/>
      <c r="M1767" s="92"/>
      <c r="N1767" s="92"/>
      <c r="O1767" s="92"/>
      <c r="P1767" s="93">
        <v>-1318.19</v>
      </c>
      <c r="Q1767" s="92"/>
      <c r="R1767" s="92"/>
      <c r="S1767" s="92"/>
      <c r="T1767" s="92"/>
      <c r="U1767" s="92"/>
      <c r="V1767" s="92"/>
      <c r="W1767" s="92"/>
      <c r="X1767" s="92"/>
      <c r="Y1767" s="92"/>
      <c r="Z1767" s="92"/>
      <c r="AA1767" s="92"/>
      <c r="AB1767" s="92"/>
      <c r="AC1767" s="92"/>
      <c r="AD1767" s="93">
        <v>-79.09</v>
      </c>
      <c r="AE1767" s="92"/>
      <c r="AF1767" s="92"/>
      <c r="AG1767" s="93">
        <v>-1397.28</v>
      </c>
      <c r="AH1767" s="93">
        <v>0</v>
      </c>
    </row>
    <row r="1768" spans="1:34" ht="15.75" thickBot="1" x14ac:dyDescent="0.3">
      <c r="A1768" s="90" t="s">
        <v>1046</v>
      </c>
      <c r="B1768" s="90" t="s">
        <v>31</v>
      </c>
      <c r="C1768" s="90" t="s">
        <v>880</v>
      </c>
      <c r="D1768" s="90" t="s">
        <v>17</v>
      </c>
      <c r="E1768" s="90" t="s">
        <v>196</v>
      </c>
      <c r="F1768" s="90" t="s">
        <v>697</v>
      </c>
      <c r="G1768" s="95">
        <v>-1318.19</v>
      </c>
      <c r="H1768" s="94"/>
      <c r="I1768" s="94"/>
      <c r="J1768" s="94"/>
      <c r="K1768" s="94"/>
      <c r="L1768" s="94"/>
      <c r="M1768" s="94"/>
      <c r="N1768" s="94"/>
      <c r="O1768" s="94"/>
      <c r="P1768" s="95">
        <v>-1318.19</v>
      </c>
      <c r="Q1768" s="94"/>
      <c r="R1768" s="94"/>
      <c r="S1768" s="94"/>
      <c r="T1768" s="94"/>
      <c r="U1768" s="94"/>
      <c r="V1768" s="94"/>
      <c r="W1768" s="94"/>
      <c r="X1768" s="94"/>
      <c r="Y1768" s="94"/>
      <c r="Z1768" s="94"/>
      <c r="AA1768" s="94"/>
      <c r="AB1768" s="94"/>
      <c r="AC1768" s="94"/>
      <c r="AD1768" s="95">
        <v>-79.09</v>
      </c>
      <c r="AE1768" s="94"/>
      <c r="AF1768" s="94"/>
      <c r="AG1768" s="95">
        <v>-1397.28</v>
      </c>
      <c r="AH1768" s="95">
        <v>0</v>
      </c>
    </row>
    <row r="1769" spans="1:34" ht="15.75" thickBot="1" x14ac:dyDescent="0.3">
      <c r="A1769" s="90" t="s">
        <v>1046</v>
      </c>
      <c r="B1769" s="90" t="s">
        <v>878</v>
      </c>
      <c r="C1769" s="90" t="s">
        <v>879</v>
      </c>
      <c r="D1769" s="90" t="s">
        <v>21</v>
      </c>
      <c r="E1769" s="90" t="s">
        <v>528</v>
      </c>
      <c r="F1769" s="90" t="s">
        <v>686</v>
      </c>
      <c r="G1769" s="93">
        <v>23740.04</v>
      </c>
      <c r="H1769" s="92"/>
      <c r="I1769" s="93">
        <v>23740.04</v>
      </c>
      <c r="J1769" s="92"/>
      <c r="K1769" s="92"/>
      <c r="L1769" s="92"/>
      <c r="M1769" s="92"/>
      <c r="N1769" s="92"/>
      <c r="O1769" s="92"/>
      <c r="P1769" s="92"/>
      <c r="Q1769" s="92"/>
      <c r="R1769" s="92"/>
      <c r="S1769" s="92"/>
      <c r="T1769" s="92"/>
      <c r="U1769" s="92"/>
      <c r="V1769" s="92"/>
      <c r="W1769" s="92"/>
      <c r="X1769" s="92"/>
      <c r="Y1769" s="92"/>
      <c r="Z1769" s="92"/>
      <c r="AA1769" s="92"/>
      <c r="AB1769" s="92"/>
      <c r="AC1769" s="92"/>
      <c r="AD1769" s="93">
        <v>1349</v>
      </c>
      <c r="AE1769" s="92"/>
      <c r="AF1769" s="92"/>
      <c r="AG1769" s="93">
        <v>25089.040000000001</v>
      </c>
      <c r="AH1769" s="93">
        <v>0</v>
      </c>
    </row>
    <row r="1770" spans="1:34" ht="15.75" thickBot="1" x14ac:dyDescent="0.3">
      <c r="A1770" s="90" t="s">
        <v>1046</v>
      </c>
      <c r="B1770" s="90" t="s">
        <v>878</v>
      </c>
      <c r="C1770" s="90" t="s">
        <v>879</v>
      </c>
      <c r="D1770" s="90" t="s">
        <v>21</v>
      </c>
      <c r="E1770" s="90" t="s">
        <v>528</v>
      </c>
      <c r="F1770" s="90" t="s">
        <v>697</v>
      </c>
      <c r="G1770" s="95">
        <v>23740.04</v>
      </c>
      <c r="H1770" s="94"/>
      <c r="I1770" s="95">
        <v>23740.04</v>
      </c>
      <c r="J1770" s="94"/>
      <c r="K1770" s="94"/>
      <c r="L1770" s="94"/>
      <c r="M1770" s="94"/>
      <c r="N1770" s="94"/>
      <c r="O1770" s="94"/>
      <c r="P1770" s="94"/>
      <c r="Q1770" s="94"/>
      <c r="R1770" s="94"/>
      <c r="S1770" s="94"/>
      <c r="T1770" s="94"/>
      <c r="U1770" s="94"/>
      <c r="V1770" s="94"/>
      <c r="W1770" s="94"/>
      <c r="X1770" s="94"/>
      <c r="Y1770" s="94"/>
      <c r="Z1770" s="94"/>
      <c r="AA1770" s="94"/>
      <c r="AB1770" s="94"/>
      <c r="AC1770" s="94"/>
      <c r="AD1770" s="95">
        <v>1349</v>
      </c>
      <c r="AE1770" s="94"/>
      <c r="AF1770" s="94"/>
      <c r="AG1770" s="95">
        <v>25089.040000000001</v>
      </c>
      <c r="AH1770" s="95">
        <v>0</v>
      </c>
    </row>
    <row r="1771" spans="1:34" ht="15.75" thickBot="1" x14ac:dyDescent="0.3">
      <c r="A1771" s="90" t="s">
        <v>1046</v>
      </c>
      <c r="B1771" s="90" t="s">
        <v>878</v>
      </c>
      <c r="C1771" s="90" t="s">
        <v>879</v>
      </c>
      <c r="D1771" s="90" t="s">
        <v>21</v>
      </c>
      <c r="E1771" s="90" t="s">
        <v>518</v>
      </c>
      <c r="F1771" s="90" t="s">
        <v>686</v>
      </c>
      <c r="G1771" s="93">
        <v>108445.06</v>
      </c>
      <c r="H1771" s="93">
        <v>589366</v>
      </c>
      <c r="I1771" s="92"/>
      <c r="J1771" s="92"/>
      <c r="K1771" s="93">
        <v>108445.06</v>
      </c>
      <c r="L1771" s="92"/>
      <c r="M1771" s="92"/>
      <c r="N1771" s="92"/>
      <c r="O1771" s="92"/>
      <c r="P1771" s="92"/>
      <c r="Q1771" s="92"/>
      <c r="R1771" s="92"/>
      <c r="S1771" s="92"/>
      <c r="T1771" s="92"/>
      <c r="U1771" s="92"/>
      <c r="V1771" s="92"/>
      <c r="W1771" s="92"/>
      <c r="X1771" s="92"/>
      <c r="Y1771" s="92"/>
      <c r="Z1771" s="92"/>
      <c r="AA1771" s="92"/>
      <c r="AB1771" s="92"/>
      <c r="AC1771" s="92"/>
      <c r="AD1771" s="93">
        <v>5576.66</v>
      </c>
      <c r="AE1771" s="92"/>
      <c r="AF1771" s="92"/>
      <c r="AG1771" s="93">
        <v>114021.72</v>
      </c>
      <c r="AH1771" s="93">
        <v>0</v>
      </c>
    </row>
    <row r="1772" spans="1:34" ht="15.75" thickBot="1" x14ac:dyDescent="0.3">
      <c r="A1772" s="90" t="s">
        <v>1046</v>
      </c>
      <c r="B1772" s="90" t="s">
        <v>878</v>
      </c>
      <c r="C1772" s="90" t="s">
        <v>879</v>
      </c>
      <c r="D1772" s="90" t="s">
        <v>21</v>
      </c>
      <c r="E1772" s="90" t="s">
        <v>518</v>
      </c>
      <c r="F1772" s="90" t="s">
        <v>697</v>
      </c>
      <c r="G1772" s="95">
        <v>108445.06</v>
      </c>
      <c r="H1772" s="305">
        <v>589366</v>
      </c>
      <c r="I1772" s="94"/>
      <c r="J1772" s="94"/>
      <c r="K1772" s="95">
        <v>108445.06</v>
      </c>
      <c r="L1772" s="94"/>
      <c r="M1772" s="94"/>
      <c r="N1772" s="94"/>
      <c r="O1772" s="94"/>
      <c r="P1772" s="94"/>
      <c r="Q1772" s="94"/>
      <c r="R1772" s="94"/>
      <c r="S1772" s="94"/>
      <c r="T1772" s="94"/>
      <c r="U1772" s="94"/>
      <c r="V1772" s="94"/>
      <c r="W1772" s="94"/>
      <c r="X1772" s="94"/>
      <c r="Y1772" s="94"/>
      <c r="Z1772" s="94"/>
      <c r="AA1772" s="94"/>
      <c r="AB1772" s="94"/>
      <c r="AC1772" s="94"/>
      <c r="AD1772" s="95">
        <v>5576.66</v>
      </c>
      <c r="AE1772" s="94"/>
      <c r="AF1772" s="94"/>
      <c r="AG1772" s="95">
        <v>114021.72</v>
      </c>
      <c r="AH1772" s="95">
        <v>0</v>
      </c>
    </row>
    <row r="1773" spans="1:34" ht="15.75" thickBot="1" x14ac:dyDescent="0.3">
      <c r="A1773" s="90" t="s">
        <v>1046</v>
      </c>
      <c r="B1773" s="90" t="s">
        <v>878</v>
      </c>
      <c r="C1773" s="90" t="s">
        <v>879</v>
      </c>
      <c r="D1773" s="90" t="s">
        <v>21</v>
      </c>
      <c r="E1773" s="90" t="s">
        <v>673</v>
      </c>
      <c r="F1773" s="90" t="s">
        <v>686</v>
      </c>
      <c r="G1773" s="93">
        <v>55022.48</v>
      </c>
      <c r="H1773" s="92"/>
      <c r="I1773" s="92"/>
      <c r="J1773" s="92"/>
      <c r="K1773" s="92"/>
      <c r="L1773" s="92"/>
      <c r="M1773" s="92"/>
      <c r="N1773" s="92"/>
      <c r="O1773" s="92"/>
      <c r="P1773" s="92"/>
      <c r="Q1773" s="92"/>
      <c r="R1773" s="92"/>
      <c r="S1773" s="92"/>
      <c r="T1773" s="92"/>
      <c r="U1773" s="92"/>
      <c r="V1773" s="92"/>
      <c r="W1773" s="92"/>
      <c r="X1773" s="93">
        <v>55022.48</v>
      </c>
      <c r="Y1773" s="92"/>
      <c r="Z1773" s="92"/>
      <c r="AA1773" s="92"/>
      <c r="AB1773" s="92"/>
      <c r="AC1773" s="92"/>
      <c r="AD1773" s="93">
        <v>3176.43</v>
      </c>
      <c r="AE1773" s="92"/>
      <c r="AF1773" s="92"/>
      <c r="AG1773" s="93">
        <v>58198.91</v>
      </c>
      <c r="AH1773" s="93">
        <v>0</v>
      </c>
    </row>
    <row r="1774" spans="1:34" ht="15.75" thickBot="1" x14ac:dyDescent="0.3">
      <c r="A1774" s="90" t="s">
        <v>1046</v>
      </c>
      <c r="B1774" s="90" t="s">
        <v>878</v>
      </c>
      <c r="C1774" s="90" t="s">
        <v>879</v>
      </c>
      <c r="D1774" s="90" t="s">
        <v>21</v>
      </c>
      <c r="E1774" s="90" t="s">
        <v>673</v>
      </c>
      <c r="F1774" s="90" t="s">
        <v>697</v>
      </c>
      <c r="G1774" s="95">
        <v>55022.48</v>
      </c>
      <c r="H1774" s="94"/>
      <c r="I1774" s="94"/>
      <c r="J1774" s="94"/>
      <c r="K1774" s="94"/>
      <c r="L1774" s="94"/>
      <c r="M1774" s="94"/>
      <c r="N1774" s="94"/>
      <c r="O1774" s="94"/>
      <c r="P1774" s="94"/>
      <c r="Q1774" s="94"/>
      <c r="R1774" s="94"/>
      <c r="S1774" s="94"/>
      <c r="T1774" s="94"/>
      <c r="U1774" s="94"/>
      <c r="V1774" s="94"/>
      <c r="W1774" s="94"/>
      <c r="X1774" s="95">
        <v>55022.48</v>
      </c>
      <c r="Y1774" s="94"/>
      <c r="Z1774" s="94"/>
      <c r="AA1774" s="94"/>
      <c r="AB1774" s="94"/>
      <c r="AC1774" s="94"/>
      <c r="AD1774" s="95">
        <v>3176.43</v>
      </c>
      <c r="AE1774" s="94"/>
      <c r="AF1774" s="94"/>
      <c r="AG1774" s="95">
        <v>58198.91</v>
      </c>
      <c r="AH1774" s="95">
        <v>0</v>
      </c>
    </row>
    <row r="1775" spans="1:34" ht="15.75" thickBot="1" x14ac:dyDescent="0.3">
      <c r="A1775" s="90" t="s">
        <v>1046</v>
      </c>
      <c r="B1775" s="90" t="s">
        <v>878</v>
      </c>
      <c r="C1775" s="90" t="s">
        <v>879</v>
      </c>
      <c r="D1775" s="90" t="s">
        <v>21</v>
      </c>
      <c r="E1775" s="90" t="s">
        <v>196</v>
      </c>
      <c r="F1775" s="90" t="s">
        <v>686</v>
      </c>
      <c r="G1775" s="93">
        <v>217792.37</v>
      </c>
      <c r="H1775" s="92"/>
      <c r="I1775" s="92"/>
      <c r="J1775" s="92"/>
      <c r="K1775" s="92"/>
      <c r="L1775" s="92"/>
      <c r="M1775" s="92"/>
      <c r="N1775" s="92"/>
      <c r="O1775" s="92"/>
      <c r="P1775" s="93">
        <v>217792.37</v>
      </c>
      <c r="Q1775" s="92"/>
      <c r="R1775" s="92"/>
      <c r="S1775" s="92"/>
      <c r="T1775" s="92"/>
      <c r="U1775" s="92"/>
      <c r="V1775" s="92"/>
      <c r="W1775" s="92"/>
      <c r="X1775" s="92"/>
      <c r="Y1775" s="92"/>
      <c r="Z1775" s="92"/>
      <c r="AA1775" s="92"/>
      <c r="AB1775" s="92"/>
      <c r="AC1775" s="92"/>
      <c r="AD1775" s="93">
        <v>11196.48</v>
      </c>
      <c r="AE1775" s="92"/>
      <c r="AF1775" s="92"/>
      <c r="AG1775" s="93">
        <v>228988.85</v>
      </c>
      <c r="AH1775" s="93">
        <v>0</v>
      </c>
    </row>
    <row r="1776" spans="1:34" ht="15.75" thickBot="1" x14ac:dyDescent="0.3">
      <c r="A1776" s="90" t="s">
        <v>1046</v>
      </c>
      <c r="B1776" s="90" t="s">
        <v>878</v>
      </c>
      <c r="C1776" s="90" t="s">
        <v>879</v>
      </c>
      <c r="D1776" s="90" t="s">
        <v>21</v>
      </c>
      <c r="E1776" s="90" t="s">
        <v>196</v>
      </c>
      <c r="F1776" s="90" t="s">
        <v>697</v>
      </c>
      <c r="G1776" s="95">
        <v>217792.37</v>
      </c>
      <c r="H1776" s="94"/>
      <c r="I1776" s="94"/>
      <c r="J1776" s="94"/>
      <c r="K1776" s="94"/>
      <c r="L1776" s="94"/>
      <c r="M1776" s="94"/>
      <c r="N1776" s="94"/>
      <c r="O1776" s="94"/>
      <c r="P1776" s="95">
        <v>217792.37</v>
      </c>
      <c r="Q1776" s="94"/>
      <c r="R1776" s="94"/>
      <c r="S1776" s="94"/>
      <c r="T1776" s="94"/>
      <c r="U1776" s="94"/>
      <c r="V1776" s="94"/>
      <c r="W1776" s="94"/>
      <c r="X1776" s="94"/>
      <c r="Y1776" s="94"/>
      <c r="Z1776" s="94"/>
      <c r="AA1776" s="94"/>
      <c r="AB1776" s="94"/>
      <c r="AC1776" s="94"/>
      <c r="AD1776" s="95">
        <v>11196.48</v>
      </c>
      <c r="AE1776" s="94"/>
      <c r="AF1776" s="94"/>
      <c r="AG1776" s="95">
        <v>228988.85</v>
      </c>
      <c r="AH1776" s="95">
        <v>0</v>
      </c>
    </row>
    <row r="1777" spans="1:34" ht="15.75" thickBot="1" x14ac:dyDescent="0.3">
      <c r="A1777" s="90" t="s">
        <v>1046</v>
      </c>
      <c r="B1777" s="90" t="s">
        <v>878</v>
      </c>
      <c r="C1777" s="90" t="s">
        <v>879</v>
      </c>
      <c r="D1777" s="90" t="s">
        <v>17</v>
      </c>
      <c r="E1777" s="90" t="s">
        <v>528</v>
      </c>
      <c r="F1777" s="90" t="s">
        <v>686</v>
      </c>
      <c r="G1777" s="93">
        <v>1540</v>
      </c>
      <c r="H1777" s="92"/>
      <c r="I1777" s="93">
        <v>1540</v>
      </c>
      <c r="J1777" s="92"/>
      <c r="K1777" s="92"/>
      <c r="L1777" s="92"/>
      <c r="M1777" s="92"/>
      <c r="N1777" s="92"/>
      <c r="O1777" s="92"/>
      <c r="P1777" s="92"/>
      <c r="Q1777" s="92"/>
      <c r="R1777" s="92"/>
      <c r="S1777" s="92"/>
      <c r="T1777" s="92"/>
      <c r="U1777" s="92"/>
      <c r="V1777" s="92"/>
      <c r="W1777" s="92"/>
      <c r="X1777" s="92"/>
      <c r="Y1777" s="92"/>
      <c r="Z1777" s="92"/>
      <c r="AA1777" s="92"/>
      <c r="AB1777" s="92"/>
      <c r="AC1777" s="92"/>
      <c r="AD1777" s="93">
        <v>87.28</v>
      </c>
      <c r="AE1777" s="92"/>
      <c r="AF1777" s="92"/>
      <c r="AG1777" s="93">
        <v>1627.28</v>
      </c>
      <c r="AH1777" s="93">
        <v>0</v>
      </c>
    </row>
    <row r="1778" spans="1:34" ht="15.75" thickBot="1" x14ac:dyDescent="0.3">
      <c r="A1778" s="90" t="s">
        <v>1046</v>
      </c>
      <c r="B1778" s="90" t="s">
        <v>878</v>
      </c>
      <c r="C1778" s="90" t="s">
        <v>879</v>
      </c>
      <c r="D1778" s="90" t="s">
        <v>17</v>
      </c>
      <c r="E1778" s="90" t="s">
        <v>528</v>
      </c>
      <c r="F1778" s="90" t="s">
        <v>697</v>
      </c>
      <c r="G1778" s="95">
        <v>1540</v>
      </c>
      <c r="H1778" s="94"/>
      <c r="I1778" s="95">
        <v>1540</v>
      </c>
      <c r="J1778" s="94"/>
      <c r="K1778" s="94"/>
      <c r="L1778" s="94"/>
      <c r="M1778" s="94"/>
      <c r="N1778" s="94"/>
      <c r="O1778" s="94"/>
      <c r="P1778" s="94"/>
      <c r="Q1778" s="94"/>
      <c r="R1778" s="94"/>
      <c r="S1778" s="94"/>
      <c r="T1778" s="94"/>
      <c r="U1778" s="94"/>
      <c r="V1778" s="94"/>
      <c r="W1778" s="94"/>
      <c r="X1778" s="94"/>
      <c r="Y1778" s="94"/>
      <c r="Z1778" s="94"/>
      <c r="AA1778" s="94"/>
      <c r="AB1778" s="94"/>
      <c r="AC1778" s="94"/>
      <c r="AD1778" s="95">
        <v>87.28</v>
      </c>
      <c r="AE1778" s="94"/>
      <c r="AF1778" s="94"/>
      <c r="AG1778" s="95">
        <v>1627.28</v>
      </c>
      <c r="AH1778" s="95">
        <v>0</v>
      </c>
    </row>
    <row r="1779" spans="1:34" ht="15.75" thickBot="1" x14ac:dyDescent="0.3">
      <c r="A1779" s="90" t="s">
        <v>1046</v>
      </c>
      <c r="B1779" s="90" t="s">
        <v>878</v>
      </c>
      <c r="C1779" s="90" t="s">
        <v>879</v>
      </c>
      <c r="D1779" s="90" t="s">
        <v>17</v>
      </c>
      <c r="E1779" s="90" t="s">
        <v>518</v>
      </c>
      <c r="F1779" s="90" t="s">
        <v>686</v>
      </c>
      <c r="G1779" s="93">
        <v>4673.67</v>
      </c>
      <c r="H1779" s="93">
        <v>24695</v>
      </c>
      <c r="I1779" s="92"/>
      <c r="J1779" s="92"/>
      <c r="K1779" s="93">
        <v>4673.67</v>
      </c>
      <c r="L1779" s="92"/>
      <c r="M1779" s="92"/>
      <c r="N1779" s="92"/>
      <c r="O1779" s="92"/>
      <c r="P1779" s="92"/>
      <c r="Q1779" s="92"/>
      <c r="R1779" s="92"/>
      <c r="S1779" s="92"/>
      <c r="T1779" s="92"/>
      <c r="U1779" s="92"/>
      <c r="V1779" s="92"/>
      <c r="W1779" s="92"/>
      <c r="X1779" s="92"/>
      <c r="Y1779" s="92"/>
      <c r="Z1779" s="92"/>
      <c r="AA1779" s="92"/>
      <c r="AB1779" s="92"/>
      <c r="AC1779" s="92"/>
      <c r="AD1779" s="93">
        <v>227.5</v>
      </c>
      <c r="AE1779" s="92"/>
      <c r="AF1779" s="92"/>
      <c r="AG1779" s="93">
        <v>4901.17</v>
      </c>
      <c r="AH1779" s="93">
        <v>0</v>
      </c>
    </row>
    <row r="1780" spans="1:34" ht="15.75" thickBot="1" x14ac:dyDescent="0.3">
      <c r="A1780" s="90" t="s">
        <v>1046</v>
      </c>
      <c r="B1780" s="90" t="s">
        <v>878</v>
      </c>
      <c r="C1780" s="90" t="s">
        <v>879</v>
      </c>
      <c r="D1780" s="90" t="s">
        <v>17</v>
      </c>
      <c r="E1780" s="90" t="s">
        <v>518</v>
      </c>
      <c r="F1780" s="90" t="s">
        <v>697</v>
      </c>
      <c r="G1780" s="95">
        <v>4673.67</v>
      </c>
      <c r="H1780" s="305">
        <v>24695</v>
      </c>
      <c r="I1780" s="94"/>
      <c r="J1780" s="94"/>
      <c r="K1780" s="95">
        <v>4673.67</v>
      </c>
      <c r="L1780" s="94"/>
      <c r="M1780" s="94"/>
      <c r="N1780" s="94"/>
      <c r="O1780" s="94"/>
      <c r="P1780" s="94"/>
      <c r="Q1780" s="94"/>
      <c r="R1780" s="94"/>
      <c r="S1780" s="94"/>
      <c r="T1780" s="94"/>
      <c r="U1780" s="94"/>
      <c r="V1780" s="94"/>
      <c r="W1780" s="94"/>
      <c r="X1780" s="94"/>
      <c r="Y1780" s="94"/>
      <c r="Z1780" s="94"/>
      <c r="AA1780" s="94"/>
      <c r="AB1780" s="94"/>
      <c r="AC1780" s="94"/>
      <c r="AD1780" s="95">
        <v>227.5</v>
      </c>
      <c r="AE1780" s="94"/>
      <c r="AF1780" s="94"/>
      <c r="AG1780" s="95">
        <v>4901.17</v>
      </c>
      <c r="AH1780" s="95">
        <v>0</v>
      </c>
    </row>
    <row r="1781" spans="1:34" ht="15.75" thickBot="1" x14ac:dyDescent="0.3">
      <c r="A1781" s="90" t="s">
        <v>1046</v>
      </c>
      <c r="B1781" s="90" t="s">
        <v>878</v>
      </c>
      <c r="C1781" s="90" t="s">
        <v>879</v>
      </c>
      <c r="D1781" s="90" t="s">
        <v>17</v>
      </c>
      <c r="E1781" s="90" t="s">
        <v>673</v>
      </c>
      <c r="F1781" s="90" t="s">
        <v>686</v>
      </c>
      <c r="G1781" s="93">
        <v>5450.34</v>
      </c>
      <c r="H1781" s="92"/>
      <c r="I1781" s="92"/>
      <c r="J1781" s="92"/>
      <c r="K1781" s="92"/>
      <c r="L1781" s="92"/>
      <c r="M1781" s="92"/>
      <c r="N1781" s="92"/>
      <c r="O1781" s="92"/>
      <c r="P1781" s="92"/>
      <c r="Q1781" s="92"/>
      <c r="R1781" s="92"/>
      <c r="S1781" s="92"/>
      <c r="T1781" s="92"/>
      <c r="U1781" s="92"/>
      <c r="V1781" s="92"/>
      <c r="W1781" s="92"/>
      <c r="X1781" s="93">
        <v>5450.34</v>
      </c>
      <c r="Y1781" s="92"/>
      <c r="Z1781" s="92"/>
      <c r="AA1781" s="92"/>
      <c r="AB1781" s="92"/>
      <c r="AC1781" s="92"/>
      <c r="AD1781" s="93">
        <v>319.73</v>
      </c>
      <c r="AE1781" s="92"/>
      <c r="AF1781" s="92"/>
      <c r="AG1781" s="93">
        <v>5770.07</v>
      </c>
      <c r="AH1781" s="93">
        <v>0</v>
      </c>
    </row>
    <row r="1782" spans="1:34" ht="15.75" thickBot="1" x14ac:dyDescent="0.3">
      <c r="A1782" s="90" t="s">
        <v>1046</v>
      </c>
      <c r="B1782" s="90" t="s">
        <v>878</v>
      </c>
      <c r="C1782" s="90" t="s">
        <v>879</v>
      </c>
      <c r="D1782" s="90" t="s">
        <v>17</v>
      </c>
      <c r="E1782" s="90" t="s">
        <v>673</v>
      </c>
      <c r="F1782" s="90" t="s">
        <v>697</v>
      </c>
      <c r="G1782" s="95">
        <v>5450.34</v>
      </c>
      <c r="H1782" s="94"/>
      <c r="I1782" s="94"/>
      <c r="J1782" s="94"/>
      <c r="K1782" s="94"/>
      <c r="L1782" s="94"/>
      <c r="M1782" s="94"/>
      <c r="N1782" s="94"/>
      <c r="O1782" s="94"/>
      <c r="P1782" s="94"/>
      <c r="Q1782" s="94"/>
      <c r="R1782" s="94"/>
      <c r="S1782" s="94"/>
      <c r="T1782" s="94"/>
      <c r="U1782" s="94"/>
      <c r="V1782" s="94"/>
      <c r="W1782" s="94"/>
      <c r="X1782" s="95">
        <v>5450.34</v>
      </c>
      <c r="Y1782" s="94"/>
      <c r="Z1782" s="94"/>
      <c r="AA1782" s="94"/>
      <c r="AB1782" s="94"/>
      <c r="AC1782" s="94"/>
      <c r="AD1782" s="95">
        <v>319.73</v>
      </c>
      <c r="AE1782" s="94"/>
      <c r="AF1782" s="94"/>
      <c r="AG1782" s="95">
        <v>5770.07</v>
      </c>
      <c r="AH1782" s="95">
        <v>0</v>
      </c>
    </row>
    <row r="1783" spans="1:34" ht="15.75" thickBot="1" x14ac:dyDescent="0.3">
      <c r="A1783" s="90" t="s">
        <v>1046</v>
      </c>
      <c r="B1783" s="90" t="s">
        <v>878</v>
      </c>
      <c r="C1783" s="90" t="s">
        <v>879</v>
      </c>
      <c r="D1783" s="90" t="s">
        <v>17</v>
      </c>
      <c r="E1783" s="90" t="s">
        <v>196</v>
      </c>
      <c r="F1783" s="90" t="s">
        <v>686</v>
      </c>
      <c r="G1783" s="93">
        <v>9261.94</v>
      </c>
      <c r="H1783" s="92"/>
      <c r="I1783" s="92"/>
      <c r="J1783" s="92"/>
      <c r="K1783" s="92"/>
      <c r="L1783" s="92"/>
      <c r="M1783" s="92"/>
      <c r="N1783" s="92"/>
      <c r="O1783" s="92"/>
      <c r="P1783" s="93">
        <v>9261.94</v>
      </c>
      <c r="Q1783" s="92"/>
      <c r="R1783" s="92"/>
      <c r="S1783" s="92"/>
      <c r="T1783" s="92"/>
      <c r="U1783" s="92"/>
      <c r="V1783" s="92"/>
      <c r="W1783" s="92"/>
      <c r="X1783" s="92"/>
      <c r="Y1783" s="92"/>
      <c r="Z1783" s="92"/>
      <c r="AA1783" s="92"/>
      <c r="AB1783" s="92"/>
      <c r="AC1783" s="92"/>
      <c r="AD1783" s="93">
        <v>449.04</v>
      </c>
      <c r="AE1783" s="92"/>
      <c r="AF1783" s="92"/>
      <c r="AG1783" s="93">
        <v>9710.98</v>
      </c>
      <c r="AH1783" s="93">
        <v>0</v>
      </c>
    </row>
    <row r="1784" spans="1:34" ht="15.75" thickBot="1" x14ac:dyDescent="0.3">
      <c r="A1784" s="90" t="s">
        <v>1046</v>
      </c>
      <c r="B1784" s="90" t="s">
        <v>878</v>
      </c>
      <c r="C1784" s="90" t="s">
        <v>879</v>
      </c>
      <c r="D1784" s="90" t="s">
        <v>17</v>
      </c>
      <c r="E1784" s="90" t="s">
        <v>196</v>
      </c>
      <c r="F1784" s="90" t="s">
        <v>697</v>
      </c>
      <c r="G1784" s="95">
        <v>9261.94</v>
      </c>
      <c r="H1784" s="94"/>
      <c r="I1784" s="94"/>
      <c r="J1784" s="94"/>
      <c r="K1784" s="94"/>
      <c r="L1784" s="94"/>
      <c r="M1784" s="94"/>
      <c r="N1784" s="94"/>
      <c r="O1784" s="94"/>
      <c r="P1784" s="95">
        <v>9261.94</v>
      </c>
      <c r="Q1784" s="94"/>
      <c r="R1784" s="94"/>
      <c r="S1784" s="94"/>
      <c r="T1784" s="94"/>
      <c r="U1784" s="94"/>
      <c r="V1784" s="94"/>
      <c r="W1784" s="94"/>
      <c r="X1784" s="94"/>
      <c r="Y1784" s="94"/>
      <c r="Z1784" s="94"/>
      <c r="AA1784" s="94"/>
      <c r="AB1784" s="94"/>
      <c r="AC1784" s="94"/>
      <c r="AD1784" s="95">
        <v>449.04</v>
      </c>
      <c r="AE1784" s="94"/>
      <c r="AF1784" s="94"/>
      <c r="AG1784" s="95">
        <v>9710.98</v>
      </c>
      <c r="AH1784" s="95">
        <v>0</v>
      </c>
    </row>
    <row r="1785" spans="1:34" ht="15.75" thickBot="1" x14ac:dyDescent="0.3">
      <c r="A1785" s="90" t="s">
        <v>1046</v>
      </c>
      <c r="B1785" s="90" t="s">
        <v>872</v>
      </c>
      <c r="C1785" s="90" t="s">
        <v>873</v>
      </c>
      <c r="D1785" s="90" t="s">
        <v>21</v>
      </c>
      <c r="E1785" s="90" t="s">
        <v>528</v>
      </c>
      <c r="F1785" s="90" t="s">
        <v>686</v>
      </c>
      <c r="G1785" s="93">
        <v>800</v>
      </c>
      <c r="H1785" s="92"/>
      <c r="I1785" s="93">
        <v>800</v>
      </c>
      <c r="J1785" s="92"/>
      <c r="K1785" s="92"/>
      <c r="L1785" s="92"/>
      <c r="M1785" s="92"/>
      <c r="N1785" s="92"/>
      <c r="O1785" s="92"/>
      <c r="P1785" s="92"/>
      <c r="Q1785" s="92"/>
      <c r="R1785" s="92"/>
      <c r="S1785" s="92"/>
      <c r="T1785" s="92"/>
      <c r="U1785" s="92"/>
      <c r="V1785" s="92"/>
      <c r="W1785" s="92"/>
      <c r="X1785" s="92"/>
      <c r="Y1785" s="92"/>
      <c r="Z1785" s="92"/>
      <c r="AA1785" s="92"/>
      <c r="AB1785" s="92"/>
      <c r="AC1785" s="92"/>
      <c r="AD1785" s="93">
        <v>0</v>
      </c>
      <c r="AE1785" s="92"/>
      <c r="AF1785" s="92"/>
      <c r="AG1785" s="93">
        <v>800</v>
      </c>
      <c r="AH1785" s="93">
        <v>0</v>
      </c>
    </row>
    <row r="1786" spans="1:34" ht="15.75" thickBot="1" x14ac:dyDescent="0.3">
      <c r="A1786" s="90" t="s">
        <v>1046</v>
      </c>
      <c r="B1786" s="90" t="s">
        <v>872</v>
      </c>
      <c r="C1786" s="90" t="s">
        <v>873</v>
      </c>
      <c r="D1786" s="90" t="s">
        <v>21</v>
      </c>
      <c r="E1786" s="90" t="s">
        <v>528</v>
      </c>
      <c r="F1786" s="90" t="s">
        <v>697</v>
      </c>
      <c r="G1786" s="95">
        <v>800</v>
      </c>
      <c r="H1786" s="94"/>
      <c r="I1786" s="95">
        <v>800</v>
      </c>
      <c r="J1786" s="94"/>
      <c r="K1786" s="94"/>
      <c r="L1786" s="94"/>
      <c r="M1786" s="94"/>
      <c r="N1786" s="94"/>
      <c r="O1786" s="94"/>
      <c r="P1786" s="94"/>
      <c r="Q1786" s="94"/>
      <c r="R1786" s="94"/>
      <c r="S1786" s="94"/>
      <c r="T1786" s="94"/>
      <c r="U1786" s="94"/>
      <c r="V1786" s="94"/>
      <c r="W1786" s="94"/>
      <c r="X1786" s="94"/>
      <c r="Y1786" s="94"/>
      <c r="Z1786" s="94"/>
      <c r="AA1786" s="94"/>
      <c r="AB1786" s="94"/>
      <c r="AC1786" s="94"/>
      <c r="AD1786" s="95">
        <v>0</v>
      </c>
      <c r="AE1786" s="94"/>
      <c r="AF1786" s="94"/>
      <c r="AG1786" s="95">
        <v>800</v>
      </c>
      <c r="AH1786" s="95">
        <v>0</v>
      </c>
    </row>
    <row r="1787" spans="1:34" ht="15.75" thickBot="1" x14ac:dyDescent="0.3">
      <c r="A1787" s="90" t="s">
        <v>1046</v>
      </c>
      <c r="B1787" s="90" t="s">
        <v>872</v>
      </c>
      <c r="C1787" s="90" t="s">
        <v>873</v>
      </c>
      <c r="D1787" s="90" t="s">
        <v>21</v>
      </c>
      <c r="E1787" s="90" t="s">
        <v>518</v>
      </c>
      <c r="F1787" s="90" t="s">
        <v>686</v>
      </c>
      <c r="G1787" s="93">
        <v>5538.72</v>
      </c>
      <c r="H1787" s="93">
        <v>79023</v>
      </c>
      <c r="I1787" s="92"/>
      <c r="J1787" s="92"/>
      <c r="K1787" s="93">
        <v>5538.72</v>
      </c>
      <c r="L1787" s="92"/>
      <c r="M1787" s="92"/>
      <c r="N1787" s="92"/>
      <c r="O1787" s="92"/>
      <c r="P1787" s="92"/>
      <c r="Q1787" s="92"/>
      <c r="R1787" s="92"/>
      <c r="S1787" s="92"/>
      <c r="T1787" s="92"/>
      <c r="U1787" s="92"/>
      <c r="V1787" s="92"/>
      <c r="W1787" s="92"/>
      <c r="X1787" s="92"/>
      <c r="Y1787" s="92"/>
      <c r="Z1787" s="92"/>
      <c r="AA1787" s="92"/>
      <c r="AB1787" s="92"/>
      <c r="AC1787" s="92"/>
      <c r="AD1787" s="93">
        <v>0</v>
      </c>
      <c r="AE1787" s="92"/>
      <c r="AF1787" s="92"/>
      <c r="AG1787" s="93">
        <v>5538.72</v>
      </c>
      <c r="AH1787" s="93">
        <v>0</v>
      </c>
    </row>
    <row r="1788" spans="1:34" ht="15.75" thickBot="1" x14ac:dyDescent="0.3">
      <c r="A1788" s="90" t="s">
        <v>1046</v>
      </c>
      <c r="B1788" s="90" t="s">
        <v>872</v>
      </c>
      <c r="C1788" s="90" t="s">
        <v>873</v>
      </c>
      <c r="D1788" s="90" t="s">
        <v>21</v>
      </c>
      <c r="E1788" s="90" t="s">
        <v>518</v>
      </c>
      <c r="F1788" s="90" t="s">
        <v>697</v>
      </c>
      <c r="G1788" s="95">
        <v>5538.72</v>
      </c>
      <c r="H1788" s="305">
        <v>79023</v>
      </c>
      <c r="I1788" s="94"/>
      <c r="J1788" s="94"/>
      <c r="K1788" s="95">
        <v>5538.72</v>
      </c>
      <c r="L1788" s="94"/>
      <c r="M1788" s="94"/>
      <c r="N1788" s="94"/>
      <c r="O1788" s="94"/>
      <c r="P1788" s="94"/>
      <c r="Q1788" s="94"/>
      <c r="R1788" s="94"/>
      <c r="S1788" s="94"/>
      <c r="T1788" s="94"/>
      <c r="U1788" s="94"/>
      <c r="V1788" s="94"/>
      <c r="W1788" s="94"/>
      <c r="X1788" s="94"/>
      <c r="Y1788" s="94"/>
      <c r="Z1788" s="94"/>
      <c r="AA1788" s="94"/>
      <c r="AB1788" s="94"/>
      <c r="AC1788" s="94"/>
      <c r="AD1788" s="95">
        <v>0</v>
      </c>
      <c r="AE1788" s="94"/>
      <c r="AF1788" s="94"/>
      <c r="AG1788" s="95">
        <v>5538.72</v>
      </c>
      <c r="AH1788" s="95">
        <v>0</v>
      </c>
    </row>
    <row r="1789" spans="1:34" ht="15.75" thickBot="1" x14ac:dyDescent="0.3">
      <c r="A1789" s="90" t="s">
        <v>1046</v>
      </c>
      <c r="B1789" s="90" t="s">
        <v>872</v>
      </c>
      <c r="C1789" s="90" t="s">
        <v>873</v>
      </c>
      <c r="D1789" s="90" t="s">
        <v>21</v>
      </c>
      <c r="E1789" s="90" t="s">
        <v>673</v>
      </c>
      <c r="F1789" s="90" t="s">
        <v>686</v>
      </c>
      <c r="G1789" s="93">
        <v>5677.74</v>
      </c>
      <c r="H1789" s="92"/>
      <c r="I1789" s="92"/>
      <c r="J1789" s="92"/>
      <c r="K1789" s="92"/>
      <c r="L1789" s="92"/>
      <c r="M1789" s="92"/>
      <c r="N1789" s="92"/>
      <c r="O1789" s="92"/>
      <c r="P1789" s="92"/>
      <c r="Q1789" s="92"/>
      <c r="R1789" s="92"/>
      <c r="S1789" s="92"/>
      <c r="T1789" s="92"/>
      <c r="U1789" s="92"/>
      <c r="V1789" s="92"/>
      <c r="W1789" s="92"/>
      <c r="X1789" s="93">
        <v>5677.74</v>
      </c>
      <c r="Y1789" s="92"/>
      <c r="Z1789" s="92"/>
      <c r="AA1789" s="92"/>
      <c r="AB1789" s="92"/>
      <c r="AC1789" s="92"/>
      <c r="AD1789" s="93">
        <v>0</v>
      </c>
      <c r="AE1789" s="92"/>
      <c r="AF1789" s="92"/>
      <c r="AG1789" s="93">
        <v>5677.74</v>
      </c>
      <c r="AH1789" s="93">
        <v>0</v>
      </c>
    </row>
    <row r="1790" spans="1:34" ht="15.75" thickBot="1" x14ac:dyDescent="0.3">
      <c r="A1790" s="90" t="s">
        <v>1046</v>
      </c>
      <c r="B1790" s="90" t="s">
        <v>872</v>
      </c>
      <c r="C1790" s="90" t="s">
        <v>873</v>
      </c>
      <c r="D1790" s="90" t="s">
        <v>21</v>
      </c>
      <c r="E1790" s="90" t="s">
        <v>673</v>
      </c>
      <c r="F1790" s="90" t="s">
        <v>697</v>
      </c>
      <c r="G1790" s="95">
        <v>5677.74</v>
      </c>
      <c r="H1790" s="94"/>
      <c r="I1790" s="94"/>
      <c r="J1790" s="94"/>
      <c r="K1790" s="94"/>
      <c r="L1790" s="94"/>
      <c r="M1790" s="94"/>
      <c r="N1790" s="94"/>
      <c r="O1790" s="94"/>
      <c r="P1790" s="94"/>
      <c r="Q1790" s="94"/>
      <c r="R1790" s="94"/>
      <c r="S1790" s="94"/>
      <c r="T1790" s="94"/>
      <c r="U1790" s="94"/>
      <c r="V1790" s="94"/>
      <c r="W1790" s="94"/>
      <c r="X1790" s="95">
        <v>5677.74</v>
      </c>
      <c r="Y1790" s="94"/>
      <c r="Z1790" s="94"/>
      <c r="AA1790" s="94"/>
      <c r="AB1790" s="94"/>
      <c r="AC1790" s="94"/>
      <c r="AD1790" s="95">
        <v>0</v>
      </c>
      <c r="AE1790" s="94"/>
      <c r="AF1790" s="94"/>
      <c r="AG1790" s="95">
        <v>5677.74</v>
      </c>
      <c r="AH1790" s="95">
        <v>0</v>
      </c>
    </row>
    <row r="1791" spans="1:34" ht="15.75" thickBot="1" x14ac:dyDescent="0.3">
      <c r="A1791" s="90" t="s">
        <v>1046</v>
      </c>
      <c r="B1791" s="90" t="s">
        <v>872</v>
      </c>
      <c r="C1791" s="90" t="s">
        <v>873</v>
      </c>
      <c r="D1791" s="90" t="s">
        <v>21</v>
      </c>
      <c r="E1791" s="90" t="s">
        <v>196</v>
      </c>
      <c r="F1791" s="90" t="s">
        <v>686</v>
      </c>
      <c r="G1791" s="93">
        <v>29972.14</v>
      </c>
      <c r="H1791" s="92"/>
      <c r="I1791" s="92"/>
      <c r="J1791" s="92"/>
      <c r="K1791" s="92"/>
      <c r="L1791" s="92"/>
      <c r="M1791" s="92"/>
      <c r="N1791" s="92"/>
      <c r="O1791" s="92"/>
      <c r="P1791" s="93">
        <v>29972.14</v>
      </c>
      <c r="Q1791" s="92"/>
      <c r="R1791" s="92"/>
      <c r="S1791" s="92"/>
      <c r="T1791" s="92"/>
      <c r="U1791" s="92"/>
      <c r="V1791" s="92"/>
      <c r="W1791" s="92"/>
      <c r="X1791" s="92"/>
      <c r="Y1791" s="92"/>
      <c r="Z1791" s="92"/>
      <c r="AA1791" s="92"/>
      <c r="AB1791" s="92"/>
      <c r="AC1791" s="92"/>
      <c r="AD1791" s="93">
        <v>0</v>
      </c>
      <c r="AE1791" s="92"/>
      <c r="AF1791" s="92"/>
      <c r="AG1791" s="93">
        <v>29972.14</v>
      </c>
      <c r="AH1791" s="93">
        <v>0</v>
      </c>
    </row>
    <row r="1792" spans="1:34" ht="15.75" thickBot="1" x14ac:dyDescent="0.3">
      <c r="A1792" s="90" t="s">
        <v>1046</v>
      </c>
      <c r="B1792" s="90" t="s">
        <v>872</v>
      </c>
      <c r="C1792" s="90" t="s">
        <v>873</v>
      </c>
      <c r="D1792" s="90" t="s">
        <v>21</v>
      </c>
      <c r="E1792" s="90" t="s">
        <v>196</v>
      </c>
      <c r="F1792" s="90" t="s">
        <v>697</v>
      </c>
      <c r="G1792" s="95">
        <v>29972.14</v>
      </c>
      <c r="H1792" s="94"/>
      <c r="I1792" s="94"/>
      <c r="J1792" s="94"/>
      <c r="K1792" s="94"/>
      <c r="L1792" s="94"/>
      <c r="M1792" s="94"/>
      <c r="N1792" s="94"/>
      <c r="O1792" s="94"/>
      <c r="P1792" s="95">
        <v>29972.14</v>
      </c>
      <c r="Q1792" s="94"/>
      <c r="R1792" s="94"/>
      <c r="S1792" s="94"/>
      <c r="T1792" s="94"/>
      <c r="U1792" s="94"/>
      <c r="V1792" s="94"/>
      <c r="W1792" s="94"/>
      <c r="X1792" s="94"/>
      <c r="Y1792" s="94"/>
      <c r="Z1792" s="94"/>
      <c r="AA1792" s="94"/>
      <c r="AB1792" s="94"/>
      <c r="AC1792" s="94"/>
      <c r="AD1792" s="95">
        <v>0</v>
      </c>
      <c r="AE1792" s="94"/>
      <c r="AF1792" s="94"/>
      <c r="AG1792" s="95">
        <v>29972.14</v>
      </c>
      <c r="AH1792" s="95">
        <v>0</v>
      </c>
    </row>
    <row r="1793" spans="1:34" ht="15.75" thickBot="1" x14ac:dyDescent="0.3">
      <c r="A1793" s="90" t="s">
        <v>1046</v>
      </c>
      <c r="B1793" s="90" t="s">
        <v>1001</v>
      </c>
      <c r="C1793" s="90" t="s">
        <v>1002</v>
      </c>
      <c r="D1793" s="90" t="s">
        <v>663</v>
      </c>
      <c r="E1793" s="90" t="s">
        <v>729</v>
      </c>
      <c r="F1793" s="90" t="s">
        <v>522</v>
      </c>
      <c r="G1793" s="93">
        <v>5454.62</v>
      </c>
      <c r="H1793" s="92"/>
      <c r="I1793" s="92"/>
      <c r="J1793" s="92"/>
      <c r="K1793" s="92"/>
      <c r="L1793" s="92"/>
      <c r="M1793" s="92"/>
      <c r="N1793" s="92"/>
      <c r="O1793" s="92"/>
      <c r="P1793" s="92"/>
      <c r="Q1793" s="93">
        <v>5454.62</v>
      </c>
      <c r="R1793" s="92"/>
      <c r="S1793" s="92"/>
      <c r="T1793" s="92"/>
      <c r="U1793" s="92"/>
      <c r="V1793" s="92"/>
      <c r="W1793" s="92"/>
      <c r="X1793" s="92"/>
      <c r="Y1793" s="92"/>
      <c r="Z1793" s="92"/>
      <c r="AA1793" s="92"/>
      <c r="AB1793" s="92"/>
      <c r="AC1793" s="92"/>
      <c r="AD1793" s="93">
        <v>34.909999999999997</v>
      </c>
      <c r="AE1793" s="92"/>
      <c r="AF1793" s="92"/>
      <c r="AG1793" s="93">
        <v>5489.53</v>
      </c>
      <c r="AH1793" s="93">
        <v>0</v>
      </c>
    </row>
    <row r="1794" spans="1:34" ht="15.75" thickBot="1" x14ac:dyDescent="0.3">
      <c r="A1794" s="90" t="s">
        <v>1046</v>
      </c>
      <c r="B1794" s="90" t="s">
        <v>1001</v>
      </c>
      <c r="C1794" s="90" t="s">
        <v>1002</v>
      </c>
      <c r="D1794" s="90" t="s">
        <v>663</v>
      </c>
      <c r="E1794" s="90" t="s">
        <v>729</v>
      </c>
      <c r="F1794" s="90" t="s">
        <v>697</v>
      </c>
      <c r="G1794" s="95">
        <v>5454.62</v>
      </c>
      <c r="H1794" s="94"/>
      <c r="I1794" s="94"/>
      <c r="J1794" s="94"/>
      <c r="K1794" s="94"/>
      <c r="L1794" s="94"/>
      <c r="M1794" s="94"/>
      <c r="N1794" s="94"/>
      <c r="O1794" s="94"/>
      <c r="P1794" s="94"/>
      <c r="Q1794" s="95">
        <v>5454.62</v>
      </c>
      <c r="R1794" s="94"/>
      <c r="S1794" s="94"/>
      <c r="T1794" s="94"/>
      <c r="U1794" s="94"/>
      <c r="V1794" s="94"/>
      <c r="W1794" s="94"/>
      <c r="X1794" s="94"/>
      <c r="Y1794" s="94"/>
      <c r="Z1794" s="94"/>
      <c r="AA1794" s="94"/>
      <c r="AB1794" s="94"/>
      <c r="AC1794" s="94"/>
      <c r="AD1794" s="95">
        <v>34.909999999999997</v>
      </c>
      <c r="AE1794" s="94"/>
      <c r="AF1794" s="94"/>
      <c r="AG1794" s="95">
        <v>5489.53</v>
      </c>
      <c r="AH1794" s="95">
        <v>0</v>
      </c>
    </row>
    <row r="1795" spans="1:34" ht="15.75" thickBot="1" x14ac:dyDescent="0.3">
      <c r="A1795" s="90" t="s">
        <v>1046</v>
      </c>
      <c r="B1795" s="90" t="s">
        <v>1001</v>
      </c>
      <c r="C1795" s="90" t="s">
        <v>1002</v>
      </c>
      <c r="D1795" s="90" t="s">
        <v>663</v>
      </c>
      <c r="E1795" s="90" t="s">
        <v>528</v>
      </c>
      <c r="F1795" s="90" t="s">
        <v>690</v>
      </c>
      <c r="G1795" s="93">
        <v>720</v>
      </c>
      <c r="H1795" s="92"/>
      <c r="I1795" s="93">
        <v>720</v>
      </c>
      <c r="J1795" s="92"/>
      <c r="K1795" s="92"/>
      <c r="L1795" s="92"/>
      <c r="M1795" s="92"/>
      <c r="N1795" s="92"/>
      <c r="O1795" s="92"/>
      <c r="P1795" s="92"/>
      <c r="Q1795" s="92"/>
      <c r="R1795" s="92"/>
      <c r="S1795" s="92"/>
      <c r="T1795" s="92"/>
      <c r="U1795" s="92"/>
      <c r="V1795" s="92"/>
      <c r="W1795" s="92"/>
      <c r="X1795" s="92"/>
      <c r="Y1795" s="92"/>
      <c r="Z1795" s="92"/>
      <c r="AA1795" s="92"/>
      <c r="AB1795" s="92"/>
      <c r="AC1795" s="92"/>
      <c r="AD1795" s="93">
        <v>16.190000000000001</v>
      </c>
      <c r="AE1795" s="92"/>
      <c r="AF1795" s="92"/>
      <c r="AG1795" s="93">
        <v>736.19</v>
      </c>
      <c r="AH1795" s="93">
        <v>0</v>
      </c>
    </row>
    <row r="1796" spans="1:34" ht="15.75" thickBot="1" x14ac:dyDescent="0.3">
      <c r="A1796" s="90" t="s">
        <v>1046</v>
      </c>
      <c r="B1796" s="90" t="s">
        <v>1001</v>
      </c>
      <c r="C1796" s="90" t="s">
        <v>1002</v>
      </c>
      <c r="D1796" s="90" t="s">
        <v>663</v>
      </c>
      <c r="E1796" s="90" t="s">
        <v>528</v>
      </c>
      <c r="F1796" s="90" t="s">
        <v>697</v>
      </c>
      <c r="G1796" s="95">
        <v>720</v>
      </c>
      <c r="H1796" s="94"/>
      <c r="I1796" s="95">
        <v>720</v>
      </c>
      <c r="J1796" s="94"/>
      <c r="K1796" s="94"/>
      <c r="L1796" s="94"/>
      <c r="M1796" s="94"/>
      <c r="N1796" s="94"/>
      <c r="O1796" s="94"/>
      <c r="P1796" s="94"/>
      <c r="Q1796" s="94"/>
      <c r="R1796" s="94"/>
      <c r="S1796" s="94"/>
      <c r="T1796" s="94"/>
      <c r="U1796" s="94"/>
      <c r="V1796" s="94"/>
      <c r="W1796" s="94"/>
      <c r="X1796" s="94"/>
      <c r="Y1796" s="94"/>
      <c r="Z1796" s="94"/>
      <c r="AA1796" s="94"/>
      <c r="AB1796" s="94"/>
      <c r="AC1796" s="94"/>
      <c r="AD1796" s="95">
        <v>16.190000000000001</v>
      </c>
      <c r="AE1796" s="94"/>
      <c r="AF1796" s="94"/>
      <c r="AG1796" s="95">
        <v>736.19</v>
      </c>
      <c r="AH1796" s="95">
        <v>0</v>
      </c>
    </row>
    <row r="1797" spans="1:34" ht="15.75" thickBot="1" x14ac:dyDescent="0.3">
      <c r="A1797" s="90" t="s">
        <v>1046</v>
      </c>
      <c r="B1797" s="90" t="s">
        <v>1001</v>
      </c>
      <c r="C1797" s="90" t="s">
        <v>1002</v>
      </c>
      <c r="D1797" s="90" t="s">
        <v>663</v>
      </c>
      <c r="E1797" s="90" t="s">
        <v>518</v>
      </c>
      <c r="F1797" s="90" t="s">
        <v>522</v>
      </c>
      <c r="G1797" s="93">
        <v>61149.08</v>
      </c>
      <c r="H1797" s="93">
        <v>342815</v>
      </c>
      <c r="I1797" s="92"/>
      <c r="J1797" s="92"/>
      <c r="K1797" s="93">
        <v>61149.08</v>
      </c>
      <c r="L1797" s="92"/>
      <c r="M1797" s="92"/>
      <c r="N1797" s="92"/>
      <c r="O1797" s="92"/>
      <c r="P1797" s="92"/>
      <c r="Q1797" s="92"/>
      <c r="R1797" s="92"/>
      <c r="S1797" s="92"/>
      <c r="T1797" s="92"/>
      <c r="U1797" s="92"/>
      <c r="V1797" s="92"/>
      <c r="W1797" s="92"/>
      <c r="X1797" s="92"/>
      <c r="Y1797" s="92"/>
      <c r="Z1797" s="92"/>
      <c r="AA1797" s="92"/>
      <c r="AB1797" s="92"/>
      <c r="AC1797" s="92"/>
      <c r="AD1797" s="93">
        <v>927.76</v>
      </c>
      <c r="AE1797" s="92"/>
      <c r="AF1797" s="92"/>
      <c r="AG1797" s="93">
        <v>62076.84</v>
      </c>
      <c r="AH1797" s="93">
        <v>0</v>
      </c>
    </row>
    <row r="1798" spans="1:34" ht="15.75" thickBot="1" x14ac:dyDescent="0.3">
      <c r="A1798" s="90" t="s">
        <v>1046</v>
      </c>
      <c r="B1798" s="90" t="s">
        <v>1001</v>
      </c>
      <c r="C1798" s="90" t="s">
        <v>1002</v>
      </c>
      <c r="D1798" s="90" t="s">
        <v>663</v>
      </c>
      <c r="E1798" s="90" t="s">
        <v>518</v>
      </c>
      <c r="F1798" s="90" t="s">
        <v>697</v>
      </c>
      <c r="G1798" s="95">
        <v>61149.08</v>
      </c>
      <c r="H1798" s="305">
        <v>342815</v>
      </c>
      <c r="I1798" s="94"/>
      <c r="J1798" s="94"/>
      <c r="K1798" s="95">
        <v>61149.08</v>
      </c>
      <c r="L1798" s="94"/>
      <c r="M1798" s="94"/>
      <c r="N1798" s="94"/>
      <c r="O1798" s="94"/>
      <c r="P1798" s="94"/>
      <c r="Q1798" s="94"/>
      <c r="R1798" s="94"/>
      <c r="S1798" s="94"/>
      <c r="T1798" s="94"/>
      <c r="U1798" s="94"/>
      <c r="V1798" s="94"/>
      <c r="W1798" s="94"/>
      <c r="X1798" s="94"/>
      <c r="Y1798" s="94"/>
      <c r="Z1798" s="94"/>
      <c r="AA1798" s="94"/>
      <c r="AB1798" s="94"/>
      <c r="AC1798" s="94"/>
      <c r="AD1798" s="95">
        <v>927.76</v>
      </c>
      <c r="AE1798" s="94"/>
      <c r="AF1798" s="94"/>
      <c r="AG1798" s="95">
        <v>62076.84</v>
      </c>
      <c r="AH1798" s="95">
        <v>0</v>
      </c>
    </row>
    <row r="1799" spans="1:34" ht="15.75" thickBot="1" x14ac:dyDescent="0.3">
      <c r="A1799" s="90" t="s">
        <v>1046</v>
      </c>
      <c r="B1799" s="90" t="s">
        <v>1001</v>
      </c>
      <c r="C1799" s="90" t="s">
        <v>1002</v>
      </c>
      <c r="D1799" s="90" t="s">
        <v>663</v>
      </c>
      <c r="E1799" s="90" t="s">
        <v>673</v>
      </c>
      <c r="F1799" s="90" t="s">
        <v>522</v>
      </c>
      <c r="G1799" s="93">
        <v>1038.1600000000001</v>
      </c>
      <c r="H1799" s="92"/>
      <c r="I1799" s="92"/>
      <c r="J1799" s="92"/>
      <c r="K1799" s="92"/>
      <c r="L1799" s="92"/>
      <c r="M1799" s="92"/>
      <c r="N1799" s="92"/>
      <c r="O1799" s="92"/>
      <c r="P1799" s="92"/>
      <c r="Q1799" s="92"/>
      <c r="R1799" s="92"/>
      <c r="S1799" s="92"/>
      <c r="T1799" s="92"/>
      <c r="U1799" s="92"/>
      <c r="V1799" s="92"/>
      <c r="W1799" s="92"/>
      <c r="X1799" s="93">
        <v>1038.1600000000001</v>
      </c>
      <c r="Y1799" s="92"/>
      <c r="Z1799" s="92"/>
      <c r="AA1799" s="92"/>
      <c r="AB1799" s="92"/>
      <c r="AC1799" s="92"/>
      <c r="AD1799" s="93">
        <v>23.36</v>
      </c>
      <c r="AE1799" s="92"/>
      <c r="AF1799" s="92"/>
      <c r="AG1799" s="93">
        <v>1061.52</v>
      </c>
      <c r="AH1799" s="93">
        <v>0</v>
      </c>
    </row>
    <row r="1800" spans="1:34" ht="15.75" thickBot="1" x14ac:dyDescent="0.3">
      <c r="A1800" s="90" t="s">
        <v>1046</v>
      </c>
      <c r="B1800" s="90" t="s">
        <v>1001</v>
      </c>
      <c r="C1800" s="90" t="s">
        <v>1002</v>
      </c>
      <c r="D1800" s="90" t="s">
        <v>663</v>
      </c>
      <c r="E1800" s="90" t="s">
        <v>673</v>
      </c>
      <c r="F1800" s="90" t="s">
        <v>697</v>
      </c>
      <c r="G1800" s="95">
        <v>1038.1600000000001</v>
      </c>
      <c r="H1800" s="94"/>
      <c r="I1800" s="94"/>
      <c r="J1800" s="94"/>
      <c r="K1800" s="94"/>
      <c r="L1800" s="94"/>
      <c r="M1800" s="94"/>
      <c r="N1800" s="94"/>
      <c r="O1800" s="94"/>
      <c r="P1800" s="94"/>
      <c r="Q1800" s="94"/>
      <c r="R1800" s="94"/>
      <c r="S1800" s="94"/>
      <c r="T1800" s="94"/>
      <c r="U1800" s="94"/>
      <c r="V1800" s="94"/>
      <c r="W1800" s="94"/>
      <c r="X1800" s="95">
        <v>1038.1600000000001</v>
      </c>
      <c r="Y1800" s="94"/>
      <c r="Z1800" s="94"/>
      <c r="AA1800" s="94"/>
      <c r="AB1800" s="94"/>
      <c r="AC1800" s="94"/>
      <c r="AD1800" s="95">
        <v>23.36</v>
      </c>
      <c r="AE1800" s="94"/>
      <c r="AF1800" s="94"/>
      <c r="AG1800" s="95">
        <v>1061.52</v>
      </c>
      <c r="AH1800" s="95">
        <v>0</v>
      </c>
    </row>
    <row r="1801" spans="1:34" ht="15.75" thickBot="1" x14ac:dyDescent="0.3">
      <c r="A1801" s="90" t="s">
        <v>1046</v>
      </c>
      <c r="B1801" s="90" t="s">
        <v>1001</v>
      </c>
      <c r="C1801" s="90" t="s">
        <v>1002</v>
      </c>
      <c r="D1801" s="90" t="s">
        <v>663</v>
      </c>
      <c r="E1801" s="90" t="s">
        <v>530</v>
      </c>
      <c r="F1801" s="90" t="s">
        <v>522</v>
      </c>
      <c r="G1801" s="93">
        <v>28940.45</v>
      </c>
      <c r="H1801" s="92"/>
      <c r="I1801" s="92"/>
      <c r="J1801" s="92"/>
      <c r="K1801" s="92"/>
      <c r="L1801" s="92"/>
      <c r="M1801" s="92"/>
      <c r="N1801" s="92"/>
      <c r="O1801" s="92"/>
      <c r="P1801" s="92"/>
      <c r="Q1801" s="92"/>
      <c r="R1801" s="92"/>
      <c r="S1801" s="92"/>
      <c r="T1801" s="92"/>
      <c r="U1801" s="92"/>
      <c r="V1801" s="92"/>
      <c r="W1801" s="93">
        <v>28940.45</v>
      </c>
      <c r="X1801" s="92"/>
      <c r="Y1801" s="92"/>
      <c r="Z1801" s="92"/>
      <c r="AA1801" s="92"/>
      <c r="AB1801" s="92"/>
      <c r="AC1801" s="92"/>
      <c r="AD1801" s="93">
        <v>438.39</v>
      </c>
      <c r="AE1801" s="92"/>
      <c r="AF1801" s="92"/>
      <c r="AG1801" s="93">
        <v>29378.84</v>
      </c>
      <c r="AH1801" s="93">
        <v>0</v>
      </c>
    </row>
    <row r="1802" spans="1:34" ht="15.75" thickBot="1" x14ac:dyDescent="0.3">
      <c r="A1802" s="90" t="s">
        <v>1046</v>
      </c>
      <c r="B1802" s="90" t="s">
        <v>1001</v>
      </c>
      <c r="C1802" s="90" t="s">
        <v>1002</v>
      </c>
      <c r="D1802" s="90" t="s">
        <v>663</v>
      </c>
      <c r="E1802" s="90" t="s">
        <v>530</v>
      </c>
      <c r="F1802" s="90" t="s">
        <v>697</v>
      </c>
      <c r="G1802" s="95">
        <v>28940.45</v>
      </c>
      <c r="H1802" s="94"/>
      <c r="I1802" s="94"/>
      <c r="J1802" s="94"/>
      <c r="K1802" s="94"/>
      <c r="L1802" s="94"/>
      <c r="M1802" s="94"/>
      <c r="N1802" s="94"/>
      <c r="O1802" s="94"/>
      <c r="P1802" s="94"/>
      <c r="Q1802" s="94"/>
      <c r="R1802" s="94"/>
      <c r="S1802" s="94"/>
      <c r="T1802" s="94"/>
      <c r="U1802" s="94"/>
      <c r="V1802" s="94"/>
      <c r="W1802" s="95">
        <v>28940.45</v>
      </c>
      <c r="X1802" s="94"/>
      <c r="Y1802" s="94"/>
      <c r="Z1802" s="94"/>
      <c r="AA1802" s="94"/>
      <c r="AB1802" s="94"/>
      <c r="AC1802" s="94"/>
      <c r="AD1802" s="95">
        <v>438.39</v>
      </c>
      <c r="AE1802" s="94"/>
      <c r="AF1802" s="94"/>
      <c r="AG1802" s="95">
        <v>29378.84</v>
      </c>
      <c r="AH1802" s="95">
        <v>0</v>
      </c>
    </row>
    <row r="1803" spans="1:34" ht="15.75" thickBot="1" x14ac:dyDescent="0.3">
      <c r="A1803" s="90" t="s">
        <v>1046</v>
      </c>
      <c r="B1803" s="90" t="s">
        <v>1001</v>
      </c>
      <c r="C1803" s="90" t="s">
        <v>1002</v>
      </c>
      <c r="D1803" s="90" t="s">
        <v>663</v>
      </c>
      <c r="E1803" s="90" t="s">
        <v>524</v>
      </c>
      <c r="F1803" s="90" t="s">
        <v>522</v>
      </c>
      <c r="G1803" s="93">
        <v>2200</v>
      </c>
      <c r="H1803" s="92"/>
      <c r="I1803" s="93">
        <v>2200</v>
      </c>
      <c r="J1803" s="92"/>
      <c r="K1803" s="92"/>
      <c r="L1803" s="92"/>
      <c r="M1803" s="92"/>
      <c r="N1803" s="92"/>
      <c r="O1803" s="92"/>
      <c r="P1803" s="92"/>
      <c r="Q1803" s="92"/>
      <c r="R1803" s="92"/>
      <c r="S1803" s="92"/>
      <c r="T1803" s="92"/>
      <c r="U1803" s="92"/>
      <c r="V1803" s="92"/>
      <c r="W1803" s="92"/>
      <c r="X1803" s="92"/>
      <c r="Y1803" s="92"/>
      <c r="Z1803" s="92"/>
      <c r="AA1803" s="92"/>
      <c r="AB1803" s="92"/>
      <c r="AC1803" s="92"/>
      <c r="AD1803" s="93">
        <v>49.5</v>
      </c>
      <c r="AE1803" s="92"/>
      <c r="AF1803" s="92"/>
      <c r="AG1803" s="93">
        <v>2249.5</v>
      </c>
      <c r="AH1803" s="93">
        <v>0</v>
      </c>
    </row>
    <row r="1804" spans="1:34" ht="15.75" thickBot="1" x14ac:dyDescent="0.3">
      <c r="A1804" s="90" t="s">
        <v>1046</v>
      </c>
      <c r="B1804" s="90" t="s">
        <v>1001</v>
      </c>
      <c r="C1804" s="90" t="s">
        <v>1002</v>
      </c>
      <c r="D1804" s="90" t="s">
        <v>663</v>
      </c>
      <c r="E1804" s="90" t="s">
        <v>524</v>
      </c>
      <c r="F1804" s="90" t="s">
        <v>697</v>
      </c>
      <c r="G1804" s="95">
        <v>2200</v>
      </c>
      <c r="H1804" s="94"/>
      <c r="I1804" s="95">
        <v>2200</v>
      </c>
      <c r="J1804" s="94"/>
      <c r="K1804" s="94"/>
      <c r="L1804" s="94"/>
      <c r="M1804" s="94"/>
      <c r="N1804" s="94"/>
      <c r="O1804" s="94"/>
      <c r="P1804" s="94"/>
      <c r="Q1804" s="94"/>
      <c r="R1804" s="94"/>
      <c r="S1804" s="94"/>
      <c r="T1804" s="94"/>
      <c r="U1804" s="94"/>
      <c r="V1804" s="94"/>
      <c r="W1804" s="94"/>
      <c r="X1804" s="94"/>
      <c r="Y1804" s="94"/>
      <c r="Z1804" s="94"/>
      <c r="AA1804" s="94"/>
      <c r="AB1804" s="94"/>
      <c r="AC1804" s="94"/>
      <c r="AD1804" s="95">
        <v>49.5</v>
      </c>
      <c r="AE1804" s="94"/>
      <c r="AF1804" s="94"/>
      <c r="AG1804" s="95">
        <v>2249.5</v>
      </c>
      <c r="AH1804" s="95">
        <v>0</v>
      </c>
    </row>
    <row r="1805" spans="1:34" ht="15.75" thickBot="1" x14ac:dyDescent="0.3">
      <c r="A1805" s="90" t="s">
        <v>1046</v>
      </c>
      <c r="B1805" s="90" t="s">
        <v>1001</v>
      </c>
      <c r="C1805" s="90" t="s">
        <v>1002</v>
      </c>
      <c r="D1805" s="90" t="s">
        <v>662</v>
      </c>
      <c r="E1805" s="90" t="s">
        <v>729</v>
      </c>
      <c r="F1805" s="90" t="s">
        <v>522</v>
      </c>
      <c r="G1805" s="95">
        <v>5932.9</v>
      </c>
      <c r="H1805" s="94"/>
      <c r="I1805" s="94"/>
      <c r="J1805" s="94"/>
      <c r="K1805" s="94"/>
      <c r="L1805" s="94"/>
      <c r="M1805" s="94"/>
      <c r="N1805" s="94"/>
      <c r="O1805" s="94"/>
      <c r="P1805" s="94"/>
      <c r="Q1805" s="95">
        <v>5932.9</v>
      </c>
      <c r="R1805" s="94"/>
      <c r="S1805" s="94"/>
      <c r="T1805" s="94"/>
      <c r="U1805" s="94"/>
      <c r="V1805" s="94"/>
      <c r="W1805" s="94"/>
      <c r="X1805" s="94"/>
      <c r="Y1805" s="94"/>
      <c r="Z1805" s="94"/>
      <c r="AA1805" s="94"/>
      <c r="AB1805" s="94"/>
      <c r="AC1805" s="94"/>
      <c r="AD1805" s="95">
        <v>0</v>
      </c>
      <c r="AE1805" s="94"/>
      <c r="AF1805" s="94"/>
      <c r="AG1805" s="95">
        <v>5932.9</v>
      </c>
      <c r="AH1805" s="95">
        <v>0</v>
      </c>
    </row>
    <row r="1806" spans="1:34" ht="15.75" thickBot="1" x14ac:dyDescent="0.3">
      <c r="A1806" s="90" t="s">
        <v>1046</v>
      </c>
      <c r="B1806" s="90" t="s">
        <v>1001</v>
      </c>
      <c r="C1806" s="90" t="s">
        <v>1002</v>
      </c>
      <c r="D1806" s="90" t="s">
        <v>662</v>
      </c>
      <c r="E1806" s="90" t="s">
        <v>729</v>
      </c>
      <c r="F1806" s="90" t="s">
        <v>697</v>
      </c>
      <c r="G1806" s="93">
        <v>5932.9</v>
      </c>
      <c r="H1806" s="92"/>
      <c r="I1806" s="92"/>
      <c r="J1806" s="92"/>
      <c r="K1806" s="92"/>
      <c r="L1806" s="92"/>
      <c r="M1806" s="92"/>
      <c r="N1806" s="92"/>
      <c r="O1806" s="92"/>
      <c r="P1806" s="92"/>
      <c r="Q1806" s="93">
        <v>5932.9</v>
      </c>
      <c r="R1806" s="92"/>
      <c r="S1806" s="92"/>
      <c r="T1806" s="92"/>
      <c r="U1806" s="92"/>
      <c r="V1806" s="92"/>
      <c r="W1806" s="92"/>
      <c r="X1806" s="92"/>
      <c r="Y1806" s="92"/>
      <c r="Z1806" s="92"/>
      <c r="AA1806" s="92"/>
      <c r="AB1806" s="92"/>
      <c r="AC1806" s="92"/>
      <c r="AD1806" s="93">
        <v>0</v>
      </c>
      <c r="AE1806" s="92"/>
      <c r="AF1806" s="92"/>
      <c r="AG1806" s="93">
        <v>5932.9</v>
      </c>
      <c r="AH1806" s="93">
        <v>0</v>
      </c>
    </row>
    <row r="1807" spans="1:34" ht="15.75" thickBot="1" x14ac:dyDescent="0.3">
      <c r="A1807" s="90" t="s">
        <v>1046</v>
      </c>
      <c r="B1807" s="90" t="s">
        <v>1001</v>
      </c>
      <c r="C1807" s="90" t="s">
        <v>1002</v>
      </c>
      <c r="D1807" s="90" t="s">
        <v>662</v>
      </c>
      <c r="E1807" s="90" t="s">
        <v>528</v>
      </c>
      <c r="F1807" s="90" t="s">
        <v>690</v>
      </c>
      <c r="G1807" s="95">
        <v>180</v>
      </c>
      <c r="H1807" s="94"/>
      <c r="I1807" s="95">
        <v>180</v>
      </c>
      <c r="J1807" s="94"/>
      <c r="K1807" s="94"/>
      <c r="L1807" s="94"/>
      <c r="M1807" s="94"/>
      <c r="N1807" s="94"/>
      <c r="O1807" s="94"/>
      <c r="P1807" s="94"/>
      <c r="Q1807" s="94"/>
      <c r="R1807" s="94"/>
      <c r="S1807" s="94"/>
      <c r="T1807" s="94"/>
      <c r="U1807" s="94"/>
      <c r="V1807" s="94"/>
      <c r="W1807" s="94"/>
      <c r="X1807" s="94"/>
      <c r="Y1807" s="94"/>
      <c r="Z1807" s="94"/>
      <c r="AA1807" s="94"/>
      <c r="AB1807" s="94"/>
      <c r="AC1807" s="94"/>
      <c r="AD1807" s="95">
        <v>0</v>
      </c>
      <c r="AE1807" s="94"/>
      <c r="AF1807" s="94"/>
      <c r="AG1807" s="95">
        <v>180</v>
      </c>
      <c r="AH1807" s="95">
        <v>0</v>
      </c>
    </row>
    <row r="1808" spans="1:34" ht="15.75" thickBot="1" x14ac:dyDescent="0.3">
      <c r="A1808" s="90" t="s">
        <v>1046</v>
      </c>
      <c r="B1808" s="90" t="s">
        <v>1001</v>
      </c>
      <c r="C1808" s="90" t="s">
        <v>1002</v>
      </c>
      <c r="D1808" s="90" t="s">
        <v>662</v>
      </c>
      <c r="E1808" s="90" t="s">
        <v>528</v>
      </c>
      <c r="F1808" s="90" t="s">
        <v>697</v>
      </c>
      <c r="G1808" s="93">
        <v>180</v>
      </c>
      <c r="H1808" s="92"/>
      <c r="I1808" s="93">
        <v>180</v>
      </c>
      <c r="J1808" s="92"/>
      <c r="K1808" s="92"/>
      <c r="L1808" s="92"/>
      <c r="M1808" s="92"/>
      <c r="N1808" s="92"/>
      <c r="O1808" s="92"/>
      <c r="P1808" s="92"/>
      <c r="Q1808" s="92"/>
      <c r="R1808" s="92"/>
      <c r="S1808" s="92"/>
      <c r="T1808" s="92"/>
      <c r="U1808" s="92"/>
      <c r="V1808" s="92"/>
      <c r="W1808" s="92"/>
      <c r="X1808" s="92"/>
      <c r="Y1808" s="92"/>
      <c r="Z1808" s="92"/>
      <c r="AA1808" s="92"/>
      <c r="AB1808" s="92"/>
      <c r="AC1808" s="92"/>
      <c r="AD1808" s="93">
        <v>0</v>
      </c>
      <c r="AE1808" s="92"/>
      <c r="AF1808" s="92"/>
      <c r="AG1808" s="93">
        <v>180</v>
      </c>
      <c r="AH1808" s="93">
        <v>0</v>
      </c>
    </row>
    <row r="1809" spans="1:34" ht="15.75" thickBot="1" x14ac:dyDescent="0.3">
      <c r="A1809" s="90" t="s">
        <v>1046</v>
      </c>
      <c r="B1809" s="90" t="s">
        <v>1001</v>
      </c>
      <c r="C1809" s="90" t="s">
        <v>1002</v>
      </c>
      <c r="D1809" s="90" t="s">
        <v>662</v>
      </c>
      <c r="E1809" s="90" t="s">
        <v>518</v>
      </c>
      <c r="F1809" s="90" t="s">
        <v>522</v>
      </c>
      <c r="G1809" s="95">
        <v>22719.47</v>
      </c>
      <c r="H1809" s="95">
        <v>127507</v>
      </c>
      <c r="I1809" s="94"/>
      <c r="J1809" s="94"/>
      <c r="K1809" s="95">
        <v>22719.47</v>
      </c>
      <c r="L1809" s="94"/>
      <c r="M1809" s="94"/>
      <c r="N1809" s="94"/>
      <c r="O1809" s="94"/>
      <c r="P1809" s="94"/>
      <c r="Q1809" s="94"/>
      <c r="R1809" s="94"/>
      <c r="S1809" s="94"/>
      <c r="T1809" s="94"/>
      <c r="U1809" s="94"/>
      <c r="V1809" s="94"/>
      <c r="W1809" s="94"/>
      <c r="X1809" s="94"/>
      <c r="Y1809" s="94"/>
      <c r="Z1809" s="94"/>
      <c r="AA1809" s="94"/>
      <c r="AB1809" s="94"/>
      <c r="AC1809" s="94"/>
      <c r="AD1809" s="95">
        <v>0</v>
      </c>
      <c r="AE1809" s="94"/>
      <c r="AF1809" s="94"/>
      <c r="AG1809" s="95">
        <v>22719.47</v>
      </c>
      <c r="AH1809" s="95">
        <v>0</v>
      </c>
    </row>
    <row r="1810" spans="1:34" ht="15.75" thickBot="1" x14ac:dyDescent="0.3">
      <c r="A1810" s="90" t="s">
        <v>1046</v>
      </c>
      <c r="B1810" s="90" t="s">
        <v>1001</v>
      </c>
      <c r="C1810" s="90" t="s">
        <v>1002</v>
      </c>
      <c r="D1810" s="90" t="s">
        <v>662</v>
      </c>
      <c r="E1810" s="90" t="s">
        <v>518</v>
      </c>
      <c r="F1810" s="90" t="s">
        <v>697</v>
      </c>
      <c r="G1810" s="93">
        <v>22719.47</v>
      </c>
      <c r="H1810" s="304">
        <v>127507</v>
      </c>
      <c r="I1810" s="92"/>
      <c r="J1810" s="92"/>
      <c r="K1810" s="93">
        <v>22719.47</v>
      </c>
      <c r="L1810" s="92"/>
      <c r="M1810" s="92"/>
      <c r="N1810" s="92"/>
      <c r="O1810" s="92"/>
      <c r="P1810" s="92"/>
      <c r="Q1810" s="92"/>
      <c r="R1810" s="92"/>
      <c r="S1810" s="92"/>
      <c r="T1810" s="92"/>
      <c r="U1810" s="92"/>
      <c r="V1810" s="92"/>
      <c r="W1810" s="92"/>
      <c r="X1810" s="92"/>
      <c r="Y1810" s="92"/>
      <c r="Z1810" s="92"/>
      <c r="AA1810" s="92"/>
      <c r="AB1810" s="92"/>
      <c r="AC1810" s="92"/>
      <c r="AD1810" s="93">
        <v>0</v>
      </c>
      <c r="AE1810" s="92"/>
      <c r="AF1810" s="92"/>
      <c r="AG1810" s="93">
        <v>22719.47</v>
      </c>
      <c r="AH1810" s="93">
        <v>0</v>
      </c>
    </row>
    <row r="1811" spans="1:34" ht="15.75" thickBot="1" x14ac:dyDescent="0.3">
      <c r="A1811" s="90" t="s">
        <v>1046</v>
      </c>
      <c r="B1811" s="90" t="s">
        <v>1001</v>
      </c>
      <c r="C1811" s="90" t="s">
        <v>1002</v>
      </c>
      <c r="D1811" s="90" t="s">
        <v>662</v>
      </c>
      <c r="E1811" s="90" t="s">
        <v>673</v>
      </c>
      <c r="F1811" s="90" t="s">
        <v>522</v>
      </c>
      <c r="G1811" s="95">
        <v>259.54000000000002</v>
      </c>
      <c r="H1811" s="94"/>
      <c r="I1811" s="94"/>
      <c r="J1811" s="94"/>
      <c r="K1811" s="94"/>
      <c r="L1811" s="94"/>
      <c r="M1811" s="94"/>
      <c r="N1811" s="94"/>
      <c r="O1811" s="94"/>
      <c r="P1811" s="94"/>
      <c r="Q1811" s="94"/>
      <c r="R1811" s="94"/>
      <c r="S1811" s="94"/>
      <c r="T1811" s="94"/>
      <c r="U1811" s="94"/>
      <c r="V1811" s="94"/>
      <c r="W1811" s="94"/>
      <c r="X1811" s="95">
        <v>259.54000000000002</v>
      </c>
      <c r="Y1811" s="94"/>
      <c r="Z1811" s="94"/>
      <c r="AA1811" s="94"/>
      <c r="AB1811" s="94"/>
      <c r="AC1811" s="94"/>
      <c r="AD1811" s="95">
        <v>0</v>
      </c>
      <c r="AE1811" s="94"/>
      <c r="AF1811" s="94"/>
      <c r="AG1811" s="95">
        <v>259.54000000000002</v>
      </c>
      <c r="AH1811" s="95">
        <v>0</v>
      </c>
    </row>
    <row r="1812" spans="1:34" ht="15.75" thickBot="1" x14ac:dyDescent="0.3">
      <c r="A1812" s="90" t="s">
        <v>1046</v>
      </c>
      <c r="B1812" s="90" t="s">
        <v>1001</v>
      </c>
      <c r="C1812" s="90" t="s">
        <v>1002</v>
      </c>
      <c r="D1812" s="90" t="s">
        <v>662</v>
      </c>
      <c r="E1812" s="90" t="s">
        <v>673</v>
      </c>
      <c r="F1812" s="90" t="s">
        <v>697</v>
      </c>
      <c r="G1812" s="93">
        <v>259.54000000000002</v>
      </c>
      <c r="H1812" s="92"/>
      <c r="I1812" s="92"/>
      <c r="J1812" s="92"/>
      <c r="K1812" s="92"/>
      <c r="L1812" s="92"/>
      <c r="M1812" s="92"/>
      <c r="N1812" s="92"/>
      <c r="O1812" s="92"/>
      <c r="P1812" s="92"/>
      <c r="Q1812" s="92"/>
      <c r="R1812" s="92"/>
      <c r="S1812" s="92"/>
      <c r="T1812" s="92"/>
      <c r="U1812" s="92"/>
      <c r="V1812" s="92"/>
      <c r="W1812" s="92"/>
      <c r="X1812" s="93">
        <v>259.54000000000002</v>
      </c>
      <c r="Y1812" s="92"/>
      <c r="Z1812" s="92"/>
      <c r="AA1812" s="92"/>
      <c r="AB1812" s="92"/>
      <c r="AC1812" s="92"/>
      <c r="AD1812" s="93">
        <v>0</v>
      </c>
      <c r="AE1812" s="92"/>
      <c r="AF1812" s="92"/>
      <c r="AG1812" s="93">
        <v>259.54000000000002</v>
      </c>
      <c r="AH1812" s="93">
        <v>0</v>
      </c>
    </row>
    <row r="1813" spans="1:34" ht="15.75" thickBot="1" x14ac:dyDescent="0.3">
      <c r="A1813" s="90" t="s">
        <v>1046</v>
      </c>
      <c r="B1813" s="90" t="s">
        <v>1001</v>
      </c>
      <c r="C1813" s="90" t="s">
        <v>1002</v>
      </c>
      <c r="D1813" s="90" t="s">
        <v>662</v>
      </c>
      <c r="E1813" s="90" t="s">
        <v>530</v>
      </c>
      <c r="F1813" s="90" t="s">
        <v>522</v>
      </c>
      <c r="G1813" s="95">
        <v>10764.14</v>
      </c>
      <c r="H1813" s="94"/>
      <c r="I1813" s="94"/>
      <c r="J1813" s="94"/>
      <c r="K1813" s="94"/>
      <c r="L1813" s="94"/>
      <c r="M1813" s="94"/>
      <c r="N1813" s="94"/>
      <c r="O1813" s="94"/>
      <c r="P1813" s="94"/>
      <c r="Q1813" s="94"/>
      <c r="R1813" s="94"/>
      <c r="S1813" s="94"/>
      <c r="T1813" s="94"/>
      <c r="U1813" s="94"/>
      <c r="V1813" s="94"/>
      <c r="W1813" s="95">
        <v>10764.14</v>
      </c>
      <c r="X1813" s="94"/>
      <c r="Y1813" s="94"/>
      <c r="Z1813" s="94"/>
      <c r="AA1813" s="94"/>
      <c r="AB1813" s="94"/>
      <c r="AC1813" s="94"/>
      <c r="AD1813" s="95">
        <v>0</v>
      </c>
      <c r="AE1813" s="94"/>
      <c r="AF1813" s="94"/>
      <c r="AG1813" s="95">
        <v>10764.14</v>
      </c>
      <c r="AH1813" s="95">
        <v>0</v>
      </c>
    </row>
    <row r="1814" spans="1:34" ht="15.75" thickBot="1" x14ac:dyDescent="0.3">
      <c r="A1814" s="90" t="s">
        <v>1046</v>
      </c>
      <c r="B1814" s="90" t="s">
        <v>1001</v>
      </c>
      <c r="C1814" s="90" t="s">
        <v>1002</v>
      </c>
      <c r="D1814" s="90" t="s">
        <v>662</v>
      </c>
      <c r="E1814" s="90" t="s">
        <v>530</v>
      </c>
      <c r="F1814" s="90" t="s">
        <v>697</v>
      </c>
      <c r="G1814" s="93">
        <v>10764.14</v>
      </c>
      <c r="H1814" s="92"/>
      <c r="I1814" s="92"/>
      <c r="J1814" s="92"/>
      <c r="K1814" s="92"/>
      <c r="L1814" s="92"/>
      <c r="M1814" s="92"/>
      <c r="N1814" s="92"/>
      <c r="O1814" s="92"/>
      <c r="P1814" s="92"/>
      <c r="Q1814" s="92"/>
      <c r="R1814" s="92"/>
      <c r="S1814" s="92"/>
      <c r="T1814" s="92"/>
      <c r="U1814" s="92"/>
      <c r="V1814" s="92"/>
      <c r="W1814" s="93">
        <v>10764.14</v>
      </c>
      <c r="X1814" s="92"/>
      <c r="Y1814" s="92"/>
      <c r="Z1814" s="92"/>
      <c r="AA1814" s="92"/>
      <c r="AB1814" s="92"/>
      <c r="AC1814" s="92"/>
      <c r="AD1814" s="93">
        <v>0</v>
      </c>
      <c r="AE1814" s="92"/>
      <c r="AF1814" s="92"/>
      <c r="AG1814" s="93">
        <v>10764.14</v>
      </c>
      <c r="AH1814" s="93">
        <v>0</v>
      </c>
    </row>
    <row r="1815" spans="1:34" ht="15.75" thickBot="1" x14ac:dyDescent="0.3">
      <c r="A1815" s="90" t="s">
        <v>1046</v>
      </c>
      <c r="B1815" s="90" t="s">
        <v>1001</v>
      </c>
      <c r="C1815" s="90" t="s">
        <v>1002</v>
      </c>
      <c r="D1815" s="90" t="s">
        <v>662</v>
      </c>
      <c r="E1815" s="90" t="s">
        <v>524</v>
      </c>
      <c r="F1815" s="90" t="s">
        <v>522</v>
      </c>
      <c r="G1815" s="95">
        <v>550</v>
      </c>
      <c r="H1815" s="94"/>
      <c r="I1815" s="95">
        <v>550</v>
      </c>
      <c r="J1815" s="94"/>
      <c r="K1815" s="94"/>
      <c r="L1815" s="94"/>
      <c r="M1815" s="94"/>
      <c r="N1815" s="94"/>
      <c r="O1815" s="94"/>
      <c r="P1815" s="94"/>
      <c r="Q1815" s="94"/>
      <c r="R1815" s="94"/>
      <c r="S1815" s="94"/>
      <c r="T1815" s="94"/>
      <c r="U1815" s="94"/>
      <c r="V1815" s="94"/>
      <c r="W1815" s="94"/>
      <c r="X1815" s="94"/>
      <c r="Y1815" s="94"/>
      <c r="Z1815" s="94"/>
      <c r="AA1815" s="94"/>
      <c r="AB1815" s="94"/>
      <c r="AC1815" s="94"/>
      <c r="AD1815" s="95">
        <v>0</v>
      </c>
      <c r="AE1815" s="94"/>
      <c r="AF1815" s="94"/>
      <c r="AG1815" s="95">
        <v>550</v>
      </c>
      <c r="AH1815" s="95">
        <v>0</v>
      </c>
    </row>
    <row r="1816" spans="1:34" ht="15.75" thickBot="1" x14ac:dyDescent="0.3">
      <c r="A1816" s="90" t="s">
        <v>1046</v>
      </c>
      <c r="B1816" s="90" t="s">
        <v>1001</v>
      </c>
      <c r="C1816" s="90" t="s">
        <v>1002</v>
      </c>
      <c r="D1816" s="90" t="s">
        <v>662</v>
      </c>
      <c r="E1816" s="90" t="s">
        <v>524</v>
      </c>
      <c r="F1816" s="90" t="s">
        <v>697</v>
      </c>
      <c r="G1816" s="93">
        <v>550</v>
      </c>
      <c r="H1816" s="92"/>
      <c r="I1816" s="93">
        <v>550</v>
      </c>
      <c r="J1816" s="92"/>
      <c r="K1816" s="92"/>
      <c r="L1816" s="92"/>
      <c r="M1816" s="92"/>
      <c r="N1816" s="92"/>
      <c r="O1816" s="92"/>
      <c r="P1816" s="92"/>
      <c r="Q1816" s="92"/>
      <c r="R1816" s="92"/>
      <c r="S1816" s="92"/>
      <c r="T1816" s="92"/>
      <c r="U1816" s="92"/>
      <c r="V1816" s="92"/>
      <c r="W1816" s="92"/>
      <c r="X1816" s="92"/>
      <c r="Y1816" s="92"/>
      <c r="Z1816" s="92"/>
      <c r="AA1816" s="92"/>
      <c r="AB1816" s="92"/>
      <c r="AC1816" s="92"/>
      <c r="AD1816" s="93">
        <v>0</v>
      </c>
      <c r="AE1816" s="92"/>
      <c r="AF1816" s="92"/>
      <c r="AG1816" s="93">
        <v>550</v>
      </c>
      <c r="AH1816" s="93">
        <v>0</v>
      </c>
    </row>
    <row r="1817" spans="1:34" ht="15.75" thickBot="1" x14ac:dyDescent="0.3">
      <c r="A1817" s="90" t="s">
        <v>1046</v>
      </c>
      <c r="B1817" s="90" t="s">
        <v>93</v>
      </c>
      <c r="C1817" s="90" t="s">
        <v>719</v>
      </c>
      <c r="D1817" s="90" t="s">
        <v>663</v>
      </c>
      <c r="E1817" s="90" t="s">
        <v>525</v>
      </c>
      <c r="F1817" s="90" t="s">
        <v>690</v>
      </c>
      <c r="G1817" s="95">
        <v>2167.64</v>
      </c>
      <c r="H1817" s="94"/>
      <c r="I1817" s="94"/>
      <c r="J1817" s="94"/>
      <c r="K1817" s="94"/>
      <c r="L1817" s="94"/>
      <c r="M1817" s="94"/>
      <c r="N1817" s="94"/>
      <c r="O1817" s="94"/>
      <c r="P1817" s="94"/>
      <c r="Q1817" s="94"/>
      <c r="R1817" s="95">
        <v>2167.64</v>
      </c>
      <c r="S1817" s="94"/>
      <c r="T1817" s="94"/>
      <c r="U1817" s="94"/>
      <c r="V1817" s="94"/>
      <c r="W1817" s="94"/>
      <c r="X1817" s="94"/>
      <c r="Y1817" s="94"/>
      <c r="Z1817" s="94"/>
      <c r="AA1817" s="94"/>
      <c r="AB1817" s="94"/>
      <c r="AC1817" s="94"/>
      <c r="AD1817" s="95">
        <v>0</v>
      </c>
      <c r="AE1817" s="94"/>
      <c r="AF1817" s="94"/>
      <c r="AG1817" s="95">
        <v>2167.64</v>
      </c>
      <c r="AH1817" s="95">
        <v>0</v>
      </c>
    </row>
    <row r="1818" spans="1:34" ht="15.75" thickBot="1" x14ac:dyDescent="0.3">
      <c r="A1818" s="90" t="s">
        <v>1046</v>
      </c>
      <c r="B1818" s="90" t="s">
        <v>93</v>
      </c>
      <c r="C1818" s="90" t="s">
        <v>719</v>
      </c>
      <c r="D1818" s="90" t="s">
        <v>663</v>
      </c>
      <c r="E1818" s="90" t="s">
        <v>525</v>
      </c>
      <c r="F1818" s="90" t="s">
        <v>697</v>
      </c>
      <c r="G1818" s="93">
        <v>2167.64</v>
      </c>
      <c r="H1818" s="92"/>
      <c r="I1818" s="92"/>
      <c r="J1818" s="92"/>
      <c r="K1818" s="92"/>
      <c r="L1818" s="92"/>
      <c r="M1818" s="92"/>
      <c r="N1818" s="92"/>
      <c r="O1818" s="92"/>
      <c r="P1818" s="92"/>
      <c r="Q1818" s="92"/>
      <c r="R1818" s="93">
        <v>2167.64</v>
      </c>
      <c r="S1818" s="92"/>
      <c r="T1818" s="92"/>
      <c r="U1818" s="92"/>
      <c r="V1818" s="92"/>
      <c r="W1818" s="92"/>
      <c r="X1818" s="92"/>
      <c r="Y1818" s="92"/>
      <c r="Z1818" s="92"/>
      <c r="AA1818" s="92"/>
      <c r="AB1818" s="92"/>
      <c r="AC1818" s="92"/>
      <c r="AD1818" s="93">
        <v>0</v>
      </c>
      <c r="AE1818" s="92"/>
      <c r="AF1818" s="92"/>
      <c r="AG1818" s="93">
        <v>2167.64</v>
      </c>
      <c r="AH1818" s="93">
        <v>0</v>
      </c>
    </row>
    <row r="1819" spans="1:34" ht="15.75" thickBot="1" x14ac:dyDescent="0.3">
      <c r="A1819" s="90" t="s">
        <v>1046</v>
      </c>
      <c r="B1819" s="90" t="s">
        <v>93</v>
      </c>
      <c r="C1819" s="90" t="s">
        <v>719</v>
      </c>
      <c r="D1819" s="90" t="s">
        <v>663</v>
      </c>
      <c r="E1819" s="90" t="s">
        <v>527</v>
      </c>
      <c r="F1819" s="90" t="s">
        <v>690</v>
      </c>
      <c r="G1819" s="95">
        <v>610.26</v>
      </c>
      <c r="H1819" s="94"/>
      <c r="I1819" s="94"/>
      <c r="J1819" s="94"/>
      <c r="K1819" s="94"/>
      <c r="L1819" s="94"/>
      <c r="M1819" s="94"/>
      <c r="N1819" s="94"/>
      <c r="O1819" s="94"/>
      <c r="P1819" s="94"/>
      <c r="Q1819" s="94"/>
      <c r="R1819" s="94"/>
      <c r="S1819" s="95">
        <v>610.26</v>
      </c>
      <c r="T1819" s="94"/>
      <c r="U1819" s="94"/>
      <c r="V1819" s="94"/>
      <c r="W1819" s="94"/>
      <c r="X1819" s="94"/>
      <c r="Y1819" s="94"/>
      <c r="Z1819" s="94"/>
      <c r="AA1819" s="94"/>
      <c r="AB1819" s="94"/>
      <c r="AC1819" s="94"/>
      <c r="AD1819" s="95">
        <v>0</v>
      </c>
      <c r="AE1819" s="94"/>
      <c r="AF1819" s="94"/>
      <c r="AG1819" s="95">
        <v>610.26</v>
      </c>
      <c r="AH1819" s="95">
        <v>0</v>
      </c>
    </row>
    <row r="1820" spans="1:34" ht="15.75" thickBot="1" x14ac:dyDescent="0.3">
      <c r="A1820" s="90" t="s">
        <v>1046</v>
      </c>
      <c r="B1820" s="90" t="s">
        <v>93</v>
      </c>
      <c r="C1820" s="90" t="s">
        <v>719</v>
      </c>
      <c r="D1820" s="90" t="s">
        <v>663</v>
      </c>
      <c r="E1820" s="90" t="s">
        <v>527</v>
      </c>
      <c r="F1820" s="90" t="s">
        <v>697</v>
      </c>
      <c r="G1820" s="93">
        <v>610.26</v>
      </c>
      <c r="H1820" s="92"/>
      <c r="I1820" s="92"/>
      <c r="J1820" s="92"/>
      <c r="K1820" s="92"/>
      <c r="L1820" s="92"/>
      <c r="M1820" s="92"/>
      <c r="N1820" s="92"/>
      <c r="O1820" s="92"/>
      <c r="P1820" s="92"/>
      <c r="Q1820" s="92"/>
      <c r="R1820" s="92"/>
      <c r="S1820" s="93">
        <v>610.26</v>
      </c>
      <c r="T1820" s="92"/>
      <c r="U1820" s="92"/>
      <c r="V1820" s="92"/>
      <c r="W1820" s="92"/>
      <c r="X1820" s="92"/>
      <c r="Y1820" s="92"/>
      <c r="Z1820" s="92"/>
      <c r="AA1820" s="92"/>
      <c r="AB1820" s="92"/>
      <c r="AC1820" s="92"/>
      <c r="AD1820" s="93">
        <v>0</v>
      </c>
      <c r="AE1820" s="92"/>
      <c r="AF1820" s="92"/>
      <c r="AG1820" s="93">
        <v>610.26</v>
      </c>
      <c r="AH1820" s="93">
        <v>0</v>
      </c>
    </row>
    <row r="1821" spans="1:34" ht="15.75" thickBot="1" x14ac:dyDescent="0.3">
      <c r="A1821" s="90" t="s">
        <v>1046</v>
      </c>
      <c r="B1821" s="90" t="s">
        <v>93</v>
      </c>
      <c r="C1821" s="90" t="s">
        <v>719</v>
      </c>
      <c r="D1821" s="90" t="s">
        <v>663</v>
      </c>
      <c r="E1821" s="90" t="s">
        <v>524</v>
      </c>
      <c r="F1821" s="90" t="s">
        <v>522</v>
      </c>
      <c r="G1821" s="95">
        <v>525</v>
      </c>
      <c r="H1821" s="94"/>
      <c r="I1821" s="95">
        <v>525</v>
      </c>
      <c r="J1821" s="94"/>
      <c r="K1821" s="94"/>
      <c r="L1821" s="94"/>
      <c r="M1821" s="94"/>
      <c r="N1821" s="94"/>
      <c r="O1821" s="94"/>
      <c r="P1821" s="94"/>
      <c r="Q1821" s="94"/>
      <c r="R1821" s="94"/>
      <c r="S1821" s="94"/>
      <c r="T1821" s="94"/>
      <c r="U1821" s="94"/>
      <c r="V1821" s="94"/>
      <c r="W1821" s="94"/>
      <c r="X1821" s="94"/>
      <c r="Y1821" s="94"/>
      <c r="Z1821" s="94"/>
      <c r="AA1821" s="94"/>
      <c r="AB1821" s="94"/>
      <c r="AC1821" s="94"/>
      <c r="AD1821" s="95">
        <v>0</v>
      </c>
      <c r="AE1821" s="94"/>
      <c r="AF1821" s="94"/>
      <c r="AG1821" s="95">
        <v>525</v>
      </c>
      <c r="AH1821" s="95">
        <v>0</v>
      </c>
    </row>
    <row r="1822" spans="1:34" ht="15.75" thickBot="1" x14ac:dyDescent="0.3">
      <c r="A1822" s="90" t="s">
        <v>1046</v>
      </c>
      <c r="B1822" s="90" t="s">
        <v>93</v>
      </c>
      <c r="C1822" s="90" t="s">
        <v>719</v>
      </c>
      <c r="D1822" s="90" t="s">
        <v>663</v>
      </c>
      <c r="E1822" s="90" t="s">
        <v>524</v>
      </c>
      <c r="F1822" s="90" t="s">
        <v>697</v>
      </c>
      <c r="G1822" s="93">
        <v>525</v>
      </c>
      <c r="H1822" s="92"/>
      <c r="I1822" s="93">
        <v>525</v>
      </c>
      <c r="J1822" s="92"/>
      <c r="K1822" s="92"/>
      <c r="L1822" s="92"/>
      <c r="M1822" s="92"/>
      <c r="N1822" s="92"/>
      <c r="O1822" s="92"/>
      <c r="P1822" s="92"/>
      <c r="Q1822" s="92"/>
      <c r="R1822" s="92"/>
      <c r="S1822" s="92"/>
      <c r="T1822" s="92"/>
      <c r="U1822" s="92"/>
      <c r="V1822" s="92"/>
      <c r="W1822" s="92"/>
      <c r="X1822" s="92"/>
      <c r="Y1822" s="92"/>
      <c r="Z1822" s="92"/>
      <c r="AA1822" s="92"/>
      <c r="AB1822" s="92"/>
      <c r="AC1822" s="92"/>
      <c r="AD1822" s="93">
        <v>0</v>
      </c>
      <c r="AE1822" s="92"/>
      <c r="AF1822" s="92"/>
      <c r="AG1822" s="93">
        <v>525</v>
      </c>
      <c r="AH1822" s="93">
        <v>0</v>
      </c>
    </row>
    <row r="1823" spans="1:34" ht="15.75" thickBot="1" x14ac:dyDescent="0.3">
      <c r="A1823" s="90" t="s">
        <v>1046</v>
      </c>
      <c r="B1823" s="90" t="s">
        <v>1003</v>
      </c>
      <c r="C1823" s="90" t="s">
        <v>1004</v>
      </c>
      <c r="D1823" s="90" t="s">
        <v>663</v>
      </c>
      <c r="E1823" s="90" t="s">
        <v>528</v>
      </c>
      <c r="F1823" s="90" t="s">
        <v>690</v>
      </c>
      <c r="G1823" s="93">
        <v>400</v>
      </c>
      <c r="H1823" s="92"/>
      <c r="I1823" s="93">
        <v>400</v>
      </c>
      <c r="J1823" s="92"/>
      <c r="K1823" s="92"/>
      <c r="L1823" s="92"/>
      <c r="M1823" s="92"/>
      <c r="N1823" s="92"/>
      <c r="O1823" s="92"/>
      <c r="P1823" s="92"/>
      <c r="Q1823" s="92"/>
      <c r="R1823" s="92"/>
      <c r="S1823" s="92"/>
      <c r="T1823" s="92"/>
      <c r="U1823" s="92"/>
      <c r="V1823" s="92"/>
      <c r="W1823" s="92"/>
      <c r="X1823" s="92"/>
      <c r="Y1823" s="92"/>
      <c r="Z1823" s="92"/>
      <c r="AA1823" s="92"/>
      <c r="AB1823" s="92"/>
      <c r="AC1823" s="92"/>
      <c r="AD1823" s="93">
        <v>0</v>
      </c>
      <c r="AE1823" s="92"/>
      <c r="AF1823" s="92"/>
      <c r="AG1823" s="93">
        <v>400</v>
      </c>
      <c r="AH1823" s="93">
        <v>0</v>
      </c>
    </row>
    <row r="1824" spans="1:34" ht="15.75" thickBot="1" x14ac:dyDescent="0.3">
      <c r="A1824" s="90" t="s">
        <v>1046</v>
      </c>
      <c r="B1824" s="90" t="s">
        <v>1003</v>
      </c>
      <c r="C1824" s="90" t="s">
        <v>1004</v>
      </c>
      <c r="D1824" s="90" t="s">
        <v>663</v>
      </c>
      <c r="E1824" s="90" t="s">
        <v>528</v>
      </c>
      <c r="F1824" s="90" t="s">
        <v>697</v>
      </c>
      <c r="G1824" s="95">
        <v>400</v>
      </c>
      <c r="H1824" s="94"/>
      <c r="I1824" s="95">
        <v>400</v>
      </c>
      <c r="J1824" s="94"/>
      <c r="K1824" s="94"/>
      <c r="L1824" s="94"/>
      <c r="M1824" s="94"/>
      <c r="N1824" s="94"/>
      <c r="O1824" s="94"/>
      <c r="P1824" s="94"/>
      <c r="Q1824" s="94"/>
      <c r="R1824" s="94"/>
      <c r="S1824" s="94"/>
      <c r="T1824" s="94"/>
      <c r="U1824" s="94"/>
      <c r="V1824" s="94"/>
      <c r="W1824" s="94"/>
      <c r="X1824" s="94"/>
      <c r="Y1824" s="94"/>
      <c r="Z1824" s="94"/>
      <c r="AA1824" s="94"/>
      <c r="AB1824" s="94"/>
      <c r="AC1824" s="94"/>
      <c r="AD1824" s="95">
        <v>0</v>
      </c>
      <c r="AE1824" s="94"/>
      <c r="AF1824" s="94"/>
      <c r="AG1824" s="95">
        <v>400</v>
      </c>
      <c r="AH1824" s="95">
        <v>0</v>
      </c>
    </row>
    <row r="1825" spans="1:34" ht="15.75" thickBot="1" x14ac:dyDescent="0.3">
      <c r="A1825" s="90" t="s">
        <v>1046</v>
      </c>
      <c r="B1825" s="90" t="s">
        <v>1003</v>
      </c>
      <c r="C1825" s="90" t="s">
        <v>1004</v>
      </c>
      <c r="D1825" s="90" t="s">
        <v>663</v>
      </c>
      <c r="E1825" s="90" t="s">
        <v>518</v>
      </c>
      <c r="F1825" s="90" t="s">
        <v>522</v>
      </c>
      <c r="G1825" s="93">
        <v>4153.6000000000004</v>
      </c>
      <c r="H1825" s="93">
        <v>59261</v>
      </c>
      <c r="I1825" s="92"/>
      <c r="J1825" s="92"/>
      <c r="K1825" s="93">
        <v>4153.6000000000004</v>
      </c>
      <c r="L1825" s="92"/>
      <c r="M1825" s="92"/>
      <c r="N1825" s="92"/>
      <c r="O1825" s="92"/>
      <c r="P1825" s="92"/>
      <c r="Q1825" s="92"/>
      <c r="R1825" s="92"/>
      <c r="S1825" s="92"/>
      <c r="T1825" s="92"/>
      <c r="U1825" s="92"/>
      <c r="V1825" s="92"/>
      <c r="W1825" s="92"/>
      <c r="X1825" s="92"/>
      <c r="Y1825" s="92"/>
      <c r="Z1825" s="92"/>
      <c r="AA1825" s="92"/>
      <c r="AB1825" s="92"/>
      <c r="AC1825" s="92"/>
      <c r="AD1825" s="93">
        <v>0</v>
      </c>
      <c r="AE1825" s="92"/>
      <c r="AF1825" s="92"/>
      <c r="AG1825" s="93">
        <v>4153.6000000000004</v>
      </c>
      <c r="AH1825" s="93">
        <v>0</v>
      </c>
    </row>
    <row r="1826" spans="1:34" ht="15.75" thickBot="1" x14ac:dyDescent="0.3">
      <c r="A1826" s="90" t="s">
        <v>1046</v>
      </c>
      <c r="B1826" s="90" t="s">
        <v>1003</v>
      </c>
      <c r="C1826" s="90" t="s">
        <v>1004</v>
      </c>
      <c r="D1826" s="90" t="s">
        <v>663</v>
      </c>
      <c r="E1826" s="90" t="s">
        <v>518</v>
      </c>
      <c r="F1826" s="90" t="s">
        <v>697</v>
      </c>
      <c r="G1826" s="95">
        <v>4153.6000000000004</v>
      </c>
      <c r="H1826" s="305">
        <v>59261</v>
      </c>
      <c r="I1826" s="94"/>
      <c r="J1826" s="94"/>
      <c r="K1826" s="95">
        <v>4153.6000000000004</v>
      </c>
      <c r="L1826" s="94"/>
      <c r="M1826" s="94"/>
      <c r="N1826" s="94"/>
      <c r="O1826" s="94"/>
      <c r="P1826" s="94"/>
      <c r="Q1826" s="94"/>
      <c r="R1826" s="94"/>
      <c r="S1826" s="94"/>
      <c r="T1826" s="94"/>
      <c r="U1826" s="94"/>
      <c r="V1826" s="94"/>
      <c r="W1826" s="94"/>
      <c r="X1826" s="94"/>
      <c r="Y1826" s="94"/>
      <c r="Z1826" s="94"/>
      <c r="AA1826" s="94"/>
      <c r="AB1826" s="94"/>
      <c r="AC1826" s="94"/>
      <c r="AD1826" s="95">
        <v>0</v>
      </c>
      <c r="AE1826" s="94"/>
      <c r="AF1826" s="94"/>
      <c r="AG1826" s="95">
        <v>4153.6000000000004</v>
      </c>
      <c r="AH1826" s="95">
        <v>0</v>
      </c>
    </row>
    <row r="1827" spans="1:34" ht="15.75" thickBot="1" x14ac:dyDescent="0.3">
      <c r="A1827" s="90" t="s">
        <v>1046</v>
      </c>
      <c r="B1827" s="90" t="s">
        <v>1003</v>
      </c>
      <c r="C1827" s="90" t="s">
        <v>1004</v>
      </c>
      <c r="D1827" s="90" t="s">
        <v>663</v>
      </c>
      <c r="E1827" s="90" t="s">
        <v>673</v>
      </c>
      <c r="F1827" s="90" t="s">
        <v>522</v>
      </c>
      <c r="G1827" s="93">
        <v>2838.87</v>
      </c>
      <c r="H1827" s="92"/>
      <c r="I1827" s="92"/>
      <c r="J1827" s="92"/>
      <c r="K1827" s="92"/>
      <c r="L1827" s="92"/>
      <c r="M1827" s="92"/>
      <c r="N1827" s="92"/>
      <c r="O1827" s="92"/>
      <c r="P1827" s="92"/>
      <c r="Q1827" s="92"/>
      <c r="R1827" s="92"/>
      <c r="S1827" s="92"/>
      <c r="T1827" s="92"/>
      <c r="U1827" s="92"/>
      <c r="V1827" s="92"/>
      <c r="W1827" s="92"/>
      <c r="X1827" s="93">
        <v>2838.87</v>
      </c>
      <c r="Y1827" s="92"/>
      <c r="Z1827" s="92"/>
      <c r="AA1827" s="92"/>
      <c r="AB1827" s="92"/>
      <c r="AC1827" s="92"/>
      <c r="AD1827" s="93">
        <v>0</v>
      </c>
      <c r="AE1827" s="92"/>
      <c r="AF1827" s="92"/>
      <c r="AG1827" s="93">
        <v>2838.87</v>
      </c>
      <c r="AH1827" s="93">
        <v>0</v>
      </c>
    </row>
    <row r="1828" spans="1:34" ht="15.75" thickBot="1" x14ac:dyDescent="0.3">
      <c r="A1828" s="90" t="s">
        <v>1046</v>
      </c>
      <c r="B1828" s="90" t="s">
        <v>1003</v>
      </c>
      <c r="C1828" s="90" t="s">
        <v>1004</v>
      </c>
      <c r="D1828" s="90" t="s">
        <v>663</v>
      </c>
      <c r="E1828" s="90" t="s">
        <v>673</v>
      </c>
      <c r="F1828" s="90" t="s">
        <v>697</v>
      </c>
      <c r="G1828" s="95">
        <v>2838.87</v>
      </c>
      <c r="H1828" s="94"/>
      <c r="I1828" s="94"/>
      <c r="J1828" s="94"/>
      <c r="K1828" s="94"/>
      <c r="L1828" s="94"/>
      <c r="M1828" s="94"/>
      <c r="N1828" s="94"/>
      <c r="O1828" s="94"/>
      <c r="P1828" s="94"/>
      <c r="Q1828" s="94"/>
      <c r="R1828" s="94"/>
      <c r="S1828" s="94"/>
      <c r="T1828" s="94"/>
      <c r="U1828" s="94"/>
      <c r="V1828" s="94"/>
      <c r="W1828" s="94"/>
      <c r="X1828" s="95">
        <v>2838.87</v>
      </c>
      <c r="Y1828" s="94"/>
      <c r="Z1828" s="94"/>
      <c r="AA1828" s="94"/>
      <c r="AB1828" s="94"/>
      <c r="AC1828" s="94"/>
      <c r="AD1828" s="95">
        <v>0</v>
      </c>
      <c r="AE1828" s="94"/>
      <c r="AF1828" s="94"/>
      <c r="AG1828" s="95">
        <v>2838.87</v>
      </c>
      <c r="AH1828" s="95">
        <v>0</v>
      </c>
    </row>
    <row r="1829" spans="1:34" ht="15.75" thickBot="1" x14ac:dyDescent="0.3">
      <c r="A1829" s="90" t="s">
        <v>1046</v>
      </c>
      <c r="B1829" s="90" t="s">
        <v>1003</v>
      </c>
      <c r="C1829" s="90" t="s">
        <v>1004</v>
      </c>
      <c r="D1829" s="90" t="s">
        <v>663</v>
      </c>
      <c r="E1829" s="90" t="s">
        <v>530</v>
      </c>
      <c r="F1829" s="90" t="s">
        <v>522</v>
      </c>
      <c r="G1829" s="93">
        <v>5002.8100000000004</v>
      </c>
      <c r="H1829" s="92"/>
      <c r="I1829" s="92"/>
      <c r="J1829" s="92"/>
      <c r="K1829" s="92"/>
      <c r="L1829" s="92"/>
      <c r="M1829" s="92"/>
      <c r="N1829" s="92"/>
      <c r="O1829" s="92"/>
      <c r="P1829" s="92"/>
      <c r="Q1829" s="92"/>
      <c r="R1829" s="92"/>
      <c r="S1829" s="92"/>
      <c r="T1829" s="92"/>
      <c r="U1829" s="92"/>
      <c r="V1829" s="92"/>
      <c r="W1829" s="93">
        <v>5002.8100000000004</v>
      </c>
      <c r="X1829" s="92"/>
      <c r="Y1829" s="92"/>
      <c r="Z1829" s="92"/>
      <c r="AA1829" s="92"/>
      <c r="AB1829" s="92"/>
      <c r="AC1829" s="92"/>
      <c r="AD1829" s="93">
        <v>0</v>
      </c>
      <c r="AE1829" s="92"/>
      <c r="AF1829" s="92"/>
      <c r="AG1829" s="93">
        <v>5002.8100000000004</v>
      </c>
      <c r="AH1829" s="93">
        <v>0</v>
      </c>
    </row>
    <row r="1830" spans="1:34" ht="15.75" thickBot="1" x14ac:dyDescent="0.3">
      <c r="A1830" s="90" t="s">
        <v>1046</v>
      </c>
      <c r="B1830" s="90" t="s">
        <v>1003</v>
      </c>
      <c r="C1830" s="90" t="s">
        <v>1004</v>
      </c>
      <c r="D1830" s="90" t="s">
        <v>663</v>
      </c>
      <c r="E1830" s="90" t="s">
        <v>530</v>
      </c>
      <c r="F1830" s="90" t="s">
        <v>697</v>
      </c>
      <c r="G1830" s="95">
        <v>5002.8100000000004</v>
      </c>
      <c r="H1830" s="94"/>
      <c r="I1830" s="94"/>
      <c r="J1830" s="94"/>
      <c r="K1830" s="94"/>
      <c r="L1830" s="94"/>
      <c r="M1830" s="94"/>
      <c r="N1830" s="94"/>
      <c r="O1830" s="94"/>
      <c r="P1830" s="94"/>
      <c r="Q1830" s="94"/>
      <c r="R1830" s="94"/>
      <c r="S1830" s="94"/>
      <c r="T1830" s="94"/>
      <c r="U1830" s="94"/>
      <c r="V1830" s="94"/>
      <c r="W1830" s="95">
        <v>5002.8100000000004</v>
      </c>
      <c r="X1830" s="94"/>
      <c r="Y1830" s="94"/>
      <c r="Z1830" s="94"/>
      <c r="AA1830" s="94"/>
      <c r="AB1830" s="94"/>
      <c r="AC1830" s="94"/>
      <c r="AD1830" s="95">
        <v>0</v>
      </c>
      <c r="AE1830" s="94"/>
      <c r="AF1830" s="94"/>
      <c r="AG1830" s="95">
        <v>5002.8100000000004</v>
      </c>
      <c r="AH1830" s="95">
        <v>0</v>
      </c>
    </row>
    <row r="1831" spans="1:34" ht="15.75" thickBot="1" x14ac:dyDescent="0.3">
      <c r="A1831" s="90" t="s">
        <v>1046</v>
      </c>
      <c r="B1831" s="90" t="s">
        <v>1003</v>
      </c>
      <c r="C1831" s="90" t="s">
        <v>1004</v>
      </c>
      <c r="D1831" s="90" t="s">
        <v>663</v>
      </c>
      <c r="E1831" s="90" t="s">
        <v>524</v>
      </c>
      <c r="F1831" s="90" t="s">
        <v>522</v>
      </c>
      <c r="G1831" s="93">
        <v>550</v>
      </c>
      <c r="H1831" s="92"/>
      <c r="I1831" s="93">
        <v>550</v>
      </c>
      <c r="J1831" s="92"/>
      <c r="K1831" s="92"/>
      <c r="L1831" s="92"/>
      <c r="M1831" s="92"/>
      <c r="N1831" s="92"/>
      <c r="O1831" s="92"/>
      <c r="P1831" s="92"/>
      <c r="Q1831" s="92"/>
      <c r="R1831" s="92"/>
      <c r="S1831" s="92"/>
      <c r="T1831" s="92"/>
      <c r="U1831" s="92"/>
      <c r="V1831" s="92"/>
      <c r="W1831" s="92"/>
      <c r="X1831" s="92"/>
      <c r="Y1831" s="92"/>
      <c r="Z1831" s="92"/>
      <c r="AA1831" s="92"/>
      <c r="AB1831" s="92"/>
      <c r="AC1831" s="92"/>
      <c r="AD1831" s="93">
        <v>0</v>
      </c>
      <c r="AE1831" s="92"/>
      <c r="AF1831" s="92"/>
      <c r="AG1831" s="93">
        <v>550</v>
      </c>
      <c r="AH1831" s="93">
        <v>0</v>
      </c>
    </row>
    <row r="1832" spans="1:34" ht="15.75" thickBot="1" x14ac:dyDescent="0.3">
      <c r="A1832" s="90" t="s">
        <v>1046</v>
      </c>
      <c r="B1832" s="90" t="s">
        <v>1003</v>
      </c>
      <c r="C1832" s="90" t="s">
        <v>1004</v>
      </c>
      <c r="D1832" s="90" t="s">
        <v>663</v>
      </c>
      <c r="E1832" s="90" t="s">
        <v>524</v>
      </c>
      <c r="F1832" s="90" t="s">
        <v>697</v>
      </c>
      <c r="G1832" s="95">
        <v>550</v>
      </c>
      <c r="H1832" s="94"/>
      <c r="I1832" s="95">
        <v>550</v>
      </c>
      <c r="J1832" s="94"/>
      <c r="K1832" s="94"/>
      <c r="L1832" s="94"/>
      <c r="M1832" s="94"/>
      <c r="N1832" s="94"/>
      <c r="O1832" s="94"/>
      <c r="P1832" s="94"/>
      <c r="Q1832" s="94"/>
      <c r="R1832" s="94"/>
      <c r="S1832" s="94"/>
      <c r="T1832" s="94"/>
      <c r="U1832" s="94"/>
      <c r="V1832" s="94"/>
      <c r="W1832" s="94"/>
      <c r="X1832" s="94"/>
      <c r="Y1832" s="94"/>
      <c r="Z1832" s="94"/>
      <c r="AA1832" s="94"/>
      <c r="AB1832" s="94"/>
      <c r="AC1832" s="94"/>
      <c r="AD1832" s="95">
        <v>0</v>
      </c>
      <c r="AE1832" s="94"/>
      <c r="AF1832" s="94"/>
      <c r="AG1832" s="95">
        <v>550</v>
      </c>
      <c r="AH1832" s="95">
        <v>0</v>
      </c>
    </row>
    <row r="1833" spans="1:34" ht="15.75" thickBot="1" x14ac:dyDescent="0.3">
      <c r="A1833" s="90" t="s">
        <v>1046</v>
      </c>
      <c r="B1833" s="90" t="s">
        <v>1003</v>
      </c>
      <c r="C1833" s="90" t="s">
        <v>1004</v>
      </c>
      <c r="D1833" s="90" t="s">
        <v>662</v>
      </c>
      <c r="E1833" s="90" t="s">
        <v>729</v>
      </c>
      <c r="F1833" s="90" t="s">
        <v>522</v>
      </c>
      <c r="G1833" s="95">
        <v>6248.33</v>
      </c>
      <c r="H1833" s="94"/>
      <c r="I1833" s="94"/>
      <c r="J1833" s="94"/>
      <c r="K1833" s="94"/>
      <c r="L1833" s="94"/>
      <c r="M1833" s="94"/>
      <c r="N1833" s="94"/>
      <c r="O1833" s="94"/>
      <c r="P1833" s="94"/>
      <c r="Q1833" s="95">
        <v>6248.33</v>
      </c>
      <c r="R1833" s="94"/>
      <c r="S1833" s="94"/>
      <c r="T1833" s="94"/>
      <c r="U1833" s="94"/>
      <c r="V1833" s="94"/>
      <c r="W1833" s="94"/>
      <c r="X1833" s="94"/>
      <c r="Y1833" s="94"/>
      <c r="Z1833" s="94"/>
      <c r="AA1833" s="94"/>
      <c r="AB1833" s="94"/>
      <c r="AC1833" s="94"/>
      <c r="AD1833" s="95">
        <v>0</v>
      </c>
      <c r="AE1833" s="94"/>
      <c r="AF1833" s="94"/>
      <c r="AG1833" s="95">
        <v>6248.33</v>
      </c>
      <c r="AH1833" s="95">
        <v>0</v>
      </c>
    </row>
    <row r="1834" spans="1:34" ht="15.75" thickBot="1" x14ac:dyDescent="0.3">
      <c r="A1834" s="90" t="s">
        <v>1046</v>
      </c>
      <c r="B1834" s="90" t="s">
        <v>1003</v>
      </c>
      <c r="C1834" s="90" t="s">
        <v>1004</v>
      </c>
      <c r="D1834" s="90" t="s">
        <v>662</v>
      </c>
      <c r="E1834" s="90" t="s">
        <v>729</v>
      </c>
      <c r="F1834" s="90" t="s">
        <v>697</v>
      </c>
      <c r="G1834" s="93">
        <v>6248.33</v>
      </c>
      <c r="H1834" s="92"/>
      <c r="I1834" s="92"/>
      <c r="J1834" s="92"/>
      <c r="K1834" s="92"/>
      <c r="L1834" s="92"/>
      <c r="M1834" s="92"/>
      <c r="N1834" s="92"/>
      <c r="O1834" s="92"/>
      <c r="P1834" s="92"/>
      <c r="Q1834" s="93">
        <v>6248.33</v>
      </c>
      <c r="R1834" s="92"/>
      <c r="S1834" s="92"/>
      <c r="T1834" s="92"/>
      <c r="U1834" s="92"/>
      <c r="V1834" s="92"/>
      <c r="W1834" s="92"/>
      <c r="X1834" s="92"/>
      <c r="Y1834" s="92"/>
      <c r="Z1834" s="92"/>
      <c r="AA1834" s="92"/>
      <c r="AB1834" s="92"/>
      <c r="AC1834" s="92"/>
      <c r="AD1834" s="93">
        <v>0</v>
      </c>
      <c r="AE1834" s="92"/>
      <c r="AF1834" s="92"/>
      <c r="AG1834" s="93">
        <v>6248.33</v>
      </c>
      <c r="AH1834" s="93">
        <v>0</v>
      </c>
    </row>
    <row r="1835" spans="1:34" ht="15.75" thickBot="1" x14ac:dyDescent="0.3">
      <c r="A1835" s="90" t="s">
        <v>1046</v>
      </c>
      <c r="B1835" s="90" t="s">
        <v>1003</v>
      </c>
      <c r="C1835" s="90" t="s">
        <v>1004</v>
      </c>
      <c r="D1835" s="90" t="s">
        <v>662</v>
      </c>
      <c r="E1835" s="90" t="s">
        <v>528</v>
      </c>
      <c r="F1835" s="90" t="s">
        <v>690</v>
      </c>
      <c r="G1835" s="95">
        <v>400</v>
      </c>
      <c r="H1835" s="94"/>
      <c r="I1835" s="95">
        <v>400</v>
      </c>
      <c r="J1835" s="94"/>
      <c r="K1835" s="94"/>
      <c r="L1835" s="94"/>
      <c r="M1835" s="94"/>
      <c r="N1835" s="94"/>
      <c r="O1835" s="94"/>
      <c r="P1835" s="94"/>
      <c r="Q1835" s="94"/>
      <c r="R1835" s="94"/>
      <c r="S1835" s="94"/>
      <c r="T1835" s="94"/>
      <c r="U1835" s="94"/>
      <c r="V1835" s="94"/>
      <c r="W1835" s="94"/>
      <c r="X1835" s="94"/>
      <c r="Y1835" s="94"/>
      <c r="Z1835" s="94"/>
      <c r="AA1835" s="94"/>
      <c r="AB1835" s="94"/>
      <c r="AC1835" s="94"/>
      <c r="AD1835" s="95">
        <v>0</v>
      </c>
      <c r="AE1835" s="94"/>
      <c r="AF1835" s="94"/>
      <c r="AG1835" s="95">
        <v>400</v>
      </c>
      <c r="AH1835" s="95">
        <v>0</v>
      </c>
    </row>
    <row r="1836" spans="1:34" ht="15.75" thickBot="1" x14ac:dyDescent="0.3">
      <c r="A1836" s="90" t="s">
        <v>1046</v>
      </c>
      <c r="B1836" s="90" t="s">
        <v>1003</v>
      </c>
      <c r="C1836" s="90" t="s">
        <v>1004</v>
      </c>
      <c r="D1836" s="90" t="s">
        <v>662</v>
      </c>
      <c r="E1836" s="90" t="s">
        <v>528</v>
      </c>
      <c r="F1836" s="90" t="s">
        <v>697</v>
      </c>
      <c r="G1836" s="93">
        <v>400</v>
      </c>
      <c r="H1836" s="92"/>
      <c r="I1836" s="93">
        <v>400</v>
      </c>
      <c r="J1836" s="92"/>
      <c r="K1836" s="92"/>
      <c r="L1836" s="92"/>
      <c r="M1836" s="92"/>
      <c r="N1836" s="92"/>
      <c r="O1836" s="92"/>
      <c r="P1836" s="92"/>
      <c r="Q1836" s="92"/>
      <c r="R1836" s="92"/>
      <c r="S1836" s="92"/>
      <c r="T1836" s="92"/>
      <c r="U1836" s="92"/>
      <c r="V1836" s="92"/>
      <c r="W1836" s="92"/>
      <c r="X1836" s="92"/>
      <c r="Y1836" s="92"/>
      <c r="Z1836" s="92"/>
      <c r="AA1836" s="92"/>
      <c r="AB1836" s="92"/>
      <c r="AC1836" s="92"/>
      <c r="AD1836" s="93">
        <v>0</v>
      </c>
      <c r="AE1836" s="92"/>
      <c r="AF1836" s="92"/>
      <c r="AG1836" s="93">
        <v>400</v>
      </c>
      <c r="AH1836" s="93">
        <v>0</v>
      </c>
    </row>
    <row r="1837" spans="1:34" ht="15.75" thickBot="1" x14ac:dyDescent="0.3">
      <c r="A1837" s="90" t="s">
        <v>1046</v>
      </c>
      <c r="B1837" s="90" t="s">
        <v>1003</v>
      </c>
      <c r="C1837" s="90" t="s">
        <v>1004</v>
      </c>
      <c r="D1837" s="90" t="s">
        <v>662</v>
      </c>
      <c r="E1837" s="90" t="s">
        <v>518</v>
      </c>
      <c r="F1837" s="90" t="s">
        <v>522</v>
      </c>
      <c r="G1837" s="95">
        <v>9412.11</v>
      </c>
      <c r="H1837" s="95">
        <v>134286</v>
      </c>
      <c r="I1837" s="94"/>
      <c r="J1837" s="94"/>
      <c r="K1837" s="95">
        <v>9412.11</v>
      </c>
      <c r="L1837" s="94"/>
      <c r="M1837" s="94"/>
      <c r="N1837" s="94"/>
      <c r="O1837" s="94"/>
      <c r="P1837" s="94"/>
      <c r="Q1837" s="94"/>
      <c r="R1837" s="94"/>
      <c r="S1837" s="94"/>
      <c r="T1837" s="94"/>
      <c r="U1837" s="94"/>
      <c r="V1837" s="94"/>
      <c r="W1837" s="94"/>
      <c r="X1837" s="94"/>
      <c r="Y1837" s="94"/>
      <c r="Z1837" s="94"/>
      <c r="AA1837" s="94"/>
      <c r="AB1837" s="94"/>
      <c r="AC1837" s="94"/>
      <c r="AD1837" s="95">
        <v>0</v>
      </c>
      <c r="AE1837" s="94"/>
      <c r="AF1837" s="94"/>
      <c r="AG1837" s="95">
        <v>9412.11</v>
      </c>
      <c r="AH1837" s="95">
        <v>0</v>
      </c>
    </row>
    <row r="1838" spans="1:34" ht="15.75" thickBot="1" x14ac:dyDescent="0.3">
      <c r="A1838" s="90" t="s">
        <v>1046</v>
      </c>
      <c r="B1838" s="90" t="s">
        <v>1003</v>
      </c>
      <c r="C1838" s="90" t="s">
        <v>1004</v>
      </c>
      <c r="D1838" s="90" t="s">
        <v>662</v>
      </c>
      <c r="E1838" s="90" t="s">
        <v>518</v>
      </c>
      <c r="F1838" s="90" t="s">
        <v>697</v>
      </c>
      <c r="G1838" s="93">
        <v>9412.11</v>
      </c>
      <c r="H1838" s="304">
        <v>134286</v>
      </c>
      <c r="I1838" s="92"/>
      <c r="J1838" s="92"/>
      <c r="K1838" s="93">
        <v>9412.11</v>
      </c>
      <c r="L1838" s="92"/>
      <c r="M1838" s="92"/>
      <c r="N1838" s="92"/>
      <c r="O1838" s="92"/>
      <c r="P1838" s="92"/>
      <c r="Q1838" s="92"/>
      <c r="R1838" s="92"/>
      <c r="S1838" s="92"/>
      <c r="T1838" s="92"/>
      <c r="U1838" s="92"/>
      <c r="V1838" s="92"/>
      <c r="W1838" s="92"/>
      <c r="X1838" s="92"/>
      <c r="Y1838" s="92"/>
      <c r="Z1838" s="92"/>
      <c r="AA1838" s="92"/>
      <c r="AB1838" s="92"/>
      <c r="AC1838" s="92"/>
      <c r="AD1838" s="93">
        <v>0</v>
      </c>
      <c r="AE1838" s="92"/>
      <c r="AF1838" s="92"/>
      <c r="AG1838" s="93">
        <v>9412.11</v>
      </c>
      <c r="AH1838" s="93">
        <v>0</v>
      </c>
    </row>
    <row r="1839" spans="1:34" ht="15.75" thickBot="1" x14ac:dyDescent="0.3">
      <c r="A1839" s="90" t="s">
        <v>1046</v>
      </c>
      <c r="B1839" s="90" t="s">
        <v>1003</v>
      </c>
      <c r="C1839" s="90" t="s">
        <v>1004</v>
      </c>
      <c r="D1839" s="90" t="s">
        <v>662</v>
      </c>
      <c r="E1839" s="90" t="s">
        <v>673</v>
      </c>
      <c r="F1839" s="90" t="s">
        <v>522</v>
      </c>
      <c r="G1839" s="95">
        <v>2838.87</v>
      </c>
      <c r="H1839" s="94"/>
      <c r="I1839" s="94"/>
      <c r="J1839" s="94"/>
      <c r="K1839" s="94"/>
      <c r="L1839" s="94"/>
      <c r="M1839" s="94"/>
      <c r="N1839" s="94"/>
      <c r="O1839" s="94"/>
      <c r="P1839" s="94"/>
      <c r="Q1839" s="94"/>
      <c r="R1839" s="94"/>
      <c r="S1839" s="94"/>
      <c r="T1839" s="94"/>
      <c r="U1839" s="94"/>
      <c r="V1839" s="94"/>
      <c r="W1839" s="94"/>
      <c r="X1839" s="95">
        <v>2838.87</v>
      </c>
      <c r="Y1839" s="94"/>
      <c r="Z1839" s="94"/>
      <c r="AA1839" s="94"/>
      <c r="AB1839" s="94"/>
      <c r="AC1839" s="94"/>
      <c r="AD1839" s="95">
        <v>0</v>
      </c>
      <c r="AE1839" s="94"/>
      <c r="AF1839" s="94"/>
      <c r="AG1839" s="95">
        <v>2838.87</v>
      </c>
      <c r="AH1839" s="95">
        <v>0</v>
      </c>
    </row>
    <row r="1840" spans="1:34" ht="15.75" thickBot="1" x14ac:dyDescent="0.3">
      <c r="A1840" s="90" t="s">
        <v>1046</v>
      </c>
      <c r="B1840" s="90" t="s">
        <v>1003</v>
      </c>
      <c r="C1840" s="90" t="s">
        <v>1004</v>
      </c>
      <c r="D1840" s="90" t="s">
        <v>662</v>
      </c>
      <c r="E1840" s="90" t="s">
        <v>673</v>
      </c>
      <c r="F1840" s="90" t="s">
        <v>697</v>
      </c>
      <c r="G1840" s="93">
        <v>2838.87</v>
      </c>
      <c r="H1840" s="92"/>
      <c r="I1840" s="92"/>
      <c r="J1840" s="92"/>
      <c r="K1840" s="92"/>
      <c r="L1840" s="92"/>
      <c r="M1840" s="92"/>
      <c r="N1840" s="92"/>
      <c r="O1840" s="92"/>
      <c r="P1840" s="92"/>
      <c r="Q1840" s="92"/>
      <c r="R1840" s="92"/>
      <c r="S1840" s="92"/>
      <c r="T1840" s="92"/>
      <c r="U1840" s="92"/>
      <c r="V1840" s="92"/>
      <c r="W1840" s="92"/>
      <c r="X1840" s="93">
        <v>2838.87</v>
      </c>
      <c r="Y1840" s="92"/>
      <c r="Z1840" s="92"/>
      <c r="AA1840" s="92"/>
      <c r="AB1840" s="92"/>
      <c r="AC1840" s="92"/>
      <c r="AD1840" s="93">
        <v>0</v>
      </c>
      <c r="AE1840" s="92"/>
      <c r="AF1840" s="92"/>
      <c r="AG1840" s="93">
        <v>2838.87</v>
      </c>
      <c r="AH1840" s="93">
        <v>0</v>
      </c>
    </row>
    <row r="1841" spans="1:34" ht="15.75" thickBot="1" x14ac:dyDescent="0.3">
      <c r="A1841" s="90" t="s">
        <v>1046</v>
      </c>
      <c r="B1841" s="90" t="s">
        <v>1003</v>
      </c>
      <c r="C1841" s="90" t="s">
        <v>1004</v>
      </c>
      <c r="D1841" s="90" t="s">
        <v>662</v>
      </c>
      <c r="E1841" s="90" t="s">
        <v>530</v>
      </c>
      <c r="F1841" s="90" t="s">
        <v>522</v>
      </c>
      <c r="G1841" s="95">
        <v>11336.42</v>
      </c>
      <c r="H1841" s="94"/>
      <c r="I1841" s="94"/>
      <c r="J1841" s="94"/>
      <c r="K1841" s="94"/>
      <c r="L1841" s="94"/>
      <c r="M1841" s="94"/>
      <c r="N1841" s="94"/>
      <c r="O1841" s="94"/>
      <c r="P1841" s="94"/>
      <c r="Q1841" s="94"/>
      <c r="R1841" s="94"/>
      <c r="S1841" s="94"/>
      <c r="T1841" s="94"/>
      <c r="U1841" s="94"/>
      <c r="V1841" s="94"/>
      <c r="W1841" s="95">
        <v>11336.42</v>
      </c>
      <c r="X1841" s="94"/>
      <c r="Y1841" s="94"/>
      <c r="Z1841" s="94"/>
      <c r="AA1841" s="94"/>
      <c r="AB1841" s="94"/>
      <c r="AC1841" s="94"/>
      <c r="AD1841" s="95">
        <v>0</v>
      </c>
      <c r="AE1841" s="94"/>
      <c r="AF1841" s="94"/>
      <c r="AG1841" s="95">
        <v>11336.42</v>
      </c>
      <c r="AH1841" s="95">
        <v>0</v>
      </c>
    </row>
    <row r="1842" spans="1:34" ht="15.75" thickBot="1" x14ac:dyDescent="0.3">
      <c r="A1842" s="90" t="s">
        <v>1046</v>
      </c>
      <c r="B1842" s="90" t="s">
        <v>1003</v>
      </c>
      <c r="C1842" s="90" t="s">
        <v>1004</v>
      </c>
      <c r="D1842" s="90" t="s">
        <v>662</v>
      </c>
      <c r="E1842" s="90" t="s">
        <v>530</v>
      </c>
      <c r="F1842" s="90" t="s">
        <v>697</v>
      </c>
      <c r="G1842" s="93">
        <v>11336.42</v>
      </c>
      <c r="H1842" s="92"/>
      <c r="I1842" s="92"/>
      <c r="J1842" s="92"/>
      <c r="K1842" s="92"/>
      <c r="L1842" s="92"/>
      <c r="M1842" s="92"/>
      <c r="N1842" s="92"/>
      <c r="O1842" s="92"/>
      <c r="P1842" s="92"/>
      <c r="Q1842" s="92"/>
      <c r="R1842" s="92"/>
      <c r="S1842" s="92"/>
      <c r="T1842" s="92"/>
      <c r="U1842" s="92"/>
      <c r="V1842" s="92"/>
      <c r="W1842" s="93">
        <v>11336.42</v>
      </c>
      <c r="X1842" s="92"/>
      <c r="Y1842" s="92"/>
      <c r="Z1842" s="92"/>
      <c r="AA1842" s="92"/>
      <c r="AB1842" s="92"/>
      <c r="AC1842" s="92"/>
      <c r="AD1842" s="93">
        <v>0</v>
      </c>
      <c r="AE1842" s="92"/>
      <c r="AF1842" s="92"/>
      <c r="AG1842" s="93">
        <v>11336.42</v>
      </c>
      <c r="AH1842" s="93">
        <v>0</v>
      </c>
    </row>
    <row r="1843" spans="1:34" ht="15.75" thickBot="1" x14ac:dyDescent="0.3">
      <c r="A1843" s="90" t="s">
        <v>1046</v>
      </c>
      <c r="B1843" s="90" t="s">
        <v>1003</v>
      </c>
      <c r="C1843" s="90" t="s">
        <v>1004</v>
      </c>
      <c r="D1843" s="90" t="s">
        <v>662</v>
      </c>
      <c r="E1843" s="90" t="s">
        <v>524</v>
      </c>
      <c r="F1843" s="90" t="s">
        <v>522</v>
      </c>
      <c r="G1843" s="95">
        <v>550</v>
      </c>
      <c r="H1843" s="94"/>
      <c r="I1843" s="95">
        <v>550</v>
      </c>
      <c r="J1843" s="94"/>
      <c r="K1843" s="94"/>
      <c r="L1843" s="94"/>
      <c r="M1843" s="94"/>
      <c r="N1843" s="94"/>
      <c r="O1843" s="94"/>
      <c r="P1843" s="94"/>
      <c r="Q1843" s="94"/>
      <c r="R1843" s="94"/>
      <c r="S1843" s="94"/>
      <c r="T1843" s="94"/>
      <c r="U1843" s="94"/>
      <c r="V1843" s="94"/>
      <c r="W1843" s="94"/>
      <c r="X1843" s="94"/>
      <c r="Y1843" s="94"/>
      <c r="Z1843" s="94"/>
      <c r="AA1843" s="94"/>
      <c r="AB1843" s="94"/>
      <c r="AC1843" s="94"/>
      <c r="AD1843" s="95">
        <v>0</v>
      </c>
      <c r="AE1843" s="94"/>
      <c r="AF1843" s="94"/>
      <c r="AG1843" s="95">
        <v>550</v>
      </c>
      <c r="AH1843" s="95">
        <v>0</v>
      </c>
    </row>
    <row r="1844" spans="1:34" ht="15.75" thickBot="1" x14ac:dyDescent="0.3">
      <c r="A1844" s="90" t="s">
        <v>1046</v>
      </c>
      <c r="B1844" s="90" t="s">
        <v>1003</v>
      </c>
      <c r="C1844" s="90" t="s">
        <v>1004</v>
      </c>
      <c r="D1844" s="90" t="s">
        <v>662</v>
      </c>
      <c r="E1844" s="90" t="s">
        <v>524</v>
      </c>
      <c r="F1844" s="90" t="s">
        <v>697</v>
      </c>
      <c r="G1844" s="93">
        <v>550</v>
      </c>
      <c r="H1844" s="92"/>
      <c r="I1844" s="93">
        <v>550</v>
      </c>
      <c r="J1844" s="92"/>
      <c r="K1844" s="92"/>
      <c r="L1844" s="92"/>
      <c r="M1844" s="92"/>
      <c r="N1844" s="92"/>
      <c r="O1844" s="92"/>
      <c r="P1844" s="92"/>
      <c r="Q1844" s="92"/>
      <c r="R1844" s="92"/>
      <c r="S1844" s="92"/>
      <c r="T1844" s="92"/>
      <c r="U1844" s="92"/>
      <c r="V1844" s="92"/>
      <c r="W1844" s="92"/>
      <c r="X1844" s="92"/>
      <c r="Y1844" s="92"/>
      <c r="Z1844" s="92"/>
      <c r="AA1844" s="92"/>
      <c r="AB1844" s="92"/>
      <c r="AC1844" s="92"/>
      <c r="AD1844" s="93">
        <v>0</v>
      </c>
      <c r="AE1844" s="92"/>
      <c r="AF1844" s="92"/>
      <c r="AG1844" s="93">
        <v>550</v>
      </c>
      <c r="AH1844" s="93">
        <v>0</v>
      </c>
    </row>
    <row r="1845" spans="1:34" ht="15.75" thickBot="1" x14ac:dyDescent="0.3">
      <c r="A1845" s="90" t="s">
        <v>1046</v>
      </c>
      <c r="B1845" s="90" t="s">
        <v>933</v>
      </c>
      <c r="C1845" s="90" t="s">
        <v>1005</v>
      </c>
      <c r="D1845" s="90" t="s">
        <v>663</v>
      </c>
      <c r="E1845" s="90" t="s">
        <v>525</v>
      </c>
      <c r="F1845" s="90" t="s">
        <v>690</v>
      </c>
      <c r="G1845" s="95">
        <v>-3250.98</v>
      </c>
      <c r="H1845" s="94"/>
      <c r="I1845" s="94"/>
      <c r="J1845" s="94"/>
      <c r="K1845" s="94"/>
      <c r="L1845" s="94"/>
      <c r="M1845" s="94"/>
      <c r="N1845" s="94"/>
      <c r="O1845" s="94"/>
      <c r="P1845" s="94"/>
      <c r="Q1845" s="94"/>
      <c r="R1845" s="95">
        <v>-3250.98</v>
      </c>
      <c r="S1845" s="94"/>
      <c r="T1845" s="94"/>
      <c r="U1845" s="94"/>
      <c r="V1845" s="94"/>
      <c r="W1845" s="94"/>
      <c r="X1845" s="94"/>
      <c r="Y1845" s="94"/>
      <c r="Z1845" s="94"/>
      <c r="AA1845" s="94"/>
      <c r="AB1845" s="94"/>
      <c r="AC1845" s="94"/>
      <c r="AD1845" s="95">
        <v>-195.06</v>
      </c>
      <c r="AE1845" s="94"/>
      <c r="AF1845" s="94"/>
      <c r="AG1845" s="95">
        <v>-3446.04</v>
      </c>
      <c r="AH1845" s="95">
        <v>0</v>
      </c>
    </row>
    <row r="1846" spans="1:34" ht="15.75" thickBot="1" x14ac:dyDescent="0.3">
      <c r="A1846" s="90" t="s">
        <v>1046</v>
      </c>
      <c r="B1846" s="90" t="s">
        <v>933</v>
      </c>
      <c r="C1846" s="90" t="s">
        <v>1005</v>
      </c>
      <c r="D1846" s="90" t="s">
        <v>663</v>
      </c>
      <c r="E1846" s="90" t="s">
        <v>525</v>
      </c>
      <c r="F1846" s="90" t="s">
        <v>697</v>
      </c>
      <c r="G1846" s="93">
        <v>-3250.98</v>
      </c>
      <c r="H1846" s="92"/>
      <c r="I1846" s="92"/>
      <c r="J1846" s="92"/>
      <c r="K1846" s="92"/>
      <c r="L1846" s="92"/>
      <c r="M1846" s="92"/>
      <c r="N1846" s="92"/>
      <c r="O1846" s="92"/>
      <c r="P1846" s="92"/>
      <c r="Q1846" s="92"/>
      <c r="R1846" s="93">
        <v>-3250.98</v>
      </c>
      <c r="S1846" s="92"/>
      <c r="T1846" s="92"/>
      <c r="U1846" s="92"/>
      <c r="V1846" s="92"/>
      <c r="W1846" s="92"/>
      <c r="X1846" s="92"/>
      <c r="Y1846" s="92"/>
      <c r="Z1846" s="92"/>
      <c r="AA1846" s="92"/>
      <c r="AB1846" s="92"/>
      <c r="AC1846" s="92"/>
      <c r="AD1846" s="93">
        <v>-195.06</v>
      </c>
      <c r="AE1846" s="92"/>
      <c r="AF1846" s="92"/>
      <c r="AG1846" s="93">
        <v>-3446.04</v>
      </c>
      <c r="AH1846" s="93">
        <v>0</v>
      </c>
    </row>
    <row r="1847" spans="1:34" ht="15.75" thickBot="1" x14ac:dyDescent="0.3">
      <c r="A1847" s="90" t="s">
        <v>1046</v>
      </c>
      <c r="B1847" s="90" t="s">
        <v>933</v>
      </c>
      <c r="C1847" s="90" t="s">
        <v>1005</v>
      </c>
      <c r="D1847" s="90" t="s">
        <v>663</v>
      </c>
      <c r="E1847" s="90" t="s">
        <v>518</v>
      </c>
      <c r="F1847" s="90" t="s">
        <v>522</v>
      </c>
      <c r="G1847" s="95">
        <v>268890.21000000002</v>
      </c>
      <c r="H1847" s="95">
        <v>6250353</v>
      </c>
      <c r="I1847" s="94"/>
      <c r="J1847" s="94"/>
      <c r="K1847" s="95">
        <v>268890.21000000002</v>
      </c>
      <c r="L1847" s="94"/>
      <c r="M1847" s="94"/>
      <c r="N1847" s="94"/>
      <c r="O1847" s="94"/>
      <c r="P1847" s="94"/>
      <c r="Q1847" s="94"/>
      <c r="R1847" s="94"/>
      <c r="S1847" s="94"/>
      <c r="T1847" s="94"/>
      <c r="U1847" s="94"/>
      <c r="V1847" s="94"/>
      <c r="W1847" s="94"/>
      <c r="X1847" s="94"/>
      <c r="Y1847" s="94"/>
      <c r="Z1847" s="94"/>
      <c r="AA1847" s="94"/>
      <c r="AB1847" s="94"/>
      <c r="AC1847" s="94"/>
      <c r="AD1847" s="95">
        <v>12146.09</v>
      </c>
      <c r="AE1847" s="94"/>
      <c r="AF1847" s="94"/>
      <c r="AG1847" s="95">
        <v>281036.3</v>
      </c>
      <c r="AH1847" s="95">
        <v>0</v>
      </c>
    </row>
    <row r="1848" spans="1:34" ht="15.75" thickBot="1" x14ac:dyDescent="0.3">
      <c r="A1848" s="90" t="s">
        <v>1046</v>
      </c>
      <c r="B1848" s="90" t="s">
        <v>933</v>
      </c>
      <c r="C1848" s="90" t="s">
        <v>1005</v>
      </c>
      <c r="D1848" s="90" t="s">
        <v>663</v>
      </c>
      <c r="E1848" s="90" t="s">
        <v>518</v>
      </c>
      <c r="F1848" s="90" t="s">
        <v>697</v>
      </c>
      <c r="G1848" s="93">
        <v>268890.21000000002</v>
      </c>
      <c r="H1848" s="304">
        <v>6250353</v>
      </c>
      <c r="I1848" s="92"/>
      <c r="J1848" s="92"/>
      <c r="K1848" s="93">
        <v>268890.21000000002</v>
      </c>
      <c r="L1848" s="92"/>
      <c r="M1848" s="92"/>
      <c r="N1848" s="92"/>
      <c r="O1848" s="92"/>
      <c r="P1848" s="92"/>
      <c r="Q1848" s="92"/>
      <c r="R1848" s="92"/>
      <c r="S1848" s="92"/>
      <c r="T1848" s="92"/>
      <c r="U1848" s="92"/>
      <c r="V1848" s="92"/>
      <c r="W1848" s="92"/>
      <c r="X1848" s="92"/>
      <c r="Y1848" s="92"/>
      <c r="Z1848" s="92"/>
      <c r="AA1848" s="92"/>
      <c r="AB1848" s="92"/>
      <c r="AC1848" s="92"/>
      <c r="AD1848" s="93">
        <v>12146.09</v>
      </c>
      <c r="AE1848" s="92"/>
      <c r="AF1848" s="92"/>
      <c r="AG1848" s="93">
        <v>281036.3</v>
      </c>
      <c r="AH1848" s="93">
        <v>0</v>
      </c>
    </row>
    <row r="1849" spans="1:34" ht="15.75" thickBot="1" x14ac:dyDescent="0.3">
      <c r="A1849" s="90" t="s">
        <v>1046</v>
      </c>
      <c r="B1849" s="90" t="s">
        <v>933</v>
      </c>
      <c r="C1849" s="90" t="s">
        <v>1005</v>
      </c>
      <c r="D1849" s="90" t="s">
        <v>663</v>
      </c>
      <c r="E1849" s="90" t="s">
        <v>527</v>
      </c>
      <c r="F1849" s="90" t="s">
        <v>690</v>
      </c>
      <c r="G1849" s="95">
        <v>218.26</v>
      </c>
      <c r="H1849" s="94"/>
      <c r="I1849" s="94"/>
      <c r="J1849" s="94"/>
      <c r="K1849" s="94"/>
      <c r="L1849" s="94"/>
      <c r="M1849" s="94"/>
      <c r="N1849" s="94"/>
      <c r="O1849" s="94"/>
      <c r="P1849" s="94"/>
      <c r="Q1849" s="94"/>
      <c r="R1849" s="94"/>
      <c r="S1849" s="95">
        <v>218.26</v>
      </c>
      <c r="T1849" s="94"/>
      <c r="U1849" s="94"/>
      <c r="V1849" s="94"/>
      <c r="W1849" s="94"/>
      <c r="X1849" s="94"/>
      <c r="Y1849" s="94"/>
      <c r="Z1849" s="94"/>
      <c r="AA1849" s="94"/>
      <c r="AB1849" s="94"/>
      <c r="AC1849" s="94"/>
      <c r="AD1849" s="95">
        <v>13.1</v>
      </c>
      <c r="AE1849" s="94"/>
      <c r="AF1849" s="94"/>
      <c r="AG1849" s="95">
        <v>231.36</v>
      </c>
      <c r="AH1849" s="95">
        <v>0</v>
      </c>
    </row>
    <row r="1850" spans="1:34" ht="15.75" thickBot="1" x14ac:dyDescent="0.3">
      <c r="A1850" s="90" t="s">
        <v>1046</v>
      </c>
      <c r="B1850" s="90" t="s">
        <v>933</v>
      </c>
      <c r="C1850" s="90" t="s">
        <v>1005</v>
      </c>
      <c r="D1850" s="90" t="s">
        <v>663</v>
      </c>
      <c r="E1850" s="90" t="s">
        <v>527</v>
      </c>
      <c r="F1850" s="90" t="s">
        <v>697</v>
      </c>
      <c r="G1850" s="93">
        <v>218.26</v>
      </c>
      <c r="H1850" s="92"/>
      <c r="I1850" s="92"/>
      <c r="J1850" s="92"/>
      <c r="K1850" s="92"/>
      <c r="L1850" s="92"/>
      <c r="M1850" s="92"/>
      <c r="N1850" s="92"/>
      <c r="O1850" s="92"/>
      <c r="P1850" s="92"/>
      <c r="Q1850" s="92"/>
      <c r="R1850" s="92"/>
      <c r="S1850" s="93">
        <v>218.26</v>
      </c>
      <c r="T1850" s="92"/>
      <c r="U1850" s="92"/>
      <c r="V1850" s="92"/>
      <c r="W1850" s="92"/>
      <c r="X1850" s="92"/>
      <c r="Y1850" s="92"/>
      <c r="Z1850" s="92"/>
      <c r="AA1850" s="92"/>
      <c r="AB1850" s="92"/>
      <c r="AC1850" s="92"/>
      <c r="AD1850" s="93">
        <v>13.1</v>
      </c>
      <c r="AE1850" s="92"/>
      <c r="AF1850" s="92"/>
      <c r="AG1850" s="93">
        <v>231.36</v>
      </c>
      <c r="AH1850" s="93">
        <v>0</v>
      </c>
    </row>
    <row r="1851" spans="1:34" ht="15.75" thickBot="1" x14ac:dyDescent="0.3">
      <c r="A1851" s="90" t="s">
        <v>1046</v>
      </c>
      <c r="B1851" s="90" t="s">
        <v>933</v>
      </c>
      <c r="C1851" s="90" t="s">
        <v>1005</v>
      </c>
      <c r="D1851" s="90" t="s">
        <v>663</v>
      </c>
      <c r="E1851" s="90" t="s">
        <v>671</v>
      </c>
      <c r="F1851" s="90" t="s">
        <v>522</v>
      </c>
      <c r="G1851" s="95">
        <v>3709.53</v>
      </c>
      <c r="H1851" s="94"/>
      <c r="I1851" s="94"/>
      <c r="J1851" s="94"/>
      <c r="K1851" s="94"/>
      <c r="L1851" s="95">
        <v>3709.53</v>
      </c>
      <c r="M1851" s="94"/>
      <c r="N1851" s="94"/>
      <c r="O1851" s="94"/>
      <c r="P1851" s="94"/>
      <c r="Q1851" s="94"/>
      <c r="R1851" s="94"/>
      <c r="S1851" s="94"/>
      <c r="T1851" s="94"/>
      <c r="U1851" s="94"/>
      <c r="V1851" s="94"/>
      <c r="W1851" s="94"/>
      <c r="X1851" s="94"/>
      <c r="Y1851" s="94"/>
      <c r="Z1851" s="94"/>
      <c r="AA1851" s="94"/>
      <c r="AB1851" s="94"/>
      <c r="AC1851" s="94"/>
      <c r="AD1851" s="95">
        <v>166.32</v>
      </c>
      <c r="AE1851" s="94"/>
      <c r="AF1851" s="94"/>
      <c r="AG1851" s="95">
        <v>3875.85</v>
      </c>
      <c r="AH1851" s="95">
        <v>0</v>
      </c>
    </row>
    <row r="1852" spans="1:34" ht="15.75" thickBot="1" x14ac:dyDescent="0.3">
      <c r="A1852" s="90" t="s">
        <v>1046</v>
      </c>
      <c r="B1852" s="90" t="s">
        <v>933</v>
      </c>
      <c r="C1852" s="90" t="s">
        <v>1005</v>
      </c>
      <c r="D1852" s="90" t="s">
        <v>663</v>
      </c>
      <c r="E1852" s="90" t="s">
        <v>671</v>
      </c>
      <c r="F1852" s="90" t="s">
        <v>697</v>
      </c>
      <c r="G1852" s="93">
        <v>3709.53</v>
      </c>
      <c r="H1852" s="92"/>
      <c r="I1852" s="92"/>
      <c r="J1852" s="92"/>
      <c r="K1852" s="92"/>
      <c r="L1852" s="93">
        <v>3709.53</v>
      </c>
      <c r="M1852" s="92"/>
      <c r="N1852" s="92"/>
      <c r="O1852" s="92"/>
      <c r="P1852" s="92"/>
      <c r="Q1852" s="92"/>
      <c r="R1852" s="92"/>
      <c r="S1852" s="92"/>
      <c r="T1852" s="92"/>
      <c r="U1852" s="92"/>
      <c r="V1852" s="92"/>
      <c r="W1852" s="92"/>
      <c r="X1852" s="92"/>
      <c r="Y1852" s="92"/>
      <c r="Z1852" s="92"/>
      <c r="AA1852" s="92"/>
      <c r="AB1852" s="92"/>
      <c r="AC1852" s="92"/>
      <c r="AD1852" s="93">
        <v>166.32</v>
      </c>
      <c r="AE1852" s="92"/>
      <c r="AF1852" s="92"/>
      <c r="AG1852" s="93">
        <v>3875.85</v>
      </c>
      <c r="AH1852" s="93">
        <v>0</v>
      </c>
    </row>
    <row r="1853" spans="1:34" ht="15.75" thickBot="1" x14ac:dyDescent="0.3">
      <c r="A1853" s="90" t="s">
        <v>1046</v>
      </c>
      <c r="B1853" s="90" t="s">
        <v>933</v>
      </c>
      <c r="C1853" s="90" t="s">
        <v>1005</v>
      </c>
      <c r="D1853" s="90" t="s">
        <v>663</v>
      </c>
      <c r="E1853" s="90" t="s">
        <v>524</v>
      </c>
      <c r="F1853" s="90" t="s">
        <v>522</v>
      </c>
      <c r="G1853" s="95">
        <v>34650</v>
      </c>
      <c r="H1853" s="94"/>
      <c r="I1853" s="95">
        <v>34650</v>
      </c>
      <c r="J1853" s="94"/>
      <c r="K1853" s="94"/>
      <c r="L1853" s="94"/>
      <c r="M1853" s="94"/>
      <c r="N1853" s="94"/>
      <c r="O1853" s="94"/>
      <c r="P1853" s="94"/>
      <c r="Q1853" s="94"/>
      <c r="R1853" s="94"/>
      <c r="S1853" s="94"/>
      <c r="T1853" s="94"/>
      <c r="U1853" s="94"/>
      <c r="V1853" s="94"/>
      <c r="W1853" s="94"/>
      <c r="X1853" s="94"/>
      <c r="Y1853" s="94"/>
      <c r="Z1853" s="94"/>
      <c r="AA1853" s="94"/>
      <c r="AB1853" s="94"/>
      <c r="AC1853" s="94"/>
      <c r="AD1853" s="95">
        <v>1707.42</v>
      </c>
      <c r="AE1853" s="94"/>
      <c r="AF1853" s="94"/>
      <c r="AG1853" s="95">
        <v>36357.42</v>
      </c>
      <c r="AH1853" s="95">
        <v>0</v>
      </c>
    </row>
    <row r="1854" spans="1:34" ht="15.75" thickBot="1" x14ac:dyDescent="0.3">
      <c r="A1854" s="90" t="s">
        <v>1046</v>
      </c>
      <c r="B1854" s="90" t="s">
        <v>933</v>
      </c>
      <c r="C1854" s="90" t="s">
        <v>1005</v>
      </c>
      <c r="D1854" s="90" t="s">
        <v>663</v>
      </c>
      <c r="E1854" s="90" t="s">
        <v>524</v>
      </c>
      <c r="F1854" s="90" t="s">
        <v>697</v>
      </c>
      <c r="G1854" s="93">
        <v>34650</v>
      </c>
      <c r="H1854" s="92"/>
      <c r="I1854" s="93">
        <v>34650</v>
      </c>
      <c r="J1854" s="92"/>
      <c r="K1854" s="92"/>
      <c r="L1854" s="92"/>
      <c r="M1854" s="92"/>
      <c r="N1854" s="92"/>
      <c r="O1854" s="92"/>
      <c r="P1854" s="92"/>
      <c r="Q1854" s="92"/>
      <c r="R1854" s="92"/>
      <c r="S1854" s="92"/>
      <c r="T1854" s="92"/>
      <c r="U1854" s="92"/>
      <c r="V1854" s="92"/>
      <c r="W1854" s="92"/>
      <c r="X1854" s="92"/>
      <c r="Y1854" s="92"/>
      <c r="Z1854" s="92"/>
      <c r="AA1854" s="92"/>
      <c r="AB1854" s="92"/>
      <c r="AC1854" s="92"/>
      <c r="AD1854" s="93">
        <v>1707.42</v>
      </c>
      <c r="AE1854" s="92"/>
      <c r="AF1854" s="92"/>
      <c r="AG1854" s="93">
        <v>36357.42</v>
      </c>
      <c r="AH1854" s="93">
        <v>0</v>
      </c>
    </row>
    <row r="1855" spans="1:34" ht="15.75" thickBot="1" x14ac:dyDescent="0.3">
      <c r="A1855" s="90" t="s">
        <v>1046</v>
      </c>
      <c r="B1855" s="90" t="s">
        <v>933</v>
      </c>
      <c r="C1855" s="90" t="s">
        <v>1005</v>
      </c>
      <c r="D1855" s="90" t="s">
        <v>663</v>
      </c>
      <c r="E1855" s="90" t="s">
        <v>676</v>
      </c>
      <c r="F1855" s="90" t="s">
        <v>522</v>
      </c>
      <c r="G1855" s="95">
        <v>548.91</v>
      </c>
      <c r="H1855" s="94"/>
      <c r="I1855" s="94"/>
      <c r="J1855" s="94"/>
      <c r="K1855" s="94"/>
      <c r="L1855" s="94"/>
      <c r="M1855" s="94"/>
      <c r="N1855" s="94"/>
      <c r="O1855" s="94"/>
      <c r="P1855" s="94"/>
      <c r="Q1855" s="94"/>
      <c r="R1855" s="94"/>
      <c r="S1855" s="94"/>
      <c r="T1855" s="94"/>
      <c r="U1855" s="95">
        <v>548.91</v>
      </c>
      <c r="V1855" s="94"/>
      <c r="W1855" s="94"/>
      <c r="X1855" s="94"/>
      <c r="Y1855" s="94"/>
      <c r="Z1855" s="94"/>
      <c r="AA1855" s="94"/>
      <c r="AB1855" s="94"/>
      <c r="AC1855" s="94"/>
      <c r="AD1855" s="95">
        <v>32.94</v>
      </c>
      <c r="AE1855" s="94"/>
      <c r="AF1855" s="94"/>
      <c r="AG1855" s="95">
        <v>581.85</v>
      </c>
      <c r="AH1855" s="95">
        <v>0</v>
      </c>
    </row>
    <row r="1856" spans="1:34" ht="15.75" thickBot="1" x14ac:dyDescent="0.3">
      <c r="A1856" s="90" t="s">
        <v>1046</v>
      </c>
      <c r="B1856" s="90" t="s">
        <v>933</v>
      </c>
      <c r="C1856" s="90" t="s">
        <v>1005</v>
      </c>
      <c r="D1856" s="90" t="s">
        <v>663</v>
      </c>
      <c r="E1856" s="90" t="s">
        <v>676</v>
      </c>
      <c r="F1856" s="90" t="s">
        <v>697</v>
      </c>
      <c r="G1856" s="93">
        <v>548.91</v>
      </c>
      <c r="H1856" s="92"/>
      <c r="I1856" s="92"/>
      <c r="J1856" s="92"/>
      <c r="K1856" s="92"/>
      <c r="L1856" s="92"/>
      <c r="M1856" s="92"/>
      <c r="N1856" s="92"/>
      <c r="O1856" s="92"/>
      <c r="P1856" s="92"/>
      <c r="Q1856" s="92"/>
      <c r="R1856" s="92"/>
      <c r="S1856" s="92"/>
      <c r="T1856" s="92"/>
      <c r="U1856" s="93">
        <v>548.91</v>
      </c>
      <c r="V1856" s="92"/>
      <c r="W1856" s="92"/>
      <c r="X1856" s="92"/>
      <c r="Y1856" s="92"/>
      <c r="Z1856" s="92"/>
      <c r="AA1856" s="92"/>
      <c r="AB1856" s="92"/>
      <c r="AC1856" s="92"/>
      <c r="AD1856" s="93">
        <v>32.94</v>
      </c>
      <c r="AE1856" s="92"/>
      <c r="AF1856" s="92"/>
      <c r="AG1856" s="93">
        <v>581.85</v>
      </c>
      <c r="AH1856" s="93">
        <v>0</v>
      </c>
    </row>
    <row r="1857" spans="1:34" ht="15.75" thickBot="1" x14ac:dyDescent="0.3">
      <c r="A1857" s="90" t="s">
        <v>1046</v>
      </c>
      <c r="B1857" s="90" t="s">
        <v>933</v>
      </c>
      <c r="C1857" s="90" t="s">
        <v>1005</v>
      </c>
      <c r="D1857" s="90" t="s">
        <v>663</v>
      </c>
      <c r="E1857" s="90" t="s">
        <v>677</v>
      </c>
      <c r="F1857" s="90" t="s">
        <v>522</v>
      </c>
      <c r="G1857" s="95">
        <v>601.41</v>
      </c>
      <c r="H1857" s="94"/>
      <c r="I1857" s="94"/>
      <c r="J1857" s="94"/>
      <c r="K1857" s="94"/>
      <c r="L1857" s="94"/>
      <c r="M1857" s="94"/>
      <c r="N1857" s="94"/>
      <c r="O1857" s="94"/>
      <c r="P1857" s="94"/>
      <c r="Q1857" s="94"/>
      <c r="R1857" s="94"/>
      <c r="S1857" s="94"/>
      <c r="T1857" s="94"/>
      <c r="U1857" s="94"/>
      <c r="V1857" s="95">
        <v>601.41</v>
      </c>
      <c r="W1857" s="94"/>
      <c r="X1857" s="94"/>
      <c r="Y1857" s="94"/>
      <c r="Z1857" s="94"/>
      <c r="AA1857" s="94"/>
      <c r="AB1857" s="94"/>
      <c r="AC1857" s="94"/>
      <c r="AD1857" s="95">
        <v>36.090000000000003</v>
      </c>
      <c r="AE1857" s="94"/>
      <c r="AF1857" s="94"/>
      <c r="AG1857" s="95">
        <v>637.5</v>
      </c>
      <c r="AH1857" s="95">
        <v>0</v>
      </c>
    </row>
    <row r="1858" spans="1:34" ht="15.75" thickBot="1" x14ac:dyDescent="0.3">
      <c r="A1858" s="90" t="s">
        <v>1046</v>
      </c>
      <c r="B1858" s="90" t="s">
        <v>933</v>
      </c>
      <c r="C1858" s="90" t="s">
        <v>1005</v>
      </c>
      <c r="D1858" s="90" t="s">
        <v>663</v>
      </c>
      <c r="E1858" s="90" t="s">
        <v>677</v>
      </c>
      <c r="F1858" s="90" t="s">
        <v>697</v>
      </c>
      <c r="G1858" s="93">
        <v>601.41</v>
      </c>
      <c r="H1858" s="92"/>
      <c r="I1858" s="92"/>
      <c r="J1858" s="92"/>
      <c r="K1858" s="92"/>
      <c r="L1858" s="92"/>
      <c r="M1858" s="92"/>
      <c r="N1858" s="92"/>
      <c r="O1858" s="92"/>
      <c r="P1858" s="92"/>
      <c r="Q1858" s="92"/>
      <c r="R1858" s="92"/>
      <c r="S1858" s="92"/>
      <c r="T1858" s="92"/>
      <c r="U1858" s="92"/>
      <c r="V1858" s="93">
        <v>601.41</v>
      </c>
      <c r="W1858" s="92"/>
      <c r="X1858" s="92"/>
      <c r="Y1858" s="92"/>
      <c r="Z1858" s="92"/>
      <c r="AA1858" s="92"/>
      <c r="AB1858" s="92"/>
      <c r="AC1858" s="92"/>
      <c r="AD1858" s="93">
        <v>36.090000000000003</v>
      </c>
      <c r="AE1858" s="92"/>
      <c r="AF1858" s="92"/>
      <c r="AG1858" s="93">
        <v>637.5</v>
      </c>
      <c r="AH1858" s="93">
        <v>0</v>
      </c>
    </row>
    <row r="1859" spans="1:34" ht="15.75" thickBot="1" x14ac:dyDescent="0.3">
      <c r="A1859" s="90" t="s">
        <v>1046</v>
      </c>
      <c r="B1859" s="90" t="s">
        <v>933</v>
      </c>
      <c r="C1859" s="90" t="s">
        <v>1005</v>
      </c>
      <c r="D1859" s="90" t="s">
        <v>662</v>
      </c>
      <c r="E1859" s="90" t="s">
        <v>518</v>
      </c>
      <c r="F1859" s="90" t="s">
        <v>522</v>
      </c>
      <c r="G1859" s="93">
        <v>8137.19</v>
      </c>
      <c r="H1859" s="93">
        <v>189149</v>
      </c>
      <c r="I1859" s="92"/>
      <c r="J1859" s="92"/>
      <c r="K1859" s="93">
        <v>8137.19</v>
      </c>
      <c r="L1859" s="92"/>
      <c r="M1859" s="92"/>
      <c r="N1859" s="92"/>
      <c r="O1859" s="92"/>
      <c r="P1859" s="92"/>
      <c r="Q1859" s="92"/>
      <c r="R1859" s="92"/>
      <c r="S1859" s="92"/>
      <c r="T1859" s="92"/>
      <c r="U1859" s="92"/>
      <c r="V1859" s="92"/>
      <c r="W1859" s="92"/>
      <c r="X1859" s="92"/>
      <c r="Y1859" s="92"/>
      <c r="Z1859" s="92"/>
      <c r="AA1859" s="92"/>
      <c r="AB1859" s="92"/>
      <c r="AC1859" s="92"/>
      <c r="AD1859" s="93">
        <v>0</v>
      </c>
      <c r="AE1859" s="92"/>
      <c r="AF1859" s="92"/>
      <c r="AG1859" s="93">
        <v>8137.19</v>
      </c>
      <c r="AH1859" s="93">
        <v>0</v>
      </c>
    </row>
    <row r="1860" spans="1:34" ht="15.75" thickBot="1" x14ac:dyDescent="0.3">
      <c r="A1860" s="90" t="s">
        <v>1046</v>
      </c>
      <c r="B1860" s="90" t="s">
        <v>933</v>
      </c>
      <c r="C1860" s="90" t="s">
        <v>1005</v>
      </c>
      <c r="D1860" s="90" t="s">
        <v>662</v>
      </c>
      <c r="E1860" s="90" t="s">
        <v>518</v>
      </c>
      <c r="F1860" s="90" t="s">
        <v>697</v>
      </c>
      <c r="G1860" s="95">
        <v>8137.19</v>
      </c>
      <c r="H1860" s="305">
        <v>189149</v>
      </c>
      <c r="I1860" s="94"/>
      <c r="J1860" s="94"/>
      <c r="K1860" s="95">
        <v>8137.19</v>
      </c>
      <c r="L1860" s="94"/>
      <c r="M1860" s="94"/>
      <c r="N1860" s="94"/>
      <c r="O1860" s="94"/>
      <c r="P1860" s="94"/>
      <c r="Q1860" s="94"/>
      <c r="R1860" s="94"/>
      <c r="S1860" s="94"/>
      <c r="T1860" s="94"/>
      <c r="U1860" s="94"/>
      <c r="V1860" s="94"/>
      <c r="W1860" s="94"/>
      <c r="X1860" s="94"/>
      <c r="Y1860" s="94"/>
      <c r="Z1860" s="94"/>
      <c r="AA1860" s="94"/>
      <c r="AB1860" s="94"/>
      <c r="AC1860" s="94"/>
      <c r="AD1860" s="95">
        <v>0</v>
      </c>
      <c r="AE1860" s="94"/>
      <c r="AF1860" s="94"/>
      <c r="AG1860" s="95">
        <v>8137.19</v>
      </c>
      <c r="AH1860" s="95">
        <v>0</v>
      </c>
    </row>
    <row r="1861" spans="1:34" ht="15.75" thickBot="1" x14ac:dyDescent="0.3">
      <c r="A1861" s="90" t="s">
        <v>1046</v>
      </c>
      <c r="B1861" s="90" t="s">
        <v>933</v>
      </c>
      <c r="C1861" s="90" t="s">
        <v>1005</v>
      </c>
      <c r="D1861" s="90" t="s">
        <v>662</v>
      </c>
      <c r="E1861" s="90" t="s">
        <v>524</v>
      </c>
      <c r="F1861" s="90" t="s">
        <v>522</v>
      </c>
      <c r="G1861" s="93">
        <v>550</v>
      </c>
      <c r="H1861" s="92"/>
      <c r="I1861" s="93">
        <v>550</v>
      </c>
      <c r="J1861" s="92"/>
      <c r="K1861" s="92"/>
      <c r="L1861" s="92"/>
      <c r="M1861" s="92"/>
      <c r="N1861" s="92"/>
      <c r="O1861" s="92"/>
      <c r="P1861" s="92"/>
      <c r="Q1861" s="92"/>
      <c r="R1861" s="92"/>
      <c r="S1861" s="92"/>
      <c r="T1861" s="92"/>
      <c r="U1861" s="92"/>
      <c r="V1861" s="92"/>
      <c r="W1861" s="92"/>
      <c r="X1861" s="92"/>
      <c r="Y1861" s="92"/>
      <c r="Z1861" s="92"/>
      <c r="AA1861" s="92"/>
      <c r="AB1861" s="92"/>
      <c r="AC1861" s="92"/>
      <c r="AD1861" s="93">
        <v>0</v>
      </c>
      <c r="AE1861" s="92"/>
      <c r="AF1861" s="92"/>
      <c r="AG1861" s="93">
        <v>550</v>
      </c>
      <c r="AH1861" s="93">
        <v>0</v>
      </c>
    </row>
    <row r="1862" spans="1:34" ht="15.75" thickBot="1" x14ac:dyDescent="0.3">
      <c r="A1862" s="90" t="s">
        <v>1046</v>
      </c>
      <c r="B1862" s="90" t="s">
        <v>933</v>
      </c>
      <c r="C1862" s="90" t="s">
        <v>1005</v>
      </c>
      <c r="D1862" s="90" t="s">
        <v>662</v>
      </c>
      <c r="E1862" s="90" t="s">
        <v>524</v>
      </c>
      <c r="F1862" s="90" t="s">
        <v>697</v>
      </c>
      <c r="G1862" s="95">
        <v>550</v>
      </c>
      <c r="H1862" s="94"/>
      <c r="I1862" s="95">
        <v>550</v>
      </c>
      <c r="J1862" s="94"/>
      <c r="K1862" s="94"/>
      <c r="L1862" s="94"/>
      <c r="M1862" s="94"/>
      <c r="N1862" s="94"/>
      <c r="O1862" s="94"/>
      <c r="P1862" s="94"/>
      <c r="Q1862" s="94"/>
      <c r="R1862" s="94"/>
      <c r="S1862" s="94"/>
      <c r="T1862" s="94"/>
      <c r="U1862" s="94"/>
      <c r="V1862" s="94"/>
      <c r="W1862" s="94"/>
      <c r="X1862" s="94"/>
      <c r="Y1862" s="94"/>
      <c r="Z1862" s="94"/>
      <c r="AA1862" s="94"/>
      <c r="AB1862" s="94"/>
      <c r="AC1862" s="94"/>
      <c r="AD1862" s="95">
        <v>0</v>
      </c>
      <c r="AE1862" s="94"/>
      <c r="AF1862" s="94"/>
      <c r="AG1862" s="95">
        <v>550</v>
      </c>
      <c r="AH1862" s="95">
        <v>0</v>
      </c>
    </row>
    <row r="1863" spans="1:34" ht="15.75" thickBot="1" x14ac:dyDescent="0.3">
      <c r="A1863" s="90" t="s">
        <v>1046</v>
      </c>
      <c r="B1863" s="90" t="s">
        <v>54</v>
      </c>
      <c r="C1863" s="90" t="s">
        <v>55</v>
      </c>
      <c r="D1863" s="90" t="s">
        <v>663</v>
      </c>
      <c r="E1863" s="90" t="s">
        <v>525</v>
      </c>
      <c r="F1863" s="90" t="s">
        <v>690</v>
      </c>
      <c r="G1863" s="95">
        <v>-43733.75</v>
      </c>
      <c r="H1863" s="94"/>
      <c r="I1863" s="94"/>
      <c r="J1863" s="94"/>
      <c r="K1863" s="94"/>
      <c r="L1863" s="94"/>
      <c r="M1863" s="94"/>
      <c r="N1863" s="94"/>
      <c r="O1863" s="94"/>
      <c r="P1863" s="94"/>
      <c r="Q1863" s="94"/>
      <c r="R1863" s="95">
        <v>-43733.75</v>
      </c>
      <c r="S1863" s="94"/>
      <c r="T1863" s="94"/>
      <c r="U1863" s="94"/>
      <c r="V1863" s="94"/>
      <c r="W1863" s="94"/>
      <c r="X1863" s="94"/>
      <c r="Y1863" s="94"/>
      <c r="Z1863" s="94"/>
      <c r="AA1863" s="94"/>
      <c r="AB1863" s="94"/>
      <c r="AC1863" s="94"/>
      <c r="AD1863" s="95">
        <v>51.65</v>
      </c>
      <c r="AE1863" s="94"/>
      <c r="AF1863" s="94"/>
      <c r="AG1863" s="95">
        <v>-43682.1</v>
      </c>
      <c r="AH1863" s="95">
        <v>0</v>
      </c>
    </row>
    <row r="1864" spans="1:34" ht="15.75" thickBot="1" x14ac:dyDescent="0.3">
      <c r="A1864" s="90" t="s">
        <v>1046</v>
      </c>
      <c r="B1864" s="90" t="s">
        <v>54</v>
      </c>
      <c r="C1864" s="90" t="s">
        <v>55</v>
      </c>
      <c r="D1864" s="90" t="s">
        <v>663</v>
      </c>
      <c r="E1864" s="90" t="s">
        <v>525</v>
      </c>
      <c r="F1864" s="90" t="s">
        <v>697</v>
      </c>
      <c r="G1864" s="93">
        <v>-43733.75</v>
      </c>
      <c r="H1864" s="92"/>
      <c r="I1864" s="92"/>
      <c r="J1864" s="92"/>
      <c r="K1864" s="92"/>
      <c r="L1864" s="92"/>
      <c r="M1864" s="92"/>
      <c r="N1864" s="92"/>
      <c r="O1864" s="92"/>
      <c r="P1864" s="92"/>
      <c r="Q1864" s="92"/>
      <c r="R1864" s="93">
        <v>-43733.75</v>
      </c>
      <c r="S1864" s="92"/>
      <c r="T1864" s="92"/>
      <c r="U1864" s="92"/>
      <c r="V1864" s="92"/>
      <c r="W1864" s="92"/>
      <c r="X1864" s="92"/>
      <c r="Y1864" s="92"/>
      <c r="Z1864" s="92"/>
      <c r="AA1864" s="92"/>
      <c r="AB1864" s="92"/>
      <c r="AC1864" s="92"/>
      <c r="AD1864" s="93">
        <v>51.65</v>
      </c>
      <c r="AE1864" s="92"/>
      <c r="AF1864" s="92"/>
      <c r="AG1864" s="93">
        <v>-43682.1</v>
      </c>
      <c r="AH1864" s="93">
        <v>0</v>
      </c>
    </row>
    <row r="1865" spans="1:34" ht="15.75" thickBot="1" x14ac:dyDescent="0.3">
      <c r="A1865" s="90" t="s">
        <v>1046</v>
      </c>
      <c r="B1865" s="90" t="s">
        <v>54</v>
      </c>
      <c r="C1865" s="90" t="s">
        <v>55</v>
      </c>
      <c r="D1865" s="90" t="s">
        <v>663</v>
      </c>
      <c r="E1865" s="90" t="s">
        <v>527</v>
      </c>
      <c r="F1865" s="90" t="s">
        <v>690</v>
      </c>
      <c r="G1865" s="95">
        <v>6737.44</v>
      </c>
      <c r="H1865" s="94"/>
      <c r="I1865" s="94"/>
      <c r="J1865" s="94"/>
      <c r="K1865" s="94"/>
      <c r="L1865" s="94"/>
      <c r="M1865" s="94"/>
      <c r="N1865" s="94"/>
      <c r="O1865" s="94"/>
      <c r="P1865" s="94"/>
      <c r="Q1865" s="94"/>
      <c r="R1865" s="94"/>
      <c r="S1865" s="95">
        <v>6737.44</v>
      </c>
      <c r="T1865" s="94"/>
      <c r="U1865" s="94"/>
      <c r="V1865" s="94"/>
      <c r="W1865" s="94"/>
      <c r="X1865" s="94"/>
      <c r="Y1865" s="94"/>
      <c r="Z1865" s="94"/>
      <c r="AA1865" s="94"/>
      <c r="AB1865" s="94"/>
      <c r="AC1865" s="94"/>
      <c r="AD1865" s="95">
        <v>78.75</v>
      </c>
      <c r="AE1865" s="94"/>
      <c r="AF1865" s="94"/>
      <c r="AG1865" s="95">
        <v>6816.19</v>
      </c>
      <c r="AH1865" s="95">
        <v>0</v>
      </c>
    </row>
    <row r="1866" spans="1:34" ht="15.75" thickBot="1" x14ac:dyDescent="0.3">
      <c r="A1866" s="90" t="s">
        <v>1046</v>
      </c>
      <c r="B1866" s="90" t="s">
        <v>54</v>
      </c>
      <c r="C1866" s="90" t="s">
        <v>55</v>
      </c>
      <c r="D1866" s="90" t="s">
        <v>663</v>
      </c>
      <c r="E1866" s="90" t="s">
        <v>527</v>
      </c>
      <c r="F1866" s="90" t="s">
        <v>697</v>
      </c>
      <c r="G1866" s="93">
        <v>6737.44</v>
      </c>
      <c r="H1866" s="92"/>
      <c r="I1866" s="92"/>
      <c r="J1866" s="92"/>
      <c r="K1866" s="92"/>
      <c r="L1866" s="92"/>
      <c r="M1866" s="92"/>
      <c r="N1866" s="92"/>
      <c r="O1866" s="92"/>
      <c r="P1866" s="92"/>
      <c r="Q1866" s="92"/>
      <c r="R1866" s="92"/>
      <c r="S1866" s="93">
        <v>6737.44</v>
      </c>
      <c r="T1866" s="92"/>
      <c r="U1866" s="92"/>
      <c r="V1866" s="92"/>
      <c r="W1866" s="92"/>
      <c r="X1866" s="92"/>
      <c r="Y1866" s="92"/>
      <c r="Z1866" s="92"/>
      <c r="AA1866" s="92"/>
      <c r="AB1866" s="92"/>
      <c r="AC1866" s="92"/>
      <c r="AD1866" s="93">
        <v>78.75</v>
      </c>
      <c r="AE1866" s="92"/>
      <c r="AF1866" s="92"/>
      <c r="AG1866" s="93">
        <v>6816.19</v>
      </c>
      <c r="AH1866" s="93">
        <v>0</v>
      </c>
    </row>
    <row r="1867" spans="1:34" ht="15.75" thickBot="1" x14ac:dyDescent="0.3">
      <c r="A1867" s="90" t="s">
        <v>1046</v>
      </c>
      <c r="B1867" s="90" t="s">
        <v>54</v>
      </c>
      <c r="C1867" s="90" t="s">
        <v>55</v>
      </c>
      <c r="D1867" s="90" t="s">
        <v>663</v>
      </c>
      <c r="E1867" s="90" t="s">
        <v>524</v>
      </c>
      <c r="F1867" s="90" t="s">
        <v>522</v>
      </c>
      <c r="G1867" s="95">
        <v>5250</v>
      </c>
      <c r="H1867" s="94"/>
      <c r="I1867" s="95">
        <v>5250</v>
      </c>
      <c r="J1867" s="94"/>
      <c r="K1867" s="94"/>
      <c r="L1867" s="94"/>
      <c r="M1867" s="94"/>
      <c r="N1867" s="94"/>
      <c r="O1867" s="94"/>
      <c r="P1867" s="94"/>
      <c r="Q1867" s="94"/>
      <c r="R1867" s="94"/>
      <c r="S1867" s="94"/>
      <c r="T1867" s="94"/>
      <c r="U1867" s="94"/>
      <c r="V1867" s="94"/>
      <c r="W1867" s="94"/>
      <c r="X1867" s="94"/>
      <c r="Y1867" s="94"/>
      <c r="Z1867" s="94"/>
      <c r="AA1867" s="94"/>
      <c r="AB1867" s="94"/>
      <c r="AC1867" s="94"/>
      <c r="AD1867" s="95">
        <v>9</v>
      </c>
      <c r="AE1867" s="94"/>
      <c r="AF1867" s="94"/>
      <c r="AG1867" s="95">
        <v>5259</v>
      </c>
      <c r="AH1867" s="95">
        <v>0</v>
      </c>
    </row>
    <row r="1868" spans="1:34" ht="15.75" thickBot="1" x14ac:dyDescent="0.3">
      <c r="A1868" s="90" t="s">
        <v>1046</v>
      </c>
      <c r="B1868" s="90" t="s">
        <v>54</v>
      </c>
      <c r="C1868" s="90" t="s">
        <v>55</v>
      </c>
      <c r="D1868" s="90" t="s">
        <v>663</v>
      </c>
      <c r="E1868" s="90" t="s">
        <v>524</v>
      </c>
      <c r="F1868" s="90" t="s">
        <v>697</v>
      </c>
      <c r="G1868" s="93">
        <v>5250</v>
      </c>
      <c r="H1868" s="92"/>
      <c r="I1868" s="93">
        <v>5250</v>
      </c>
      <c r="J1868" s="92"/>
      <c r="K1868" s="92"/>
      <c r="L1868" s="92"/>
      <c r="M1868" s="92"/>
      <c r="N1868" s="92"/>
      <c r="O1868" s="92"/>
      <c r="P1868" s="92"/>
      <c r="Q1868" s="92"/>
      <c r="R1868" s="92"/>
      <c r="S1868" s="92"/>
      <c r="T1868" s="92"/>
      <c r="U1868" s="92"/>
      <c r="V1868" s="92"/>
      <c r="W1868" s="92"/>
      <c r="X1868" s="92"/>
      <c r="Y1868" s="92"/>
      <c r="Z1868" s="92"/>
      <c r="AA1868" s="92"/>
      <c r="AB1868" s="92"/>
      <c r="AC1868" s="92"/>
      <c r="AD1868" s="93">
        <v>9</v>
      </c>
      <c r="AE1868" s="92"/>
      <c r="AF1868" s="92"/>
      <c r="AG1868" s="93">
        <v>5259</v>
      </c>
      <c r="AH1868" s="93">
        <v>0</v>
      </c>
    </row>
    <row r="1869" spans="1:34" ht="15.75" thickBot="1" x14ac:dyDescent="0.3">
      <c r="A1869" s="90" t="s">
        <v>1046</v>
      </c>
      <c r="B1869" s="90" t="s">
        <v>54</v>
      </c>
      <c r="C1869" s="90" t="s">
        <v>55</v>
      </c>
      <c r="D1869" s="90" t="s">
        <v>663</v>
      </c>
      <c r="E1869" s="90" t="s">
        <v>676</v>
      </c>
      <c r="F1869" s="90" t="s">
        <v>522</v>
      </c>
      <c r="G1869" s="95">
        <v>10423.48</v>
      </c>
      <c r="H1869" s="94"/>
      <c r="I1869" s="94"/>
      <c r="J1869" s="94"/>
      <c r="K1869" s="94"/>
      <c r="L1869" s="94"/>
      <c r="M1869" s="94"/>
      <c r="N1869" s="94"/>
      <c r="O1869" s="94"/>
      <c r="P1869" s="94"/>
      <c r="Q1869" s="94"/>
      <c r="R1869" s="94"/>
      <c r="S1869" s="94"/>
      <c r="T1869" s="94"/>
      <c r="U1869" s="95">
        <v>10423.48</v>
      </c>
      <c r="V1869" s="94"/>
      <c r="W1869" s="94"/>
      <c r="X1869" s="94"/>
      <c r="Y1869" s="94"/>
      <c r="Z1869" s="94"/>
      <c r="AA1869" s="94"/>
      <c r="AB1869" s="94"/>
      <c r="AC1869" s="94"/>
      <c r="AD1869" s="95">
        <v>186.93</v>
      </c>
      <c r="AE1869" s="94"/>
      <c r="AF1869" s="94"/>
      <c r="AG1869" s="95">
        <v>10610.41</v>
      </c>
      <c r="AH1869" s="95">
        <v>0</v>
      </c>
    </row>
    <row r="1870" spans="1:34" ht="15.75" thickBot="1" x14ac:dyDescent="0.3">
      <c r="A1870" s="90" t="s">
        <v>1046</v>
      </c>
      <c r="B1870" s="90" t="s">
        <v>54</v>
      </c>
      <c r="C1870" s="90" t="s">
        <v>55</v>
      </c>
      <c r="D1870" s="90" t="s">
        <v>663</v>
      </c>
      <c r="E1870" s="90" t="s">
        <v>676</v>
      </c>
      <c r="F1870" s="90" t="s">
        <v>697</v>
      </c>
      <c r="G1870" s="93">
        <v>10423.48</v>
      </c>
      <c r="H1870" s="92"/>
      <c r="I1870" s="92"/>
      <c r="J1870" s="92"/>
      <c r="K1870" s="92"/>
      <c r="L1870" s="92"/>
      <c r="M1870" s="92"/>
      <c r="N1870" s="92"/>
      <c r="O1870" s="92"/>
      <c r="P1870" s="92"/>
      <c r="Q1870" s="92"/>
      <c r="R1870" s="92"/>
      <c r="S1870" s="92"/>
      <c r="T1870" s="92"/>
      <c r="U1870" s="93">
        <v>10423.48</v>
      </c>
      <c r="V1870" s="92"/>
      <c r="W1870" s="92"/>
      <c r="X1870" s="92"/>
      <c r="Y1870" s="92"/>
      <c r="Z1870" s="92"/>
      <c r="AA1870" s="92"/>
      <c r="AB1870" s="92"/>
      <c r="AC1870" s="92"/>
      <c r="AD1870" s="93">
        <v>186.93</v>
      </c>
      <c r="AE1870" s="92"/>
      <c r="AF1870" s="92"/>
      <c r="AG1870" s="93">
        <v>10610.41</v>
      </c>
      <c r="AH1870" s="93">
        <v>0</v>
      </c>
    </row>
    <row r="1871" spans="1:34" ht="15.75" thickBot="1" x14ac:dyDescent="0.3">
      <c r="A1871" s="90" t="s">
        <v>1046</v>
      </c>
      <c r="B1871" s="90" t="s">
        <v>54</v>
      </c>
      <c r="C1871" s="90" t="s">
        <v>55</v>
      </c>
      <c r="D1871" s="90" t="s">
        <v>663</v>
      </c>
      <c r="E1871" s="90" t="s">
        <v>677</v>
      </c>
      <c r="F1871" s="90" t="s">
        <v>522</v>
      </c>
      <c r="G1871" s="95">
        <v>11420.33</v>
      </c>
      <c r="H1871" s="94"/>
      <c r="I1871" s="94"/>
      <c r="J1871" s="94"/>
      <c r="K1871" s="94"/>
      <c r="L1871" s="94"/>
      <c r="M1871" s="94"/>
      <c r="N1871" s="94"/>
      <c r="O1871" s="94"/>
      <c r="P1871" s="94"/>
      <c r="Q1871" s="94"/>
      <c r="R1871" s="94"/>
      <c r="S1871" s="94"/>
      <c r="T1871" s="94"/>
      <c r="U1871" s="94"/>
      <c r="V1871" s="95">
        <v>11420.33</v>
      </c>
      <c r="W1871" s="94"/>
      <c r="X1871" s="94"/>
      <c r="Y1871" s="94"/>
      <c r="Z1871" s="94"/>
      <c r="AA1871" s="94"/>
      <c r="AB1871" s="94"/>
      <c r="AC1871" s="94"/>
      <c r="AD1871" s="95">
        <v>204.81</v>
      </c>
      <c r="AE1871" s="94"/>
      <c r="AF1871" s="94"/>
      <c r="AG1871" s="95">
        <v>11625.14</v>
      </c>
      <c r="AH1871" s="95">
        <v>0</v>
      </c>
    </row>
    <row r="1872" spans="1:34" ht="15.75" thickBot="1" x14ac:dyDescent="0.3">
      <c r="A1872" s="90" t="s">
        <v>1046</v>
      </c>
      <c r="B1872" s="90" t="s">
        <v>54</v>
      </c>
      <c r="C1872" s="90" t="s">
        <v>55</v>
      </c>
      <c r="D1872" s="90" t="s">
        <v>663</v>
      </c>
      <c r="E1872" s="90" t="s">
        <v>677</v>
      </c>
      <c r="F1872" s="90" t="s">
        <v>697</v>
      </c>
      <c r="G1872" s="93">
        <v>11420.33</v>
      </c>
      <c r="H1872" s="92"/>
      <c r="I1872" s="92"/>
      <c r="J1872" s="92"/>
      <c r="K1872" s="92"/>
      <c r="L1872" s="92"/>
      <c r="M1872" s="92"/>
      <c r="N1872" s="92"/>
      <c r="O1872" s="92"/>
      <c r="P1872" s="92"/>
      <c r="Q1872" s="92"/>
      <c r="R1872" s="92"/>
      <c r="S1872" s="92"/>
      <c r="T1872" s="92"/>
      <c r="U1872" s="92"/>
      <c r="V1872" s="93">
        <v>11420.33</v>
      </c>
      <c r="W1872" s="92"/>
      <c r="X1872" s="92"/>
      <c r="Y1872" s="92"/>
      <c r="Z1872" s="92"/>
      <c r="AA1872" s="92"/>
      <c r="AB1872" s="92"/>
      <c r="AC1872" s="92"/>
      <c r="AD1872" s="93">
        <v>204.81</v>
      </c>
      <c r="AE1872" s="92"/>
      <c r="AF1872" s="92"/>
      <c r="AG1872" s="93">
        <v>11625.14</v>
      </c>
      <c r="AH1872" s="93">
        <v>0</v>
      </c>
    </row>
    <row r="1873" spans="1:34" ht="15.75" thickBot="1" x14ac:dyDescent="0.3">
      <c r="A1873" s="90" t="s">
        <v>1046</v>
      </c>
      <c r="B1873" s="90" t="s">
        <v>45</v>
      </c>
      <c r="C1873" s="90" t="s">
        <v>46</v>
      </c>
      <c r="D1873" s="90" t="s">
        <v>165</v>
      </c>
      <c r="E1873" s="90" t="s">
        <v>528</v>
      </c>
      <c r="F1873" s="90" t="s">
        <v>698</v>
      </c>
      <c r="G1873" s="93">
        <v>180</v>
      </c>
      <c r="H1873" s="92"/>
      <c r="I1873" s="93">
        <v>180</v>
      </c>
      <c r="J1873" s="92"/>
      <c r="K1873" s="92"/>
      <c r="L1873" s="92"/>
      <c r="M1873" s="92"/>
      <c r="N1873" s="92"/>
      <c r="O1873" s="92"/>
      <c r="P1873" s="92"/>
      <c r="Q1873" s="92"/>
      <c r="R1873" s="92"/>
      <c r="S1873" s="92"/>
      <c r="T1873" s="92"/>
      <c r="U1873" s="92"/>
      <c r="V1873" s="92"/>
      <c r="W1873" s="92"/>
      <c r="X1873" s="92"/>
      <c r="Y1873" s="92"/>
      <c r="Z1873" s="92"/>
      <c r="AA1873" s="92"/>
      <c r="AB1873" s="92"/>
      <c r="AC1873" s="92"/>
      <c r="AD1873" s="93">
        <v>0</v>
      </c>
      <c r="AE1873" s="92"/>
      <c r="AF1873" s="92"/>
      <c r="AG1873" s="93">
        <v>180</v>
      </c>
      <c r="AH1873" s="93">
        <v>0</v>
      </c>
    </row>
    <row r="1874" spans="1:34" ht="15.75" thickBot="1" x14ac:dyDescent="0.3">
      <c r="A1874" s="90" t="s">
        <v>1046</v>
      </c>
      <c r="B1874" s="90" t="s">
        <v>45</v>
      </c>
      <c r="C1874" s="90" t="s">
        <v>46</v>
      </c>
      <c r="D1874" s="90" t="s">
        <v>165</v>
      </c>
      <c r="E1874" s="90" t="s">
        <v>528</v>
      </c>
      <c r="F1874" s="90" t="s">
        <v>697</v>
      </c>
      <c r="G1874" s="95">
        <v>180</v>
      </c>
      <c r="H1874" s="94"/>
      <c r="I1874" s="95">
        <v>180</v>
      </c>
      <c r="J1874" s="94"/>
      <c r="K1874" s="94"/>
      <c r="L1874" s="94"/>
      <c r="M1874" s="94"/>
      <c r="N1874" s="94"/>
      <c r="O1874" s="94"/>
      <c r="P1874" s="94"/>
      <c r="Q1874" s="94"/>
      <c r="R1874" s="94"/>
      <c r="S1874" s="94"/>
      <c r="T1874" s="94"/>
      <c r="U1874" s="94"/>
      <c r="V1874" s="94"/>
      <c r="W1874" s="94"/>
      <c r="X1874" s="94"/>
      <c r="Y1874" s="94"/>
      <c r="Z1874" s="94"/>
      <c r="AA1874" s="94"/>
      <c r="AB1874" s="94"/>
      <c r="AC1874" s="94"/>
      <c r="AD1874" s="95">
        <v>0</v>
      </c>
      <c r="AE1874" s="94"/>
      <c r="AF1874" s="94"/>
      <c r="AG1874" s="95">
        <v>180</v>
      </c>
      <c r="AH1874" s="95">
        <v>0</v>
      </c>
    </row>
    <row r="1875" spans="1:34" ht="15.75" thickBot="1" x14ac:dyDescent="0.3">
      <c r="A1875" s="90" t="s">
        <v>1046</v>
      </c>
      <c r="B1875" s="90" t="s">
        <v>45</v>
      </c>
      <c r="C1875" s="90" t="s">
        <v>46</v>
      </c>
      <c r="D1875" s="90" t="s">
        <v>165</v>
      </c>
      <c r="E1875" s="90" t="s">
        <v>547</v>
      </c>
      <c r="F1875" s="90" t="s">
        <v>698</v>
      </c>
      <c r="G1875" s="93">
        <v>186513.62</v>
      </c>
      <c r="H1875" s="92"/>
      <c r="I1875" s="92"/>
      <c r="J1875" s="93">
        <v>186513.62</v>
      </c>
      <c r="K1875" s="92"/>
      <c r="L1875" s="92"/>
      <c r="M1875" s="92"/>
      <c r="N1875" s="92"/>
      <c r="O1875" s="92"/>
      <c r="P1875" s="92"/>
      <c r="Q1875" s="92"/>
      <c r="R1875" s="92"/>
      <c r="S1875" s="92"/>
      <c r="T1875" s="92"/>
      <c r="U1875" s="92"/>
      <c r="V1875" s="92"/>
      <c r="W1875" s="92"/>
      <c r="X1875" s="92"/>
      <c r="Y1875" s="92"/>
      <c r="Z1875" s="92"/>
      <c r="AA1875" s="92"/>
      <c r="AB1875" s="92"/>
      <c r="AC1875" s="92"/>
      <c r="AD1875" s="93">
        <v>0</v>
      </c>
      <c r="AE1875" s="92"/>
      <c r="AF1875" s="92"/>
      <c r="AG1875" s="93">
        <v>186513.62</v>
      </c>
      <c r="AH1875" s="93">
        <v>0</v>
      </c>
    </row>
    <row r="1876" spans="1:34" ht="15.75" thickBot="1" x14ac:dyDescent="0.3">
      <c r="A1876" s="90" t="s">
        <v>1046</v>
      </c>
      <c r="B1876" s="90" t="s">
        <v>45</v>
      </c>
      <c r="C1876" s="90" t="s">
        <v>46</v>
      </c>
      <c r="D1876" s="90" t="s">
        <v>165</v>
      </c>
      <c r="E1876" s="90" t="s">
        <v>547</v>
      </c>
      <c r="F1876" s="90" t="s">
        <v>697</v>
      </c>
      <c r="G1876" s="95">
        <v>186513.62</v>
      </c>
      <c r="H1876" s="94"/>
      <c r="I1876" s="94"/>
      <c r="J1876" s="95">
        <v>186513.62</v>
      </c>
      <c r="K1876" s="94"/>
      <c r="L1876" s="94"/>
      <c r="M1876" s="94"/>
      <c r="N1876" s="94"/>
      <c r="O1876" s="94"/>
      <c r="P1876" s="94"/>
      <c r="Q1876" s="94"/>
      <c r="R1876" s="94"/>
      <c r="S1876" s="94"/>
      <c r="T1876" s="94"/>
      <c r="U1876" s="94"/>
      <c r="V1876" s="94"/>
      <c r="W1876" s="94"/>
      <c r="X1876" s="94"/>
      <c r="Y1876" s="94"/>
      <c r="Z1876" s="94"/>
      <c r="AA1876" s="94"/>
      <c r="AB1876" s="94"/>
      <c r="AC1876" s="94"/>
      <c r="AD1876" s="95">
        <v>0</v>
      </c>
      <c r="AE1876" s="94"/>
      <c r="AF1876" s="94"/>
      <c r="AG1876" s="95">
        <v>186513.62</v>
      </c>
      <c r="AH1876" s="95">
        <v>0</v>
      </c>
    </row>
    <row r="1877" spans="1:34" ht="15.75" thickBot="1" x14ac:dyDescent="0.3">
      <c r="A1877" s="90" t="s">
        <v>1046</v>
      </c>
      <c r="B1877" s="90" t="s">
        <v>45</v>
      </c>
      <c r="C1877" s="90" t="s">
        <v>46</v>
      </c>
      <c r="D1877" s="90" t="s">
        <v>165</v>
      </c>
      <c r="E1877" s="90" t="s">
        <v>518</v>
      </c>
      <c r="F1877" s="90" t="s">
        <v>698</v>
      </c>
      <c r="G1877" s="93">
        <v>7949.62</v>
      </c>
      <c r="H1877" s="93">
        <v>238799</v>
      </c>
      <c r="I1877" s="92"/>
      <c r="J1877" s="92"/>
      <c r="K1877" s="93">
        <v>7949.62</v>
      </c>
      <c r="L1877" s="92"/>
      <c r="M1877" s="92"/>
      <c r="N1877" s="92"/>
      <c r="O1877" s="92"/>
      <c r="P1877" s="92"/>
      <c r="Q1877" s="92"/>
      <c r="R1877" s="92"/>
      <c r="S1877" s="92"/>
      <c r="T1877" s="92"/>
      <c r="U1877" s="92"/>
      <c r="V1877" s="92"/>
      <c r="W1877" s="92"/>
      <c r="X1877" s="92"/>
      <c r="Y1877" s="92"/>
      <c r="Z1877" s="92"/>
      <c r="AA1877" s="92"/>
      <c r="AB1877" s="92"/>
      <c r="AC1877" s="92"/>
      <c r="AD1877" s="93">
        <v>0</v>
      </c>
      <c r="AE1877" s="92"/>
      <c r="AF1877" s="92"/>
      <c r="AG1877" s="93">
        <v>7949.62</v>
      </c>
      <c r="AH1877" s="93">
        <v>0</v>
      </c>
    </row>
    <row r="1878" spans="1:34" ht="15.75" thickBot="1" x14ac:dyDescent="0.3">
      <c r="A1878" s="90" t="s">
        <v>1046</v>
      </c>
      <c r="B1878" s="90" t="s">
        <v>45</v>
      </c>
      <c r="C1878" s="90" t="s">
        <v>46</v>
      </c>
      <c r="D1878" s="90" t="s">
        <v>165</v>
      </c>
      <c r="E1878" s="90" t="s">
        <v>518</v>
      </c>
      <c r="F1878" s="90" t="s">
        <v>697</v>
      </c>
      <c r="G1878" s="95">
        <v>7949.62</v>
      </c>
      <c r="H1878" s="305">
        <v>238799</v>
      </c>
      <c r="I1878" s="94"/>
      <c r="J1878" s="94"/>
      <c r="K1878" s="95">
        <v>7949.62</v>
      </c>
      <c r="L1878" s="94"/>
      <c r="M1878" s="94"/>
      <c r="N1878" s="94"/>
      <c r="O1878" s="94"/>
      <c r="P1878" s="94"/>
      <c r="Q1878" s="94"/>
      <c r="R1878" s="94"/>
      <c r="S1878" s="94"/>
      <c r="T1878" s="94"/>
      <c r="U1878" s="94"/>
      <c r="V1878" s="94"/>
      <c r="W1878" s="94"/>
      <c r="X1878" s="94"/>
      <c r="Y1878" s="94"/>
      <c r="Z1878" s="94"/>
      <c r="AA1878" s="94"/>
      <c r="AB1878" s="94"/>
      <c r="AC1878" s="94"/>
      <c r="AD1878" s="95">
        <v>0</v>
      </c>
      <c r="AE1878" s="94"/>
      <c r="AF1878" s="94"/>
      <c r="AG1878" s="95">
        <v>7949.62</v>
      </c>
      <c r="AH1878" s="95">
        <v>0</v>
      </c>
    </row>
    <row r="1879" spans="1:34" ht="15.75" thickBot="1" x14ac:dyDescent="0.3">
      <c r="A1879" s="90" t="s">
        <v>1046</v>
      </c>
      <c r="B1879" s="90" t="s">
        <v>45</v>
      </c>
      <c r="C1879" s="90" t="s">
        <v>46</v>
      </c>
      <c r="D1879" s="90" t="s">
        <v>165</v>
      </c>
      <c r="E1879" s="90" t="s">
        <v>673</v>
      </c>
      <c r="F1879" s="90" t="s">
        <v>511</v>
      </c>
      <c r="G1879" s="93">
        <v>259.54000000000002</v>
      </c>
      <c r="H1879" s="92"/>
      <c r="I1879" s="92"/>
      <c r="J1879" s="92"/>
      <c r="K1879" s="92"/>
      <c r="L1879" s="92"/>
      <c r="M1879" s="92"/>
      <c r="N1879" s="92"/>
      <c r="O1879" s="92"/>
      <c r="P1879" s="92"/>
      <c r="Q1879" s="92"/>
      <c r="R1879" s="92"/>
      <c r="S1879" s="92"/>
      <c r="T1879" s="92"/>
      <c r="U1879" s="92"/>
      <c r="V1879" s="92"/>
      <c r="W1879" s="92"/>
      <c r="X1879" s="93">
        <v>259.54000000000002</v>
      </c>
      <c r="Y1879" s="92"/>
      <c r="Z1879" s="92"/>
      <c r="AA1879" s="92"/>
      <c r="AB1879" s="92"/>
      <c r="AC1879" s="92"/>
      <c r="AD1879" s="93">
        <v>0</v>
      </c>
      <c r="AE1879" s="92"/>
      <c r="AF1879" s="92"/>
      <c r="AG1879" s="93">
        <v>259.54000000000002</v>
      </c>
      <c r="AH1879" s="93">
        <v>0</v>
      </c>
    </row>
    <row r="1880" spans="1:34" ht="15.75" thickBot="1" x14ac:dyDescent="0.3">
      <c r="A1880" s="90" t="s">
        <v>1046</v>
      </c>
      <c r="B1880" s="90" t="s">
        <v>45</v>
      </c>
      <c r="C1880" s="90" t="s">
        <v>46</v>
      </c>
      <c r="D1880" s="90" t="s">
        <v>165</v>
      </c>
      <c r="E1880" s="90" t="s">
        <v>673</v>
      </c>
      <c r="F1880" s="90" t="s">
        <v>697</v>
      </c>
      <c r="G1880" s="95">
        <v>259.54000000000002</v>
      </c>
      <c r="H1880" s="94"/>
      <c r="I1880" s="94"/>
      <c r="J1880" s="94"/>
      <c r="K1880" s="94"/>
      <c r="L1880" s="94"/>
      <c r="M1880" s="94"/>
      <c r="N1880" s="94"/>
      <c r="O1880" s="94"/>
      <c r="P1880" s="94"/>
      <c r="Q1880" s="94"/>
      <c r="R1880" s="94"/>
      <c r="S1880" s="94"/>
      <c r="T1880" s="94"/>
      <c r="U1880" s="94"/>
      <c r="V1880" s="94"/>
      <c r="W1880" s="94"/>
      <c r="X1880" s="95">
        <v>259.54000000000002</v>
      </c>
      <c r="Y1880" s="94"/>
      <c r="Z1880" s="94"/>
      <c r="AA1880" s="94"/>
      <c r="AB1880" s="94"/>
      <c r="AC1880" s="94"/>
      <c r="AD1880" s="95">
        <v>0</v>
      </c>
      <c r="AE1880" s="94"/>
      <c r="AF1880" s="94"/>
      <c r="AG1880" s="95">
        <v>259.54000000000002</v>
      </c>
      <c r="AH1880" s="95">
        <v>0</v>
      </c>
    </row>
    <row r="1881" spans="1:34" ht="15.75" thickBot="1" x14ac:dyDescent="0.3">
      <c r="A1881" s="90" t="s">
        <v>1046</v>
      </c>
      <c r="B1881" s="90" t="s">
        <v>45</v>
      </c>
      <c r="C1881" s="90" t="s">
        <v>46</v>
      </c>
      <c r="D1881" s="90" t="s">
        <v>165</v>
      </c>
      <c r="E1881" s="90" t="s">
        <v>196</v>
      </c>
      <c r="F1881" s="90" t="s">
        <v>511</v>
      </c>
      <c r="G1881" s="93">
        <v>91259.43</v>
      </c>
      <c r="H1881" s="92"/>
      <c r="I1881" s="92"/>
      <c r="J1881" s="92"/>
      <c r="K1881" s="92"/>
      <c r="L1881" s="92"/>
      <c r="M1881" s="92"/>
      <c r="N1881" s="92"/>
      <c r="O1881" s="92"/>
      <c r="P1881" s="93">
        <v>91259.43</v>
      </c>
      <c r="Q1881" s="92"/>
      <c r="R1881" s="92"/>
      <c r="S1881" s="92"/>
      <c r="T1881" s="92"/>
      <c r="U1881" s="92"/>
      <c r="V1881" s="92"/>
      <c r="W1881" s="92"/>
      <c r="X1881" s="92"/>
      <c r="Y1881" s="92"/>
      <c r="Z1881" s="92"/>
      <c r="AA1881" s="92"/>
      <c r="AB1881" s="92"/>
      <c r="AC1881" s="92"/>
      <c r="AD1881" s="93">
        <v>0</v>
      </c>
      <c r="AE1881" s="92"/>
      <c r="AF1881" s="92"/>
      <c r="AG1881" s="93">
        <v>91259.43</v>
      </c>
      <c r="AH1881" s="93">
        <v>0</v>
      </c>
    </row>
    <row r="1882" spans="1:34" ht="15.75" thickBot="1" x14ac:dyDescent="0.3">
      <c r="A1882" s="90" t="s">
        <v>1046</v>
      </c>
      <c r="B1882" s="90" t="s">
        <v>45</v>
      </c>
      <c r="C1882" s="90" t="s">
        <v>46</v>
      </c>
      <c r="D1882" s="90" t="s">
        <v>165</v>
      </c>
      <c r="E1882" s="90" t="s">
        <v>196</v>
      </c>
      <c r="F1882" s="90" t="s">
        <v>697</v>
      </c>
      <c r="G1882" s="95">
        <v>91259.43</v>
      </c>
      <c r="H1882" s="94"/>
      <c r="I1882" s="94"/>
      <c r="J1882" s="94"/>
      <c r="K1882" s="94"/>
      <c r="L1882" s="94"/>
      <c r="M1882" s="94"/>
      <c r="N1882" s="94"/>
      <c r="O1882" s="94"/>
      <c r="P1882" s="95">
        <v>91259.43</v>
      </c>
      <c r="Q1882" s="94"/>
      <c r="R1882" s="94"/>
      <c r="S1882" s="94"/>
      <c r="T1882" s="94"/>
      <c r="U1882" s="94"/>
      <c r="V1882" s="94"/>
      <c r="W1882" s="94"/>
      <c r="X1882" s="94"/>
      <c r="Y1882" s="94"/>
      <c r="Z1882" s="94"/>
      <c r="AA1882" s="94"/>
      <c r="AB1882" s="94"/>
      <c r="AC1882" s="94"/>
      <c r="AD1882" s="95">
        <v>0</v>
      </c>
      <c r="AE1882" s="94"/>
      <c r="AF1882" s="94"/>
      <c r="AG1882" s="95">
        <v>91259.43</v>
      </c>
      <c r="AH1882" s="95">
        <v>0</v>
      </c>
    </row>
    <row r="1883" spans="1:34" ht="15.75" thickBot="1" x14ac:dyDescent="0.3">
      <c r="A1883" s="90" t="s">
        <v>1046</v>
      </c>
      <c r="B1883" s="90" t="s">
        <v>57</v>
      </c>
      <c r="C1883" s="90" t="s">
        <v>58</v>
      </c>
      <c r="D1883" s="90" t="s">
        <v>664</v>
      </c>
      <c r="E1883" s="90" t="s">
        <v>525</v>
      </c>
      <c r="F1883" s="90" t="s">
        <v>698</v>
      </c>
      <c r="G1883" s="95">
        <v>-12078.28</v>
      </c>
      <c r="H1883" s="94"/>
      <c r="I1883" s="94"/>
      <c r="J1883" s="94"/>
      <c r="K1883" s="94"/>
      <c r="L1883" s="94"/>
      <c r="M1883" s="94"/>
      <c r="N1883" s="94"/>
      <c r="O1883" s="94"/>
      <c r="P1883" s="94"/>
      <c r="Q1883" s="94"/>
      <c r="R1883" s="95">
        <v>-12078.28</v>
      </c>
      <c r="S1883" s="94"/>
      <c r="T1883" s="94"/>
      <c r="U1883" s="94"/>
      <c r="V1883" s="94"/>
      <c r="W1883" s="94"/>
      <c r="X1883" s="94"/>
      <c r="Y1883" s="94"/>
      <c r="Z1883" s="94"/>
      <c r="AA1883" s="94"/>
      <c r="AB1883" s="94"/>
      <c r="AC1883" s="94"/>
      <c r="AD1883" s="95">
        <v>0</v>
      </c>
      <c r="AE1883" s="94"/>
      <c r="AF1883" s="94"/>
      <c r="AG1883" s="95">
        <v>-12078.28</v>
      </c>
      <c r="AH1883" s="95">
        <v>0</v>
      </c>
    </row>
    <row r="1884" spans="1:34" ht="15.75" thickBot="1" x14ac:dyDescent="0.3">
      <c r="A1884" s="90" t="s">
        <v>1046</v>
      </c>
      <c r="B1884" s="90" t="s">
        <v>57</v>
      </c>
      <c r="C1884" s="90" t="s">
        <v>58</v>
      </c>
      <c r="D1884" s="90" t="s">
        <v>664</v>
      </c>
      <c r="E1884" s="90" t="s">
        <v>525</v>
      </c>
      <c r="F1884" s="90" t="s">
        <v>697</v>
      </c>
      <c r="G1884" s="93">
        <v>-12078.28</v>
      </c>
      <c r="H1884" s="92"/>
      <c r="I1884" s="92"/>
      <c r="J1884" s="92"/>
      <c r="K1884" s="92"/>
      <c r="L1884" s="92"/>
      <c r="M1884" s="92"/>
      <c r="N1884" s="92"/>
      <c r="O1884" s="92"/>
      <c r="P1884" s="92"/>
      <c r="Q1884" s="92"/>
      <c r="R1884" s="93">
        <v>-12078.28</v>
      </c>
      <c r="S1884" s="92"/>
      <c r="T1884" s="92"/>
      <c r="U1884" s="92"/>
      <c r="V1884" s="92"/>
      <c r="W1884" s="92"/>
      <c r="X1884" s="92"/>
      <c r="Y1884" s="92"/>
      <c r="Z1884" s="92"/>
      <c r="AA1884" s="92"/>
      <c r="AB1884" s="92"/>
      <c r="AC1884" s="92"/>
      <c r="AD1884" s="93">
        <v>0</v>
      </c>
      <c r="AE1884" s="92"/>
      <c r="AF1884" s="92"/>
      <c r="AG1884" s="93">
        <v>-12078.28</v>
      </c>
      <c r="AH1884" s="93">
        <v>0</v>
      </c>
    </row>
    <row r="1885" spans="1:34" ht="15.75" thickBot="1" x14ac:dyDescent="0.3">
      <c r="A1885" s="90" t="s">
        <v>1046</v>
      </c>
      <c r="B1885" s="90" t="s">
        <v>57</v>
      </c>
      <c r="C1885" s="90" t="s">
        <v>58</v>
      </c>
      <c r="D1885" s="90" t="s">
        <v>664</v>
      </c>
      <c r="E1885" s="90" t="s">
        <v>528</v>
      </c>
      <c r="F1885" s="90" t="s">
        <v>698</v>
      </c>
      <c r="G1885" s="95">
        <v>800</v>
      </c>
      <c r="H1885" s="94"/>
      <c r="I1885" s="95">
        <v>800</v>
      </c>
      <c r="J1885" s="94"/>
      <c r="K1885" s="94"/>
      <c r="L1885" s="94"/>
      <c r="M1885" s="94"/>
      <c r="N1885" s="94"/>
      <c r="O1885" s="94"/>
      <c r="P1885" s="94"/>
      <c r="Q1885" s="94"/>
      <c r="R1885" s="94"/>
      <c r="S1885" s="94"/>
      <c r="T1885" s="94"/>
      <c r="U1885" s="94"/>
      <c r="V1885" s="94"/>
      <c r="W1885" s="94"/>
      <c r="X1885" s="94"/>
      <c r="Y1885" s="94"/>
      <c r="Z1885" s="94"/>
      <c r="AA1885" s="94"/>
      <c r="AB1885" s="94"/>
      <c r="AC1885" s="94"/>
      <c r="AD1885" s="95">
        <v>0</v>
      </c>
      <c r="AE1885" s="94"/>
      <c r="AF1885" s="94"/>
      <c r="AG1885" s="95">
        <v>800</v>
      </c>
      <c r="AH1885" s="95">
        <v>0</v>
      </c>
    </row>
    <row r="1886" spans="1:34" ht="15.75" thickBot="1" x14ac:dyDescent="0.3">
      <c r="A1886" s="90" t="s">
        <v>1046</v>
      </c>
      <c r="B1886" s="90" t="s">
        <v>57</v>
      </c>
      <c r="C1886" s="90" t="s">
        <v>58</v>
      </c>
      <c r="D1886" s="90" t="s">
        <v>664</v>
      </c>
      <c r="E1886" s="90" t="s">
        <v>528</v>
      </c>
      <c r="F1886" s="90" t="s">
        <v>697</v>
      </c>
      <c r="G1886" s="93">
        <v>800</v>
      </c>
      <c r="H1886" s="92"/>
      <c r="I1886" s="93">
        <v>800</v>
      </c>
      <c r="J1886" s="92"/>
      <c r="K1886" s="92"/>
      <c r="L1886" s="92"/>
      <c r="M1886" s="92"/>
      <c r="N1886" s="92"/>
      <c r="O1886" s="92"/>
      <c r="P1886" s="92"/>
      <c r="Q1886" s="92"/>
      <c r="R1886" s="92"/>
      <c r="S1886" s="92"/>
      <c r="T1886" s="92"/>
      <c r="U1886" s="92"/>
      <c r="V1886" s="92"/>
      <c r="W1886" s="92"/>
      <c r="X1886" s="92"/>
      <c r="Y1886" s="92"/>
      <c r="Z1886" s="92"/>
      <c r="AA1886" s="92"/>
      <c r="AB1886" s="92"/>
      <c r="AC1886" s="92"/>
      <c r="AD1886" s="93">
        <v>0</v>
      </c>
      <c r="AE1886" s="92"/>
      <c r="AF1886" s="92"/>
      <c r="AG1886" s="93">
        <v>800</v>
      </c>
      <c r="AH1886" s="93">
        <v>0</v>
      </c>
    </row>
    <row r="1887" spans="1:34" ht="15.75" thickBot="1" x14ac:dyDescent="0.3">
      <c r="A1887" s="90" t="s">
        <v>1046</v>
      </c>
      <c r="B1887" s="90" t="s">
        <v>57</v>
      </c>
      <c r="C1887" s="90" t="s">
        <v>58</v>
      </c>
      <c r="D1887" s="90" t="s">
        <v>664</v>
      </c>
      <c r="E1887" s="90" t="s">
        <v>518</v>
      </c>
      <c r="F1887" s="90" t="s">
        <v>511</v>
      </c>
      <c r="G1887" s="95">
        <v>13445.32</v>
      </c>
      <c r="H1887" s="95">
        <v>2705296</v>
      </c>
      <c r="I1887" s="94"/>
      <c r="J1887" s="94"/>
      <c r="K1887" s="95">
        <v>13445.32</v>
      </c>
      <c r="L1887" s="94"/>
      <c r="M1887" s="94"/>
      <c r="N1887" s="94"/>
      <c r="O1887" s="94"/>
      <c r="P1887" s="94"/>
      <c r="Q1887" s="94"/>
      <c r="R1887" s="94"/>
      <c r="S1887" s="94"/>
      <c r="T1887" s="94"/>
      <c r="U1887" s="94"/>
      <c r="V1887" s="94"/>
      <c r="W1887" s="94"/>
      <c r="X1887" s="94"/>
      <c r="Y1887" s="94"/>
      <c r="Z1887" s="94"/>
      <c r="AA1887" s="94"/>
      <c r="AB1887" s="94"/>
      <c r="AC1887" s="94"/>
      <c r="AD1887" s="95">
        <v>0</v>
      </c>
      <c r="AE1887" s="94"/>
      <c r="AF1887" s="94"/>
      <c r="AG1887" s="95">
        <v>13445.32</v>
      </c>
      <c r="AH1887" s="95">
        <v>0</v>
      </c>
    </row>
    <row r="1888" spans="1:34" ht="15.75" thickBot="1" x14ac:dyDescent="0.3">
      <c r="A1888" s="90" t="s">
        <v>1046</v>
      </c>
      <c r="B1888" s="90" t="s">
        <v>57</v>
      </c>
      <c r="C1888" s="90" t="s">
        <v>58</v>
      </c>
      <c r="D1888" s="90" t="s">
        <v>664</v>
      </c>
      <c r="E1888" s="90" t="s">
        <v>518</v>
      </c>
      <c r="F1888" s="90" t="s">
        <v>697</v>
      </c>
      <c r="G1888" s="93">
        <v>13445.32</v>
      </c>
      <c r="H1888" s="304">
        <v>2705296</v>
      </c>
      <c r="I1888" s="92"/>
      <c r="J1888" s="92"/>
      <c r="K1888" s="93">
        <v>13445.32</v>
      </c>
      <c r="L1888" s="92"/>
      <c r="M1888" s="92"/>
      <c r="N1888" s="92"/>
      <c r="O1888" s="92"/>
      <c r="P1888" s="92"/>
      <c r="Q1888" s="92"/>
      <c r="R1888" s="92"/>
      <c r="S1888" s="92"/>
      <c r="T1888" s="92"/>
      <c r="U1888" s="92"/>
      <c r="V1888" s="92"/>
      <c r="W1888" s="92"/>
      <c r="X1888" s="92"/>
      <c r="Y1888" s="92"/>
      <c r="Z1888" s="92"/>
      <c r="AA1888" s="92"/>
      <c r="AB1888" s="92"/>
      <c r="AC1888" s="92"/>
      <c r="AD1888" s="93">
        <v>0</v>
      </c>
      <c r="AE1888" s="92"/>
      <c r="AF1888" s="92"/>
      <c r="AG1888" s="93">
        <v>13445.32</v>
      </c>
      <c r="AH1888" s="93">
        <v>0</v>
      </c>
    </row>
    <row r="1889" spans="1:34" ht="15.75" thickBot="1" x14ac:dyDescent="0.3">
      <c r="A1889" s="90" t="s">
        <v>1046</v>
      </c>
      <c r="B1889" s="90" t="s">
        <v>57</v>
      </c>
      <c r="C1889" s="90" t="s">
        <v>58</v>
      </c>
      <c r="D1889" s="90" t="s">
        <v>664</v>
      </c>
      <c r="E1889" s="90" t="s">
        <v>527</v>
      </c>
      <c r="F1889" s="90" t="s">
        <v>698</v>
      </c>
      <c r="G1889" s="95">
        <v>2581.4299999999998</v>
      </c>
      <c r="H1889" s="94"/>
      <c r="I1889" s="94"/>
      <c r="J1889" s="94"/>
      <c r="K1889" s="94"/>
      <c r="L1889" s="94"/>
      <c r="M1889" s="94"/>
      <c r="N1889" s="94"/>
      <c r="O1889" s="94"/>
      <c r="P1889" s="94"/>
      <c r="Q1889" s="94"/>
      <c r="R1889" s="94"/>
      <c r="S1889" s="95">
        <v>2581.4299999999998</v>
      </c>
      <c r="T1889" s="94"/>
      <c r="U1889" s="94"/>
      <c r="V1889" s="94"/>
      <c r="W1889" s="94"/>
      <c r="X1889" s="94"/>
      <c r="Y1889" s="94"/>
      <c r="Z1889" s="94"/>
      <c r="AA1889" s="94"/>
      <c r="AB1889" s="94"/>
      <c r="AC1889" s="94"/>
      <c r="AD1889" s="95">
        <v>0</v>
      </c>
      <c r="AE1889" s="94"/>
      <c r="AF1889" s="94"/>
      <c r="AG1889" s="95">
        <v>2581.4299999999998</v>
      </c>
      <c r="AH1889" s="95">
        <v>0</v>
      </c>
    </row>
    <row r="1890" spans="1:34" ht="15.75" thickBot="1" x14ac:dyDescent="0.3">
      <c r="A1890" s="90" t="s">
        <v>1046</v>
      </c>
      <c r="B1890" s="90" t="s">
        <v>57</v>
      </c>
      <c r="C1890" s="90" t="s">
        <v>58</v>
      </c>
      <c r="D1890" s="90" t="s">
        <v>664</v>
      </c>
      <c r="E1890" s="90" t="s">
        <v>527</v>
      </c>
      <c r="F1890" s="90" t="s">
        <v>697</v>
      </c>
      <c r="G1890" s="93">
        <v>2581.4299999999998</v>
      </c>
      <c r="H1890" s="92"/>
      <c r="I1890" s="92"/>
      <c r="J1890" s="92"/>
      <c r="K1890" s="92"/>
      <c r="L1890" s="92"/>
      <c r="M1890" s="92"/>
      <c r="N1890" s="92"/>
      <c r="O1890" s="92"/>
      <c r="P1890" s="92"/>
      <c r="Q1890" s="92"/>
      <c r="R1890" s="92"/>
      <c r="S1890" s="93">
        <v>2581.4299999999998</v>
      </c>
      <c r="T1890" s="92"/>
      <c r="U1890" s="92"/>
      <c r="V1890" s="92"/>
      <c r="W1890" s="92"/>
      <c r="X1890" s="92"/>
      <c r="Y1890" s="92"/>
      <c r="Z1890" s="92"/>
      <c r="AA1890" s="92"/>
      <c r="AB1890" s="92"/>
      <c r="AC1890" s="92"/>
      <c r="AD1890" s="93">
        <v>0</v>
      </c>
      <c r="AE1890" s="92"/>
      <c r="AF1890" s="92"/>
      <c r="AG1890" s="93">
        <v>2581.4299999999998</v>
      </c>
      <c r="AH1890" s="93">
        <v>0</v>
      </c>
    </row>
    <row r="1891" spans="1:34" ht="15.75" thickBot="1" x14ac:dyDescent="0.3">
      <c r="A1891" s="90" t="s">
        <v>1046</v>
      </c>
      <c r="B1891" s="90" t="s">
        <v>57</v>
      </c>
      <c r="C1891" s="90" t="s">
        <v>58</v>
      </c>
      <c r="D1891" s="90" t="s">
        <v>664</v>
      </c>
      <c r="E1891" s="90" t="s">
        <v>529</v>
      </c>
      <c r="F1891" s="90" t="s">
        <v>511</v>
      </c>
      <c r="G1891" s="95">
        <v>107140.32</v>
      </c>
      <c r="H1891" s="94"/>
      <c r="I1891" s="94"/>
      <c r="J1891" s="95">
        <v>107140.32</v>
      </c>
      <c r="K1891" s="94"/>
      <c r="L1891" s="94"/>
      <c r="M1891" s="94"/>
      <c r="N1891" s="94"/>
      <c r="O1891" s="94"/>
      <c r="P1891" s="94"/>
      <c r="Q1891" s="94"/>
      <c r="R1891" s="94"/>
      <c r="S1891" s="94"/>
      <c r="T1891" s="94"/>
      <c r="U1891" s="94"/>
      <c r="V1891" s="94"/>
      <c r="W1891" s="94"/>
      <c r="X1891" s="94"/>
      <c r="Y1891" s="94"/>
      <c r="Z1891" s="94"/>
      <c r="AA1891" s="94"/>
      <c r="AB1891" s="94"/>
      <c r="AC1891" s="94"/>
      <c r="AD1891" s="95">
        <v>0</v>
      </c>
      <c r="AE1891" s="94"/>
      <c r="AF1891" s="94"/>
      <c r="AG1891" s="95">
        <v>107140.32</v>
      </c>
      <c r="AH1891" s="95">
        <v>0</v>
      </c>
    </row>
    <row r="1892" spans="1:34" ht="15.75" thickBot="1" x14ac:dyDescent="0.3">
      <c r="A1892" s="90" t="s">
        <v>1046</v>
      </c>
      <c r="B1892" s="90" t="s">
        <v>57</v>
      </c>
      <c r="C1892" s="90" t="s">
        <v>58</v>
      </c>
      <c r="D1892" s="90" t="s">
        <v>664</v>
      </c>
      <c r="E1892" s="90" t="s">
        <v>529</v>
      </c>
      <c r="F1892" s="90" t="s">
        <v>697</v>
      </c>
      <c r="G1892" s="93">
        <v>107140.32</v>
      </c>
      <c r="H1892" s="92"/>
      <c r="I1892" s="92"/>
      <c r="J1892" s="93">
        <v>107140.32</v>
      </c>
      <c r="K1892" s="92"/>
      <c r="L1892" s="92"/>
      <c r="M1892" s="92"/>
      <c r="N1892" s="92"/>
      <c r="O1892" s="92"/>
      <c r="P1892" s="92"/>
      <c r="Q1892" s="92"/>
      <c r="R1892" s="92"/>
      <c r="S1892" s="92"/>
      <c r="T1892" s="92"/>
      <c r="U1892" s="92"/>
      <c r="V1892" s="92"/>
      <c r="W1892" s="92"/>
      <c r="X1892" s="92"/>
      <c r="Y1892" s="92"/>
      <c r="Z1892" s="92"/>
      <c r="AA1892" s="92"/>
      <c r="AB1892" s="92"/>
      <c r="AC1892" s="92"/>
      <c r="AD1892" s="93">
        <v>0</v>
      </c>
      <c r="AE1892" s="92"/>
      <c r="AF1892" s="92"/>
      <c r="AG1892" s="93">
        <v>107140.32</v>
      </c>
      <c r="AH1892" s="93">
        <v>0</v>
      </c>
    </row>
    <row r="1893" spans="1:34" ht="15.75" thickBot="1" x14ac:dyDescent="0.3">
      <c r="A1893" s="90" t="s">
        <v>1046</v>
      </c>
      <c r="B1893" s="90" t="s">
        <v>57</v>
      </c>
      <c r="C1893" s="90" t="s">
        <v>58</v>
      </c>
      <c r="D1893" s="90" t="s">
        <v>664</v>
      </c>
      <c r="E1893" s="90" t="s">
        <v>676</v>
      </c>
      <c r="F1893" s="90" t="s">
        <v>511</v>
      </c>
      <c r="G1893" s="95">
        <v>80.760000000000005</v>
      </c>
      <c r="H1893" s="94"/>
      <c r="I1893" s="94"/>
      <c r="J1893" s="94"/>
      <c r="K1893" s="94"/>
      <c r="L1893" s="94"/>
      <c r="M1893" s="94"/>
      <c r="N1893" s="94"/>
      <c r="O1893" s="94"/>
      <c r="P1893" s="94"/>
      <c r="Q1893" s="94"/>
      <c r="R1893" s="94"/>
      <c r="S1893" s="94"/>
      <c r="T1893" s="94"/>
      <c r="U1893" s="95">
        <v>80.760000000000005</v>
      </c>
      <c r="V1893" s="94"/>
      <c r="W1893" s="94"/>
      <c r="X1893" s="94"/>
      <c r="Y1893" s="94"/>
      <c r="Z1893" s="94"/>
      <c r="AA1893" s="94"/>
      <c r="AB1893" s="94"/>
      <c r="AC1893" s="94"/>
      <c r="AD1893" s="95">
        <v>0</v>
      </c>
      <c r="AE1893" s="94"/>
      <c r="AF1893" s="94"/>
      <c r="AG1893" s="95">
        <v>80.760000000000005</v>
      </c>
      <c r="AH1893" s="95">
        <v>0</v>
      </c>
    </row>
    <row r="1894" spans="1:34" ht="15.75" thickBot="1" x14ac:dyDescent="0.3">
      <c r="A1894" s="90" t="s">
        <v>1046</v>
      </c>
      <c r="B1894" s="90" t="s">
        <v>57</v>
      </c>
      <c r="C1894" s="90" t="s">
        <v>58</v>
      </c>
      <c r="D1894" s="90" t="s">
        <v>664</v>
      </c>
      <c r="E1894" s="90" t="s">
        <v>676</v>
      </c>
      <c r="F1894" s="90" t="s">
        <v>697</v>
      </c>
      <c r="G1894" s="93">
        <v>80.760000000000005</v>
      </c>
      <c r="H1894" s="92"/>
      <c r="I1894" s="92"/>
      <c r="J1894" s="92"/>
      <c r="K1894" s="92"/>
      <c r="L1894" s="92"/>
      <c r="M1894" s="92"/>
      <c r="N1894" s="92"/>
      <c r="O1894" s="92"/>
      <c r="P1894" s="92"/>
      <c r="Q1894" s="92"/>
      <c r="R1894" s="92"/>
      <c r="S1894" s="92"/>
      <c r="T1894" s="92"/>
      <c r="U1894" s="93">
        <v>80.760000000000005</v>
      </c>
      <c r="V1894" s="92"/>
      <c r="W1894" s="92"/>
      <c r="X1894" s="92"/>
      <c r="Y1894" s="92"/>
      <c r="Z1894" s="92"/>
      <c r="AA1894" s="92"/>
      <c r="AB1894" s="92"/>
      <c r="AC1894" s="92"/>
      <c r="AD1894" s="93">
        <v>0</v>
      </c>
      <c r="AE1894" s="92"/>
      <c r="AF1894" s="92"/>
      <c r="AG1894" s="93">
        <v>80.760000000000005</v>
      </c>
      <c r="AH1894" s="93">
        <v>0</v>
      </c>
    </row>
    <row r="1895" spans="1:34" ht="15.75" thickBot="1" x14ac:dyDescent="0.3">
      <c r="A1895" s="90" t="s">
        <v>1046</v>
      </c>
      <c r="B1895" s="90" t="s">
        <v>57</v>
      </c>
      <c r="C1895" s="90" t="s">
        <v>58</v>
      </c>
      <c r="D1895" s="90" t="s">
        <v>664</v>
      </c>
      <c r="E1895" s="90" t="s">
        <v>677</v>
      </c>
      <c r="F1895" s="90" t="s">
        <v>511</v>
      </c>
      <c r="G1895" s="95">
        <v>88.47</v>
      </c>
      <c r="H1895" s="94"/>
      <c r="I1895" s="94"/>
      <c r="J1895" s="94"/>
      <c r="K1895" s="94"/>
      <c r="L1895" s="94"/>
      <c r="M1895" s="94"/>
      <c r="N1895" s="94"/>
      <c r="O1895" s="94"/>
      <c r="P1895" s="94"/>
      <c r="Q1895" s="94"/>
      <c r="R1895" s="94"/>
      <c r="S1895" s="94"/>
      <c r="T1895" s="94"/>
      <c r="U1895" s="94"/>
      <c r="V1895" s="95">
        <v>88.47</v>
      </c>
      <c r="W1895" s="94"/>
      <c r="X1895" s="94"/>
      <c r="Y1895" s="94"/>
      <c r="Z1895" s="94"/>
      <c r="AA1895" s="94"/>
      <c r="AB1895" s="94"/>
      <c r="AC1895" s="94"/>
      <c r="AD1895" s="95">
        <v>0</v>
      </c>
      <c r="AE1895" s="94"/>
      <c r="AF1895" s="94"/>
      <c r="AG1895" s="95">
        <v>88.47</v>
      </c>
      <c r="AH1895" s="95">
        <v>0</v>
      </c>
    </row>
    <row r="1896" spans="1:34" ht="15.75" thickBot="1" x14ac:dyDescent="0.3">
      <c r="A1896" s="90" t="s">
        <v>1046</v>
      </c>
      <c r="B1896" s="90" t="s">
        <v>57</v>
      </c>
      <c r="C1896" s="90" t="s">
        <v>58</v>
      </c>
      <c r="D1896" s="90" t="s">
        <v>664</v>
      </c>
      <c r="E1896" s="90" t="s">
        <v>677</v>
      </c>
      <c r="F1896" s="90" t="s">
        <v>697</v>
      </c>
      <c r="G1896" s="93">
        <v>88.47</v>
      </c>
      <c r="H1896" s="92"/>
      <c r="I1896" s="92"/>
      <c r="J1896" s="92"/>
      <c r="K1896" s="92"/>
      <c r="L1896" s="92"/>
      <c r="M1896" s="92"/>
      <c r="N1896" s="92"/>
      <c r="O1896" s="92"/>
      <c r="P1896" s="92"/>
      <c r="Q1896" s="92"/>
      <c r="R1896" s="92"/>
      <c r="S1896" s="92"/>
      <c r="T1896" s="92"/>
      <c r="U1896" s="92"/>
      <c r="V1896" s="93">
        <v>88.47</v>
      </c>
      <c r="W1896" s="92"/>
      <c r="X1896" s="92"/>
      <c r="Y1896" s="92"/>
      <c r="Z1896" s="92"/>
      <c r="AA1896" s="92"/>
      <c r="AB1896" s="92"/>
      <c r="AC1896" s="92"/>
      <c r="AD1896" s="93">
        <v>0</v>
      </c>
      <c r="AE1896" s="92"/>
      <c r="AF1896" s="92"/>
      <c r="AG1896" s="93">
        <v>88.47</v>
      </c>
      <c r="AH1896" s="93">
        <v>0</v>
      </c>
    </row>
    <row r="1897" spans="1:34" ht="15.75" thickBot="1" x14ac:dyDescent="0.3">
      <c r="A1897" s="90" t="s">
        <v>1046</v>
      </c>
      <c r="B1897" s="90" t="s">
        <v>35</v>
      </c>
      <c r="C1897" s="90" t="s">
        <v>36</v>
      </c>
      <c r="D1897" s="90" t="s">
        <v>17</v>
      </c>
      <c r="E1897" s="90" t="s">
        <v>528</v>
      </c>
      <c r="F1897" s="90" t="s">
        <v>686</v>
      </c>
      <c r="G1897" s="93">
        <v>156.6</v>
      </c>
      <c r="H1897" s="92"/>
      <c r="I1897" s="93">
        <v>156.6</v>
      </c>
      <c r="J1897" s="92"/>
      <c r="K1897" s="92"/>
      <c r="L1897" s="92"/>
      <c r="M1897" s="92"/>
      <c r="N1897" s="92"/>
      <c r="O1897" s="92"/>
      <c r="P1897" s="92"/>
      <c r="Q1897" s="92"/>
      <c r="R1897" s="92"/>
      <c r="S1897" s="92"/>
      <c r="T1897" s="92"/>
      <c r="U1897" s="92"/>
      <c r="V1897" s="92"/>
      <c r="W1897" s="92"/>
      <c r="X1897" s="92"/>
      <c r="Y1897" s="92"/>
      <c r="Z1897" s="92"/>
      <c r="AA1897" s="92"/>
      <c r="AB1897" s="92"/>
      <c r="AC1897" s="92"/>
      <c r="AD1897" s="93">
        <v>8.64</v>
      </c>
      <c r="AE1897" s="92"/>
      <c r="AF1897" s="92"/>
      <c r="AG1897" s="93">
        <v>165.24</v>
      </c>
      <c r="AH1897" s="93">
        <v>0</v>
      </c>
    </row>
    <row r="1898" spans="1:34" ht="15.75" thickBot="1" x14ac:dyDescent="0.3">
      <c r="A1898" s="90" t="s">
        <v>1046</v>
      </c>
      <c r="B1898" s="90" t="s">
        <v>35</v>
      </c>
      <c r="C1898" s="90" t="s">
        <v>36</v>
      </c>
      <c r="D1898" s="90" t="s">
        <v>17</v>
      </c>
      <c r="E1898" s="90" t="s">
        <v>528</v>
      </c>
      <c r="F1898" s="90" t="s">
        <v>697</v>
      </c>
      <c r="G1898" s="95">
        <v>156.6</v>
      </c>
      <c r="H1898" s="94"/>
      <c r="I1898" s="95">
        <v>156.6</v>
      </c>
      <c r="J1898" s="94"/>
      <c r="K1898" s="94"/>
      <c r="L1898" s="94"/>
      <c r="M1898" s="94"/>
      <c r="N1898" s="94"/>
      <c r="O1898" s="94"/>
      <c r="P1898" s="94"/>
      <c r="Q1898" s="94"/>
      <c r="R1898" s="94"/>
      <c r="S1898" s="94"/>
      <c r="T1898" s="94"/>
      <c r="U1898" s="94"/>
      <c r="V1898" s="94"/>
      <c r="W1898" s="94"/>
      <c r="X1898" s="94"/>
      <c r="Y1898" s="94"/>
      <c r="Z1898" s="94"/>
      <c r="AA1898" s="94"/>
      <c r="AB1898" s="94"/>
      <c r="AC1898" s="94"/>
      <c r="AD1898" s="95">
        <v>8.64</v>
      </c>
      <c r="AE1898" s="94"/>
      <c r="AF1898" s="94"/>
      <c r="AG1898" s="95">
        <v>165.24</v>
      </c>
      <c r="AH1898" s="95">
        <v>0</v>
      </c>
    </row>
    <row r="1899" spans="1:34" ht="15.75" thickBot="1" x14ac:dyDescent="0.3">
      <c r="A1899" s="90" t="s">
        <v>1046</v>
      </c>
      <c r="B1899" s="90" t="s">
        <v>35</v>
      </c>
      <c r="C1899" s="90" t="s">
        <v>36</v>
      </c>
      <c r="D1899" s="90" t="s">
        <v>17</v>
      </c>
      <c r="E1899" s="90" t="s">
        <v>518</v>
      </c>
      <c r="F1899" s="90" t="s">
        <v>686</v>
      </c>
      <c r="G1899" s="93">
        <v>18.37</v>
      </c>
      <c r="H1899" s="93">
        <v>64</v>
      </c>
      <c r="I1899" s="92"/>
      <c r="J1899" s="92"/>
      <c r="K1899" s="93">
        <v>18.37</v>
      </c>
      <c r="L1899" s="92"/>
      <c r="M1899" s="92"/>
      <c r="N1899" s="92"/>
      <c r="O1899" s="92"/>
      <c r="P1899" s="92"/>
      <c r="Q1899" s="92"/>
      <c r="R1899" s="92"/>
      <c r="S1899" s="92"/>
      <c r="T1899" s="92"/>
      <c r="U1899" s="92"/>
      <c r="V1899" s="92"/>
      <c r="W1899" s="92"/>
      <c r="X1899" s="92"/>
      <c r="Y1899" s="92"/>
      <c r="Z1899" s="92"/>
      <c r="AA1899" s="92"/>
      <c r="AB1899" s="92"/>
      <c r="AC1899" s="92"/>
      <c r="AD1899" s="93">
        <v>0.85</v>
      </c>
      <c r="AE1899" s="92"/>
      <c r="AF1899" s="92"/>
      <c r="AG1899" s="93">
        <v>19.22</v>
      </c>
      <c r="AH1899" s="93">
        <v>0</v>
      </c>
    </row>
    <row r="1900" spans="1:34" ht="15.75" thickBot="1" x14ac:dyDescent="0.3">
      <c r="A1900" s="90" t="s">
        <v>1046</v>
      </c>
      <c r="B1900" s="90" t="s">
        <v>35</v>
      </c>
      <c r="C1900" s="90" t="s">
        <v>36</v>
      </c>
      <c r="D1900" s="90" t="s">
        <v>17</v>
      </c>
      <c r="E1900" s="90" t="s">
        <v>518</v>
      </c>
      <c r="F1900" s="90" t="s">
        <v>697</v>
      </c>
      <c r="G1900" s="95">
        <v>18.37</v>
      </c>
      <c r="H1900" s="305">
        <v>64</v>
      </c>
      <c r="I1900" s="94"/>
      <c r="J1900" s="94"/>
      <c r="K1900" s="95">
        <v>18.37</v>
      </c>
      <c r="L1900" s="94"/>
      <c r="M1900" s="94"/>
      <c r="N1900" s="94"/>
      <c r="O1900" s="94"/>
      <c r="P1900" s="94"/>
      <c r="Q1900" s="94"/>
      <c r="R1900" s="94"/>
      <c r="S1900" s="94"/>
      <c r="T1900" s="94"/>
      <c r="U1900" s="94"/>
      <c r="V1900" s="94"/>
      <c r="W1900" s="94"/>
      <c r="X1900" s="94"/>
      <c r="Y1900" s="94"/>
      <c r="Z1900" s="94"/>
      <c r="AA1900" s="94"/>
      <c r="AB1900" s="94"/>
      <c r="AC1900" s="94"/>
      <c r="AD1900" s="95">
        <v>0.85</v>
      </c>
      <c r="AE1900" s="94"/>
      <c r="AF1900" s="94"/>
      <c r="AG1900" s="95">
        <v>19.22</v>
      </c>
      <c r="AH1900" s="95">
        <v>0</v>
      </c>
    </row>
    <row r="1901" spans="1:34" ht="15.75" thickBot="1" x14ac:dyDescent="0.3">
      <c r="A1901" s="90" t="s">
        <v>1046</v>
      </c>
      <c r="B1901" s="90" t="s">
        <v>35</v>
      </c>
      <c r="C1901" s="90" t="s">
        <v>36</v>
      </c>
      <c r="D1901" s="90" t="s">
        <v>17</v>
      </c>
      <c r="E1901" s="90" t="s">
        <v>727</v>
      </c>
      <c r="F1901" s="90" t="s">
        <v>686</v>
      </c>
      <c r="G1901" s="93">
        <v>0.69</v>
      </c>
      <c r="H1901" s="92"/>
      <c r="I1901" s="92"/>
      <c r="J1901" s="92"/>
      <c r="K1901" s="92"/>
      <c r="L1901" s="92"/>
      <c r="M1901" s="92"/>
      <c r="N1901" s="92"/>
      <c r="O1901" s="93">
        <v>0.69</v>
      </c>
      <c r="P1901" s="92"/>
      <c r="Q1901" s="92"/>
      <c r="R1901" s="92"/>
      <c r="S1901" s="92"/>
      <c r="T1901" s="92"/>
      <c r="U1901" s="92"/>
      <c r="V1901" s="92"/>
      <c r="W1901" s="92"/>
      <c r="X1901" s="92"/>
      <c r="Y1901" s="92"/>
      <c r="Z1901" s="92"/>
      <c r="AA1901" s="92"/>
      <c r="AB1901" s="92"/>
      <c r="AC1901" s="92"/>
      <c r="AD1901" s="93">
        <v>0.01</v>
      </c>
      <c r="AE1901" s="92"/>
      <c r="AF1901" s="92"/>
      <c r="AG1901" s="93">
        <v>0.7</v>
      </c>
      <c r="AH1901" s="93">
        <v>0</v>
      </c>
    </row>
    <row r="1902" spans="1:34" ht="15.75" thickBot="1" x14ac:dyDescent="0.3">
      <c r="A1902" s="90" t="s">
        <v>1046</v>
      </c>
      <c r="B1902" s="90" t="s">
        <v>35</v>
      </c>
      <c r="C1902" s="90" t="s">
        <v>36</v>
      </c>
      <c r="D1902" s="90" t="s">
        <v>17</v>
      </c>
      <c r="E1902" s="90" t="s">
        <v>727</v>
      </c>
      <c r="F1902" s="90" t="s">
        <v>697</v>
      </c>
      <c r="G1902" s="95">
        <v>0.69</v>
      </c>
      <c r="H1902" s="94"/>
      <c r="I1902" s="94"/>
      <c r="J1902" s="94"/>
      <c r="K1902" s="94"/>
      <c r="L1902" s="94"/>
      <c r="M1902" s="94"/>
      <c r="N1902" s="94"/>
      <c r="O1902" s="95">
        <v>0.69</v>
      </c>
      <c r="P1902" s="94"/>
      <c r="Q1902" s="94"/>
      <c r="R1902" s="94"/>
      <c r="S1902" s="94"/>
      <c r="T1902" s="94"/>
      <c r="U1902" s="94"/>
      <c r="V1902" s="94"/>
      <c r="W1902" s="94"/>
      <c r="X1902" s="94"/>
      <c r="Y1902" s="94"/>
      <c r="Z1902" s="94"/>
      <c r="AA1902" s="94"/>
      <c r="AB1902" s="94"/>
      <c r="AC1902" s="94"/>
      <c r="AD1902" s="95">
        <v>0.01</v>
      </c>
      <c r="AE1902" s="94"/>
      <c r="AF1902" s="94"/>
      <c r="AG1902" s="95">
        <v>0.7</v>
      </c>
      <c r="AH1902" s="95">
        <v>0</v>
      </c>
    </row>
    <row r="1903" spans="1:34" ht="15.75" thickBot="1" x14ac:dyDescent="0.3">
      <c r="A1903" s="90" t="s">
        <v>1046</v>
      </c>
      <c r="B1903" s="90" t="s">
        <v>35</v>
      </c>
      <c r="C1903" s="90" t="s">
        <v>36</v>
      </c>
      <c r="D1903" s="90" t="s">
        <v>17</v>
      </c>
      <c r="E1903" s="90" t="s">
        <v>728</v>
      </c>
      <c r="F1903" s="90" t="s">
        <v>686</v>
      </c>
      <c r="G1903" s="92"/>
      <c r="H1903" s="92"/>
      <c r="I1903" s="92"/>
      <c r="J1903" s="92"/>
      <c r="K1903" s="92"/>
      <c r="L1903" s="92"/>
      <c r="M1903" s="92"/>
      <c r="N1903" s="92"/>
      <c r="O1903" s="92"/>
      <c r="P1903" s="92"/>
      <c r="Q1903" s="92"/>
      <c r="R1903" s="92"/>
      <c r="S1903" s="92"/>
      <c r="T1903" s="92"/>
      <c r="U1903" s="92"/>
      <c r="V1903" s="92"/>
      <c r="W1903" s="92"/>
      <c r="X1903" s="92"/>
      <c r="Y1903" s="92"/>
      <c r="Z1903" s="92"/>
      <c r="AA1903" s="92"/>
      <c r="AB1903" s="93">
        <v>3</v>
      </c>
      <c r="AC1903" s="92"/>
      <c r="AD1903" s="93">
        <v>0</v>
      </c>
      <c r="AE1903" s="92"/>
      <c r="AF1903" s="92"/>
      <c r="AG1903" s="93">
        <v>3</v>
      </c>
      <c r="AH1903" s="93">
        <v>0</v>
      </c>
    </row>
    <row r="1904" spans="1:34" ht="15.75" thickBot="1" x14ac:dyDescent="0.3">
      <c r="A1904" s="90" t="s">
        <v>1046</v>
      </c>
      <c r="B1904" s="90" t="s">
        <v>35</v>
      </c>
      <c r="C1904" s="90" t="s">
        <v>36</v>
      </c>
      <c r="D1904" s="90" t="s">
        <v>17</v>
      </c>
      <c r="E1904" s="90" t="s">
        <v>728</v>
      </c>
      <c r="F1904" s="90" t="s">
        <v>697</v>
      </c>
      <c r="G1904" s="94"/>
      <c r="H1904" s="94"/>
      <c r="I1904" s="94"/>
      <c r="J1904" s="94"/>
      <c r="K1904" s="94"/>
      <c r="L1904" s="94"/>
      <c r="M1904" s="94"/>
      <c r="N1904" s="94"/>
      <c r="O1904" s="94"/>
      <c r="P1904" s="94"/>
      <c r="Q1904" s="94"/>
      <c r="R1904" s="94"/>
      <c r="S1904" s="94"/>
      <c r="T1904" s="94"/>
      <c r="U1904" s="94"/>
      <c r="V1904" s="94"/>
      <c r="W1904" s="94"/>
      <c r="X1904" s="94"/>
      <c r="Y1904" s="94"/>
      <c r="Z1904" s="94"/>
      <c r="AA1904" s="94"/>
      <c r="AB1904" s="95">
        <v>3</v>
      </c>
      <c r="AC1904" s="94"/>
      <c r="AD1904" s="95">
        <v>0</v>
      </c>
      <c r="AE1904" s="94"/>
      <c r="AF1904" s="94"/>
      <c r="AG1904" s="95">
        <v>3</v>
      </c>
      <c r="AH1904" s="95">
        <v>0</v>
      </c>
    </row>
    <row r="1905" spans="1:34" ht="15.75" thickBot="1" x14ac:dyDescent="0.3">
      <c r="A1905" s="90" t="s">
        <v>1046</v>
      </c>
      <c r="B1905" s="90" t="s">
        <v>35</v>
      </c>
      <c r="C1905" s="90" t="s">
        <v>36</v>
      </c>
      <c r="D1905" s="90" t="s">
        <v>17</v>
      </c>
      <c r="E1905" s="90" t="s">
        <v>673</v>
      </c>
      <c r="F1905" s="90" t="s">
        <v>686</v>
      </c>
      <c r="G1905" s="93">
        <v>59.62</v>
      </c>
      <c r="H1905" s="92"/>
      <c r="I1905" s="92"/>
      <c r="J1905" s="92"/>
      <c r="K1905" s="92"/>
      <c r="L1905" s="92"/>
      <c r="M1905" s="92"/>
      <c r="N1905" s="92"/>
      <c r="O1905" s="92"/>
      <c r="P1905" s="92"/>
      <c r="Q1905" s="92"/>
      <c r="R1905" s="92"/>
      <c r="S1905" s="92"/>
      <c r="T1905" s="92"/>
      <c r="U1905" s="92"/>
      <c r="V1905" s="92"/>
      <c r="W1905" s="92"/>
      <c r="X1905" s="93">
        <v>59.62</v>
      </c>
      <c r="Y1905" s="92"/>
      <c r="Z1905" s="92"/>
      <c r="AA1905" s="92"/>
      <c r="AB1905" s="92"/>
      <c r="AC1905" s="92"/>
      <c r="AD1905" s="93">
        <v>3.28</v>
      </c>
      <c r="AE1905" s="92"/>
      <c r="AF1905" s="92"/>
      <c r="AG1905" s="93">
        <v>62.9</v>
      </c>
      <c r="AH1905" s="93">
        <v>0</v>
      </c>
    </row>
    <row r="1906" spans="1:34" ht="15.75" thickBot="1" x14ac:dyDescent="0.3">
      <c r="A1906" s="90" t="s">
        <v>1046</v>
      </c>
      <c r="B1906" s="90" t="s">
        <v>35</v>
      </c>
      <c r="C1906" s="90" t="s">
        <v>36</v>
      </c>
      <c r="D1906" s="90" t="s">
        <v>17</v>
      </c>
      <c r="E1906" s="90" t="s">
        <v>673</v>
      </c>
      <c r="F1906" s="90" t="s">
        <v>697</v>
      </c>
      <c r="G1906" s="95">
        <v>59.62</v>
      </c>
      <c r="H1906" s="94"/>
      <c r="I1906" s="94"/>
      <c r="J1906" s="94"/>
      <c r="K1906" s="94"/>
      <c r="L1906" s="94"/>
      <c r="M1906" s="94"/>
      <c r="N1906" s="94"/>
      <c r="O1906" s="94"/>
      <c r="P1906" s="94"/>
      <c r="Q1906" s="94"/>
      <c r="R1906" s="94"/>
      <c r="S1906" s="94"/>
      <c r="T1906" s="94"/>
      <c r="U1906" s="94"/>
      <c r="V1906" s="94"/>
      <c r="W1906" s="94"/>
      <c r="X1906" s="95">
        <v>59.62</v>
      </c>
      <c r="Y1906" s="94"/>
      <c r="Z1906" s="94"/>
      <c r="AA1906" s="94"/>
      <c r="AB1906" s="94"/>
      <c r="AC1906" s="94"/>
      <c r="AD1906" s="95">
        <v>3.28</v>
      </c>
      <c r="AE1906" s="94"/>
      <c r="AF1906" s="94"/>
      <c r="AG1906" s="95">
        <v>62.9</v>
      </c>
      <c r="AH1906" s="95">
        <v>0</v>
      </c>
    </row>
    <row r="1907" spans="1:34" ht="15.75" thickBot="1" x14ac:dyDescent="0.3">
      <c r="A1907" s="90" t="s">
        <v>1046</v>
      </c>
      <c r="B1907" s="90" t="s">
        <v>35</v>
      </c>
      <c r="C1907" s="90" t="s">
        <v>36</v>
      </c>
      <c r="D1907" s="90" t="s">
        <v>17</v>
      </c>
      <c r="E1907" s="90" t="s">
        <v>196</v>
      </c>
      <c r="F1907" s="90" t="s">
        <v>686</v>
      </c>
      <c r="G1907" s="93">
        <v>23.93</v>
      </c>
      <c r="H1907" s="92"/>
      <c r="I1907" s="92"/>
      <c r="J1907" s="92"/>
      <c r="K1907" s="92"/>
      <c r="L1907" s="92"/>
      <c r="M1907" s="92"/>
      <c r="N1907" s="92"/>
      <c r="O1907" s="92"/>
      <c r="P1907" s="93">
        <v>23.93</v>
      </c>
      <c r="Q1907" s="92"/>
      <c r="R1907" s="92"/>
      <c r="S1907" s="92"/>
      <c r="T1907" s="92"/>
      <c r="U1907" s="92"/>
      <c r="V1907" s="92"/>
      <c r="W1907" s="92"/>
      <c r="X1907" s="92"/>
      <c r="Y1907" s="92"/>
      <c r="Z1907" s="92"/>
      <c r="AA1907" s="92"/>
      <c r="AB1907" s="92"/>
      <c r="AC1907" s="92"/>
      <c r="AD1907" s="93">
        <v>1.08</v>
      </c>
      <c r="AE1907" s="92"/>
      <c r="AF1907" s="92"/>
      <c r="AG1907" s="93">
        <v>25.01</v>
      </c>
      <c r="AH1907" s="93">
        <v>0</v>
      </c>
    </row>
    <row r="1908" spans="1:34" ht="15.75" thickBot="1" x14ac:dyDescent="0.3">
      <c r="A1908" s="90" t="s">
        <v>1046</v>
      </c>
      <c r="B1908" s="90" t="s">
        <v>35</v>
      </c>
      <c r="C1908" s="90" t="s">
        <v>36</v>
      </c>
      <c r="D1908" s="90" t="s">
        <v>17</v>
      </c>
      <c r="E1908" s="90" t="s">
        <v>196</v>
      </c>
      <c r="F1908" s="90" t="s">
        <v>697</v>
      </c>
      <c r="G1908" s="95">
        <v>23.93</v>
      </c>
      <c r="H1908" s="94"/>
      <c r="I1908" s="94"/>
      <c r="J1908" s="94"/>
      <c r="K1908" s="94"/>
      <c r="L1908" s="94"/>
      <c r="M1908" s="94"/>
      <c r="N1908" s="94"/>
      <c r="O1908" s="94"/>
      <c r="P1908" s="95">
        <v>23.93</v>
      </c>
      <c r="Q1908" s="94"/>
      <c r="R1908" s="94"/>
      <c r="S1908" s="94"/>
      <c r="T1908" s="94"/>
      <c r="U1908" s="94"/>
      <c r="V1908" s="94"/>
      <c r="W1908" s="94"/>
      <c r="X1908" s="94"/>
      <c r="Y1908" s="94"/>
      <c r="Z1908" s="94"/>
      <c r="AA1908" s="94"/>
      <c r="AB1908" s="94"/>
      <c r="AC1908" s="94"/>
      <c r="AD1908" s="95">
        <v>1.08</v>
      </c>
      <c r="AE1908" s="94"/>
      <c r="AF1908" s="94"/>
      <c r="AG1908" s="95">
        <v>25.01</v>
      </c>
      <c r="AH1908" s="95">
        <v>0</v>
      </c>
    </row>
    <row r="1909" spans="1:34" ht="15.75" thickBot="1" x14ac:dyDescent="0.3">
      <c r="A1909" s="90" t="s">
        <v>1046</v>
      </c>
      <c r="B1909" s="90" t="s">
        <v>35</v>
      </c>
      <c r="C1909" s="90" t="s">
        <v>36</v>
      </c>
      <c r="D1909" s="90" t="s">
        <v>20</v>
      </c>
      <c r="E1909" s="90" t="s">
        <v>528</v>
      </c>
      <c r="F1909" s="90" t="s">
        <v>686</v>
      </c>
      <c r="G1909" s="93">
        <v>855.9</v>
      </c>
      <c r="H1909" s="92"/>
      <c r="I1909" s="93">
        <v>855.9</v>
      </c>
      <c r="J1909" s="92"/>
      <c r="K1909" s="92"/>
      <c r="L1909" s="92"/>
      <c r="M1909" s="92"/>
      <c r="N1909" s="92"/>
      <c r="O1909" s="92"/>
      <c r="P1909" s="92"/>
      <c r="Q1909" s="92"/>
      <c r="R1909" s="92"/>
      <c r="S1909" s="92"/>
      <c r="T1909" s="92"/>
      <c r="U1909" s="92"/>
      <c r="V1909" s="92"/>
      <c r="W1909" s="92"/>
      <c r="X1909" s="92"/>
      <c r="Y1909" s="92"/>
      <c r="Z1909" s="92"/>
      <c r="AA1909" s="92"/>
      <c r="AB1909" s="92"/>
      <c r="AC1909" s="92"/>
      <c r="AD1909" s="93">
        <v>0.98</v>
      </c>
      <c r="AE1909" s="92"/>
      <c r="AF1909" s="92"/>
      <c r="AG1909" s="93">
        <v>856.88</v>
      </c>
      <c r="AH1909" s="93">
        <v>0</v>
      </c>
    </row>
    <row r="1910" spans="1:34" ht="15.75" thickBot="1" x14ac:dyDescent="0.3">
      <c r="A1910" s="90" t="s">
        <v>1046</v>
      </c>
      <c r="B1910" s="90" t="s">
        <v>35</v>
      </c>
      <c r="C1910" s="90" t="s">
        <v>36</v>
      </c>
      <c r="D1910" s="90" t="s">
        <v>20</v>
      </c>
      <c r="E1910" s="90" t="s">
        <v>528</v>
      </c>
      <c r="F1910" s="90" t="s">
        <v>697</v>
      </c>
      <c r="G1910" s="95">
        <v>855.9</v>
      </c>
      <c r="H1910" s="94"/>
      <c r="I1910" s="95">
        <v>855.9</v>
      </c>
      <c r="J1910" s="94"/>
      <c r="K1910" s="94"/>
      <c r="L1910" s="94"/>
      <c r="M1910" s="94"/>
      <c r="N1910" s="94"/>
      <c r="O1910" s="94"/>
      <c r="P1910" s="94"/>
      <c r="Q1910" s="94"/>
      <c r="R1910" s="94"/>
      <c r="S1910" s="94"/>
      <c r="T1910" s="94"/>
      <c r="U1910" s="94"/>
      <c r="V1910" s="94"/>
      <c r="W1910" s="94"/>
      <c r="X1910" s="94"/>
      <c r="Y1910" s="94"/>
      <c r="Z1910" s="94"/>
      <c r="AA1910" s="94"/>
      <c r="AB1910" s="94"/>
      <c r="AC1910" s="94"/>
      <c r="AD1910" s="95">
        <v>0.98</v>
      </c>
      <c r="AE1910" s="94"/>
      <c r="AF1910" s="94"/>
      <c r="AG1910" s="95">
        <v>856.88</v>
      </c>
      <c r="AH1910" s="95">
        <v>0</v>
      </c>
    </row>
    <row r="1911" spans="1:34" ht="15.75" thickBot="1" x14ac:dyDescent="0.3">
      <c r="A1911" s="90" t="s">
        <v>1046</v>
      </c>
      <c r="B1911" s="90" t="s">
        <v>35</v>
      </c>
      <c r="C1911" s="90" t="s">
        <v>36</v>
      </c>
      <c r="D1911" s="90" t="s">
        <v>20</v>
      </c>
      <c r="E1911" s="90" t="s">
        <v>518</v>
      </c>
      <c r="F1911" s="90" t="s">
        <v>686</v>
      </c>
      <c r="G1911" s="93">
        <v>160.94999999999999</v>
      </c>
      <c r="H1911" s="93">
        <v>561</v>
      </c>
      <c r="I1911" s="92"/>
      <c r="J1911" s="92"/>
      <c r="K1911" s="93">
        <v>160.94999999999999</v>
      </c>
      <c r="L1911" s="92"/>
      <c r="M1911" s="92"/>
      <c r="N1911" s="92"/>
      <c r="O1911" s="92"/>
      <c r="P1911" s="92"/>
      <c r="Q1911" s="92"/>
      <c r="R1911" s="92"/>
      <c r="S1911" s="92"/>
      <c r="T1911" s="92"/>
      <c r="U1911" s="92"/>
      <c r="V1911" s="92"/>
      <c r="W1911" s="92"/>
      <c r="X1911" s="92"/>
      <c r="Y1911" s="92"/>
      <c r="Z1911" s="92"/>
      <c r="AA1911" s="92"/>
      <c r="AB1911" s="92"/>
      <c r="AC1911" s="92"/>
      <c r="AD1911" s="93">
        <v>0.1</v>
      </c>
      <c r="AE1911" s="92"/>
      <c r="AF1911" s="92"/>
      <c r="AG1911" s="93">
        <v>161.05000000000001</v>
      </c>
      <c r="AH1911" s="93">
        <v>0</v>
      </c>
    </row>
    <row r="1912" spans="1:34" ht="15.75" thickBot="1" x14ac:dyDescent="0.3">
      <c r="A1912" s="90" t="s">
        <v>1046</v>
      </c>
      <c r="B1912" s="90" t="s">
        <v>35</v>
      </c>
      <c r="C1912" s="90" t="s">
        <v>36</v>
      </c>
      <c r="D1912" s="90" t="s">
        <v>20</v>
      </c>
      <c r="E1912" s="90" t="s">
        <v>518</v>
      </c>
      <c r="F1912" s="90" t="s">
        <v>697</v>
      </c>
      <c r="G1912" s="95">
        <v>160.94999999999999</v>
      </c>
      <c r="H1912" s="305">
        <v>561</v>
      </c>
      <c r="I1912" s="94"/>
      <c r="J1912" s="94"/>
      <c r="K1912" s="95">
        <v>160.94999999999999</v>
      </c>
      <c r="L1912" s="94"/>
      <c r="M1912" s="94"/>
      <c r="N1912" s="94"/>
      <c r="O1912" s="94"/>
      <c r="P1912" s="94"/>
      <c r="Q1912" s="94"/>
      <c r="R1912" s="94"/>
      <c r="S1912" s="94"/>
      <c r="T1912" s="94"/>
      <c r="U1912" s="94"/>
      <c r="V1912" s="94"/>
      <c r="W1912" s="94"/>
      <c r="X1912" s="94"/>
      <c r="Y1912" s="94"/>
      <c r="Z1912" s="94"/>
      <c r="AA1912" s="94"/>
      <c r="AB1912" s="94"/>
      <c r="AC1912" s="94"/>
      <c r="AD1912" s="95">
        <v>0.1</v>
      </c>
      <c r="AE1912" s="94"/>
      <c r="AF1912" s="94"/>
      <c r="AG1912" s="95">
        <v>161.05000000000001</v>
      </c>
      <c r="AH1912" s="95">
        <v>0</v>
      </c>
    </row>
    <row r="1913" spans="1:34" ht="15.75" thickBot="1" x14ac:dyDescent="0.3">
      <c r="A1913" s="90" t="s">
        <v>1046</v>
      </c>
      <c r="B1913" s="90" t="s">
        <v>35</v>
      </c>
      <c r="C1913" s="90" t="s">
        <v>36</v>
      </c>
      <c r="D1913" s="90" t="s">
        <v>20</v>
      </c>
      <c r="E1913" s="90" t="s">
        <v>727</v>
      </c>
      <c r="F1913" s="90" t="s">
        <v>686</v>
      </c>
      <c r="G1913" s="93">
        <v>6.1</v>
      </c>
      <c r="H1913" s="92"/>
      <c r="I1913" s="92"/>
      <c r="J1913" s="92"/>
      <c r="K1913" s="92"/>
      <c r="L1913" s="92"/>
      <c r="M1913" s="92"/>
      <c r="N1913" s="92"/>
      <c r="O1913" s="93">
        <v>6.1</v>
      </c>
      <c r="P1913" s="92"/>
      <c r="Q1913" s="92"/>
      <c r="R1913" s="92"/>
      <c r="S1913" s="92"/>
      <c r="T1913" s="92"/>
      <c r="U1913" s="92"/>
      <c r="V1913" s="92"/>
      <c r="W1913" s="92"/>
      <c r="X1913" s="92"/>
      <c r="Y1913" s="92"/>
      <c r="Z1913" s="92"/>
      <c r="AA1913" s="92"/>
      <c r="AB1913" s="92"/>
      <c r="AC1913" s="92"/>
      <c r="AD1913" s="93">
        <v>0</v>
      </c>
      <c r="AE1913" s="92"/>
      <c r="AF1913" s="92"/>
      <c r="AG1913" s="93">
        <v>6.1</v>
      </c>
      <c r="AH1913" s="93">
        <v>0</v>
      </c>
    </row>
    <row r="1914" spans="1:34" ht="15.75" thickBot="1" x14ac:dyDescent="0.3">
      <c r="A1914" s="90" t="s">
        <v>1046</v>
      </c>
      <c r="B1914" s="90" t="s">
        <v>35</v>
      </c>
      <c r="C1914" s="90" t="s">
        <v>36</v>
      </c>
      <c r="D1914" s="90" t="s">
        <v>20</v>
      </c>
      <c r="E1914" s="90" t="s">
        <v>727</v>
      </c>
      <c r="F1914" s="90" t="s">
        <v>697</v>
      </c>
      <c r="G1914" s="95">
        <v>6.1</v>
      </c>
      <c r="H1914" s="94"/>
      <c r="I1914" s="94"/>
      <c r="J1914" s="94"/>
      <c r="K1914" s="94"/>
      <c r="L1914" s="94"/>
      <c r="M1914" s="94"/>
      <c r="N1914" s="94"/>
      <c r="O1914" s="95">
        <v>6.1</v>
      </c>
      <c r="P1914" s="94"/>
      <c r="Q1914" s="94"/>
      <c r="R1914" s="94"/>
      <c r="S1914" s="94"/>
      <c r="T1914" s="94"/>
      <c r="U1914" s="94"/>
      <c r="V1914" s="94"/>
      <c r="W1914" s="94"/>
      <c r="X1914" s="94"/>
      <c r="Y1914" s="94"/>
      <c r="Z1914" s="94"/>
      <c r="AA1914" s="94"/>
      <c r="AB1914" s="94"/>
      <c r="AC1914" s="94"/>
      <c r="AD1914" s="95">
        <v>0</v>
      </c>
      <c r="AE1914" s="94"/>
      <c r="AF1914" s="94"/>
      <c r="AG1914" s="95">
        <v>6.1</v>
      </c>
      <c r="AH1914" s="95">
        <v>0</v>
      </c>
    </row>
    <row r="1915" spans="1:34" ht="15.75" thickBot="1" x14ac:dyDescent="0.3">
      <c r="A1915" s="90" t="s">
        <v>1046</v>
      </c>
      <c r="B1915" s="90" t="s">
        <v>35</v>
      </c>
      <c r="C1915" s="90" t="s">
        <v>36</v>
      </c>
      <c r="D1915" s="90" t="s">
        <v>20</v>
      </c>
      <c r="E1915" s="90" t="s">
        <v>728</v>
      </c>
      <c r="F1915" s="90" t="s">
        <v>686</v>
      </c>
      <c r="G1915" s="92"/>
      <c r="H1915" s="92"/>
      <c r="I1915" s="92"/>
      <c r="J1915" s="92"/>
      <c r="K1915" s="92"/>
      <c r="L1915" s="92"/>
      <c r="M1915" s="92"/>
      <c r="N1915" s="92"/>
      <c r="O1915" s="92"/>
      <c r="P1915" s="92"/>
      <c r="Q1915" s="92"/>
      <c r="R1915" s="92"/>
      <c r="S1915" s="92"/>
      <c r="T1915" s="92"/>
      <c r="U1915" s="92"/>
      <c r="V1915" s="92"/>
      <c r="W1915" s="92"/>
      <c r="X1915" s="92"/>
      <c r="Y1915" s="92"/>
      <c r="Z1915" s="92"/>
      <c r="AA1915" s="92"/>
      <c r="AB1915" s="93">
        <v>16</v>
      </c>
      <c r="AC1915" s="92"/>
      <c r="AD1915" s="93">
        <v>0</v>
      </c>
      <c r="AE1915" s="92"/>
      <c r="AF1915" s="92"/>
      <c r="AG1915" s="93">
        <v>16</v>
      </c>
      <c r="AH1915" s="93">
        <v>0</v>
      </c>
    </row>
    <row r="1916" spans="1:34" ht="15.75" thickBot="1" x14ac:dyDescent="0.3">
      <c r="A1916" s="90" t="s">
        <v>1046</v>
      </c>
      <c r="B1916" s="90" t="s">
        <v>35</v>
      </c>
      <c r="C1916" s="90" t="s">
        <v>36</v>
      </c>
      <c r="D1916" s="90" t="s">
        <v>20</v>
      </c>
      <c r="E1916" s="90" t="s">
        <v>728</v>
      </c>
      <c r="F1916" s="90" t="s">
        <v>697</v>
      </c>
      <c r="G1916" s="94"/>
      <c r="H1916" s="94"/>
      <c r="I1916" s="94"/>
      <c r="J1916" s="94"/>
      <c r="K1916" s="94"/>
      <c r="L1916" s="94"/>
      <c r="M1916" s="94"/>
      <c r="N1916" s="94"/>
      <c r="O1916" s="94"/>
      <c r="P1916" s="94"/>
      <c r="Q1916" s="94"/>
      <c r="R1916" s="94"/>
      <c r="S1916" s="94"/>
      <c r="T1916" s="94"/>
      <c r="U1916" s="94"/>
      <c r="V1916" s="94"/>
      <c r="W1916" s="94"/>
      <c r="X1916" s="94"/>
      <c r="Y1916" s="94"/>
      <c r="Z1916" s="94"/>
      <c r="AA1916" s="94"/>
      <c r="AB1916" s="95">
        <v>16</v>
      </c>
      <c r="AC1916" s="94"/>
      <c r="AD1916" s="95">
        <v>0</v>
      </c>
      <c r="AE1916" s="94"/>
      <c r="AF1916" s="94"/>
      <c r="AG1916" s="95">
        <v>16</v>
      </c>
      <c r="AH1916" s="95">
        <v>0</v>
      </c>
    </row>
    <row r="1917" spans="1:34" ht="15.75" thickBot="1" x14ac:dyDescent="0.3">
      <c r="A1917" s="90" t="s">
        <v>1046</v>
      </c>
      <c r="B1917" s="90" t="s">
        <v>35</v>
      </c>
      <c r="C1917" s="90" t="s">
        <v>36</v>
      </c>
      <c r="D1917" s="90" t="s">
        <v>20</v>
      </c>
      <c r="E1917" s="90" t="s">
        <v>673</v>
      </c>
      <c r="F1917" s="90" t="s">
        <v>686</v>
      </c>
      <c r="G1917" s="93">
        <v>325.88</v>
      </c>
      <c r="H1917" s="92"/>
      <c r="I1917" s="92"/>
      <c r="J1917" s="92"/>
      <c r="K1917" s="92"/>
      <c r="L1917" s="92"/>
      <c r="M1917" s="92"/>
      <c r="N1917" s="92"/>
      <c r="O1917" s="92"/>
      <c r="P1917" s="92"/>
      <c r="Q1917" s="92"/>
      <c r="R1917" s="92"/>
      <c r="S1917" s="92"/>
      <c r="T1917" s="92"/>
      <c r="U1917" s="92"/>
      <c r="V1917" s="92"/>
      <c r="W1917" s="92"/>
      <c r="X1917" s="93">
        <v>325.88</v>
      </c>
      <c r="Y1917" s="92"/>
      <c r="Z1917" s="92"/>
      <c r="AA1917" s="92"/>
      <c r="AB1917" s="92"/>
      <c r="AC1917" s="92"/>
      <c r="AD1917" s="93">
        <v>0.36</v>
      </c>
      <c r="AE1917" s="92"/>
      <c r="AF1917" s="92"/>
      <c r="AG1917" s="93">
        <v>326.24</v>
      </c>
      <c r="AH1917" s="93">
        <v>0</v>
      </c>
    </row>
    <row r="1918" spans="1:34" ht="15.75" thickBot="1" x14ac:dyDescent="0.3">
      <c r="A1918" s="90" t="s">
        <v>1046</v>
      </c>
      <c r="B1918" s="90" t="s">
        <v>35</v>
      </c>
      <c r="C1918" s="90" t="s">
        <v>36</v>
      </c>
      <c r="D1918" s="90" t="s">
        <v>20</v>
      </c>
      <c r="E1918" s="90" t="s">
        <v>673</v>
      </c>
      <c r="F1918" s="90" t="s">
        <v>697</v>
      </c>
      <c r="G1918" s="95">
        <v>325.88</v>
      </c>
      <c r="H1918" s="94"/>
      <c r="I1918" s="94"/>
      <c r="J1918" s="94"/>
      <c r="K1918" s="94"/>
      <c r="L1918" s="94"/>
      <c r="M1918" s="94"/>
      <c r="N1918" s="94"/>
      <c r="O1918" s="94"/>
      <c r="P1918" s="94"/>
      <c r="Q1918" s="94"/>
      <c r="R1918" s="94"/>
      <c r="S1918" s="94"/>
      <c r="T1918" s="94"/>
      <c r="U1918" s="94"/>
      <c r="V1918" s="94"/>
      <c r="W1918" s="94"/>
      <c r="X1918" s="95">
        <v>325.88</v>
      </c>
      <c r="Y1918" s="94"/>
      <c r="Z1918" s="94"/>
      <c r="AA1918" s="94"/>
      <c r="AB1918" s="94"/>
      <c r="AC1918" s="94"/>
      <c r="AD1918" s="95">
        <v>0.36</v>
      </c>
      <c r="AE1918" s="94"/>
      <c r="AF1918" s="94"/>
      <c r="AG1918" s="95">
        <v>326.24</v>
      </c>
      <c r="AH1918" s="95">
        <v>0</v>
      </c>
    </row>
    <row r="1919" spans="1:34" ht="15.75" thickBot="1" x14ac:dyDescent="0.3">
      <c r="A1919" s="90" t="s">
        <v>1046</v>
      </c>
      <c r="B1919" s="90" t="s">
        <v>35</v>
      </c>
      <c r="C1919" s="90" t="s">
        <v>36</v>
      </c>
      <c r="D1919" s="90" t="s">
        <v>20</v>
      </c>
      <c r="E1919" s="90" t="s">
        <v>196</v>
      </c>
      <c r="F1919" s="90" t="s">
        <v>686</v>
      </c>
      <c r="G1919" s="93">
        <v>206.65</v>
      </c>
      <c r="H1919" s="92"/>
      <c r="I1919" s="92"/>
      <c r="J1919" s="92"/>
      <c r="K1919" s="92"/>
      <c r="L1919" s="92"/>
      <c r="M1919" s="92"/>
      <c r="N1919" s="92"/>
      <c r="O1919" s="92"/>
      <c r="P1919" s="93">
        <v>206.65</v>
      </c>
      <c r="Q1919" s="92"/>
      <c r="R1919" s="92"/>
      <c r="S1919" s="92"/>
      <c r="T1919" s="92"/>
      <c r="U1919" s="92"/>
      <c r="V1919" s="92"/>
      <c r="W1919" s="92"/>
      <c r="X1919" s="92"/>
      <c r="Y1919" s="92"/>
      <c r="Z1919" s="92"/>
      <c r="AA1919" s="92"/>
      <c r="AB1919" s="92"/>
      <c r="AC1919" s="92"/>
      <c r="AD1919" s="93">
        <v>0.13</v>
      </c>
      <c r="AE1919" s="92"/>
      <c r="AF1919" s="92"/>
      <c r="AG1919" s="93">
        <v>206.78</v>
      </c>
      <c r="AH1919" s="93">
        <v>0</v>
      </c>
    </row>
    <row r="1920" spans="1:34" ht="15.75" thickBot="1" x14ac:dyDescent="0.3">
      <c r="A1920" s="90" t="s">
        <v>1046</v>
      </c>
      <c r="B1920" s="90" t="s">
        <v>35</v>
      </c>
      <c r="C1920" s="90" t="s">
        <v>36</v>
      </c>
      <c r="D1920" s="90" t="s">
        <v>20</v>
      </c>
      <c r="E1920" s="90" t="s">
        <v>196</v>
      </c>
      <c r="F1920" s="90" t="s">
        <v>697</v>
      </c>
      <c r="G1920" s="95">
        <v>206.65</v>
      </c>
      <c r="H1920" s="94"/>
      <c r="I1920" s="94"/>
      <c r="J1920" s="94"/>
      <c r="K1920" s="94"/>
      <c r="L1920" s="94"/>
      <c r="M1920" s="94"/>
      <c r="N1920" s="94"/>
      <c r="O1920" s="94"/>
      <c r="P1920" s="95">
        <v>206.65</v>
      </c>
      <c r="Q1920" s="94"/>
      <c r="R1920" s="94"/>
      <c r="S1920" s="94"/>
      <c r="T1920" s="94"/>
      <c r="U1920" s="94"/>
      <c r="V1920" s="94"/>
      <c r="W1920" s="94"/>
      <c r="X1920" s="94"/>
      <c r="Y1920" s="94"/>
      <c r="Z1920" s="94"/>
      <c r="AA1920" s="94"/>
      <c r="AB1920" s="94"/>
      <c r="AC1920" s="94"/>
      <c r="AD1920" s="95">
        <v>0.13</v>
      </c>
      <c r="AE1920" s="94"/>
      <c r="AF1920" s="94"/>
      <c r="AG1920" s="95">
        <v>206.78</v>
      </c>
      <c r="AH1920" s="95">
        <v>0</v>
      </c>
    </row>
    <row r="1921" spans="1:34" ht="15.75" thickBot="1" x14ac:dyDescent="0.3">
      <c r="A1921" s="90" t="s">
        <v>1046</v>
      </c>
      <c r="B1921" s="90" t="s">
        <v>35</v>
      </c>
      <c r="C1921" s="90" t="s">
        <v>36</v>
      </c>
      <c r="D1921" s="90" t="s">
        <v>28</v>
      </c>
      <c r="E1921" s="90" t="s">
        <v>726</v>
      </c>
      <c r="F1921" s="90" t="s">
        <v>686</v>
      </c>
      <c r="G1921" s="92"/>
      <c r="H1921" s="92"/>
      <c r="I1921" s="92"/>
      <c r="J1921" s="92"/>
      <c r="K1921" s="92"/>
      <c r="L1921" s="92"/>
      <c r="M1921" s="92"/>
      <c r="N1921" s="92"/>
      <c r="O1921" s="92"/>
      <c r="P1921" s="92"/>
      <c r="Q1921" s="92"/>
      <c r="R1921" s="92"/>
      <c r="S1921" s="92"/>
      <c r="T1921" s="92"/>
      <c r="U1921" s="92"/>
      <c r="V1921" s="92"/>
      <c r="W1921" s="92"/>
      <c r="X1921" s="92"/>
      <c r="Y1921" s="92"/>
      <c r="Z1921" s="92"/>
      <c r="AA1921" s="92"/>
      <c r="AB1921" s="92"/>
      <c r="AC1921" s="93">
        <v>1771.49</v>
      </c>
      <c r="AD1921" s="93">
        <v>0</v>
      </c>
      <c r="AE1921" s="92"/>
      <c r="AF1921" s="92"/>
      <c r="AG1921" s="93">
        <v>1771.49</v>
      </c>
      <c r="AH1921" s="93">
        <v>0</v>
      </c>
    </row>
    <row r="1922" spans="1:34" ht="15.75" thickBot="1" x14ac:dyDescent="0.3">
      <c r="A1922" s="90" t="s">
        <v>1046</v>
      </c>
      <c r="B1922" s="90" t="s">
        <v>35</v>
      </c>
      <c r="C1922" s="90" t="s">
        <v>36</v>
      </c>
      <c r="D1922" s="90" t="s">
        <v>28</v>
      </c>
      <c r="E1922" s="90" t="s">
        <v>726</v>
      </c>
      <c r="F1922" s="90" t="s">
        <v>697</v>
      </c>
      <c r="G1922" s="94"/>
      <c r="H1922" s="94"/>
      <c r="I1922" s="94"/>
      <c r="J1922" s="94"/>
      <c r="K1922" s="94"/>
      <c r="L1922" s="94"/>
      <c r="M1922" s="94"/>
      <c r="N1922" s="94"/>
      <c r="O1922" s="94"/>
      <c r="P1922" s="94"/>
      <c r="Q1922" s="94"/>
      <c r="R1922" s="94"/>
      <c r="S1922" s="94"/>
      <c r="T1922" s="94"/>
      <c r="U1922" s="94"/>
      <c r="V1922" s="94"/>
      <c r="W1922" s="94"/>
      <c r="X1922" s="94"/>
      <c r="Y1922" s="94"/>
      <c r="Z1922" s="94"/>
      <c r="AA1922" s="94"/>
      <c r="AB1922" s="94"/>
      <c r="AC1922" s="95">
        <v>1771.49</v>
      </c>
      <c r="AD1922" s="95">
        <v>0</v>
      </c>
      <c r="AE1922" s="94"/>
      <c r="AF1922" s="94"/>
      <c r="AG1922" s="95">
        <v>1771.49</v>
      </c>
      <c r="AH1922" s="95">
        <v>0</v>
      </c>
    </row>
    <row r="1923" spans="1:34" ht="15.75" thickBot="1" x14ac:dyDescent="0.3">
      <c r="A1923" s="90" t="s">
        <v>1046</v>
      </c>
      <c r="B1923" s="90" t="s">
        <v>35</v>
      </c>
      <c r="C1923" s="90" t="s">
        <v>36</v>
      </c>
      <c r="D1923" s="90" t="s">
        <v>28</v>
      </c>
      <c r="E1923" s="90" t="s">
        <v>528</v>
      </c>
      <c r="F1923" s="90" t="s">
        <v>686</v>
      </c>
      <c r="G1923" s="93">
        <v>3985457.6</v>
      </c>
      <c r="H1923" s="92"/>
      <c r="I1923" s="93">
        <v>3985457.6</v>
      </c>
      <c r="J1923" s="92"/>
      <c r="K1923" s="92"/>
      <c r="L1923" s="92"/>
      <c r="M1923" s="92"/>
      <c r="N1923" s="92"/>
      <c r="O1923" s="92"/>
      <c r="P1923" s="92"/>
      <c r="Q1923" s="92"/>
      <c r="R1923" s="92"/>
      <c r="S1923" s="92"/>
      <c r="T1923" s="92"/>
      <c r="U1923" s="92"/>
      <c r="V1923" s="92"/>
      <c r="W1923" s="92"/>
      <c r="X1923" s="92"/>
      <c r="Y1923" s="92"/>
      <c r="Z1923" s="92"/>
      <c r="AA1923" s="92"/>
      <c r="AB1923" s="92"/>
      <c r="AC1923" s="92"/>
      <c r="AD1923" s="93">
        <v>16966.38</v>
      </c>
      <c r="AE1923" s="92"/>
      <c r="AF1923" s="92"/>
      <c r="AG1923" s="93">
        <v>4002423.98</v>
      </c>
      <c r="AH1923" s="93">
        <v>0</v>
      </c>
    </row>
    <row r="1924" spans="1:34" ht="15.75" thickBot="1" x14ac:dyDescent="0.3">
      <c r="A1924" s="90" t="s">
        <v>1046</v>
      </c>
      <c r="B1924" s="90" t="s">
        <v>35</v>
      </c>
      <c r="C1924" s="90" t="s">
        <v>36</v>
      </c>
      <c r="D1924" s="90" t="s">
        <v>28</v>
      </c>
      <c r="E1924" s="90" t="s">
        <v>528</v>
      </c>
      <c r="F1924" s="90" t="s">
        <v>697</v>
      </c>
      <c r="G1924" s="95">
        <v>3985457.6</v>
      </c>
      <c r="H1924" s="94"/>
      <c r="I1924" s="95">
        <v>3985457.6</v>
      </c>
      <c r="J1924" s="94"/>
      <c r="K1924" s="94"/>
      <c r="L1924" s="94"/>
      <c r="M1924" s="94"/>
      <c r="N1924" s="94"/>
      <c r="O1924" s="94"/>
      <c r="P1924" s="94"/>
      <c r="Q1924" s="94"/>
      <c r="R1924" s="94"/>
      <c r="S1924" s="94"/>
      <c r="T1924" s="94"/>
      <c r="U1924" s="94"/>
      <c r="V1924" s="94"/>
      <c r="W1924" s="94"/>
      <c r="X1924" s="94"/>
      <c r="Y1924" s="94"/>
      <c r="Z1924" s="94"/>
      <c r="AA1924" s="94"/>
      <c r="AB1924" s="94"/>
      <c r="AC1924" s="94"/>
      <c r="AD1924" s="95">
        <v>16966.38</v>
      </c>
      <c r="AE1924" s="94"/>
      <c r="AF1924" s="94"/>
      <c r="AG1924" s="95">
        <v>4002423.98</v>
      </c>
      <c r="AH1924" s="95">
        <v>0</v>
      </c>
    </row>
    <row r="1925" spans="1:34" ht="15.75" thickBot="1" x14ac:dyDescent="0.3">
      <c r="A1925" s="90" t="s">
        <v>1046</v>
      </c>
      <c r="B1925" s="90" t="s">
        <v>35</v>
      </c>
      <c r="C1925" s="90" t="s">
        <v>36</v>
      </c>
      <c r="D1925" s="90" t="s">
        <v>28</v>
      </c>
      <c r="E1925" s="90" t="s">
        <v>518</v>
      </c>
      <c r="F1925" s="90" t="s">
        <v>686</v>
      </c>
      <c r="G1925" s="93">
        <v>950374.43</v>
      </c>
      <c r="H1925" s="93">
        <v>3312170</v>
      </c>
      <c r="I1925" s="92"/>
      <c r="J1925" s="92"/>
      <c r="K1925" s="93">
        <v>950374.43</v>
      </c>
      <c r="L1925" s="92"/>
      <c r="M1925" s="92"/>
      <c r="N1925" s="92"/>
      <c r="O1925" s="92"/>
      <c r="P1925" s="92"/>
      <c r="Q1925" s="92"/>
      <c r="R1925" s="92"/>
      <c r="S1925" s="92"/>
      <c r="T1925" s="92"/>
      <c r="U1925" s="92"/>
      <c r="V1925" s="92"/>
      <c r="W1925" s="92"/>
      <c r="X1925" s="92"/>
      <c r="Y1925" s="92"/>
      <c r="Z1925" s="92"/>
      <c r="AA1925" s="92"/>
      <c r="AB1925" s="92"/>
      <c r="AC1925" s="92"/>
      <c r="AD1925" s="93">
        <v>3556.24</v>
      </c>
      <c r="AE1925" s="92"/>
      <c r="AF1925" s="92"/>
      <c r="AG1925" s="93">
        <v>953930.67</v>
      </c>
      <c r="AH1925" s="93">
        <v>0</v>
      </c>
    </row>
    <row r="1926" spans="1:34" ht="15.75" thickBot="1" x14ac:dyDescent="0.3">
      <c r="A1926" s="90" t="s">
        <v>1046</v>
      </c>
      <c r="B1926" s="90" t="s">
        <v>35</v>
      </c>
      <c r="C1926" s="90" t="s">
        <v>36</v>
      </c>
      <c r="D1926" s="90" t="s">
        <v>28</v>
      </c>
      <c r="E1926" s="90" t="s">
        <v>518</v>
      </c>
      <c r="F1926" s="90" t="s">
        <v>697</v>
      </c>
      <c r="G1926" s="95">
        <v>950374.43</v>
      </c>
      <c r="H1926" s="305">
        <v>3312170</v>
      </c>
      <c r="I1926" s="94"/>
      <c r="J1926" s="94"/>
      <c r="K1926" s="95">
        <v>950374.43</v>
      </c>
      <c r="L1926" s="94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4"/>
      <c r="X1926" s="94"/>
      <c r="Y1926" s="94"/>
      <c r="Z1926" s="94"/>
      <c r="AA1926" s="94"/>
      <c r="AB1926" s="94"/>
      <c r="AC1926" s="94"/>
      <c r="AD1926" s="95">
        <v>3556.24</v>
      </c>
      <c r="AE1926" s="94"/>
      <c r="AF1926" s="94"/>
      <c r="AG1926" s="95">
        <v>953930.67</v>
      </c>
      <c r="AH1926" s="95">
        <v>0</v>
      </c>
    </row>
    <row r="1927" spans="1:34" ht="15.75" thickBot="1" x14ac:dyDescent="0.3">
      <c r="A1927" s="90" t="s">
        <v>1046</v>
      </c>
      <c r="B1927" s="90" t="s">
        <v>35</v>
      </c>
      <c r="C1927" s="90" t="s">
        <v>36</v>
      </c>
      <c r="D1927" s="90" t="s">
        <v>28</v>
      </c>
      <c r="E1927" s="90" t="s">
        <v>727</v>
      </c>
      <c r="F1927" s="90" t="s">
        <v>686</v>
      </c>
      <c r="G1927" s="93">
        <v>36042.050000000003</v>
      </c>
      <c r="H1927" s="92"/>
      <c r="I1927" s="92"/>
      <c r="J1927" s="92"/>
      <c r="K1927" s="92"/>
      <c r="L1927" s="92"/>
      <c r="M1927" s="92"/>
      <c r="N1927" s="92"/>
      <c r="O1927" s="93">
        <v>36042.050000000003</v>
      </c>
      <c r="P1927" s="92"/>
      <c r="Q1927" s="92"/>
      <c r="R1927" s="92"/>
      <c r="S1927" s="92"/>
      <c r="T1927" s="92"/>
      <c r="U1927" s="92"/>
      <c r="V1927" s="92"/>
      <c r="W1927" s="92"/>
      <c r="X1927" s="92"/>
      <c r="Y1927" s="92"/>
      <c r="Z1927" s="92"/>
      <c r="AA1927" s="92"/>
      <c r="AB1927" s="92"/>
      <c r="AC1927" s="92"/>
      <c r="AD1927" s="93">
        <v>92.66</v>
      </c>
      <c r="AE1927" s="92"/>
      <c r="AF1927" s="92"/>
      <c r="AG1927" s="93">
        <v>36134.71</v>
      </c>
      <c r="AH1927" s="93">
        <v>0</v>
      </c>
    </row>
    <row r="1928" spans="1:34" ht="15.75" thickBot="1" x14ac:dyDescent="0.3">
      <c r="A1928" s="90" t="s">
        <v>1046</v>
      </c>
      <c r="B1928" s="90" t="s">
        <v>35</v>
      </c>
      <c r="C1928" s="90" t="s">
        <v>36</v>
      </c>
      <c r="D1928" s="90" t="s">
        <v>28</v>
      </c>
      <c r="E1928" s="90" t="s">
        <v>727</v>
      </c>
      <c r="F1928" s="90" t="s">
        <v>697</v>
      </c>
      <c r="G1928" s="95">
        <v>36042.050000000003</v>
      </c>
      <c r="H1928" s="94"/>
      <c r="I1928" s="94"/>
      <c r="J1928" s="94"/>
      <c r="K1928" s="94"/>
      <c r="L1928" s="94"/>
      <c r="M1928" s="94"/>
      <c r="N1928" s="94"/>
      <c r="O1928" s="95">
        <v>36042.050000000003</v>
      </c>
      <c r="P1928" s="94"/>
      <c r="Q1928" s="94"/>
      <c r="R1928" s="94"/>
      <c r="S1928" s="94"/>
      <c r="T1928" s="94"/>
      <c r="U1928" s="94"/>
      <c r="V1928" s="94"/>
      <c r="W1928" s="94"/>
      <c r="X1928" s="94"/>
      <c r="Y1928" s="94"/>
      <c r="Z1928" s="94"/>
      <c r="AA1928" s="94"/>
      <c r="AB1928" s="94"/>
      <c r="AC1928" s="94"/>
      <c r="AD1928" s="95">
        <v>92.66</v>
      </c>
      <c r="AE1928" s="94"/>
      <c r="AF1928" s="94"/>
      <c r="AG1928" s="95">
        <v>36134.71</v>
      </c>
      <c r="AH1928" s="95">
        <v>0</v>
      </c>
    </row>
    <row r="1929" spans="1:34" ht="15.75" thickBot="1" x14ac:dyDescent="0.3">
      <c r="A1929" s="90" t="s">
        <v>1046</v>
      </c>
      <c r="B1929" s="90" t="s">
        <v>35</v>
      </c>
      <c r="C1929" s="90" t="s">
        <v>36</v>
      </c>
      <c r="D1929" s="90" t="s">
        <v>28</v>
      </c>
      <c r="E1929" s="90" t="s">
        <v>728</v>
      </c>
      <c r="F1929" s="90" t="s">
        <v>686</v>
      </c>
      <c r="G1929" s="92"/>
      <c r="H1929" s="92"/>
      <c r="I1929" s="92"/>
      <c r="J1929" s="92"/>
      <c r="K1929" s="92"/>
      <c r="L1929" s="92"/>
      <c r="M1929" s="92"/>
      <c r="N1929" s="92"/>
      <c r="O1929" s="92"/>
      <c r="P1929" s="92"/>
      <c r="Q1929" s="92"/>
      <c r="R1929" s="92"/>
      <c r="S1929" s="92"/>
      <c r="T1929" s="92"/>
      <c r="U1929" s="92"/>
      <c r="V1929" s="92"/>
      <c r="W1929" s="92"/>
      <c r="X1929" s="92"/>
      <c r="Y1929" s="92"/>
      <c r="Z1929" s="92"/>
      <c r="AA1929" s="92"/>
      <c r="AB1929" s="93">
        <v>74608.5</v>
      </c>
      <c r="AC1929" s="92"/>
      <c r="AD1929" s="93">
        <v>0</v>
      </c>
      <c r="AE1929" s="92"/>
      <c r="AF1929" s="92"/>
      <c r="AG1929" s="93">
        <v>74608.5</v>
      </c>
      <c r="AH1929" s="93">
        <v>0</v>
      </c>
    </row>
    <row r="1930" spans="1:34" ht="15.75" thickBot="1" x14ac:dyDescent="0.3">
      <c r="A1930" s="90" t="s">
        <v>1046</v>
      </c>
      <c r="B1930" s="90" t="s">
        <v>35</v>
      </c>
      <c r="C1930" s="90" t="s">
        <v>36</v>
      </c>
      <c r="D1930" s="90" t="s">
        <v>28</v>
      </c>
      <c r="E1930" s="90" t="s">
        <v>728</v>
      </c>
      <c r="F1930" s="90" t="s">
        <v>697</v>
      </c>
      <c r="G1930" s="94"/>
      <c r="H1930" s="94"/>
      <c r="I1930" s="94"/>
      <c r="J1930" s="94"/>
      <c r="K1930" s="94"/>
      <c r="L1930" s="94"/>
      <c r="M1930" s="94"/>
      <c r="N1930" s="94"/>
      <c r="O1930" s="94"/>
      <c r="P1930" s="94"/>
      <c r="Q1930" s="94"/>
      <c r="R1930" s="94"/>
      <c r="S1930" s="94"/>
      <c r="T1930" s="94"/>
      <c r="U1930" s="94"/>
      <c r="V1930" s="94"/>
      <c r="W1930" s="94"/>
      <c r="X1930" s="94"/>
      <c r="Y1930" s="94"/>
      <c r="Z1930" s="94"/>
      <c r="AA1930" s="94"/>
      <c r="AB1930" s="95">
        <v>74608.5</v>
      </c>
      <c r="AC1930" s="94"/>
      <c r="AD1930" s="95">
        <v>0</v>
      </c>
      <c r="AE1930" s="94"/>
      <c r="AF1930" s="94"/>
      <c r="AG1930" s="95">
        <v>74608.5</v>
      </c>
      <c r="AH1930" s="95">
        <v>0</v>
      </c>
    </row>
    <row r="1931" spans="1:34" ht="15.75" thickBot="1" x14ac:dyDescent="0.3">
      <c r="A1931" s="90" t="s">
        <v>1046</v>
      </c>
      <c r="B1931" s="90" t="s">
        <v>35</v>
      </c>
      <c r="C1931" s="90" t="s">
        <v>36</v>
      </c>
      <c r="D1931" s="90" t="s">
        <v>28</v>
      </c>
      <c r="E1931" s="90" t="s">
        <v>673</v>
      </c>
      <c r="F1931" s="90" t="s">
        <v>686</v>
      </c>
      <c r="G1931" s="93">
        <v>1517429.8</v>
      </c>
      <c r="H1931" s="92"/>
      <c r="I1931" s="92"/>
      <c r="J1931" s="92"/>
      <c r="K1931" s="92"/>
      <c r="L1931" s="92"/>
      <c r="M1931" s="92"/>
      <c r="N1931" s="92"/>
      <c r="O1931" s="92"/>
      <c r="P1931" s="92"/>
      <c r="Q1931" s="92"/>
      <c r="R1931" s="92"/>
      <c r="S1931" s="92"/>
      <c r="T1931" s="92"/>
      <c r="U1931" s="92"/>
      <c r="V1931" s="92"/>
      <c r="W1931" s="92"/>
      <c r="X1931" s="93">
        <v>1517429.8</v>
      </c>
      <c r="Y1931" s="92"/>
      <c r="Z1931" s="92"/>
      <c r="AA1931" s="92"/>
      <c r="AB1931" s="92"/>
      <c r="AC1931" s="92"/>
      <c r="AD1931" s="93">
        <v>6214.73</v>
      </c>
      <c r="AE1931" s="92"/>
      <c r="AF1931" s="92"/>
      <c r="AG1931" s="93">
        <v>1523644.53</v>
      </c>
      <c r="AH1931" s="93">
        <v>0</v>
      </c>
    </row>
    <row r="1932" spans="1:34" ht="15.75" thickBot="1" x14ac:dyDescent="0.3">
      <c r="A1932" s="90" t="s">
        <v>1046</v>
      </c>
      <c r="B1932" s="90" t="s">
        <v>35</v>
      </c>
      <c r="C1932" s="90" t="s">
        <v>36</v>
      </c>
      <c r="D1932" s="90" t="s">
        <v>28</v>
      </c>
      <c r="E1932" s="90" t="s">
        <v>673</v>
      </c>
      <c r="F1932" s="90" t="s">
        <v>697</v>
      </c>
      <c r="G1932" s="95">
        <v>1517429.8</v>
      </c>
      <c r="H1932" s="94"/>
      <c r="I1932" s="94"/>
      <c r="J1932" s="94"/>
      <c r="K1932" s="94"/>
      <c r="L1932" s="94"/>
      <c r="M1932" s="94"/>
      <c r="N1932" s="94"/>
      <c r="O1932" s="94"/>
      <c r="P1932" s="94"/>
      <c r="Q1932" s="94"/>
      <c r="R1932" s="94"/>
      <c r="S1932" s="94"/>
      <c r="T1932" s="94"/>
      <c r="U1932" s="94"/>
      <c r="V1932" s="94"/>
      <c r="W1932" s="94"/>
      <c r="X1932" s="95">
        <v>1517429.8</v>
      </c>
      <c r="Y1932" s="94"/>
      <c r="Z1932" s="94"/>
      <c r="AA1932" s="94"/>
      <c r="AB1932" s="94"/>
      <c r="AC1932" s="94"/>
      <c r="AD1932" s="95">
        <v>6214.73</v>
      </c>
      <c r="AE1932" s="94"/>
      <c r="AF1932" s="94"/>
      <c r="AG1932" s="95">
        <v>1523644.53</v>
      </c>
      <c r="AH1932" s="95">
        <v>0</v>
      </c>
    </row>
    <row r="1933" spans="1:34" ht="15.75" thickBot="1" x14ac:dyDescent="0.3">
      <c r="A1933" s="90" t="s">
        <v>1046</v>
      </c>
      <c r="B1933" s="90" t="s">
        <v>35</v>
      </c>
      <c r="C1933" s="90" t="s">
        <v>36</v>
      </c>
      <c r="D1933" s="90" t="s">
        <v>28</v>
      </c>
      <c r="E1933" s="90" t="s">
        <v>196</v>
      </c>
      <c r="F1933" s="90" t="s">
        <v>686</v>
      </c>
      <c r="G1933" s="93">
        <v>1222438.95</v>
      </c>
      <c r="H1933" s="92"/>
      <c r="I1933" s="92"/>
      <c r="J1933" s="92"/>
      <c r="K1933" s="92"/>
      <c r="L1933" s="92"/>
      <c r="M1933" s="92"/>
      <c r="N1933" s="92"/>
      <c r="O1933" s="92"/>
      <c r="P1933" s="93">
        <v>1222438.95</v>
      </c>
      <c r="Q1933" s="92"/>
      <c r="R1933" s="92"/>
      <c r="S1933" s="92"/>
      <c r="T1933" s="92"/>
      <c r="U1933" s="92"/>
      <c r="V1933" s="92"/>
      <c r="W1933" s="92"/>
      <c r="X1933" s="92"/>
      <c r="Y1933" s="92"/>
      <c r="Z1933" s="92"/>
      <c r="AA1933" s="92"/>
      <c r="AB1933" s="92"/>
      <c r="AC1933" s="92"/>
      <c r="AD1933" s="93">
        <v>4453.04</v>
      </c>
      <c r="AE1933" s="92"/>
      <c r="AF1933" s="92"/>
      <c r="AG1933" s="93">
        <v>1226891.99</v>
      </c>
      <c r="AH1933" s="93">
        <v>0</v>
      </c>
    </row>
    <row r="1934" spans="1:34" ht="15.75" thickBot="1" x14ac:dyDescent="0.3">
      <c r="A1934" s="90" t="s">
        <v>1046</v>
      </c>
      <c r="B1934" s="90" t="s">
        <v>35</v>
      </c>
      <c r="C1934" s="90" t="s">
        <v>36</v>
      </c>
      <c r="D1934" s="90" t="s">
        <v>28</v>
      </c>
      <c r="E1934" s="90" t="s">
        <v>196</v>
      </c>
      <c r="F1934" s="90" t="s">
        <v>697</v>
      </c>
      <c r="G1934" s="95">
        <v>1222438.95</v>
      </c>
      <c r="H1934" s="94"/>
      <c r="I1934" s="94"/>
      <c r="J1934" s="94"/>
      <c r="K1934" s="94"/>
      <c r="L1934" s="94"/>
      <c r="M1934" s="94"/>
      <c r="N1934" s="94"/>
      <c r="O1934" s="94"/>
      <c r="P1934" s="95">
        <v>1222438.95</v>
      </c>
      <c r="Q1934" s="94"/>
      <c r="R1934" s="94"/>
      <c r="S1934" s="94"/>
      <c r="T1934" s="94"/>
      <c r="U1934" s="94"/>
      <c r="V1934" s="94"/>
      <c r="W1934" s="94"/>
      <c r="X1934" s="94"/>
      <c r="Y1934" s="94"/>
      <c r="Z1934" s="94"/>
      <c r="AA1934" s="94"/>
      <c r="AB1934" s="94"/>
      <c r="AC1934" s="94"/>
      <c r="AD1934" s="95">
        <v>4453.04</v>
      </c>
      <c r="AE1934" s="94"/>
      <c r="AF1934" s="94"/>
      <c r="AG1934" s="95">
        <v>1226891.99</v>
      </c>
      <c r="AH1934" s="95">
        <v>0</v>
      </c>
    </row>
    <row r="1935" spans="1:34" ht="15.75" thickBot="1" x14ac:dyDescent="0.3">
      <c r="A1935" s="90" t="s">
        <v>1046</v>
      </c>
      <c r="B1935" s="90" t="s">
        <v>35</v>
      </c>
      <c r="C1935" s="90" t="s">
        <v>36</v>
      </c>
      <c r="D1935" s="90" t="s">
        <v>28</v>
      </c>
      <c r="E1935" s="90" t="s">
        <v>674</v>
      </c>
      <c r="F1935" s="90" t="s">
        <v>686</v>
      </c>
      <c r="G1935" s="93">
        <v>-85.35</v>
      </c>
      <c r="H1935" s="92"/>
      <c r="I1935" s="92"/>
      <c r="J1935" s="92"/>
      <c r="K1935" s="92"/>
      <c r="L1935" s="92"/>
      <c r="M1935" s="92"/>
      <c r="N1935" s="92"/>
      <c r="O1935" s="92"/>
      <c r="P1935" s="92"/>
      <c r="Q1935" s="92"/>
      <c r="R1935" s="92"/>
      <c r="S1935" s="92"/>
      <c r="T1935" s="92"/>
      <c r="U1935" s="92"/>
      <c r="V1935" s="92"/>
      <c r="W1935" s="92"/>
      <c r="X1935" s="92"/>
      <c r="Y1935" s="93">
        <v>-85.35</v>
      </c>
      <c r="Z1935" s="92"/>
      <c r="AA1935" s="92"/>
      <c r="AB1935" s="92"/>
      <c r="AC1935" s="92"/>
      <c r="AD1935" s="93">
        <v>-1.57</v>
      </c>
      <c r="AE1935" s="92"/>
      <c r="AF1935" s="92"/>
      <c r="AG1935" s="93">
        <v>-86.92</v>
      </c>
      <c r="AH1935" s="93">
        <v>0</v>
      </c>
    </row>
    <row r="1936" spans="1:34" ht="15.75" thickBot="1" x14ac:dyDescent="0.3">
      <c r="A1936" s="90" t="s">
        <v>1046</v>
      </c>
      <c r="B1936" s="90" t="s">
        <v>35</v>
      </c>
      <c r="C1936" s="90" t="s">
        <v>36</v>
      </c>
      <c r="D1936" s="90" t="s">
        <v>28</v>
      </c>
      <c r="E1936" s="90" t="s">
        <v>674</v>
      </c>
      <c r="F1936" s="90" t="s">
        <v>697</v>
      </c>
      <c r="G1936" s="95">
        <v>-85.35</v>
      </c>
      <c r="H1936" s="94"/>
      <c r="I1936" s="94"/>
      <c r="J1936" s="94"/>
      <c r="K1936" s="94"/>
      <c r="L1936" s="94"/>
      <c r="M1936" s="94"/>
      <c r="N1936" s="94"/>
      <c r="O1936" s="94"/>
      <c r="P1936" s="94"/>
      <c r="Q1936" s="94"/>
      <c r="R1936" s="94"/>
      <c r="S1936" s="94"/>
      <c r="T1936" s="94"/>
      <c r="U1936" s="94"/>
      <c r="V1936" s="94"/>
      <c r="W1936" s="94"/>
      <c r="X1936" s="94"/>
      <c r="Y1936" s="95">
        <v>-85.35</v>
      </c>
      <c r="Z1936" s="94"/>
      <c r="AA1936" s="94"/>
      <c r="AB1936" s="94"/>
      <c r="AC1936" s="94"/>
      <c r="AD1936" s="95">
        <v>-1.57</v>
      </c>
      <c r="AE1936" s="94"/>
      <c r="AF1936" s="94"/>
      <c r="AG1936" s="95">
        <v>-86.92</v>
      </c>
      <c r="AH1936" s="95">
        <v>0</v>
      </c>
    </row>
    <row r="1937" spans="1:34" ht="15.75" thickBot="1" x14ac:dyDescent="0.3">
      <c r="A1937" s="90" t="s">
        <v>1046</v>
      </c>
      <c r="B1937" s="90" t="s">
        <v>37</v>
      </c>
      <c r="C1937" s="90" t="s">
        <v>38</v>
      </c>
      <c r="D1937" s="90" t="s">
        <v>20</v>
      </c>
      <c r="E1937" s="90" t="s">
        <v>528</v>
      </c>
      <c r="F1937" s="90" t="s">
        <v>686</v>
      </c>
      <c r="G1937" s="93">
        <v>13.5</v>
      </c>
      <c r="H1937" s="92"/>
      <c r="I1937" s="93">
        <v>13.5</v>
      </c>
      <c r="J1937" s="92"/>
      <c r="K1937" s="92"/>
      <c r="L1937" s="92"/>
      <c r="M1937" s="92"/>
      <c r="N1937" s="92"/>
      <c r="O1937" s="92"/>
      <c r="P1937" s="92"/>
      <c r="Q1937" s="92"/>
      <c r="R1937" s="92"/>
      <c r="S1937" s="92"/>
      <c r="T1937" s="92"/>
      <c r="U1937" s="92"/>
      <c r="V1937" s="92"/>
      <c r="W1937" s="92"/>
      <c r="X1937" s="92"/>
      <c r="Y1937" s="92"/>
      <c r="Z1937" s="92"/>
      <c r="AA1937" s="92"/>
      <c r="AB1937" s="92"/>
      <c r="AC1937" s="92"/>
      <c r="AD1937" s="93">
        <v>0</v>
      </c>
      <c r="AE1937" s="92"/>
      <c r="AF1937" s="92"/>
      <c r="AG1937" s="93">
        <v>13.5</v>
      </c>
      <c r="AH1937" s="93">
        <v>0</v>
      </c>
    </row>
    <row r="1938" spans="1:34" ht="15.75" thickBot="1" x14ac:dyDescent="0.3">
      <c r="A1938" s="90" t="s">
        <v>1046</v>
      </c>
      <c r="B1938" s="90" t="s">
        <v>37</v>
      </c>
      <c r="C1938" s="90" t="s">
        <v>38</v>
      </c>
      <c r="D1938" s="90" t="s">
        <v>20</v>
      </c>
      <c r="E1938" s="90" t="s">
        <v>528</v>
      </c>
      <c r="F1938" s="90" t="s">
        <v>697</v>
      </c>
      <c r="G1938" s="95">
        <v>13.5</v>
      </c>
      <c r="H1938" s="94"/>
      <c r="I1938" s="95">
        <v>13.5</v>
      </c>
      <c r="J1938" s="94"/>
      <c r="K1938" s="94"/>
      <c r="L1938" s="94"/>
      <c r="M1938" s="94"/>
      <c r="N1938" s="94"/>
      <c r="O1938" s="94"/>
      <c r="P1938" s="94"/>
      <c r="Q1938" s="94"/>
      <c r="R1938" s="94"/>
      <c r="S1938" s="94"/>
      <c r="T1938" s="94"/>
      <c r="U1938" s="94"/>
      <c r="V1938" s="94"/>
      <c r="W1938" s="94"/>
      <c r="X1938" s="94"/>
      <c r="Y1938" s="94"/>
      <c r="Z1938" s="94"/>
      <c r="AA1938" s="94"/>
      <c r="AB1938" s="94"/>
      <c r="AC1938" s="94"/>
      <c r="AD1938" s="95">
        <v>0</v>
      </c>
      <c r="AE1938" s="94"/>
      <c r="AF1938" s="94"/>
      <c r="AG1938" s="95">
        <v>13.5</v>
      </c>
      <c r="AH1938" s="95">
        <v>0</v>
      </c>
    </row>
    <row r="1939" spans="1:34" ht="15.75" thickBot="1" x14ac:dyDescent="0.3">
      <c r="A1939" s="90" t="s">
        <v>1046</v>
      </c>
      <c r="B1939" s="90" t="s">
        <v>37</v>
      </c>
      <c r="C1939" s="90" t="s">
        <v>38</v>
      </c>
      <c r="D1939" s="90" t="s">
        <v>20</v>
      </c>
      <c r="E1939" s="90" t="s">
        <v>518</v>
      </c>
      <c r="F1939" s="90" t="s">
        <v>686</v>
      </c>
      <c r="G1939" s="93">
        <v>29.84</v>
      </c>
      <c r="H1939" s="93">
        <v>104</v>
      </c>
      <c r="I1939" s="92"/>
      <c r="J1939" s="92"/>
      <c r="K1939" s="93">
        <v>29.84</v>
      </c>
      <c r="L1939" s="92"/>
      <c r="M1939" s="92"/>
      <c r="N1939" s="92"/>
      <c r="O1939" s="92"/>
      <c r="P1939" s="92"/>
      <c r="Q1939" s="92"/>
      <c r="R1939" s="92"/>
      <c r="S1939" s="92"/>
      <c r="T1939" s="92"/>
      <c r="U1939" s="92"/>
      <c r="V1939" s="92"/>
      <c r="W1939" s="92"/>
      <c r="X1939" s="92"/>
      <c r="Y1939" s="92"/>
      <c r="Z1939" s="92"/>
      <c r="AA1939" s="92"/>
      <c r="AB1939" s="92"/>
      <c r="AC1939" s="92"/>
      <c r="AD1939" s="93">
        <v>0</v>
      </c>
      <c r="AE1939" s="92"/>
      <c r="AF1939" s="92"/>
      <c r="AG1939" s="93">
        <v>29.84</v>
      </c>
      <c r="AH1939" s="93">
        <v>0</v>
      </c>
    </row>
    <row r="1940" spans="1:34" ht="15.75" thickBot="1" x14ac:dyDescent="0.3">
      <c r="A1940" s="90" t="s">
        <v>1046</v>
      </c>
      <c r="B1940" s="90" t="s">
        <v>37</v>
      </c>
      <c r="C1940" s="90" t="s">
        <v>38</v>
      </c>
      <c r="D1940" s="90" t="s">
        <v>20</v>
      </c>
      <c r="E1940" s="90" t="s">
        <v>518</v>
      </c>
      <c r="F1940" s="90" t="s">
        <v>697</v>
      </c>
      <c r="G1940" s="95">
        <v>29.84</v>
      </c>
      <c r="H1940" s="305">
        <v>104</v>
      </c>
      <c r="I1940" s="94"/>
      <c r="J1940" s="94"/>
      <c r="K1940" s="95">
        <v>29.84</v>
      </c>
      <c r="L1940" s="94"/>
      <c r="M1940" s="94"/>
      <c r="N1940" s="94"/>
      <c r="O1940" s="94"/>
      <c r="P1940" s="94"/>
      <c r="Q1940" s="94"/>
      <c r="R1940" s="94"/>
      <c r="S1940" s="94"/>
      <c r="T1940" s="94"/>
      <c r="U1940" s="94"/>
      <c r="V1940" s="94"/>
      <c r="W1940" s="94"/>
      <c r="X1940" s="94"/>
      <c r="Y1940" s="94"/>
      <c r="Z1940" s="94"/>
      <c r="AA1940" s="94"/>
      <c r="AB1940" s="94"/>
      <c r="AC1940" s="94"/>
      <c r="AD1940" s="95">
        <v>0</v>
      </c>
      <c r="AE1940" s="94"/>
      <c r="AF1940" s="94"/>
      <c r="AG1940" s="95">
        <v>29.84</v>
      </c>
      <c r="AH1940" s="95">
        <v>0</v>
      </c>
    </row>
    <row r="1941" spans="1:34" ht="15.75" thickBot="1" x14ac:dyDescent="0.3">
      <c r="A1941" s="90" t="s">
        <v>1046</v>
      </c>
      <c r="B1941" s="90" t="s">
        <v>37</v>
      </c>
      <c r="C1941" s="90" t="s">
        <v>38</v>
      </c>
      <c r="D1941" s="90" t="s">
        <v>20</v>
      </c>
      <c r="E1941" s="90" t="s">
        <v>727</v>
      </c>
      <c r="F1941" s="90" t="s">
        <v>686</v>
      </c>
      <c r="G1941" s="93">
        <v>1.1299999999999999</v>
      </c>
      <c r="H1941" s="92"/>
      <c r="I1941" s="92"/>
      <c r="J1941" s="92"/>
      <c r="K1941" s="92"/>
      <c r="L1941" s="92"/>
      <c r="M1941" s="92"/>
      <c r="N1941" s="92"/>
      <c r="O1941" s="93">
        <v>1.1299999999999999</v>
      </c>
      <c r="P1941" s="92"/>
      <c r="Q1941" s="92"/>
      <c r="R1941" s="92"/>
      <c r="S1941" s="92"/>
      <c r="T1941" s="92"/>
      <c r="U1941" s="92"/>
      <c r="V1941" s="92"/>
      <c r="W1941" s="92"/>
      <c r="X1941" s="92"/>
      <c r="Y1941" s="92"/>
      <c r="Z1941" s="92"/>
      <c r="AA1941" s="92"/>
      <c r="AB1941" s="92"/>
      <c r="AC1941" s="92"/>
      <c r="AD1941" s="93">
        <v>0</v>
      </c>
      <c r="AE1941" s="92"/>
      <c r="AF1941" s="92"/>
      <c r="AG1941" s="93">
        <v>1.1299999999999999</v>
      </c>
      <c r="AH1941" s="93">
        <v>0</v>
      </c>
    </row>
    <row r="1942" spans="1:34" ht="15.75" thickBot="1" x14ac:dyDescent="0.3">
      <c r="A1942" s="90" t="s">
        <v>1046</v>
      </c>
      <c r="B1942" s="90" t="s">
        <v>37</v>
      </c>
      <c r="C1942" s="90" t="s">
        <v>38</v>
      </c>
      <c r="D1942" s="90" t="s">
        <v>20</v>
      </c>
      <c r="E1942" s="90" t="s">
        <v>727</v>
      </c>
      <c r="F1942" s="90" t="s">
        <v>697</v>
      </c>
      <c r="G1942" s="95">
        <v>1.1299999999999999</v>
      </c>
      <c r="H1942" s="94"/>
      <c r="I1942" s="94"/>
      <c r="J1942" s="94"/>
      <c r="K1942" s="94"/>
      <c r="L1942" s="94"/>
      <c r="M1942" s="94"/>
      <c r="N1942" s="94"/>
      <c r="O1942" s="95">
        <v>1.1299999999999999</v>
      </c>
      <c r="P1942" s="94"/>
      <c r="Q1942" s="94"/>
      <c r="R1942" s="94"/>
      <c r="S1942" s="94"/>
      <c r="T1942" s="94"/>
      <c r="U1942" s="94"/>
      <c r="V1942" s="94"/>
      <c r="W1942" s="94"/>
      <c r="X1942" s="94"/>
      <c r="Y1942" s="94"/>
      <c r="Z1942" s="94"/>
      <c r="AA1942" s="94"/>
      <c r="AB1942" s="94"/>
      <c r="AC1942" s="94"/>
      <c r="AD1942" s="95">
        <v>0</v>
      </c>
      <c r="AE1942" s="94"/>
      <c r="AF1942" s="94"/>
      <c r="AG1942" s="95">
        <v>1.1299999999999999</v>
      </c>
      <c r="AH1942" s="95">
        <v>0</v>
      </c>
    </row>
    <row r="1943" spans="1:34" ht="15.75" thickBot="1" x14ac:dyDescent="0.3">
      <c r="A1943" s="90" t="s">
        <v>1046</v>
      </c>
      <c r="B1943" s="90" t="s">
        <v>37</v>
      </c>
      <c r="C1943" s="90" t="s">
        <v>38</v>
      </c>
      <c r="D1943" s="90" t="s">
        <v>20</v>
      </c>
      <c r="E1943" s="90" t="s">
        <v>673</v>
      </c>
      <c r="F1943" s="90" t="s">
        <v>686</v>
      </c>
      <c r="G1943" s="93">
        <v>5.14</v>
      </c>
      <c r="H1943" s="92"/>
      <c r="I1943" s="92"/>
      <c r="J1943" s="92"/>
      <c r="K1943" s="92"/>
      <c r="L1943" s="92"/>
      <c r="M1943" s="92"/>
      <c r="N1943" s="92"/>
      <c r="O1943" s="92"/>
      <c r="P1943" s="92"/>
      <c r="Q1943" s="92"/>
      <c r="R1943" s="92"/>
      <c r="S1943" s="92"/>
      <c r="T1943" s="92"/>
      <c r="U1943" s="92"/>
      <c r="V1943" s="92"/>
      <c r="W1943" s="92"/>
      <c r="X1943" s="93">
        <v>5.14</v>
      </c>
      <c r="Y1943" s="92"/>
      <c r="Z1943" s="92"/>
      <c r="AA1943" s="92"/>
      <c r="AB1943" s="92"/>
      <c r="AC1943" s="92"/>
      <c r="AD1943" s="93">
        <v>0</v>
      </c>
      <c r="AE1943" s="92"/>
      <c r="AF1943" s="92"/>
      <c r="AG1943" s="93">
        <v>5.14</v>
      </c>
      <c r="AH1943" s="93">
        <v>0</v>
      </c>
    </row>
    <row r="1944" spans="1:34" ht="15.75" thickBot="1" x14ac:dyDescent="0.3">
      <c r="A1944" s="90" t="s">
        <v>1046</v>
      </c>
      <c r="B1944" s="90" t="s">
        <v>37</v>
      </c>
      <c r="C1944" s="90" t="s">
        <v>38</v>
      </c>
      <c r="D1944" s="90" t="s">
        <v>20</v>
      </c>
      <c r="E1944" s="90" t="s">
        <v>673</v>
      </c>
      <c r="F1944" s="90" t="s">
        <v>697</v>
      </c>
      <c r="G1944" s="95">
        <v>5.14</v>
      </c>
      <c r="H1944" s="94"/>
      <c r="I1944" s="94"/>
      <c r="J1944" s="94"/>
      <c r="K1944" s="94"/>
      <c r="L1944" s="94"/>
      <c r="M1944" s="94"/>
      <c r="N1944" s="94"/>
      <c r="O1944" s="94"/>
      <c r="P1944" s="94"/>
      <c r="Q1944" s="94"/>
      <c r="R1944" s="94"/>
      <c r="S1944" s="94"/>
      <c r="T1944" s="94"/>
      <c r="U1944" s="94"/>
      <c r="V1944" s="94"/>
      <c r="W1944" s="94"/>
      <c r="X1944" s="95">
        <v>5.14</v>
      </c>
      <c r="Y1944" s="94"/>
      <c r="Z1944" s="94"/>
      <c r="AA1944" s="94"/>
      <c r="AB1944" s="94"/>
      <c r="AC1944" s="94"/>
      <c r="AD1944" s="95">
        <v>0</v>
      </c>
      <c r="AE1944" s="94"/>
      <c r="AF1944" s="94"/>
      <c r="AG1944" s="95">
        <v>5.14</v>
      </c>
      <c r="AH1944" s="95">
        <v>0</v>
      </c>
    </row>
    <row r="1945" spans="1:34" ht="15.75" thickBot="1" x14ac:dyDescent="0.3">
      <c r="A1945" s="90" t="s">
        <v>1046</v>
      </c>
      <c r="B1945" s="90" t="s">
        <v>37</v>
      </c>
      <c r="C1945" s="90" t="s">
        <v>38</v>
      </c>
      <c r="D1945" s="90" t="s">
        <v>20</v>
      </c>
      <c r="E1945" s="90" t="s">
        <v>196</v>
      </c>
      <c r="F1945" s="90" t="s">
        <v>686</v>
      </c>
      <c r="G1945" s="93">
        <v>37.86</v>
      </c>
      <c r="H1945" s="92"/>
      <c r="I1945" s="92"/>
      <c r="J1945" s="92"/>
      <c r="K1945" s="92"/>
      <c r="L1945" s="92"/>
      <c r="M1945" s="92"/>
      <c r="N1945" s="92"/>
      <c r="O1945" s="92"/>
      <c r="P1945" s="93">
        <v>37.86</v>
      </c>
      <c r="Q1945" s="92"/>
      <c r="R1945" s="92"/>
      <c r="S1945" s="92"/>
      <c r="T1945" s="92"/>
      <c r="U1945" s="92"/>
      <c r="V1945" s="92"/>
      <c r="W1945" s="92"/>
      <c r="X1945" s="92"/>
      <c r="Y1945" s="92"/>
      <c r="Z1945" s="92"/>
      <c r="AA1945" s="92"/>
      <c r="AB1945" s="92"/>
      <c r="AC1945" s="92"/>
      <c r="AD1945" s="93">
        <v>0</v>
      </c>
      <c r="AE1945" s="92"/>
      <c r="AF1945" s="92"/>
      <c r="AG1945" s="93">
        <v>37.86</v>
      </c>
      <c r="AH1945" s="93">
        <v>0</v>
      </c>
    </row>
    <row r="1946" spans="1:34" ht="15.75" thickBot="1" x14ac:dyDescent="0.3">
      <c r="A1946" s="90" t="s">
        <v>1046</v>
      </c>
      <c r="B1946" s="90" t="s">
        <v>37</v>
      </c>
      <c r="C1946" s="90" t="s">
        <v>38</v>
      </c>
      <c r="D1946" s="90" t="s">
        <v>20</v>
      </c>
      <c r="E1946" s="90" t="s">
        <v>196</v>
      </c>
      <c r="F1946" s="90" t="s">
        <v>697</v>
      </c>
      <c r="G1946" s="95">
        <v>37.86</v>
      </c>
      <c r="H1946" s="94"/>
      <c r="I1946" s="94"/>
      <c r="J1946" s="94"/>
      <c r="K1946" s="94"/>
      <c r="L1946" s="94"/>
      <c r="M1946" s="94"/>
      <c r="N1946" s="94"/>
      <c r="O1946" s="94"/>
      <c r="P1946" s="95">
        <v>37.86</v>
      </c>
      <c r="Q1946" s="94"/>
      <c r="R1946" s="94"/>
      <c r="S1946" s="94"/>
      <c r="T1946" s="94"/>
      <c r="U1946" s="94"/>
      <c r="V1946" s="94"/>
      <c r="W1946" s="94"/>
      <c r="X1946" s="94"/>
      <c r="Y1946" s="94"/>
      <c r="Z1946" s="94"/>
      <c r="AA1946" s="94"/>
      <c r="AB1946" s="94"/>
      <c r="AC1946" s="94"/>
      <c r="AD1946" s="95">
        <v>0</v>
      </c>
      <c r="AE1946" s="94"/>
      <c r="AF1946" s="94"/>
      <c r="AG1946" s="95">
        <v>37.86</v>
      </c>
      <c r="AH1946" s="95">
        <v>0</v>
      </c>
    </row>
    <row r="1947" spans="1:34" ht="15.75" thickBot="1" x14ac:dyDescent="0.3">
      <c r="A1947" s="90" t="s">
        <v>1046</v>
      </c>
      <c r="B1947" s="90" t="s">
        <v>37</v>
      </c>
      <c r="C1947" s="90" t="s">
        <v>38</v>
      </c>
      <c r="D1947" s="90" t="s">
        <v>28</v>
      </c>
      <c r="E1947" s="90" t="s">
        <v>528</v>
      </c>
      <c r="F1947" s="90" t="s">
        <v>686</v>
      </c>
      <c r="G1947" s="93">
        <v>27</v>
      </c>
      <c r="H1947" s="92"/>
      <c r="I1947" s="93">
        <v>27</v>
      </c>
      <c r="J1947" s="92"/>
      <c r="K1947" s="92"/>
      <c r="L1947" s="92"/>
      <c r="M1947" s="92"/>
      <c r="N1947" s="92"/>
      <c r="O1947" s="92"/>
      <c r="P1947" s="92"/>
      <c r="Q1947" s="92"/>
      <c r="R1947" s="92"/>
      <c r="S1947" s="92"/>
      <c r="T1947" s="92"/>
      <c r="U1947" s="92"/>
      <c r="V1947" s="92"/>
      <c r="W1947" s="92"/>
      <c r="X1947" s="92"/>
      <c r="Y1947" s="92"/>
      <c r="Z1947" s="92"/>
      <c r="AA1947" s="92"/>
      <c r="AB1947" s="92"/>
      <c r="AC1947" s="92"/>
      <c r="AD1947" s="93">
        <v>0</v>
      </c>
      <c r="AE1947" s="92"/>
      <c r="AF1947" s="92"/>
      <c r="AG1947" s="93">
        <v>27</v>
      </c>
      <c r="AH1947" s="93">
        <v>0</v>
      </c>
    </row>
    <row r="1948" spans="1:34" ht="15.75" thickBot="1" x14ac:dyDescent="0.3">
      <c r="A1948" s="90" t="s">
        <v>1046</v>
      </c>
      <c r="B1948" s="90" t="s">
        <v>37</v>
      </c>
      <c r="C1948" s="90" t="s">
        <v>38</v>
      </c>
      <c r="D1948" s="90" t="s">
        <v>28</v>
      </c>
      <c r="E1948" s="90" t="s">
        <v>528</v>
      </c>
      <c r="F1948" s="90" t="s">
        <v>697</v>
      </c>
      <c r="G1948" s="95">
        <v>27</v>
      </c>
      <c r="H1948" s="94"/>
      <c r="I1948" s="95">
        <v>27</v>
      </c>
      <c r="J1948" s="94"/>
      <c r="K1948" s="94"/>
      <c r="L1948" s="94"/>
      <c r="M1948" s="94"/>
      <c r="N1948" s="94"/>
      <c r="O1948" s="94"/>
      <c r="P1948" s="94"/>
      <c r="Q1948" s="94"/>
      <c r="R1948" s="94"/>
      <c r="S1948" s="94"/>
      <c r="T1948" s="94"/>
      <c r="U1948" s="94"/>
      <c r="V1948" s="94"/>
      <c r="W1948" s="94"/>
      <c r="X1948" s="94"/>
      <c r="Y1948" s="94"/>
      <c r="Z1948" s="94"/>
      <c r="AA1948" s="94"/>
      <c r="AB1948" s="94"/>
      <c r="AC1948" s="94"/>
      <c r="AD1948" s="95">
        <v>0</v>
      </c>
      <c r="AE1948" s="94"/>
      <c r="AF1948" s="94"/>
      <c r="AG1948" s="95">
        <v>27</v>
      </c>
      <c r="AH1948" s="95">
        <v>0</v>
      </c>
    </row>
    <row r="1949" spans="1:34" ht="15.75" thickBot="1" x14ac:dyDescent="0.3">
      <c r="A1949" s="90" t="s">
        <v>1046</v>
      </c>
      <c r="B1949" s="90" t="s">
        <v>37</v>
      </c>
      <c r="C1949" s="90" t="s">
        <v>38</v>
      </c>
      <c r="D1949" s="90" t="s">
        <v>28</v>
      </c>
      <c r="E1949" s="90" t="s">
        <v>518</v>
      </c>
      <c r="F1949" s="90" t="s">
        <v>686</v>
      </c>
      <c r="G1949" s="93">
        <v>45.91</v>
      </c>
      <c r="H1949" s="93">
        <v>160</v>
      </c>
      <c r="I1949" s="92"/>
      <c r="J1949" s="92"/>
      <c r="K1949" s="93">
        <v>45.91</v>
      </c>
      <c r="L1949" s="92"/>
      <c r="M1949" s="92"/>
      <c r="N1949" s="92"/>
      <c r="O1949" s="92"/>
      <c r="P1949" s="92"/>
      <c r="Q1949" s="92"/>
      <c r="R1949" s="92"/>
      <c r="S1949" s="92"/>
      <c r="T1949" s="92"/>
      <c r="U1949" s="92"/>
      <c r="V1949" s="92"/>
      <c r="W1949" s="92"/>
      <c r="X1949" s="92"/>
      <c r="Y1949" s="92"/>
      <c r="Z1949" s="92"/>
      <c r="AA1949" s="92"/>
      <c r="AB1949" s="92"/>
      <c r="AC1949" s="92"/>
      <c r="AD1949" s="93">
        <v>0</v>
      </c>
      <c r="AE1949" s="92"/>
      <c r="AF1949" s="92"/>
      <c r="AG1949" s="93">
        <v>45.91</v>
      </c>
      <c r="AH1949" s="93">
        <v>0</v>
      </c>
    </row>
    <row r="1950" spans="1:34" ht="15.75" thickBot="1" x14ac:dyDescent="0.3">
      <c r="A1950" s="90" t="s">
        <v>1046</v>
      </c>
      <c r="B1950" s="90" t="s">
        <v>37</v>
      </c>
      <c r="C1950" s="90" t="s">
        <v>38</v>
      </c>
      <c r="D1950" s="90" t="s">
        <v>28</v>
      </c>
      <c r="E1950" s="90" t="s">
        <v>518</v>
      </c>
      <c r="F1950" s="90" t="s">
        <v>697</v>
      </c>
      <c r="G1950" s="95">
        <v>45.91</v>
      </c>
      <c r="H1950" s="305">
        <v>160</v>
      </c>
      <c r="I1950" s="94"/>
      <c r="J1950" s="94"/>
      <c r="K1950" s="95">
        <v>45.91</v>
      </c>
      <c r="L1950" s="94"/>
      <c r="M1950" s="94"/>
      <c r="N1950" s="94"/>
      <c r="O1950" s="94"/>
      <c r="P1950" s="94"/>
      <c r="Q1950" s="94"/>
      <c r="R1950" s="94"/>
      <c r="S1950" s="94"/>
      <c r="T1950" s="94"/>
      <c r="U1950" s="94"/>
      <c r="V1950" s="94"/>
      <c r="W1950" s="94"/>
      <c r="X1950" s="94"/>
      <c r="Y1950" s="94"/>
      <c r="Z1950" s="94"/>
      <c r="AA1950" s="94"/>
      <c r="AB1950" s="94"/>
      <c r="AC1950" s="94"/>
      <c r="AD1950" s="95">
        <v>0</v>
      </c>
      <c r="AE1950" s="94"/>
      <c r="AF1950" s="94"/>
      <c r="AG1950" s="95">
        <v>45.91</v>
      </c>
      <c r="AH1950" s="95">
        <v>0</v>
      </c>
    </row>
    <row r="1951" spans="1:34" ht="15.75" thickBot="1" x14ac:dyDescent="0.3">
      <c r="A1951" s="90" t="s">
        <v>1046</v>
      </c>
      <c r="B1951" s="90" t="s">
        <v>37</v>
      </c>
      <c r="C1951" s="90" t="s">
        <v>38</v>
      </c>
      <c r="D1951" s="90" t="s">
        <v>28</v>
      </c>
      <c r="E1951" s="90" t="s">
        <v>727</v>
      </c>
      <c r="F1951" s="90" t="s">
        <v>686</v>
      </c>
      <c r="G1951" s="93">
        <v>1.73</v>
      </c>
      <c r="H1951" s="92"/>
      <c r="I1951" s="92"/>
      <c r="J1951" s="92"/>
      <c r="K1951" s="92"/>
      <c r="L1951" s="92"/>
      <c r="M1951" s="92"/>
      <c r="N1951" s="92"/>
      <c r="O1951" s="93">
        <v>1.73</v>
      </c>
      <c r="P1951" s="92"/>
      <c r="Q1951" s="92"/>
      <c r="R1951" s="92"/>
      <c r="S1951" s="92"/>
      <c r="T1951" s="92"/>
      <c r="U1951" s="92"/>
      <c r="V1951" s="92"/>
      <c r="W1951" s="92"/>
      <c r="X1951" s="92"/>
      <c r="Y1951" s="92"/>
      <c r="Z1951" s="92"/>
      <c r="AA1951" s="92"/>
      <c r="AB1951" s="92"/>
      <c r="AC1951" s="92"/>
      <c r="AD1951" s="93">
        <v>0</v>
      </c>
      <c r="AE1951" s="92"/>
      <c r="AF1951" s="92"/>
      <c r="AG1951" s="93">
        <v>1.73</v>
      </c>
      <c r="AH1951" s="93">
        <v>0</v>
      </c>
    </row>
    <row r="1952" spans="1:34" ht="15.75" thickBot="1" x14ac:dyDescent="0.3">
      <c r="A1952" s="90" t="s">
        <v>1046</v>
      </c>
      <c r="B1952" s="90" t="s">
        <v>37</v>
      </c>
      <c r="C1952" s="90" t="s">
        <v>38</v>
      </c>
      <c r="D1952" s="90" t="s">
        <v>28</v>
      </c>
      <c r="E1952" s="90" t="s">
        <v>727</v>
      </c>
      <c r="F1952" s="90" t="s">
        <v>697</v>
      </c>
      <c r="G1952" s="95">
        <v>1.73</v>
      </c>
      <c r="H1952" s="94"/>
      <c r="I1952" s="94"/>
      <c r="J1952" s="94"/>
      <c r="K1952" s="94"/>
      <c r="L1952" s="94"/>
      <c r="M1952" s="94"/>
      <c r="N1952" s="94"/>
      <c r="O1952" s="95">
        <v>1.73</v>
      </c>
      <c r="P1952" s="94"/>
      <c r="Q1952" s="94"/>
      <c r="R1952" s="94"/>
      <c r="S1952" s="94"/>
      <c r="T1952" s="94"/>
      <c r="U1952" s="94"/>
      <c r="V1952" s="94"/>
      <c r="W1952" s="94"/>
      <c r="X1952" s="94"/>
      <c r="Y1952" s="94"/>
      <c r="Z1952" s="94"/>
      <c r="AA1952" s="94"/>
      <c r="AB1952" s="94"/>
      <c r="AC1952" s="94"/>
      <c r="AD1952" s="95">
        <v>0</v>
      </c>
      <c r="AE1952" s="94"/>
      <c r="AF1952" s="94"/>
      <c r="AG1952" s="95">
        <v>1.73</v>
      </c>
      <c r="AH1952" s="95">
        <v>0</v>
      </c>
    </row>
    <row r="1953" spans="1:34" ht="15.75" thickBot="1" x14ac:dyDescent="0.3">
      <c r="A1953" s="90" t="s">
        <v>1046</v>
      </c>
      <c r="B1953" s="90" t="s">
        <v>37</v>
      </c>
      <c r="C1953" s="90" t="s">
        <v>38</v>
      </c>
      <c r="D1953" s="90" t="s">
        <v>28</v>
      </c>
      <c r="E1953" s="90" t="s">
        <v>673</v>
      </c>
      <c r="F1953" s="90" t="s">
        <v>686</v>
      </c>
      <c r="G1953" s="93">
        <v>10.28</v>
      </c>
      <c r="H1953" s="92"/>
      <c r="I1953" s="92"/>
      <c r="J1953" s="92"/>
      <c r="K1953" s="92"/>
      <c r="L1953" s="92"/>
      <c r="M1953" s="92"/>
      <c r="N1953" s="92"/>
      <c r="O1953" s="92"/>
      <c r="P1953" s="92"/>
      <c r="Q1953" s="92"/>
      <c r="R1953" s="92"/>
      <c r="S1953" s="92"/>
      <c r="T1953" s="92"/>
      <c r="U1953" s="92"/>
      <c r="V1953" s="92"/>
      <c r="W1953" s="92"/>
      <c r="X1953" s="93">
        <v>10.28</v>
      </c>
      <c r="Y1953" s="92"/>
      <c r="Z1953" s="92"/>
      <c r="AA1953" s="92"/>
      <c r="AB1953" s="92"/>
      <c r="AC1953" s="92"/>
      <c r="AD1953" s="93">
        <v>0</v>
      </c>
      <c r="AE1953" s="92"/>
      <c r="AF1953" s="92"/>
      <c r="AG1953" s="93">
        <v>10.28</v>
      </c>
      <c r="AH1953" s="93">
        <v>0</v>
      </c>
    </row>
    <row r="1954" spans="1:34" ht="15.75" thickBot="1" x14ac:dyDescent="0.3">
      <c r="A1954" s="90" t="s">
        <v>1046</v>
      </c>
      <c r="B1954" s="90" t="s">
        <v>37</v>
      </c>
      <c r="C1954" s="90" t="s">
        <v>38</v>
      </c>
      <c r="D1954" s="90" t="s">
        <v>28</v>
      </c>
      <c r="E1954" s="90" t="s">
        <v>673</v>
      </c>
      <c r="F1954" s="90" t="s">
        <v>697</v>
      </c>
      <c r="G1954" s="95">
        <v>10.28</v>
      </c>
      <c r="H1954" s="94"/>
      <c r="I1954" s="94"/>
      <c r="J1954" s="94"/>
      <c r="K1954" s="94"/>
      <c r="L1954" s="94"/>
      <c r="M1954" s="94"/>
      <c r="N1954" s="94"/>
      <c r="O1954" s="94"/>
      <c r="P1954" s="94"/>
      <c r="Q1954" s="94"/>
      <c r="R1954" s="94"/>
      <c r="S1954" s="94"/>
      <c r="T1954" s="94"/>
      <c r="U1954" s="94"/>
      <c r="V1954" s="94"/>
      <c r="W1954" s="94"/>
      <c r="X1954" s="95">
        <v>10.28</v>
      </c>
      <c r="Y1954" s="94"/>
      <c r="Z1954" s="94"/>
      <c r="AA1954" s="94"/>
      <c r="AB1954" s="94"/>
      <c r="AC1954" s="94"/>
      <c r="AD1954" s="95">
        <v>0</v>
      </c>
      <c r="AE1954" s="94"/>
      <c r="AF1954" s="94"/>
      <c r="AG1954" s="95">
        <v>10.28</v>
      </c>
      <c r="AH1954" s="95">
        <v>0</v>
      </c>
    </row>
    <row r="1955" spans="1:34" ht="15.75" thickBot="1" x14ac:dyDescent="0.3">
      <c r="A1955" s="90" t="s">
        <v>1046</v>
      </c>
      <c r="B1955" s="90" t="s">
        <v>37</v>
      </c>
      <c r="C1955" s="90" t="s">
        <v>38</v>
      </c>
      <c r="D1955" s="90" t="s">
        <v>28</v>
      </c>
      <c r="E1955" s="90" t="s">
        <v>196</v>
      </c>
      <c r="F1955" s="90" t="s">
        <v>686</v>
      </c>
      <c r="G1955" s="93">
        <v>59.76</v>
      </c>
      <c r="H1955" s="92"/>
      <c r="I1955" s="92"/>
      <c r="J1955" s="92"/>
      <c r="K1955" s="92"/>
      <c r="L1955" s="92"/>
      <c r="M1955" s="92"/>
      <c r="N1955" s="92"/>
      <c r="O1955" s="92"/>
      <c r="P1955" s="93">
        <v>59.76</v>
      </c>
      <c r="Q1955" s="92"/>
      <c r="R1955" s="92"/>
      <c r="S1955" s="92"/>
      <c r="T1955" s="92"/>
      <c r="U1955" s="92"/>
      <c r="V1955" s="92"/>
      <c r="W1955" s="92"/>
      <c r="X1955" s="92"/>
      <c r="Y1955" s="92"/>
      <c r="Z1955" s="92"/>
      <c r="AA1955" s="92"/>
      <c r="AB1955" s="92"/>
      <c r="AC1955" s="92"/>
      <c r="AD1955" s="93">
        <v>0</v>
      </c>
      <c r="AE1955" s="92"/>
      <c r="AF1955" s="92"/>
      <c r="AG1955" s="93">
        <v>59.76</v>
      </c>
      <c r="AH1955" s="93">
        <v>0</v>
      </c>
    </row>
    <row r="1956" spans="1:34" ht="15.75" thickBot="1" x14ac:dyDescent="0.3">
      <c r="A1956" s="90" t="s">
        <v>1046</v>
      </c>
      <c r="B1956" s="90" t="s">
        <v>37</v>
      </c>
      <c r="C1956" s="90" t="s">
        <v>38</v>
      </c>
      <c r="D1956" s="90" t="s">
        <v>28</v>
      </c>
      <c r="E1956" s="90" t="s">
        <v>196</v>
      </c>
      <c r="F1956" s="90" t="s">
        <v>697</v>
      </c>
      <c r="G1956" s="95">
        <v>59.76</v>
      </c>
      <c r="H1956" s="94"/>
      <c r="I1956" s="94"/>
      <c r="J1956" s="94"/>
      <c r="K1956" s="94"/>
      <c r="L1956" s="94"/>
      <c r="M1956" s="94"/>
      <c r="N1956" s="94"/>
      <c r="O1956" s="94"/>
      <c r="P1956" s="95">
        <v>59.76</v>
      </c>
      <c r="Q1956" s="94"/>
      <c r="R1956" s="94"/>
      <c r="S1956" s="94"/>
      <c r="T1956" s="94"/>
      <c r="U1956" s="94"/>
      <c r="V1956" s="94"/>
      <c r="W1956" s="94"/>
      <c r="X1956" s="94"/>
      <c r="Y1956" s="94"/>
      <c r="Z1956" s="94"/>
      <c r="AA1956" s="94"/>
      <c r="AB1956" s="94"/>
      <c r="AC1956" s="94"/>
      <c r="AD1956" s="95">
        <v>0</v>
      </c>
      <c r="AE1956" s="94"/>
      <c r="AF1956" s="94"/>
      <c r="AG1956" s="95">
        <v>59.76</v>
      </c>
      <c r="AH1956" s="95">
        <v>0</v>
      </c>
    </row>
    <row r="1957" spans="1:34" ht="15.75" thickBot="1" x14ac:dyDescent="0.3">
      <c r="A1957" s="90" t="s">
        <v>1046</v>
      </c>
      <c r="B1957" s="90" t="s">
        <v>29</v>
      </c>
      <c r="C1957" s="90" t="s">
        <v>30</v>
      </c>
      <c r="D1957" s="90" t="s">
        <v>17</v>
      </c>
      <c r="E1957" s="90" t="s">
        <v>726</v>
      </c>
      <c r="F1957" s="90" t="s">
        <v>686</v>
      </c>
      <c r="G1957" s="92"/>
      <c r="H1957" s="92"/>
      <c r="I1957" s="92"/>
      <c r="J1957" s="92"/>
      <c r="K1957" s="92"/>
      <c r="L1957" s="92"/>
      <c r="M1957" s="92"/>
      <c r="N1957" s="92"/>
      <c r="O1957" s="92"/>
      <c r="P1957" s="92"/>
      <c r="Q1957" s="92"/>
      <c r="R1957" s="92"/>
      <c r="S1957" s="92"/>
      <c r="T1957" s="92"/>
      <c r="U1957" s="92"/>
      <c r="V1957" s="92"/>
      <c r="W1957" s="92"/>
      <c r="X1957" s="92"/>
      <c r="Y1957" s="92"/>
      <c r="Z1957" s="92"/>
      <c r="AA1957" s="92"/>
      <c r="AB1957" s="92"/>
      <c r="AC1957" s="93">
        <v>2.44</v>
      </c>
      <c r="AD1957" s="93">
        <v>0.14000000000000001</v>
      </c>
      <c r="AE1957" s="92"/>
      <c r="AF1957" s="92"/>
      <c r="AG1957" s="93">
        <v>2.58</v>
      </c>
      <c r="AH1957" s="93">
        <v>0</v>
      </c>
    </row>
    <row r="1958" spans="1:34" ht="15.75" thickBot="1" x14ac:dyDescent="0.3">
      <c r="A1958" s="90" t="s">
        <v>1046</v>
      </c>
      <c r="B1958" s="90" t="s">
        <v>29</v>
      </c>
      <c r="C1958" s="90" t="s">
        <v>30</v>
      </c>
      <c r="D1958" s="90" t="s">
        <v>17</v>
      </c>
      <c r="E1958" s="90" t="s">
        <v>726</v>
      </c>
      <c r="F1958" s="90" t="s">
        <v>697</v>
      </c>
      <c r="G1958" s="94"/>
      <c r="H1958" s="94"/>
      <c r="I1958" s="94"/>
      <c r="J1958" s="94"/>
      <c r="K1958" s="94"/>
      <c r="L1958" s="94"/>
      <c r="M1958" s="94"/>
      <c r="N1958" s="94"/>
      <c r="O1958" s="94"/>
      <c r="P1958" s="94"/>
      <c r="Q1958" s="94"/>
      <c r="R1958" s="94"/>
      <c r="S1958" s="94"/>
      <c r="T1958" s="94"/>
      <c r="U1958" s="94"/>
      <c r="V1958" s="94"/>
      <c r="W1958" s="94"/>
      <c r="X1958" s="94"/>
      <c r="Y1958" s="94"/>
      <c r="Z1958" s="94"/>
      <c r="AA1958" s="94"/>
      <c r="AB1958" s="94"/>
      <c r="AC1958" s="95">
        <v>2.44</v>
      </c>
      <c r="AD1958" s="95">
        <v>0.14000000000000001</v>
      </c>
      <c r="AE1958" s="94"/>
      <c r="AF1958" s="94"/>
      <c r="AG1958" s="95">
        <v>2.58</v>
      </c>
      <c r="AH1958" s="95">
        <v>0</v>
      </c>
    </row>
    <row r="1959" spans="1:34" ht="15.75" thickBot="1" x14ac:dyDescent="0.3">
      <c r="A1959" s="90" t="s">
        <v>1046</v>
      </c>
      <c r="B1959" s="90" t="s">
        <v>29</v>
      </c>
      <c r="C1959" s="90" t="s">
        <v>30</v>
      </c>
      <c r="D1959" s="90" t="s">
        <v>17</v>
      </c>
      <c r="E1959" s="90" t="s">
        <v>528</v>
      </c>
      <c r="F1959" s="90" t="s">
        <v>686</v>
      </c>
      <c r="G1959" s="93">
        <v>24800</v>
      </c>
      <c r="H1959" s="92"/>
      <c r="I1959" s="93">
        <v>24800</v>
      </c>
      <c r="J1959" s="92"/>
      <c r="K1959" s="92"/>
      <c r="L1959" s="92"/>
      <c r="M1959" s="92"/>
      <c r="N1959" s="92"/>
      <c r="O1959" s="92"/>
      <c r="P1959" s="92"/>
      <c r="Q1959" s="92"/>
      <c r="R1959" s="92"/>
      <c r="S1959" s="92"/>
      <c r="T1959" s="92"/>
      <c r="U1959" s="92"/>
      <c r="V1959" s="92"/>
      <c r="W1959" s="92"/>
      <c r="X1959" s="92"/>
      <c r="Y1959" s="92"/>
      <c r="Z1959" s="92"/>
      <c r="AA1959" s="92"/>
      <c r="AB1959" s="92"/>
      <c r="AC1959" s="92"/>
      <c r="AD1959" s="93">
        <v>1573.58</v>
      </c>
      <c r="AE1959" s="92"/>
      <c r="AF1959" s="92"/>
      <c r="AG1959" s="93">
        <v>26373.58</v>
      </c>
      <c r="AH1959" s="93">
        <v>0</v>
      </c>
    </row>
    <row r="1960" spans="1:34" ht="15.75" thickBot="1" x14ac:dyDescent="0.3">
      <c r="A1960" s="90" t="s">
        <v>1046</v>
      </c>
      <c r="B1960" s="90" t="s">
        <v>29</v>
      </c>
      <c r="C1960" s="90" t="s">
        <v>30</v>
      </c>
      <c r="D1960" s="90" t="s">
        <v>17</v>
      </c>
      <c r="E1960" s="90" t="s">
        <v>528</v>
      </c>
      <c r="F1960" s="90" t="s">
        <v>697</v>
      </c>
      <c r="G1960" s="95">
        <v>24800</v>
      </c>
      <c r="H1960" s="94"/>
      <c r="I1960" s="95">
        <v>24800</v>
      </c>
      <c r="J1960" s="94"/>
      <c r="K1960" s="94"/>
      <c r="L1960" s="94"/>
      <c r="M1960" s="94"/>
      <c r="N1960" s="94"/>
      <c r="O1960" s="94"/>
      <c r="P1960" s="94"/>
      <c r="Q1960" s="94"/>
      <c r="R1960" s="94"/>
      <c r="S1960" s="94"/>
      <c r="T1960" s="94"/>
      <c r="U1960" s="94"/>
      <c r="V1960" s="94"/>
      <c r="W1960" s="94"/>
      <c r="X1960" s="94"/>
      <c r="Y1960" s="94"/>
      <c r="Z1960" s="94"/>
      <c r="AA1960" s="94"/>
      <c r="AB1960" s="94"/>
      <c r="AC1960" s="94"/>
      <c r="AD1960" s="95">
        <v>1573.58</v>
      </c>
      <c r="AE1960" s="94"/>
      <c r="AF1960" s="94"/>
      <c r="AG1960" s="95">
        <v>26373.58</v>
      </c>
      <c r="AH1960" s="95">
        <v>0</v>
      </c>
    </row>
    <row r="1961" spans="1:34" ht="15.75" thickBot="1" x14ac:dyDescent="0.3">
      <c r="A1961" s="90" t="s">
        <v>1046</v>
      </c>
      <c r="B1961" s="90" t="s">
        <v>29</v>
      </c>
      <c r="C1961" s="90" t="s">
        <v>30</v>
      </c>
      <c r="D1961" s="90" t="s">
        <v>17</v>
      </c>
      <c r="E1961" s="90" t="s">
        <v>518</v>
      </c>
      <c r="F1961" s="90" t="s">
        <v>686</v>
      </c>
      <c r="G1961" s="93">
        <v>134.77000000000001</v>
      </c>
      <c r="H1961" s="93">
        <v>613</v>
      </c>
      <c r="I1961" s="92"/>
      <c r="J1961" s="92"/>
      <c r="K1961" s="93">
        <v>134.77000000000001</v>
      </c>
      <c r="L1961" s="92"/>
      <c r="M1961" s="92"/>
      <c r="N1961" s="92"/>
      <c r="O1961" s="92"/>
      <c r="P1961" s="92"/>
      <c r="Q1961" s="92"/>
      <c r="R1961" s="92"/>
      <c r="S1961" s="92"/>
      <c r="T1961" s="92"/>
      <c r="U1961" s="92"/>
      <c r="V1961" s="92"/>
      <c r="W1961" s="92"/>
      <c r="X1961" s="92"/>
      <c r="Y1961" s="92"/>
      <c r="Z1961" s="92"/>
      <c r="AA1961" s="92"/>
      <c r="AB1961" s="92"/>
      <c r="AC1961" s="92"/>
      <c r="AD1961" s="93">
        <v>6.85</v>
      </c>
      <c r="AE1961" s="92"/>
      <c r="AF1961" s="92"/>
      <c r="AG1961" s="93">
        <v>141.62</v>
      </c>
      <c r="AH1961" s="93">
        <v>0</v>
      </c>
    </row>
    <row r="1962" spans="1:34" ht="15.75" thickBot="1" x14ac:dyDescent="0.3">
      <c r="A1962" s="90" t="s">
        <v>1046</v>
      </c>
      <c r="B1962" s="90" t="s">
        <v>29</v>
      </c>
      <c r="C1962" s="90" t="s">
        <v>30</v>
      </c>
      <c r="D1962" s="90" t="s">
        <v>17</v>
      </c>
      <c r="E1962" s="90" t="s">
        <v>518</v>
      </c>
      <c r="F1962" s="90" t="s">
        <v>697</v>
      </c>
      <c r="G1962" s="95">
        <v>134.77000000000001</v>
      </c>
      <c r="H1962" s="305">
        <v>613</v>
      </c>
      <c r="I1962" s="94"/>
      <c r="J1962" s="94"/>
      <c r="K1962" s="95">
        <v>134.77000000000001</v>
      </c>
      <c r="L1962" s="94"/>
      <c r="M1962" s="94"/>
      <c r="N1962" s="94"/>
      <c r="O1962" s="94"/>
      <c r="P1962" s="94"/>
      <c r="Q1962" s="94"/>
      <c r="R1962" s="94"/>
      <c r="S1962" s="94"/>
      <c r="T1962" s="94"/>
      <c r="U1962" s="94"/>
      <c r="V1962" s="94"/>
      <c r="W1962" s="94"/>
      <c r="X1962" s="94"/>
      <c r="Y1962" s="94"/>
      <c r="Z1962" s="94"/>
      <c r="AA1962" s="94"/>
      <c r="AB1962" s="94"/>
      <c r="AC1962" s="94"/>
      <c r="AD1962" s="95">
        <v>6.85</v>
      </c>
      <c r="AE1962" s="94"/>
      <c r="AF1962" s="94"/>
      <c r="AG1962" s="95">
        <v>141.62</v>
      </c>
      <c r="AH1962" s="95">
        <v>0</v>
      </c>
    </row>
    <row r="1963" spans="1:34" ht="15.75" thickBot="1" x14ac:dyDescent="0.3">
      <c r="A1963" s="90" t="s">
        <v>1046</v>
      </c>
      <c r="B1963" s="90" t="s">
        <v>29</v>
      </c>
      <c r="C1963" s="90" t="s">
        <v>30</v>
      </c>
      <c r="D1963" s="90" t="s">
        <v>17</v>
      </c>
      <c r="E1963" s="90" t="s">
        <v>196</v>
      </c>
      <c r="F1963" s="90" t="s">
        <v>686</v>
      </c>
      <c r="G1963" s="93">
        <v>222.77</v>
      </c>
      <c r="H1963" s="92"/>
      <c r="I1963" s="92"/>
      <c r="J1963" s="92"/>
      <c r="K1963" s="92"/>
      <c r="L1963" s="92"/>
      <c r="M1963" s="92"/>
      <c r="N1963" s="92"/>
      <c r="O1963" s="92"/>
      <c r="P1963" s="93">
        <v>222.77</v>
      </c>
      <c r="Q1963" s="92"/>
      <c r="R1963" s="92"/>
      <c r="S1963" s="92"/>
      <c r="T1963" s="92"/>
      <c r="U1963" s="92"/>
      <c r="V1963" s="92"/>
      <c r="W1963" s="92"/>
      <c r="X1963" s="92"/>
      <c r="Y1963" s="92"/>
      <c r="Z1963" s="92"/>
      <c r="AA1963" s="92"/>
      <c r="AB1963" s="92"/>
      <c r="AC1963" s="92"/>
      <c r="AD1963" s="93">
        <v>12.92</v>
      </c>
      <c r="AE1963" s="92"/>
      <c r="AF1963" s="92"/>
      <c r="AG1963" s="93">
        <v>235.69</v>
      </c>
      <c r="AH1963" s="93">
        <v>0</v>
      </c>
    </row>
    <row r="1964" spans="1:34" ht="15.75" thickBot="1" x14ac:dyDescent="0.3">
      <c r="A1964" s="90" t="s">
        <v>1046</v>
      </c>
      <c r="B1964" s="90" t="s">
        <v>29</v>
      </c>
      <c r="C1964" s="90" t="s">
        <v>30</v>
      </c>
      <c r="D1964" s="90" t="s">
        <v>17</v>
      </c>
      <c r="E1964" s="90" t="s">
        <v>196</v>
      </c>
      <c r="F1964" s="90" t="s">
        <v>697</v>
      </c>
      <c r="G1964" s="95">
        <v>222.77</v>
      </c>
      <c r="H1964" s="94"/>
      <c r="I1964" s="94"/>
      <c r="J1964" s="94"/>
      <c r="K1964" s="94"/>
      <c r="L1964" s="94"/>
      <c r="M1964" s="94"/>
      <c r="N1964" s="94"/>
      <c r="O1964" s="94"/>
      <c r="P1964" s="95">
        <v>222.77</v>
      </c>
      <c r="Q1964" s="94"/>
      <c r="R1964" s="94"/>
      <c r="S1964" s="94"/>
      <c r="T1964" s="94"/>
      <c r="U1964" s="94"/>
      <c r="V1964" s="94"/>
      <c r="W1964" s="94"/>
      <c r="X1964" s="94"/>
      <c r="Y1964" s="94"/>
      <c r="Z1964" s="94"/>
      <c r="AA1964" s="94"/>
      <c r="AB1964" s="94"/>
      <c r="AC1964" s="94"/>
      <c r="AD1964" s="95">
        <v>12.92</v>
      </c>
      <c r="AE1964" s="94"/>
      <c r="AF1964" s="94"/>
      <c r="AG1964" s="95">
        <v>235.69</v>
      </c>
      <c r="AH1964" s="95">
        <v>0</v>
      </c>
    </row>
    <row r="1965" spans="1:34" ht="15.75" thickBot="1" x14ac:dyDescent="0.3">
      <c r="A1965" s="90" t="s">
        <v>1056</v>
      </c>
      <c r="B1965" s="90" t="s">
        <v>26</v>
      </c>
      <c r="C1965" s="90" t="s">
        <v>875</v>
      </c>
      <c r="D1965" s="90" t="s">
        <v>17</v>
      </c>
      <c r="E1965" s="90" t="s">
        <v>726</v>
      </c>
      <c r="F1965" s="90" t="s">
        <v>686</v>
      </c>
      <c r="G1965" s="92"/>
      <c r="H1965" s="92"/>
      <c r="I1965" s="92"/>
      <c r="J1965" s="92"/>
      <c r="K1965" s="92"/>
      <c r="L1965" s="92"/>
      <c r="M1965" s="92"/>
      <c r="N1965" s="92"/>
      <c r="O1965" s="92"/>
      <c r="P1965" s="92"/>
      <c r="Q1965" s="92"/>
      <c r="R1965" s="92"/>
      <c r="S1965" s="92"/>
      <c r="T1965" s="92"/>
      <c r="U1965" s="92"/>
      <c r="V1965" s="92"/>
      <c r="W1965" s="92"/>
      <c r="X1965" s="92"/>
      <c r="Y1965" s="92"/>
      <c r="Z1965" s="92"/>
      <c r="AA1965" s="92"/>
      <c r="AB1965" s="92"/>
      <c r="AC1965" s="93">
        <v>1109.3599999999999</v>
      </c>
      <c r="AD1965" s="93">
        <v>62.87</v>
      </c>
      <c r="AE1965" s="92"/>
      <c r="AF1965" s="92"/>
      <c r="AG1965" s="93">
        <v>1172.23</v>
      </c>
      <c r="AH1965" s="93">
        <v>0</v>
      </c>
    </row>
    <row r="1966" spans="1:34" ht="15.75" thickBot="1" x14ac:dyDescent="0.3">
      <c r="A1966" s="90" t="s">
        <v>1056</v>
      </c>
      <c r="B1966" s="90" t="s">
        <v>26</v>
      </c>
      <c r="C1966" s="90" t="s">
        <v>875</v>
      </c>
      <c r="D1966" s="90" t="s">
        <v>17</v>
      </c>
      <c r="E1966" s="90" t="s">
        <v>726</v>
      </c>
      <c r="F1966" s="90" t="s">
        <v>697</v>
      </c>
      <c r="G1966" s="94"/>
      <c r="H1966" s="94"/>
      <c r="I1966" s="94"/>
      <c r="J1966" s="94"/>
      <c r="K1966" s="94"/>
      <c r="L1966" s="94"/>
      <c r="M1966" s="94"/>
      <c r="N1966" s="94"/>
      <c r="O1966" s="94"/>
      <c r="P1966" s="94"/>
      <c r="Q1966" s="94"/>
      <c r="R1966" s="94"/>
      <c r="S1966" s="94"/>
      <c r="T1966" s="94"/>
      <c r="U1966" s="94"/>
      <c r="V1966" s="94"/>
      <c r="W1966" s="94"/>
      <c r="X1966" s="94"/>
      <c r="Y1966" s="94"/>
      <c r="Z1966" s="94"/>
      <c r="AA1966" s="94"/>
      <c r="AB1966" s="94"/>
      <c r="AC1966" s="95">
        <v>1109.3599999999999</v>
      </c>
      <c r="AD1966" s="95">
        <v>62.87</v>
      </c>
      <c r="AE1966" s="94"/>
      <c r="AF1966" s="94"/>
      <c r="AG1966" s="95">
        <v>1172.23</v>
      </c>
      <c r="AH1966" s="95">
        <v>0</v>
      </c>
    </row>
    <row r="1967" spans="1:34" ht="15.75" thickBot="1" x14ac:dyDescent="0.3">
      <c r="A1967" s="90" t="s">
        <v>1056</v>
      </c>
      <c r="B1967" s="90" t="s">
        <v>26</v>
      </c>
      <c r="C1967" s="90" t="s">
        <v>875</v>
      </c>
      <c r="D1967" s="90" t="s">
        <v>17</v>
      </c>
      <c r="E1967" s="90" t="s">
        <v>528</v>
      </c>
      <c r="F1967" s="90" t="s">
        <v>686</v>
      </c>
      <c r="G1967" s="93">
        <v>1051477.83</v>
      </c>
      <c r="H1967" s="92"/>
      <c r="I1967" s="93">
        <v>1051477.83</v>
      </c>
      <c r="J1967" s="92"/>
      <c r="K1967" s="92"/>
      <c r="L1967" s="92"/>
      <c r="M1967" s="92"/>
      <c r="N1967" s="92"/>
      <c r="O1967" s="92"/>
      <c r="P1967" s="92"/>
      <c r="Q1967" s="92"/>
      <c r="R1967" s="92"/>
      <c r="S1967" s="92"/>
      <c r="T1967" s="92"/>
      <c r="U1967" s="92"/>
      <c r="V1967" s="92"/>
      <c r="W1967" s="92"/>
      <c r="X1967" s="92"/>
      <c r="Y1967" s="92"/>
      <c r="Z1967" s="92"/>
      <c r="AA1967" s="92"/>
      <c r="AB1967" s="92"/>
      <c r="AC1967" s="92"/>
      <c r="AD1967" s="93">
        <v>61564.28</v>
      </c>
      <c r="AE1967" s="92"/>
      <c r="AF1967" s="92"/>
      <c r="AG1967" s="93">
        <v>1113042.1100000001</v>
      </c>
      <c r="AH1967" s="93">
        <v>0</v>
      </c>
    </row>
    <row r="1968" spans="1:34" ht="15.75" thickBot="1" x14ac:dyDescent="0.3">
      <c r="A1968" s="90" t="s">
        <v>1056</v>
      </c>
      <c r="B1968" s="90" t="s">
        <v>26</v>
      </c>
      <c r="C1968" s="90" t="s">
        <v>875</v>
      </c>
      <c r="D1968" s="90" t="s">
        <v>17</v>
      </c>
      <c r="E1968" s="90" t="s">
        <v>528</v>
      </c>
      <c r="F1968" s="90" t="s">
        <v>697</v>
      </c>
      <c r="G1968" s="95">
        <v>1051477.83</v>
      </c>
      <c r="H1968" s="94"/>
      <c r="I1968" s="95">
        <v>1051477.83</v>
      </c>
      <c r="J1968" s="94"/>
      <c r="K1968" s="94"/>
      <c r="L1968" s="94"/>
      <c r="M1968" s="94"/>
      <c r="N1968" s="94"/>
      <c r="O1968" s="94"/>
      <c r="P1968" s="94"/>
      <c r="Q1968" s="94"/>
      <c r="R1968" s="94"/>
      <c r="S1968" s="94"/>
      <c r="T1968" s="94"/>
      <c r="U1968" s="94"/>
      <c r="V1968" s="94"/>
      <c r="W1968" s="94"/>
      <c r="X1968" s="94"/>
      <c r="Y1968" s="94"/>
      <c r="Z1968" s="94"/>
      <c r="AA1968" s="94"/>
      <c r="AB1968" s="94"/>
      <c r="AC1968" s="94"/>
      <c r="AD1968" s="95">
        <v>61564.28</v>
      </c>
      <c r="AE1968" s="94"/>
      <c r="AF1968" s="94"/>
      <c r="AG1968" s="95">
        <v>1113042.1100000001</v>
      </c>
      <c r="AH1968" s="95">
        <v>0</v>
      </c>
    </row>
    <row r="1969" spans="1:34" ht="15.75" thickBot="1" x14ac:dyDescent="0.3">
      <c r="A1969" s="90" t="s">
        <v>1056</v>
      </c>
      <c r="B1969" s="90" t="s">
        <v>26</v>
      </c>
      <c r="C1969" s="90" t="s">
        <v>875</v>
      </c>
      <c r="D1969" s="90" t="s">
        <v>17</v>
      </c>
      <c r="E1969" s="90" t="s">
        <v>518</v>
      </c>
      <c r="F1969" s="90" t="s">
        <v>686</v>
      </c>
      <c r="G1969" s="93">
        <v>494291.79</v>
      </c>
      <c r="H1969" s="93">
        <v>2473368</v>
      </c>
      <c r="I1969" s="92"/>
      <c r="J1969" s="92"/>
      <c r="K1969" s="93">
        <v>494291.79</v>
      </c>
      <c r="L1969" s="92"/>
      <c r="M1969" s="92"/>
      <c r="N1969" s="92"/>
      <c r="O1969" s="92"/>
      <c r="P1969" s="92"/>
      <c r="Q1969" s="92"/>
      <c r="R1969" s="92"/>
      <c r="S1969" s="92"/>
      <c r="T1969" s="92"/>
      <c r="U1969" s="92"/>
      <c r="V1969" s="92"/>
      <c r="W1969" s="92"/>
      <c r="X1969" s="92"/>
      <c r="Y1969" s="92"/>
      <c r="Z1969" s="92"/>
      <c r="AA1969" s="92"/>
      <c r="AB1969" s="92"/>
      <c r="AC1969" s="92"/>
      <c r="AD1969" s="93">
        <v>27742.78</v>
      </c>
      <c r="AE1969" s="92"/>
      <c r="AF1969" s="92"/>
      <c r="AG1969" s="93">
        <v>522034.57</v>
      </c>
      <c r="AH1969" s="93">
        <v>0</v>
      </c>
    </row>
    <row r="1970" spans="1:34" ht="15.75" thickBot="1" x14ac:dyDescent="0.3">
      <c r="A1970" s="90" t="s">
        <v>1056</v>
      </c>
      <c r="B1970" s="90" t="s">
        <v>26</v>
      </c>
      <c r="C1970" s="90" t="s">
        <v>875</v>
      </c>
      <c r="D1970" s="90" t="s">
        <v>17</v>
      </c>
      <c r="E1970" s="90" t="s">
        <v>518</v>
      </c>
      <c r="F1970" s="90" t="s">
        <v>697</v>
      </c>
      <c r="G1970" s="95">
        <v>494291.79</v>
      </c>
      <c r="H1970" s="305">
        <v>2473368</v>
      </c>
      <c r="I1970" s="94"/>
      <c r="J1970" s="94"/>
      <c r="K1970" s="95">
        <v>494291.79</v>
      </c>
      <c r="L1970" s="94"/>
      <c r="M1970" s="94"/>
      <c r="N1970" s="94"/>
      <c r="O1970" s="94"/>
      <c r="P1970" s="94"/>
      <c r="Q1970" s="94"/>
      <c r="R1970" s="94"/>
      <c r="S1970" s="94"/>
      <c r="T1970" s="94"/>
      <c r="U1970" s="94"/>
      <c r="V1970" s="94"/>
      <c r="W1970" s="94"/>
      <c r="X1970" s="94"/>
      <c r="Y1970" s="94"/>
      <c r="Z1970" s="94"/>
      <c r="AA1970" s="94"/>
      <c r="AB1970" s="94"/>
      <c r="AC1970" s="94"/>
      <c r="AD1970" s="95">
        <v>27742.78</v>
      </c>
      <c r="AE1970" s="94"/>
      <c r="AF1970" s="94"/>
      <c r="AG1970" s="95">
        <v>522034.57</v>
      </c>
      <c r="AH1970" s="95">
        <v>0</v>
      </c>
    </row>
    <row r="1971" spans="1:34" ht="15.75" thickBot="1" x14ac:dyDescent="0.3">
      <c r="A1971" s="90" t="s">
        <v>1056</v>
      </c>
      <c r="B1971" s="90" t="s">
        <v>26</v>
      </c>
      <c r="C1971" s="90" t="s">
        <v>875</v>
      </c>
      <c r="D1971" s="90" t="s">
        <v>17</v>
      </c>
      <c r="E1971" s="90" t="s">
        <v>727</v>
      </c>
      <c r="F1971" s="90" t="s">
        <v>686</v>
      </c>
      <c r="G1971" s="93">
        <v>1404.51</v>
      </c>
      <c r="H1971" s="92"/>
      <c r="I1971" s="92"/>
      <c r="J1971" s="92"/>
      <c r="K1971" s="92"/>
      <c r="L1971" s="92"/>
      <c r="M1971" s="92"/>
      <c r="N1971" s="92"/>
      <c r="O1971" s="93">
        <v>1404.51</v>
      </c>
      <c r="P1971" s="92"/>
      <c r="Q1971" s="92"/>
      <c r="R1971" s="92"/>
      <c r="S1971" s="92"/>
      <c r="T1971" s="92"/>
      <c r="U1971" s="92"/>
      <c r="V1971" s="92"/>
      <c r="W1971" s="92"/>
      <c r="X1971" s="92"/>
      <c r="Y1971" s="92"/>
      <c r="Z1971" s="92"/>
      <c r="AA1971" s="92"/>
      <c r="AB1971" s="92"/>
      <c r="AC1971" s="92"/>
      <c r="AD1971" s="93">
        <v>71.760000000000005</v>
      </c>
      <c r="AE1971" s="92"/>
      <c r="AF1971" s="92"/>
      <c r="AG1971" s="93">
        <v>1476.27</v>
      </c>
      <c r="AH1971" s="93">
        <v>0</v>
      </c>
    </row>
    <row r="1972" spans="1:34" ht="15.75" thickBot="1" x14ac:dyDescent="0.3">
      <c r="A1972" s="90" t="s">
        <v>1056</v>
      </c>
      <c r="B1972" s="90" t="s">
        <v>26</v>
      </c>
      <c r="C1972" s="90" t="s">
        <v>875</v>
      </c>
      <c r="D1972" s="90" t="s">
        <v>17</v>
      </c>
      <c r="E1972" s="90" t="s">
        <v>727</v>
      </c>
      <c r="F1972" s="90" t="s">
        <v>697</v>
      </c>
      <c r="G1972" s="95">
        <v>1404.51</v>
      </c>
      <c r="H1972" s="94"/>
      <c r="I1972" s="94"/>
      <c r="J1972" s="94"/>
      <c r="K1972" s="94"/>
      <c r="L1972" s="94"/>
      <c r="M1972" s="94"/>
      <c r="N1972" s="94"/>
      <c r="O1972" s="95">
        <v>1404.51</v>
      </c>
      <c r="P1972" s="94"/>
      <c r="Q1972" s="94"/>
      <c r="R1972" s="94"/>
      <c r="S1972" s="94"/>
      <c r="T1972" s="94"/>
      <c r="U1972" s="94"/>
      <c r="V1972" s="94"/>
      <c r="W1972" s="94"/>
      <c r="X1972" s="94"/>
      <c r="Y1972" s="94"/>
      <c r="Z1972" s="94"/>
      <c r="AA1972" s="94"/>
      <c r="AB1972" s="94"/>
      <c r="AC1972" s="94"/>
      <c r="AD1972" s="95">
        <v>71.760000000000005</v>
      </c>
      <c r="AE1972" s="94"/>
      <c r="AF1972" s="94"/>
      <c r="AG1972" s="95">
        <v>1476.27</v>
      </c>
      <c r="AH1972" s="95">
        <v>0</v>
      </c>
    </row>
    <row r="1973" spans="1:34" ht="15.75" thickBot="1" x14ac:dyDescent="0.3">
      <c r="A1973" s="90" t="s">
        <v>1056</v>
      </c>
      <c r="B1973" s="90" t="s">
        <v>26</v>
      </c>
      <c r="C1973" s="90" t="s">
        <v>875</v>
      </c>
      <c r="D1973" s="90" t="s">
        <v>17</v>
      </c>
      <c r="E1973" s="90" t="s">
        <v>673</v>
      </c>
      <c r="F1973" s="90" t="s">
        <v>686</v>
      </c>
      <c r="G1973" s="93">
        <v>639947.18000000005</v>
      </c>
      <c r="H1973" s="92"/>
      <c r="I1973" s="92"/>
      <c r="J1973" s="92"/>
      <c r="K1973" s="92"/>
      <c r="L1973" s="92"/>
      <c r="M1973" s="92"/>
      <c r="N1973" s="92"/>
      <c r="O1973" s="92"/>
      <c r="P1973" s="92"/>
      <c r="Q1973" s="92"/>
      <c r="R1973" s="92"/>
      <c r="S1973" s="92"/>
      <c r="T1973" s="92"/>
      <c r="U1973" s="92"/>
      <c r="V1973" s="92"/>
      <c r="W1973" s="92"/>
      <c r="X1973" s="93">
        <v>639947.18000000005</v>
      </c>
      <c r="Y1973" s="92"/>
      <c r="Z1973" s="92"/>
      <c r="AA1973" s="92"/>
      <c r="AB1973" s="92"/>
      <c r="AC1973" s="92"/>
      <c r="AD1973" s="93">
        <v>38169.599999999999</v>
      </c>
      <c r="AE1973" s="92"/>
      <c r="AF1973" s="92"/>
      <c r="AG1973" s="93">
        <v>678116.78</v>
      </c>
      <c r="AH1973" s="93">
        <v>0</v>
      </c>
    </row>
    <row r="1974" spans="1:34" ht="15.75" thickBot="1" x14ac:dyDescent="0.3">
      <c r="A1974" s="90" t="s">
        <v>1056</v>
      </c>
      <c r="B1974" s="90" t="s">
        <v>26</v>
      </c>
      <c r="C1974" s="90" t="s">
        <v>875</v>
      </c>
      <c r="D1974" s="90" t="s">
        <v>17</v>
      </c>
      <c r="E1974" s="90" t="s">
        <v>673</v>
      </c>
      <c r="F1974" s="90" t="s">
        <v>697</v>
      </c>
      <c r="G1974" s="95">
        <v>639947.18000000005</v>
      </c>
      <c r="H1974" s="94"/>
      <c r="I1974" s="94"/>
      <c r="J1974" s="94"/>
      <c r="K1974" s="94"/>
      <c r="L1974" s="94"/>
      <c r="M1974" s="94"/>
      <c r="N1974" s="94"/>
      <c r="O1974" s="94"/>
      <c r="P1974" s="94"/>
      <c r="Q1974" s="94"/>
      <c r="R1974" s="94"/>
      <c r="S1974" s="94"/>
      <c r="T1974" s="94"/>
      <c r="U1974" s="94"/>
      <c r="V1974" s="94"/>
      <c r="W1974" s="94"/>
      <c r="X1974" s="95">
        <v>639947.18000000005</v>
      </c>
      <c r="Y1974" s="94"/>
      <c r="Z1974" s="94"/>
      <c r="AA1974" s="94"/>
      <c r="AB1974" s="94"/>
      <c r="AC1974" s="94"/>
      <c r="AD1974" s="95">
        <v>38169.599999999999</v>
      </c>
      <c r="AE1974" s="94"/>
      <c r="AF1974" s="94"/>
      <c r="AG1974" s="95">
        <v>678116.78</v>
      </c>
      <c r="AH1974" s="95">
        <v>0</v>
      </c>
    </row>
    <row r="1975" spans="1:34" ht="15.75" thickBot="1" x14ac:dyDescent="0.3">
      <c r="A1975" s="90" t="s">
        <v>1056</v>
      </c>
      <c r="B1975" s="90" t="s">
        <v>26</v>
      </c>
      <c r="C1975" s="90" t="s">
        <v>875</v>
      </c>
      <c r="D1975" s="90" t="s">
        <v>17</v>
      </c>
      <c r="E1975" s="90" t="s">
        <v>196</v>
      </c>
      <c r="F1975" s="90" t="s">
        <v>686</v>
      </c>
      <c r="G1975" s="93">
        <v>945302.99</v>
      </c>
      <c r="H1975" s="92"/>
      <c r="I1975" s="92"/>
      <c r="J1975" s="92"/>
      <c r="K1975" s="92"/>
      <c r="L1975" s="92"/>
      <c r="M1975" s="92"/>
      <c r="N1975" s="92"/>
      <c r="O1975" s="92"/>
      <c r="P1975" s="93">
        <v>945302.99</v>
      </c>
      <c r="Q1975" s="92"/>
      <c r="R1975" s="92"/>
      <c r="S1975" s="92"/>
      <c r="T1975" s="92"/>
      <c r="U1975" s="92"/>
      <c r="V1975" s="92"/>
      <c r="W1975" s="92"/>
      <c r="X1975" s="92"/>
      <c r="Y1975" s="92"/>
      <c r="Z1975" s="92"/>
      <c r="AA1975" s="92"/>
      <c r="AB1975" s="92"/>
      <c r="AC1975" s="92"/>
      <c r="AD1975" s="93">
        <v>52678.65</v>
      </c>
      <c r="AE1975" s="92"/>
      <c r="AF1975" s="92"/>
      <c r="AG1975" s="93">
        <v>997981.64</v>
      </c>
      <c r="AH1975" s="93">
        <v>0</v>
      </c>
    </row>
    <row r="1976" spans="1:34" ht="15.75" thickBot="1" x14ac:dyDescent="0.3">
      <c r="A1976" s="90" t="s">
        <v>1056</v>
      </c>
      <c r="B1976" s="90" t="s">
        <v>26</v>
      </c>
      <c r="C1976" s="90" t="s">
        <v>875</v>
      </c>
      <c r="D1976" s="90" t="s">
        <v>17</v>
      </c>
      <c r="E1976" s="90" t="s">
        <v>196</v>
      </c>
      <c r="F1976" s="90" t="s">
        <v>697</v>
      </c>
      <c r="G1976" s="95">
        <v>945302.99</v>
      </c>
      <c r="H1976" s="94"/>
      <c r="I1976" s="94"/>
      <c r="J1976" s="94"/>
      <c r="K1976" s="94"/>
      <c r="L1976" s="94"/>
      <c r="M1976" s="94"/>
      <c r="N1976" s="94"/>
      <c r="O1976" s="94"/>
      <c r="P1976" s="95">
        <v>945302.99</v>
      </c>
      <c r="Q1976" s="94"/>
      <c r="R1976" s="94"/>
      <c r="S1976" s="94"/>
      <c r="T1976" s="94"/>
      <c r="U1976" s="94"/>
      <c r="V1976" s="94"/>
      <c r="W1976" s="94"/>
      <c r="X1976" s="94"/>
      <c r="Y1976" s="94"/>
      <c r="Z1976" s="94"/>
      <c r="AA1976" s="94"/>
      <c r="AB1976" s="94"/>
      <c r="AC1976" s="94"/>
      <c r="AD1976" s="95">
        <v>52678.65</v>
      </c>
      <c r="AE1976" s="94"/>
      <c r="AF1976" s="94"/>
      <c r="AG1976" s="95">
        <v>997981.64</v>
      </c>
      <c r="AH1976" s="95">
        <v>0</v>
      </c>
    </row>
    <row r="1977" spans="1:34" ht="15.75" thickBot="1" x14ac:dyDescent="0.3">
      <c r="A1977" s="90" t="s">
        <v>1056</v>
      </c>
      <c r="B1977" s="90" t="s">
        <v>26</v>
      </c>
      <c r="C1977" s="90" t="s">
        <v>875</v>
      </c>
      <c r="D1977" s="90" t="s">
        <v>17</v>
      </c>
      <c r="E1977" s="90" t="s">
        <v>674</v>
      </c>
      <c r="F1977" s="90" t="s">
        <v>686</v>
      </c>
      <c r="G1977" s="93">
        <v>-74.55</v>
      </c>
      <c r="H1977" s="92"/>
      <c r="I1977" s="92"/>
      <c r="J1977" s="92"/>
      <c r="K1977" s="92"/>
      <c r="L1977" s="92"/>
      <c r="M1977" s="92"/>
      <c r="N1977" s="92"/>
      <c r="O1977" s="92"/>
      <c r="P1977" s="92"/>
      <c r="Q1977" s="92"/>
      <c r="R1977" s="92"/>
      <c r="S1977" s="92"/>
      <c r="T1977" s="92"/>
      <c r="U1977" s="92"/>
      <c r="V1977" s="92"/>
      <c r="W1977" s="92"/>
      <c r="X1977" s="92"/>
      <c r="Y1977" s="93">
        <v>-74.55</v>
      </c>
      <c r="Z1977" s="92"/>
      <c r="AA1977" s="92"/>
      <c r="AB1977" s="92"/>
      <c r="AC1977" s="92"/>
      <c r="AD1977" s="93">
        <v>0.84</v>
      </c>
      <c r="AE1977" s="92"/>
      <c r="AF1977" s="92"/>
      <c r="AG1977" s="93">
        <v>-73.709999999999994</v>
      </c>
      <c r="AH1977" s="93">
        <v>0</v>
      </c>
    </row>
    <row r="1978" spans="1:34" ht="15.75" thickBot="1" x14ac:dyDescent="0.3">
      <c r="A1978" s="90" t="s">
        <v>1056</v>
      </c>
      <c r="B1978" s="90" t="s">
        <v>26</v>
      </c>
      <c r="C1978" s="90" t="s">
        <v>875</v>
      </c>
      <c r="D1978" s="90" t="s">
        <v>17</v>
      </c>
      <c r="E1978" s="90" t="s">
        <v>674</v>
      </c>
      <c r="F1978" s="90" t="s">
        <v>697</v>
      </c>
      <c r="G1978" s="95">
        <v>-74.55</v>
      </c>
      <c r="H1978" s="94"/>
      <c r="I1978" s="94"/>
      <c r="J1978" s="94"/>
      <c r="K1978" s="94"/>
      <c r="L1978" s="94"/>
      <c r="M1978" s="94"/>
      <c r="N1978" s="94"/>
      <c r="O1978" s="94"/>
      <c r="P1978" s="94"/>
      <c r="Q1978" s="94"/>
      <c r="R1978" s="94"/>
      <c r="S1978" s="94"/>
      <c r="T1978" s="94"/>
      <c r="U1978" s="94"/>
      <c r="V1978" s="94"/>
      <c r="W1978" s="94"/>
      <c r="X1978" s="94"/>
      <c r="Y1978" s="95">
        <v>-74.55</v>
      </c>
      <c r="Z1978" s="94"/>
      <c r="AA1978" s="94"/>
      <c r="AB1978" s="94"/>
      <c r="AC1978" s="94"/>
      <c r="AD1978" s="95">
        <v>0.84</v>
      </c>
      <c r="AE1978" s="94"/>
      <c r="AF1978" s="94"/>
      <c r="AG1978" s="95">
        <v>-73.709999999999994</v>
      </c>
      <c r="AH1978" s="95">
        <v>0</v>
      </c>
    </row>
    <row r="1979" spans="1:34" ht="15.75" thickBot="1" x14ac:dyDescent="0.3">
      <c r="A1979" s="90" t="s">
        <v>1056</v>
      </c>
      <c r="B1979" s="90" t="s">
        <v>26</v>
      </c>
      <c r="C1979" s="90" t="s">
        <v>875</v>
      </c>
      <c r="D1979" s="90" t="s">
        <v>20</v>
      </c>
      <c r="E1979" s="90" t="s">
        <v>726</v>
      </c>
      <c r="F1979" s="90" t="s">
        <v>686</v>
      </c>
      <c r="G1979" s="92"/>
      <c r="H1979" s="92"/>
      <c r="I1979" s="92"/>
      <c r="J1979" s="92"/>
      <c r="K1979" s="92"/>
      <c r="L1979" s="92"/>
      <c r="M1979" s="92"/>
      <c r="N1979" s="92"/>
      <c r="O1979" s="92"/>
      <c r="P1979" s="92"/>
      <c r="Q1979" s="92"/>
      <c r="R1979" s="92"/>
      <c r="S1979" s="92"/>
      <c r="T1979" s="92"/>
      <c r="U1979" s="92"/>
      <c r="V1979" s="92"/>
      <c r="W1979" s="92"/>
      <c r="X1979" s="92"/>
      <c r="Y1979" s="92"/>
      <c r="Z1979" s="92"/>
      <c r="AA1979" s="92"/>
      <c r="AB1979" s="92"/>
      <c r="AC1979" s="93">
        <v>81.180000000000007</v>
      </c>
      <c r="AD1979" s="93">
        <v>0</v>
      </c>
      <c r="AE1979" s="92"/>
      <c r="AF1979" s="92"/>
      <c r="AG1979" s="93">
        <v>81.180000000000007</v>
      </c>
      <c r="AH1979" s="93">
        <v>0</v>
      </c>
    </row>
    <row r="1980" spans="1:34" ht="15.75" thickBot="1" x14ac:dyDescent="0.3">
      <c r="A1980" s="90" t="s">
        <v>1056</v>
      </c>
      <c r="B1980" s="90" t="s">
        <v>26</v>
      </c>
      <c r="C1980" s="90" t="s">
        <v>875</v>
      </c>
      <c r="D1980" s="90" t="s">
        <v>20</v>
      </c>
      <c r="E1980" s="90" t="s">
        <v>726</v>
      </c>
      <c r="F1980" s="90" t="s">
        <v>697</v>
      </c>
      <c r="G1980" s="94"/>
      <c r="H1980" s="94"/>
      <c r="I1980" s="94"/>
      <c r="J1980" s="94"/>
      <c r="K1980" s="94"/>
      <c r="L1980" s="94"/>
      <c r="M1980" s="94"/>
      <c r="N1980" s="94"/>
      <c r="O1980" s="94"/>
      <c r="P1980" s="94"/>
      <c r="Q1980" s="94"/>
      <c r="R1980" s="94"/>
      <c r="S1980" s="94"/>
      <c r="T1980" s="94"/>
      <c r="U1980" s="94"/>
      <c r="V1980" s="94"/>
      <c r="W1980" s="94"/>
      <c r="X1980" s="94"/>
      <c r="Y1980" s="94"/>
      <c r="Z1980" s="94"/>
      <c r="AA1980" s="94"/>
      <c r="AB1980" s="94"/>
      <c r="AC1980" s="95">
        <v>81.180000000000007</v>
      </c>
      <c r="AD1980" s="95">
        <v>0</v>
      </c>
      <c r="AE1980" s="94"/>
      <c r="AF1980" s="94"/>
      <c r="AG1980" s="95">
        <v>81.180000000000007</v>
      </c>
      <c r="AH1980" s="95">
        <v>0</v>
      </c>
    </row>
    <row r="1981" spans="1:34" ht="15.75" thickBot="1" x14ac:dyDescent="0.3">
      <c r="A1981" s="90" t="s">
        <v>1056</v>
      </c>
      <c r="B1981" s="90" t="s">
        <v>26</v>
      </c>
      <c r="C1981" s="90" t="s">
        <v>875</v>
      </c>
      <c r="D1981" s="90" t="s">
        <v>20</v>
      </c>
      <c r="E1981" s="90" t="s">
        <v>528</v>
      </c>
      <c r="F1981" s="90" t="s">
        <v>686</v>
      </c>
      <c r="G1981" s="93">
        <v>80800</v>
      </c>
      <c r="H1981" s="92"/>
      <c r="I1981" s="93">
        <v>80800</v>
      </c>
      <c r="J1981" s="92"/>
      <c r="K1981" s="92"/>
      <c r="L1981" s="92"/>
      <c r="M1981" s="92"/>
      <c r="N1981" s="92"/>
      <c r="O1981" s="92"/>
      <c r="P1981" s="92"/>
      <c r="Q1981" s="92"/>
      <c r="R1981" s="92"/>
      <c r="S1981" s="92"/>
      <c r="T1981" s="92"/>
      <c r="U1981" s="92"/>
      <c r="V1981" s="92"/>
      <c r="W1981" s="92"/>
      <c r="X1981" s="92"/>
      <c r="Y1981" s="92"/>
      <c r="Z1981" s="92"/>
      <c r="AA1981" s="92"/>
      <c r="AB1981" s="92"/>
      <c r="AC1981" s="92"/>
      <c r="AD1981" s="93">
        <v>596.86</v>
      </c>
      <c r="AE1981" s="92"/>
      <c r="AF1981" s="92"/>
      <c r="AG1981" s="93">
        <v>81396.86</v>
      </c>
      <c r="AH1981" s="93">
        <v>0</v>
      </c>
    </row>
    <row r="1982" spans="1:34" ht="15.75" thickBot="1" x14ac:dyDescent="0.3">
      <c r="A1982" s="90" t="s">
        <v>1056</v>
      </c>
      <c r="B1982" s="90" t="s">
        <v>26</v>
      </c>
      <c r="C1982" s="90" t="s">
        <v>875</v>
      </c>
      <c r="D1982" s="90" t="s">
        <v>20</v>
      </c>
      <c r="E1982" s="90" t="s">
        <v>528</v>
      </c>
      <c r="F1982" s="90" t="s">
        <v>697</v>
      </c>
      <c r="G1982" s="95">
        <v>80800</v>
      </c>
      <c r="H1982" s="94"/>
      <c r="I1982" s="95">
        <v>80800</v>
      </c>
      <c r="J1982" s="94"/>
      <c r="K1982" s="94"/>
      <c r="L1982" s="94"/>
      <c r="M1982" s="94"/>
      <c r="N1982" s="94"/>
      <c r="O1982" s="94"/>
      <c r="P1982" s="94"/>
      <c r="Q1982" s="94"/>
      <c r="R1982" s="94"/>
      <c r="S1982" s="94"/>
      <c r="T1982" s="94"/>
      <c r="U1982" s="94"/>
      <c r="V1982" s="94"/>
      <c r="W1982" s="94"/>
      <c r="X1982" s="94"/>
      <c r="Y1982" s="94"/>
      <c r="Z1982" s="94"/>
      <c r="AA1982" s="94"/>
      <c r="AB1982" s="94"/>
      <c r="AC1982" s="94"/>
      <c r="AD1982" s="95">
        <v>596.86</v>
      </c>
      <c r="AE1982" s="94"/>
      <c r="AF1982" s="94"/>
      <c r="AG1982" s="95">
        <v>81396.86</v>
      </c>
      <c r="AH1982" s="95">
        <v>0</v>
      </c>
    </row>
    <row r="1983" spans="1:34" ht="15.75" thickBot="1" x14ac:dyDescent="0.3">
      <c r="A1983" s="90" t="s">
        <v>1056</v>
      </c>
      <c r="B1983" s="90" t="s">
        <v>26</v>
      </c>
      <c r="C1983" s="90" t="s">
        <v>875</v>
      </c>
      <c r="D1983" s="90" t="s">
        <v>20</v>
      </c>
      <c r="E1983" s="90" t="s">
        <v>518</v>
      </c>
      <c r="F1983" s="90" t="s">
        <v>686</v>
      </c>
      <c r="G1983" s="93">
        <v>49386.74</v>
      </c>
      <c r="H1983" s="93">
        <v>257101</v>
      </c>
      <c r="I1983" s="92"/>
      <c r="J1983" s="92"/>
      <c r="K1983" s="93">
        <v>49386.74</v>
      </c>
      <c r="L1983" s="92"/>
      <c r="M1983" s="92"/>
      <c r="N1983" s="92"/>
      <c r="O1983" s="92"/>
      <c r="P1983" s="92"/>
      <c r="Q1983" s="92"/>
      <c r="R1983" s="92"/>
      <c r="S1983" s="92"/>
      <c r="T1983" s="92"/>
      <c r="U1983" s="92"/>
      <c r="V1983" s="92"/>
      <c r="W1983" s="92"/>
      <c r="X1983" s="92"/>
      <c r="Y1983" s="92"/>
      <c r="Z1983" s="92"/>
      <c r="AA1983" s="92"/>
      <c r="AB1983" s="92"/>
      <c r="AC1983" s="92"/>
      <c r="AD1983" s="93">
        <v>317.92</v>
      </c>
      <c r="AE1983" s="92"/>
      <c r="AF1983" s="92"/>
      <c r="AG1983" s="93">
        <v>49704.66</v>
      </c>
      <c r="AH1983" s="93">
        <v>0</v>
      </c>
    </row>
    <row r="1984" spans="1:34" ht="15.75" thickBot="1" x14ac:dyDescent="0.3">
      <c r="A1984" s="90" t="s">
        <v>1056</v>
      </c>
      <c r="B1984" s="90" t="s">
        <v>26</v>
      </c>
      <c r="C1984" s="90" t="s">
        <v>875</v>
      </c>
      <c r="D1984" s="90" t="s">
        <v>20</v>
      </c>
      <c r="E1984" s="90" t="s">
        <v>518</v>
      </c>
      <c r="F1984" s="90" t="s">
        <v>697</v>
      </c>
      <c r="G1984" s="95">
        <v>49386.74</v>
      </c>
      <c r="H1984" s="305">
        <v>257101</v>
      </c>
      <c r="I1984" s="94"/>
      <c r="J1984" s="94"/>
      <c r="K1984" s="95">
        <v>49386.74</v>
      </c>
      <c r="L1984" s="94"/>
      <c r="M1984" s="94"/>
      <c r="N1984" s="94"/>
      <c r="O1984" s="94"/>
      <c r="P1984" s="94"/>
      <c r="Q1984" s="94"/>
      <c r="R1984" s="94"/>
      <c r="S1984" s="94"/>
      <c r="T1984" s="94"/>
      <c r="U1984" s="94"/>
      <c r="V1984" s="94"/>
      <c r="W1984" s="94"/>
      <c r="X1984" s="94"/>
      <c r="Y1984" s="94"/>
      <c r="Z1984" s="94"/>
      <c r="AA1984" s="94"/>
      <c r="AB1984" s="94"/>
      <c r="AC1984" s="94"/>
      <c r="AD1984" s="95">
        <v>317.92</v>
      </c>
      <c r="AE1984" s="94"/>
      <c r="AF1984" s="94"/>
      <c r="AG1984" s="95">
        <v>49704.66</v>
      </c>
      <c r="AH1984" s="95">
        <v>0</v>
      </c>
    </row>
    <row r="1985" spans="1:34" ht="15.75" thickBot="1" x14ac:dyDescent="0.3">
      <c r="A1985" s="90" t="s">
        <v>1056</v>
      </c>
      <c r="B1985" s="90" t="s">
        <v>26</v>
      </c>
      <c r="C1985" s="90" t="s">
        <v>875</v>
      </c>
      <c r="D1985" s="90" t="s">
        <v>20</v>
      </c>
      <c r="E1985" s="90" t="s">
        <v>727</v>
      </c>
      <c r="F1985" s="90" t="s">
        <v>686</v>
      </c>
      <c r="G1985" s="93">
        <v>146.38999999999999</v>
      </c>
      <c r="H1985" s="92"/>
      <c r="I1985" s="92"/>
      <c r="J1985" s="92"/>
      <c r="K1985" s="92"/>
      <c r="L1985" s="92"/>
      <c r="M1985" s="92"/>
      <c r="N1985" s="92"/>
      <c r="O1985" s="93">
        <v>146.38999999999999</v>
      </c>
      <c r="P1985" s="92"/>
      <c r="Q1985" s="92"/>
      <c r="R1985" s="92"/>
      <c r="S1985" s="92"/>
      <c r="T1985" s="92"/>
      <c r="U1985" s="92"/>
      <c r="V1985" s="92"/>
      <c r="W1985" s="92"/>
      <c r="X1985" s="92"/>
      <c r="Y1985" s="92"/>
      <c r="Z1985" s="92"/>
      <c r="AA1985" s="92"/>
      <c r="AB1985" s="92"/>
      <c r="AC1985" s="92"/>
      <c r="AD1985" s="93">
        <v>0.8</v>
      </c>
      <c r="AE1985" s="92"/>
      <c r="AF1985" s="92"/>
      <c r="AG1985" s="93">
        <v>147.19</v>
      </c>
      <c r="AH1985" s="93">
        <v>0</v>
      </c>
    </row>
    <row r="1986" spans="1:34" ht="15.75" thickBot="1" x14ac:dyDescent="0.3">
      <c r="A1986" s="90" t="s">
        <v>1056</v>
      </c>
      <c r="B1986" s="90" t="s">
        <v>26</v>
      </c>
      <c r="C1986" s="90" t="s">
        <v>875</v>
      </c>
      <c r="D1986" s="90" t="s">
        <v>20</v>
      </c>
      <c r="E1986" s="90" t="s">
        <v>727</v>
      </c>
      <c r="F1986" s="90" t="s">
        <v>697</v>
      </c>
      <c r="G1986" s="95">
        <v>146.38999999999999</v>
      </c>
      <c r="H1986" s="94"/>
      <c r="I1986" s="94"/>
      <c r="J1986" s="94"/>
      <c r="K1986" s="94"/>
      <c r="L1986" s="94"/>
      <c r="M1986" s="94"/>
      <c r="N1986" s="94"/>
      <c r="O1986" s="95">
        <v>146.38999999999999</v>
      </c>
      <c r="P1986" s="94"/>
      <c r="Q1986" s="94"/>
      <c r="R1986" s="94"/>
      <c r="S1986" s="94"/>
      <c r="T1986" s="94"/>
      <c r="U1986" s="94"/>
      <c r="V1986" s="94"/>
      <c r="W1986" s="94"/>
      <c r="X1986" s="94"/>
      <c r="Y1986" s="94"/>
      <c r="Z1986" s="94"/>
      <c r="AA1986" s="94"/>
      <c r="AB1986" s="94"/>
      <c r="AC1986" s="94"/>
      <c r="AD1986" s="95">
        <v>0.8</v>
      </c>
      <c r="AE1986" s="94"/>
      <c r="AF1986" s="94"/>
      <c r="AG1986" s="95">
        <v>147.19</v>
      </c>
      <c r="AH1986" s="95">
        <v>0</v>
      </c>
    </row>
    <row r="1987" spans="1:34" ht="15.75" thickBot="1" x14ac:dyDescent="0.3">
      <c r="A1987" s="90" t="s">
        <v>1056</v>
      </c>
      <c r="B1987" s="90" t="s">
        <v>26</v>
      </c>
      <c r="C1987" s="90" t="s">
        <v>875</v>
      </c>
      <c r="D1987" s="90" t="s">
        <v>20</v>
      </c>
      <c r="E1987" s="90" t="s">
        <v>673</v>
      </c>
      <c r="F1987" s="90" t="s">
        <v>686</v>
      </c>
      <c r="G1987" s="93">
        <v>30616.97</v>
      </c>
      <c r="H1987" s="92"/>
      <c r="I1987" s="92"/>
      <c r="J1987" s="92"/>
      <c r="K1987" s="92"/>
      <c r="L1987" s="92"/>
      <c r="M1987" s="92"/>
      <c r="N1987" s="92"/>
      <c r="O1987" s="92"/>
      <c r="P1987" s="92"/>
      <c r="Q1987" s="92"/>
      <c r="R1987" s="92"/>
      <c r="S1987" s="92"/>
      <c r="T1987" s="92"/>
      <c r="U1987" s="92"/>
      <c r="V1987" s="92"/>
      <c r="W1987" s="92"/>
      <c r="X1987" s="93">
        <v>30616.97</v>
      </c>
      <c r="Y1987" s="92"/>
      <c r="Z1987" s="92"/>
      <c r="AA1987" s="92"/>
      <c r="AB1987" s="92"/>
      <c r="AC1987" s="92"/>
      <c r="AD1987" s="93">
        <v>260.89</v>
      </c>
      <c r="AE1987" s="92"/>
      <c r="AF1987" s="92"/>
      <c r="AG1987" s="93">
        <v>30877.86</v>
      </c>
      <c r="AH1987" s="93">
        <v>0</v>
      </c>
    </row>
    <row r="1988" spans="1:34" ht="15.75" thickBot="1" x14ac:dyDescent="0.3">
      <c r="A1988" s="90" t="s">
        <v>1056</v>
      </c>
      <c r="B1988" s="90" t="s">
        <v>26</v>
      </c>
      <c r="C1988" s="90" t="s">
        <v>875</v>
      </c>
      <c r="D1988" s="90" t="s">
        <v>20</v>
      </c>
      <c r="E1988" s="90" t="s">
        <v>673</v>
      </c>
      <c r="F1988" s="90" t="s">
        <v>697</v>
      </c>
      <c r="G1988" s="95">
        <v>30616.97</v>
      </c>
      <c r="H1988" s="94"/>
      <c r="I1988" s="94"/>
      <c r="J1988" s="94"/>
      <c r="K1988" s="94"/>
      <c r="L1988" s="94"/>
      <c r="M1988" s="94"/>
      <c r="N1988" s="94"/>
      <c r="O1988" s="94"/>
      <c r="P1988" s="94"/>
      <c r="Q1988" s="94"/>
      <c r="R1988" s="94"/>
      <c r="S1988" s="94"/>
      <c r="T1988" s="94"/>
      <c r="U1988" s="94"/>
      <c r="V1988" s="94"/>
      <c r="W1988" s="94"/>
      <c r="X1988" s="95">
        <v>30616.97</v>
      </c>
      <c r="Y1988" s="94"/>
      <c r="Z1988" s="94"/>
      <c r="AA1988" s="94"/>
      <c r="AB1988" s="94"/>
      <c r="AC1988" s="94"/>
      <c r="AD1988" s="95">
        <v>260.89</v>
      </c>
      <c r="AE1988" s="94"/>
      <c r="AF1988" s="94"/>
      <c r="AG1988" s="95">
        <v>30877.86</v>
      </c>
      <c r="AH1988" s="95">
        <v>0</v>
      </c>
    </row>
    <row r="1989" spans="1:34" ht="15.75" thickBot="1" x14ac:dyDescent="0.3">
      <c r="A1989" s="90" t="s">
        <v>1056</v>
      </c>
      <c r="B1989" s="90" t="s">
        <v>26</v>
      </c>
      <c r="C1989" s="90" t="s">
        <v>875</v>
      </c>
      <c r="D1989" s="90" t="s">
        <v>20</v>
      </c>
      <c r="E1989" s="90" t="s">
        <v>196</v>
      </c>
      <c r="F1989" s="90" t="s">
        <v>686</v>
      </c>
      <c r="G1989" s="93">
        <v>98233.62</v>
      </c>
      <c r="H1989" s="92"/>
      <c r="I1989" s="92"/>
      <c r="J1989" s="92"/>
      <c r="K1989" s="92"/>
      <c r="L1989" s="92"/>
      <c r="M1989" s="92"/>
      <c r="N1989" s="92"/>
      <c r="O1989" s="92"/>
      <c r="P1989" s="93">
        <v>98233.62</v>
      </c>
      <c r="Q1989" s="92"/>
      <c r="R1989" s="92"/>
      <c r="S1989" s="92"/>
      <c r="T1989" s="92"/>
      <c r="U1989" s="92"/>
      <c r="V1989" s="92"/>
      <c r="W1989" s="92"/>
      <c r="X1989" s="92"/>
      <c r="Y1989" s="92"/>
      <c r="Z1989" s="92"/>
      <c r="AA1989" s="92"/>
      <c r="AB1989" s="92"/>
      <c r="AC1989" s="92"/>
      <c r="AD1989" s="93">
        <v>635.47</v>
      </c>
      <c r="AE1989" s="92"/>
      <c r="AF1989" s="92"/>
      <c r="AG1989" s="93">
        <v>98869.09</v>
      </c>
      <c r="AH1989" s="93">
        <v>0</v>
      </c>
    </row>
    <row r="1990" spans="1:34" ht="15.75" thickBot="1" x14ac:dyDescent="0.3">
      <c r="A1990" s="90" t="s">
        <v>1056</v>
      </c>
      <c r="B1990" s="90" t="s">
        <v>26</v>
      </c>
      <c r="C1990" s="90" t="s">
        <v>875</v>
      </c>
      <c r="D1990" s="90" t="s">
        <v>20</v>
      </c>
      <c r="E1990" s="90" t="s">
        <v>196</v>
      </c>
      <c r="F1990" s="90" t="s">
        <v>697</v>
      </c>
      <c r="G1990" s="95">
        <v>98233.62</v>
      </c>
      <c r="H1990" s="94"/>
      <c r="I1990" s="94"/>
      <c r="J1990" s="94"/>
      <c r="K1990" s="94"/>
      <c r="L1990" s="94"/>
      <c r="M1990" s="94"/>
      <c r="N1990" s="94"/>
      <c r="O1990" s="94"/>
      <c r="P1990" s="95">
        <v>98233.62</v>
      </c>
      <c r="Q1990" s="94"/>
      <c r="R1990" s="94"/>
      <c r="S1990" s="94"/>
      <c r="T1990" s="94"/>
      <c r="U1990" s="94"/>
      <c r="V1990" s="94"/>
      <c r="W1990" s="94"/>
      <c r="X1990" s="94"/>
      <c r="Y1990" s="94"/>
      <c r="Z1990" s="94"/>
      <c r="AA1990" s="94"/>
      <c r="AB1990" s="94"/>
      <c r="AC1990" s="94"/>
      <c r="AD1990" s="95">
        <v>635.47</v>
      </c>
      <c r="AE1990" s="94"/>
      <c r="AF1990" s="94"/>
      <c r="AG1990" s="95">
        <v>98869.09</v>
      </c>
      <c r="AH1990" s="95">
        <v>0</v>
      </c>
    </row>
    <row r="1991" spans="1:34" ht="15.75" thickBot="1" x14ac:dyDescent="0.3">
      <c r="A1991" s="90" t="s">
        <v>1056</v>
      </c>
      <c r="B1991" s="90" t="s">
        <v>26</v>
      </c>
      <c r="C1991" s="90" t="s">
        <v>875</v>
      </c>
      <c r="D1991" s="90" t="s">
        <v>20</v>
      </c>
      <c r="E1991" s="90" t="s">
        <v>674</v>
      </c>
      <c r="F1991" s="90" t="s">
        <v>686</v>
      </c>
      <c r="G1991" s="93">
        <v>2.48</v>
      </c>
      <c r="H1991" s="92"/>
      <c r="I1991" s="92"/>
      <c r="J1991" s="92"/>
      <c r="K1991" s="92"/>
      <c r="L1991" s="92"/>
      <c r="M1991" s="92"/>
      <c r="N1991" s="92"/>
      <c r="O1991" s="92"/>
      <c r="P1991" s="92"/>
      <c r="Q1991" s="92"/>
      <c r="R1991" s="92"/>
      <c r="S1991" s="92"/>
      <c r="T1991" s="92"/>
      <c r="U1991" s="92"/>
      <c r="V1991" s="92"/>
      <c r="W1991" s="92"/>
      <c r="X1991" s="92"/>
      <c r="Y1991" s="93">
        <v>2.48</v>
      </c>
      <c r="Z1991" s="92"/>
      <c r="AA1991" s="92"/>
      <c r="AB1991" s="92"/>
      <c r="AC1991" s="92"/>
      <c r="AD1991" s="93">
        <v>0</v>
      </c>
      <c r="AE1991" s="92"/>
      <c r="AF1991" s="92"/>
      <c r="AG1991" s="93">
        <v>2.48</v>
      </c>
      <c r="AH1991" s="93">
        <v>0</v>
      </c>
    </row>
    <row r="1992" spans="1:34" ht="15.75" thickBot="1" x14ac:dyDescent="0.3">
      <c r="A1992" s="90" t="s">
        <v>1056</v>
      </c>
      <c r="B1992" s="90" t="s">
        <v>26</v>
      </c>
      <c r="C1992" s="90" t="s">
        <v>875</v>
      </c>
      <c r="D1992" s="90" t="s">
        <v>20</v>
      </c>
      <c r="E1992" s="90" t="s">
        <v>674</v>
      </c>
      <c r="F1992" s="90" t="s">
        <v>697</v>
      </c>
      <c r="G1992" s="95">
        <v>2.48</v>
      </c>
      <c r="H1992" s="94"/>
      <c r="I1992" s="94"/>
      <c r="J1992" s="94"/>
      <c r="K1992" s="94"/>
      <c r="L1992" s="94"/>
      <c r="M1992" s="94"/>
      <c r="N1992" s="94"/>
      <c r="O1992" s="94"/>
      <c r="P1992" s="94"/>
      <c r="Q1992" s="94"/>
      <c r="R1992" s="94"/>
      <c r="S1992" s="94"/>
      <c r="T1992" s="94"/>
      <c r="U1992" s="94"/>
      <c r="V1992" s="94"/>
      <c r="W1992" s="94"/>
      <c r="X1992" s="94"/>
      <c r="Y1992" s="95">
        <v>2.48</v>
      </c>
      <c r="Z1992" s="94"/>
      <c r="AA1992" s="94"/>
      <c r="AB1992" s="94"/>
      <c r="AC1992" s="94"/>
      <c r="AD1992" s="95">
        <v>0</v>
      </c>
      <c r="AE1992" s="94"/>
      <c r="AF1992" s="94"/>
      <c r="AG1992" s="95">
        <v>2.48</v>
      </c>
      <c r="AH1992" s="95">
        <v>0</v>
      </c>
    </row>
    <row r="1993" spans="1:34" ht="15.75" thickBot="1" x14ac:dyDescent="0.3">
      <c r="A1993" s="90" t="s">
        <v>1056</v>
      </c>
      <c r="B1993" s="90" t="s">
        <v>26</v>
      </c>
      <c r="C1993" s="90" t="s">
        <v>875</v>
      </c>
      <c r="D1993" s="90" t="s">
        <v>28</v>
      </c>
      <c r="E1993" s="90" t="s">
        <v>528</v>
      </c>
      <c r="F1993" s="90" t="s">
        <v>686</v>
      </c>
      <c r="G1993" s="93">
        <v>480</v>
      </c>
      <c r="H1993" s="92"/>
      <c r="I1993" s="93">
        <v>480</v>
      </c>
      <c r="J1993" s="92"/>
      <c r="K1993" s="92"/>
      <c r="L1993" s="92"/>
      <c r="M1993" s="92"/>
      <c r="N1993" s="92"/>
      <c r="O1993" s="92"/>
      <c r="P1993" s="92"/>
      <c r="Q1993" s="92"/>
      <c r="R1993" s="92"/>
      <c r="S1993" s="92"/>
      <c r="T1993" s="92"/>
      <c r="U1993" s="92"/>
      <c r="V1993" s="92"/>
      <c r="W1993" s="92"/>
      <c r="X1993" s="92"/>
      <c r="Y1993" s="92"/>
      <c r="Z1993" s="92"/>
      <c r="AA1993" s="92"/>
      <c r="AB1993" s="92"/>
      <c r="AC1993" s="92"/>
      <c r="AD1993" s="93">
        <v>3.61</v>
      </c>
      <c r="AE1993" s="92"/>
      <c r="AF1993" s="92"/>
      <c r="AG1993" s="93">
        <v>483.61</v>
      </c>
      <c r="AH1993" s="93">
        <v>0</v>
      </c>
    </row>
    <row r="1994" spans="1:34" ht="15.75" thickBot="1" x14ac:dyDescent="0.3">
      <c r="A1994" s="90" t="s">
        <v>1056</v>
      </c>
      <c r="B1994" s="90" t="s">
        <v>26</v>
      </c>
      <c r="C1994" s="90" t="s">
        <v>875</v>
      </c>
      <c r="D1994" s="90" t="s">
        <v>28</v>
      </c>
      <c r="E1994" s="90" t="s">
        <v>528</v>
      </c>
      <c r="F1994" s="90" t="s">
        <v>697</v>
      </c>
      <c r="G1994" s="95">
        <v>480</v>
      </c>
      <c r="H1994" s="94"/>
      <c r="I1994" s="95">
        <v>480</v>
      </c>
      <c r="J1994" s="94"/>
      <c r="K1994" s="94"/>
      <c r="L1994" s="94"/>
      <c r="M1994" s="94"/>
      <c r="N1994" s="94"/>
      <c r="O1994" s="94"/>
      <c r="P1994" s="94"/>
      <c r="Q1994" s="94"/>
      <c r="R1994" s="94"/>
      <c r="S1994" s="94"/>
      <c r="T1994" s="94"/>
      <c r="U1994" s="94"/>
      <c r="V1994" s="94"/>
      <c r="W1994" s="94"/>
      <c r="X1994" s="94"/>
      <c r="Y1994" s="94"/>
      <c r="Z1994" s="94"/>
      <c r="AA1994" s="94"/>
      <c r="AB1994" s="94"/>
      <c r="AC1994" s="94"/>
      <c r="AD1994" s="95">
        <v>3.61</v>
      </c>
      <c r="AE1994" s="94"/>
      <c r="AF1994" s="94"/>
      <c r="AG1994" s="95">
        <v>483.61</v>
      </c>
      <c r="AH1994" s="95">
        <v>0</v>
      </c>
    </row>
    <row r="1995" spans="1:34" ht="15.75" thickBot="1" x14ac:dyDescent="0.3">
      <c r="A1995" s="90" t="s">
        <v>1056</v>
      </c>
      <c r="B1995" s="90" t="s">
        <v>26</v>
      </c>
      <c r="C1995" s="90" t="s">
        <v>875</v>
      </c>
      <c r="D1995" s="90" t="s">
        <v>28</v>
      </c>
      <c r="E1995" s="90" t="s">
        <v>518</v>
      </c>
      <c r="F1995" s="90" t="s">
        <v>686</v>
      </c>
      <c r="G1995" s="93">
        <v>267.44</v>
      </c>
      <c r="H1995" s="93">
        <v>1262</v>
      </c>
      <c r="I1995" s="92"/>
      <c r="J1995" s="92"/>
      <c r="K1995" s="93">
        <v>267.44</v>
      </c>
      <c r="L1995" s="92"/>
      <c r="M1995" s="92"/>
      <c r="N1995" s="92"/>
      <c r="O1995" s="92"/>
      <c r="P1995" s="92"/>
      <c r="Q1995" s="92"/>
      <c r="R1995" s="92"/>
      <c r="S1995" s="92"/>
      <c r="T1995" s="92"/>
      <c r="U1995" s="92"/>
      <c r="V1995" s="92"/>
      <c r="W1995" s="92"/>
      <c r="X1995" s="92"/>
      <c r="Y1995" s="92"/>
      <c r="Z1995" s="92"/>
      <c r="AA1995" s="92"/>
      <c r="AB1995" s="92"/>
      <c r="AC1995" s="92"/>
      <c r="AD1995" s="93">
        <v>0.66</v>
      </c>
      <c r="AE1995" s="92"/>
      <c r="AF1995" s="92"/>
      <c r="AG1995" s="93">
        <v>268.10000000000002</v>
      </c>
      <c r="AH1995" s="93">
        <v>0</v>
      </c>
    </row>
    <row r="1996" spans="1:34" ht="15.75" thickBot="1" x14ac:dyDescent="0.3">
      <c r="A1996" s="90" t="s">
        <v>1056</v>
      </c>
      <c r="B1996" s="90" t="s">
        <v>26</v>
      </c>
      <c r="C1996" s="90" t="s">
        <v>875</v>
      </c>
      <c r="D1996" s="90" t="s">
        <v>28</v>
      </c>
      <c r="E1996" s="90" t="s">
        <v>518</v>
      </c>
      <c r="F1996" s="90" t="s">
        <v>697</v>
      </c>
      <c r="G1996" s="95">
        <v>267.44</v>
      </c>
      <c r="H1996" s="305">
        <v>1262</v>
      </c>
      <c r="I1996" s="94"/>
      <c r="J1996" s="94"/>
      <c r="K1996" s="95">
        <v>267.44</v>
      </c>
      <c r="L1996" s="94"/>
      <c r="M1996" s="94"/>
      <c r="N1996" s="94"/>
      <c r="O1996" s="94"/>
      <c r="P1996" s="94"/>
      <c r="Q1996" s="94"/>
      <c r="R1996" s="94"/>
      <c r="S1996" s="94"/>
      <c r="T1996" s="94"/>
      <c r="U1996" s="94"/>
      <c r="V1996" s="94"/>
      <c r="W1996" s="94"/>
      <c r="X1996" s="94"/>
      <c r="Y1996" s="94"/>
      <c r="Z1996" s="94"/>
      <c r="AA1996" s="94"/>
      <c r="AB1996" s="94"/>
      <c r="AC1996" s="94"/>
      <c r="AD1996" s="95">
        <v>0.66</v>
      </c>
      <c r="AE1996" s="94"/>
      <c r="AF1996" s="94"/>
      <c r="AG1996" s="95">
        <v>268.10000000000002</v>
      </c>
      <c r="AH1996" s="95">
        <v>0</v>
      </c>
    </row>
    <row r="1997" spans="1:34" ht="15.75" thickBot="1" x14ac:dyDescent="0.3">
      <c r="A1997" s="90" t="s">
        <v>1056</v>
      </c>
      <c r="B1997" s="90" t="s">
        <v>26</v>
      </c>
      <c r="C1997" s="90" t="s">
        <v>875</v>
      </c>
      <c r="D1997" s="90" t="s">
        <v>28</v>
      </c>
      <c r="E1997" s="90" t="s">
        <v>727</v>
      </c>
      <c r="F1997" s="90" t="s">
        <v>686</v>
      </c>
      <c r="G1997" s="93">
        <v>0.71</v>
      </c>
      <c r="H1997" s="92"/>
      <c r="I1997" s="92"/>
      <c r="J1997" s="92"/>
      <c r="K1997" s="92"/>
      <c r="L1997" s="92"/>
      <c r="M1997" s="92"/>
      <c r="N1997" s="92"/>
      <c r="O1997" s="93">
        <v>0.71</v>
      </c>
      <c r="P1997" s="92"/>
      <c r="Q1997" s="92"/>
      <c r="R1997" s="92"/>
      <c r="S1997" s="92"/>
      <c r="T1997" s="92"/>
      <c r="U1997" s="92"/>
      <c r="V1997" s="92"/>
      <c r="W1997" s="92"/>
      <c r="X1997" s="92"/>
      <c r="Y1997" s="92"/>
      <c r="Z1997" s="92"/>
      <c r="AA1997" s="92"/>
      <c r="AB1997" s="92"/>
      <c r="AC1997" s="92"/>
      <c r="AD1997" s="93">
        <v>0</v>
      </c>
      <c r="AE1997" s="92"/>
      <c r="AF1997" s="92"/>
      <c r="AG1997" s="93">
        <v>0.71</v>
      </c>
      <c r="AH1997" s="93">
        <v>0</v>
      </c>
    </row>
    <row r="1998" spans="1:34" ht="15.75" thickBot="1" x14ac:dyDescent="0.3">
      <c r="A1998" s="90" t="s">
        <v>1056</v>
      </c>
      <c r="B1998" s="90" t="s">
        <v>26</v>
      </c>
      <c r="C1998" s="90" t="s">
        <v>875</v>
      </c>
      <c r="D1998" s="90" t="s">
        <v>28</v>
      </c>
      <c r="E1998" s="90" t="s">
        <v>727</v>
      </c>
      <c r="F1998" s="90" t="s">
        <v>697</v>
      </c>
      <c r="G1998" s="95">
        <v>0.71</v>
      </c>
      <c r="H1998" s="94"/>
      <c r="I1998" s="94"/>
      <c r="J1998" s="94"/>
      <c r="K1998" s="94"/>
      <c r="L1998" s="94"/>
      <c r="M1998" s="94"/>
      <c r="N1998" s="94"/>
      <c r="O1998" s="95">
        <v>0.71</v>
      </c>
      <c r="P1998" s="94"/>
      <c r="Q1998" s="94"/>
      <c r="R1998" s="94"/>
      <c r="S1998" s="94"/>
      <c r="T1998" s="94"/>
      <c r="U1998" s="94"/>
      <c r="V1998" s="94"/>
      <c r="W1998" s="94"/>
      <c r="X1998" s="94"/>
      <c r="Y1998" s="94"/>
      <c r="Z1998" s="94"/>
      <c r="AA1998" s="94"/>
      <c r="AB1998" s="94"/>
      <c r="AC1998" s="94"/>
      <c r="AD1998" s="95">
        <v>0</v>
      </c>
      <c r="AE1998" s="94"/>
      <c r="AF1998" s="94"/>
      <c r="AG1998" s="95">
        <v>0.71</v>
      </c>
      <c r="AH1998" s="95">
        <v>0</v>
      </c>
    </row>
    <row r="1999" spans="1:34" ht="15.75" thickBot="1" x14ac:dyDescent="0.3">
      <c r="A1999" s="90" t="s">
        <v>1056</v>
      </c>
      <c r="B1999" s="90" t="s">
        <v>26</v>
      </c>
      <c r="C1999" s="90" t="s">
        <v>875</v>
      </c>
      <c r="D1999" s="90" t="s">
        <v>28</v>
      </c>
      <c r="E1999" s="90" t="s">
        <v>673</v>
      </c>
      <c r="F1999" s="90" t="s">
        <v>686</v>
      </c>
      <c r="G1999" s="93">
        <v>328.92</v>
      </c>
      <c r="H1999" s="92"/>
      <c r="I1999" s="92"/>
      <c r="J1999" s="92"/>
      <c r="K1999" s="92"/>
      <c r="L1999" s="92"/>
      <c r="M1999" s="92"/>
      <c r="N1999" s="92"/>
      <c r="O1999" s="92"/>
      <c r="P1999" s="92"/>
      <c r="Q1999" s="92"/>
      <c r="R1999" s="92"/>
      <c r="S1999" s="92"/>
      <c r="T1999" s="92"/>
      <c r="U1999" s="92"/>
      <c r="V1999" s="92"/>
      <c r="W1999" s="92"/>
      <c r="X1999" s="93">
        <v>328.92</v>
      </c>
      <c r="Y1999" s="92"/>
      <c r="Z1999" s="92"/>
      <c r="AA1999" s="92"/>
      <c r="AB1999" s="92"/>
      <c r="AC1999" s="92"/>
      <c r="AD1999" s="93">
        <v>2.46</v>
      </c>
      <c r="AE1999" s="92"/>
      <c r="AF1999" s="92"/>
      <c r="AG1999" s="93">
        <v>331.38</v>
      </c>
      <c r="AH1999" s="93">
        <v>0</v>
      </c>
    </row>
    <row r="2000" spans="1:34" ht="15.75" thickBot="1" x14ac:dyDescent="0.3">
      <c r="A2000" s="90" t="s">
        <v>1056</v>
      </c>
      <c r="B2000" s="90" t="s">
        <v>26</v>
      </c>
      <c r="C2000" s="90" t="s">
        <v>875</v>
      </c>
      <c r="D2000" s="90" t="s">
        <v>28</v>
      </c>
      <c r="E2000" s="90" t="s">
        <v>673</v>
      </c>
      <c r="F2000" s="90" t="s">
        <v>697</v>
      </c>
      <c r="G2000" s="95">
        <v>328.92</v>
      </c>
      <c r="H2000" s="94"/>
      <c r="I2000" s="94"/>
      <c r="J2000" s="94"/>
      <c r="K2000" s="94"/>
      <c r="L2000" s="94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4"/>
      <c r="X2000" s="95">
        <v>328.92</v>
      </c>
      <c r="Y2000" s="94"/>
      <c r="Z2000" s="94"/>
      <c r="AA2000" s="94"/>
      <c r="AB2000" s="94"/>
      <c r="AC2000" s="94"/>
      <c r="AD2000" s="95">
        <v>2.46</v>
      </c>
      <c r="AE2000" s="94"/>
      <c r="AF2000" s="94"/>
      <c r="AG2000" s="95">
        <v>331.38</v>
      </c>
      <c r="AH2000" s="95">
        <v>0</v>
      </c>
    </row>
    <row r="2001" spans="1:34" ht="15.75" thickBot="1" x14ac:dyDescent="0.3">
      <c r="A2001" s="90" t="s">
        <v>1056</v>
      </c>
      <c r="B2001" s="90" t="s">
        <v>26</v>
      </c>
      <c r="C2001" s="90" t="s">
        <v>875</v>
      </c>
      <c r="D2001" s="90" t="s">
        <v>28</v>
      </c>
      <c r="E2001" s="90" t="s">
        <v>196</v>
      </c>
      <c r="F2001" s="90" t="s">
        <v>686</v>
      </c>
      <c r="G2001" s="93">
        <v>482.3</v>
      </c>
      <c r="H2001" s="92"/>
      <c r="I2001" s="92"/>
      <c r="J2001" s="92"/>
      <c r="K2001" s="92"/>
      <c r="L2001" s="92"/>
      <c r="M2001" s="92"/>
      <c r="N2001" s="92"/>
      <c r="O2001" s="92"/>
      <c r="P2001" s="93">
        <v>482.3</v>
      </c>
      <c r="Q2001" s="92"/>
      <c r="R2001" s="92"/>
      <c r="S2001" s="92"/>
      <c r="T2001" s="92"/>
      <c r="U2001" s="92"/>
      <c r="V2001" s="92"/>
      <c r="W2001" s="92"/>
      <c r="X2001" s="92"/>
      <c r="Y2001" s="92"/>
      <c r="Z2001" s="92"/>
      <c r="AA2001" s="92"/>
      <c r="AB2001" s="92"/>
      <c r="AC2001" s="92"/>
      <c r="AD2001" s="93">
        <v>1.17</v>
      </c>
      <c r="AE2001" s="92"/>
      <c r="AF2001" s="92"/>
      <c r="AG2001" s="93">
        <v>483.47</v>
      </c>
      <c r="AH2001" s="93">
        <v>0</v>
      </c>
    </row>
    <row r="2002" spans="1:34" ht="15.75" thickBot="1" x14ac:dyDescent="0.3">
      <c r="A2002" s="90" t="s">
        <v>1056</v>
      </c>
      <c r="B2002" s="90" t="s">
        <v>26</v>
      </c>
      <c r="C2002" s="90" t="s">
        <v>875</v>
      </c>
      <c r="D2002" s="90" t="s">
        <v>28</v>
      </c>
      <c r="E2002" s="90" t="s">
        <v>196</v>
      </c>
      <c r="F2002" s="90" t="s">
        <v>697</v>
      </c>
      <c r="G2002" s="95">
        <v>482.3</v>
      </c>
      <c r="H2002" s="94"/>
      <c r="I2002" s="94"/>
      <c r="J2002" s="94"/>
      <c r="K2002" s="94"/>
      <c r="L2002" s="94"/>
      <c r="M2002" s="94"/>
      <c r="N2002" s="94"/>
      <c r="O2002" s="94"/>
      <c r="P2002" s="95">
        <v>482.3</v>
      </c>
      <c r="Q2002" s="94"/>
      <c r="R2002" s="94"/>
      <c r="S2002" s="94"/>
      <c r="T2002" s="94"/>
      <c r="U2002" s="94"/>
      <c r="V2002" s="94"/>
      <c r="W2002" s="94"/>
      <c r="X2002" s="94"/>
      <c r="Y2002" s="94"/>
      <c r="Z2002" s="94"/>
      <c r="AA2002" s="94"/>
      <c r="AB2002" s="94"/>
      <c r="AC2002" s="94"/>
      <c r="AD2002" s="95">
        <v>1.17</v>
      </c>
      <c r="AE2002" s="94"/>
      <c r="AF2002" s="94"/>
      <c r="AG2002" s="95">
        <v>483.47</v>
      </c>
      <c r="AH2002" s="95">
        <v>0</v>
      </c>
    </row>
    <row r="2003" spans="1:34" ht="15.75" thickBot="1" x14ac:dyDescent="0.3">
      <c r="A2003" s="90" t="s">
        <v>1056</v>
      </c>
      <c r="B2003" s="90" t="s">
        <v>707</v>
      </c>
      <c r="C2003" s="90" t="s">
        <v>876</v>
      </c>
      <c r="D2003" s="90" t="s">
        <v>17</v>
      </c>
      <c r="E2003" s="90" t="s">
        <v>528</v>
      </c>
      <c r="F2003" s="90" t="s">
        <v>686</v>
      </c>
      <c r="G2003" s="93">
        <v>40</v>
      </c>
      <c r="H2003" s="92"/>
      <c r="I2003" s="93">
        <v>40</v>
      </c>
      <c r="J2003" s="92"/>
      <c r="K2003" s="92"/>
      <c r="L2003" s="92"/>
      <c r="M2003" s="92"/>
      <c r="N2003" s="92"/>
      <c r="O2003" s="92"/>
      <c r="P2003" s="92"/>
      <c r="Q2003" s="92"/>
      <c r="R2003" s="92"/>
      <c r="S2003" s="92"/>
      <c r="T2003" s="92"/>
      <c r="U2003" s="92"/>
      <c r="V2003" s="92"/>
      <c r="W2003" s="92"/>
      <c r="X2003" s="92"/>
      <c r="Y2003" s="92"/>
      <c r="Z2003" s="92"/>
      <c r="AA2003" s="92"/>
      <c r="AB2003" s="92"/>
      <c r="AC2003" s="92"/>
      <c r="AD2003" s="93">
        <v>2.4</v>
      </c>
      <c r="AE2003" s="92"/>
      <c r="AF2003" s="92"/>
      <c r="AG2003" s="93">
        <v>42.4</v>
      </c>
      <c r="AH2003" s="93">
        <v>0</v>
      </c>
    </row>
    <row r="2004" spans="1:34" ht="15.75" thickBot="1" x14ac:dyDescent="0.3">
      <c r="A2004" s="90" t="s">
        <v>1056</v>
      </c>
      <c r="B2004" s="90" t="s">
        <v>707</v>
      </c>
      <c r="C2004" s="90" t="s">
        <v>876</v>
      </c>
      <c r="D2004" s="90" t="s">
        <v>17</v>
      </c>
      <c r="E2004" s="90" t="s">
        <v>528</v>
      </c>
      <c r="F2004" s="90" t="s">
        <v>697</v>
      </c>
      <c r="G2004" s="95">
        <v>40</v>
      </c>
      <c r="H2004" s="94"/>
      <c r="I2004" s="95">
        <v>40</v>
      </c>
      <c r="J2004" s="94"/>
      <c r="K2004" s="94"/>
      <c r="L2004" s="94"/>
      <c r="M2004" s="94"/>
      <c r="N2004" s="94"/>
      <c r="O2004" s="94"/>
      <c r="P2004" s="94"/>
      <c r="Q2004" s="94"/>
      <c r="R2004" s="94"/>
      <c r="S2004" s="94"/>
      <c r="T2004" s="94"/>
      <c r="U2004" s="94"/>
      <c r="V2004" s="94"/>
      <c r="W2004" s="94"/>
      <c r="X2004" s="94"/>
      <c r="Y2004" s="94"/>
      <c r="Z2004" s="94"/>
      <c r="AA2004" s="94"/>
      <c r="AB2004" s="94"/>
      <c r="AC2004" s="94"/>
      <c r="AD2004" s="95">
        <v>2.4</v>
      </c>
      <c r="AE2004" s="94"/>
      <c r="AF2004" s="94"/>
      <c r="AG2004" s="95">
        <v>42.4</v>
      </c>
      <c r="AH2004" s="95">
        <v>0</v>
      </c>
    </row>
    <row r="2005" spans="1:34" ht="15.75" thickBot="1" x14ac:dyDescent="0.3">
      <c r="A2005" s="90" t="s">
        <v>1056</v>
      </c>
      <c r="B2005" s="90" t="s">
        <v>707</v>
      </c>
      <c r="C2005" s="90" t="s">
        <v>876</v>
      </c>
      <c r="D2005" s="90" t="s">
        <v>17</v>
      </c>
      <c r="E2005" s="90" t="s">
        <v>518</v>
      </c>
      <c r="F2005" s="90" t="s">
        <v>686</v>
      </c>
      <c r="G2005" s="93">
        <v>62.79</v>
      </c>
      <c r="H2005" s="93">
        <v>292</v>
      </c>
      <c r="I2005" s="92"/>
      <c r="J2005" s="92"/>
      <c r="K2005" s="93">
        <v>62.79</v>
      </c>
      <c r="L2005" s="92"/>
      <c r="M2005" s="92"/>
      <c r="N2005" s="92"/>
      <c r="O2005" s="92"/>
      <c r="P2005" s="92"/>
      <c r="Q2005" s="92"/>
      <c r="R2005" s="92"/>
      <c r="S2005" s="92"/>
      <c r="T2005" s="92"/>
      <c r="U2005" s="92"/>
      <c r="V2005" s="92"/>
      <c r="W2005" s="92"/>
      <c r="X2005" s="92"/>
      <c r="Y2005" s="92"/>
      <c r="Z2005" s="92"/>
      <c r="AA2005" s="92"/>
      <c r="AB2005" s="92"/>
      <c r="AC2005" s="92"/>
      <c r="AD2005" s="93">
        <v>3.77</v>
      </c>
      <c r="AE2005" s="92"/>
      <c r="AF2005" s="92"/>
      <c r="AG2005" s="93">
        <v>66.56</v>
      </c>
      <c r="AH2005" s="93">
        <v>0</v>
      </c>
    </row>
    <row r="2006" spans="1:34" ht="15.75" thickBot="1" x14ac:dyDescent="0.3">
      <c r="A2006" s="90" t="s">
        <v>1056</v>
      </c>
      <c r="B2006" s="90" t="s">
        <v>707</v>
      </c>
      <c r="C2006" s="90" t="s">
        <v>876</v>
      </c>
      <c r="D2006" s="90" t="s">
        <v>17</v>
      </c>
      <c r="E2006" s="90" t="s">
        <v>518</v>
      </c>
      <c r="F2006" s="90" t="s">
        <v>697</v>
      </c>
      <c r="G2006" s="95">
        <v>62.79</v>
      </c>
      <c r="H2006" s="305">
        <v>292</v>
      </c>
      <c r="I2006" s="94"/>
      <c r="J2006" s="94"/>
      <c r="K2006" s="95">
        <v>62.79</v>
      </c>
      <c r="L2006" s="94"/>
      <c r="M2006" s="94"/>
      <c r="N2006" s="94"/>
      <c r="O2006" s="94"/>
      <c r="P2006" s="94"/>
      <c r="Q2006" s="94"/>
      <c r="R2006" s="94"/>
      <c r="S2006" s="94"/>
      <c r="T2006" s="94"/>
      <c r="U2006" s="94"/>
      <c r="V2006" s="94"/>
      <c r="W2006" s="94"/>
      <c r="X2006" s="94"/>
      <c r="Y2006" s="94"/>
      <c r="Z2006" s="94"/>
      <c r="AA2006" s="94"/>
      <c r="AB2006" s="94"/>
      <c r="AC2006" s="94"/>
      <c r="AD2006" s="95">
        <v>3.77</v>
      </c>
      <c r="AE2006" s="94"/>
      <c r="AF2006" s="94"/>
      <c r="AG2006" s="95">
        <v>66.56</v>
      </c>
      <c r="AH2006" s="95">
        <v>0</v>
      </c>
    </row>
    <row r="2007" spans="1:34" ht="15.75" thickBot="1" x14ac:dyDescent="0.3">
      <c r="A2007" s="90" t="s">
        <v>1056</v>
      </c>
      <c r="B2007" s="90" t="s">
        <v>707</v>
      </c>
      <c r="C2007" s="90" t="s">
        <v>876</v>
      </c>
      <c r="D2007" s="90" t="s">
        <v>17</v>
      </c>
      <c r="E2007" s="90" t="s">
        <v>727</v>
      </c>
      <c r="F2007" s="90" t="s">
        <v>686</v>
      </c>
      <c r="G2007" s="93">
        <v>0.17</v>
      </c>
      <c r="H2007" s="92"/>
      <c r="I2007" s="92"/>
      <c r="J2007" s="92"/>
      <c r="K2007" s="92"/>
      <c r="L2007" s="92"/>
      <c r="M2007" s="92"/>
      <c r="N2007" s="92"/>
      <c r="O2007" s="93">
        <v>0.17</v>
      </c>
      <c r="P2007" s="92"/>
      <c r="Q2007" s="92"/>
      <c r="R2007" s="92"/>
      <c r="S2007" s="92"/>
      <c r="T2007" s="92"/>
      <c r="U2007" s="92"/>
      <c r="V2007" s="92"/>
      <c r="W2007" s="92"/>
      <c r="X2007" s="92"/>
      <c r="Y2007" s="92"/>
      <c r="Z2007" s="92"/>
      <c r="AA2007" s="92"/>
      <c r="AB2007" s="92"/>
      <c r="AC2007" s="92"/>
      <c r="AD2007" s="93">
        <v>0.01</v>
      </c>
      <c r="AE2007" s="92"/>
      <c r="AF2007" s="92"/>
      <c r="AG2007" s="93">
        <v>0.18</v>
      </c>
      <c r="AH2007" s="93">
        <v>0</v>
      </c>
    </row>
    <row r="2008" spans="1:34" ht="15.75" thickBot="1" x14ac:dyDescent="0.3">
      <c r="A2008" s="90" t="s">
        <v>1056</v>
      </c>
      <c r="B2008" s="90" t="s">
        <v>707</v>
      </c>
      <c r="C2008" s="90" t="s">
        <v>876</v>
      </c>
      <c r="D2008" s="90" t="s">
        <v>17</v>
      </c>
      <c r="E2008" s="90" t="s">
        <v>727</v>
      </c>
      <c r="F2008" s="90" t="s">
        <v>697</v>
      </c>
      <c r="G2008" s="95">
        <v>0.17</v>
      </c>
      <c r="H2008" s="94"/>
      <c r="I2008" s="94"/>
      <c r="J2008" s="94"/>
      <c r="K2008" s="94"/>
      <c r="L2008" s="94"/>
      <c r="M2008" s="94"/>
      <c r="N2008" s="94"/>
      <c r="O2008" s="95">
        <v>0.17</v>
      </c>
      <c r="P2008" s="94"/>
      <c r="Q2008" s="94"/>
      <c r="R2008" s="94"/>
      <c r="S2008" s="94"/>
      <c r="T2008" s="94"/>
      <c r="U2008" s="94"/>
      <c r="V2008" s="94"/>
      <c r="W2008" s="94"/>
      <c r="X2008" s="94"/>
      <c r="Y2008" s="94"/>
      <c r="Z2008" s="94"/>
      <c r="AA2008" s="94"/>
      <c r="AB2008" s="94"/>
      <c r="AC2008" s="94"/>
      <c r="AD2008" s="95">
        <v>0.01</v>
      </c>
      <c r="AE2008" s="94"/>
      <c r="AF2008" s="94"/>
      <c r="AG2008" s="95">
        <v>0.18</v>
      </c>
      <c r="AH2008" s="95">
        <v>0</v>
      </c>
    </row>
    <row r="2009" spans="1:34" ht="15.75" thickBot="1" x14ac:dyDescent="0.3">
      <c r="A2009" s="90" t="s">
        <v>1056</v>
      </c>
      <c r="B2009" s="90" t="s">
        <v>707</v>
      </c>
      <c r="C2009" s="90" t="s">
        <v>876</v>
      </c>
      <c r="D2009" s="90" t="s">
        <v>17</v>
      </c>
      <c r="E2009" s="90" t="s">
        <v>673</v>
      </c>
      <c r="F2009" s="90" t="s">
        <v>686</v>
      </c>
      <c r="G2009" s="93">
        <v>27.41</v>
      </c>
      <c r="H2009" s="92"/>
      <c r="I2009" s="92"/>
      <c r="J2009" s="92"/>
      <c r="K2009" s="92"/>
      <c r="L2009" s="92"/>
      <c r="M2009" s="92"/>
      <c r="N2009" s="92"/>
      <c r="O2009" s="92"/>
      <c r="P2009" s="92"/>
      <c r="Q2009" s="92"/>
      <c r="R2009" s="92"/>
      <c r="S2009" s="92"/>
      <c r="T2009" s="92"/>
      <c r="U2009" s="92"/>
      <c r="V2009" s="92"/>
      <c r="W2009" s="92"/>
      <c r="X2009" s="93">
        <v>27.41</v>
      </c>
      <c r="Y2009" s="92"/>
      <c r="Z2009" s="92"/>
      <c r="AA2009" s="92"/>
      <c r="AB2009" s="92"/>
      <c r="AC2009" s="92"/>
      <c r="AD2009" s="93">
        <v>1.64</v>
      </c>
      <c r="AE2009" s="92"/>
      <c r="AF2009" s="92"/>
      <c r="AG2009" s="93">
        <v>29.05</v>
      </c>
      <c r="AH2009" s="93">
        <v>0</v>
      </c>
    </row>
    <row r="2010" spans="1:34" ht="15.75" thickBot="1" x14ac:dyDescent="0.3">
      <c r="A2010" s="90" t="s">
        <v>1056</v>
      </c>
      <c r="B2010" s="90" t="s">
        <v>707</v>
      </c>
      <c r="C2010" s="90" t="s">
        <v>876</v>
      </c>
      <c r="D2010" s="90" t="s">
        <v>17</v>
      </c>
      <c r="E2010" s="90" t="s">
        <v>673</v>
      </c>
      <c r="F2010" s="90" t="s">
        <v>697</v>
      </c>
      <c r="G2010" s="95">
        <v>27.41</v>
      </c>
      <c r="H2010" s="94"/>
      <c r="I2010" s="94"/>
      <c r="J2010" s="94"/>
      <c r="K2010" s="94"/>
      <c r="L2010" s="94"/>
      <c r="M2010" s="94"/>
      <c r="N2010" s="94"/>
      <c r="O2010" s="94"/>
      <c r="P2010" s="94"/>
      <c r="Q2010" s="94"/>
      <c r="R2010" s="94"/>
      <c r="S2010" s="94"/>
      <c r="T2010" s="94"/>
      <c r="U2010" s="94"/>
      <c r="V2010" s="94"/>
      <c r="W2010" s="94"/>
      <c r="X2010" s="95">
        <v>27.41</v>
      </c>
      <c r="Y2010" s="94"/>
      <c r="Z2010" s="94"/>
      <c r="AA2010" s="94"/>
      <c r="AB2010" s="94"/>
      <c r="AC2010" s="94"/>
      <c r="AD2010" s="95">
        <v>1.64</v>
      </c>
      <c r="AE2010" s="94"/>
      <c r="AF2010" s="94"/>
      <c r="AG2010" s="95">
        <v>29.05</v>
      </c>
      <c r="AH2010" s="95">
        <v>0</v>
      </c>
    </row>
    <row r="2011" spans="1:34" ht="15.75" thickBot="1" x14ac:dyDescent="0.3">
      <c r="A2011" s="90" t="s">
        <v>1056</v>
      </c>
      <c r="B2011" s="90" t="s">
        <v>707</v>
      </c>
      <c r="C2011" s="90" t="s">
        <v>876</v>
      </c>
      <c r="D2011" s="90" t="s">
        <v>17</v>
      </c>
      <c r="E2011" s="90" t="s">
        <v>196</v>
      </c>
      <c r="F2011" s="90" t="s">
        <v>686</v>
      </c>
      <c r="G2011" s="93">
        <v>111.59</v>
      </c>
      <c r="H2011" s="92"/>
      <c r="I2011" s="92"/>
      <c r="J2011" s="92"/>
      <c r="K2011" s="92"/>
      <c r="L2011" s="92"/>
      <c r="M2011" s="92"/>
      <c r="N2011" s="92"/>
      <c r="O2011" s="92"/>
      <c r="P2011" s="93">
        <v>111.59</v>
      </c>
      <c r="Q2011" s="92"/>
      <c r="R2011" s="92"/>
      <c r="S2011" s="92"/>
      <c r="T2011" s="92"/>
      <c r="U2011" s="92"/>
      <c r="V2011" s="92"/>
      <c r="W2011" s="92"/>
      <c r="X2011" s="92"/>
      <c r="Y2011" s="92"/>
      <c r="Z2011" s="92"/>
      <c r="AA2011" s="92"/>
      <c r="AB2011" s="92"/>
      <c r="AC2011" s="92"/>
      <c r="AD2011" s="93">
        <v>6.7</v>
      </c>
      <c r="AE2011" s="92"/>
      <c r="AF2011" s="92"/>
      <c r="AG2011" s="93">
        <v>118.29</v>
      </c>
      <c r="AH2011" s="93">
        <v>0</v>
      </c>
    </row>
    <row r="2012" spans="1:34" ht="15.75" thickBot="1" x14ac:dyDescent="0.3">
      <c r="A2012" s="90" t="s">
        <v>1056</v>
      </c>
      <c r="B2012" s="90" t="s">
        <v>707</v>
      </c>
      <c r="C2012" s="90" t="s">
        <v>876</v>
      </c>
      <c r="D2012" s="90" t="s">
        <v>17</v>
      </c>
      <c r="E2012" s="90" t="s">
        <v>196</v>
      </c>
      <c r="F2012" s="90" t="s">
        <v>697</v>
      </c>
      <c r="G2012" s="95">
        <v>111.59</v>
      </c>
      <c r="H2012" s="94"/>
      <c r="I2012" s="94"/>
      <c r="J2012" s="94"/>
      <c r="K2012" s="94"/>
      <c r="L2012" s="94"/>
      <c r="M2012" s="94"/>
      <c r="N2012" s="94"/>
      <c r="O2012" s="94"/>
      <c r="P2012" s="95">
        <v>111.59</v>
      </c>
      <c r="Q2012" s="94"/>
      <c r="R2012" s="94"/>
      <c r="S2012" s="94"/>
      <c r="T2012" s="94"/>
      <c r="U2012" s="94"/>
      <c r="V2012" s="94"/>
      <c r="W2012" s="94"/>
      <c r="X2012" s="94"/>
      <c r="Y2012" s="94"/>
      <c r="Z2012" s="94"/>
      <c r="AA2012" s="94"/>
      <c r="AB2012" s="94"/>
      <c r="AC2012" s="94"/>
      <c r="AD2012" s="95">
        <v>6.7</v>
      </c>
      <c r="AE2012" s="94"/>
      <c r="AF2012" s="94"/>
      <c r="AG2012" s="95">
        <v>118.29</v>
      </c>
      <c r="AH2012" s="95">
        <v>0</v>
      </c>
    </row>
    <row r="2013" spans="1:34" ht="15.75" thickBot="1" x14ac:dyDescent="0.3">
      <c r="A2013" s="90" t="s">
        <v>1056</v>
      </c>
      <c r="B2013" s="90" t="s">
        <v>18</v>
      </c>
      <c r="C2013" s="90" t="s">
        <v>453</v>
      </c>
      <c r="D2013" s="90" t="s">
        <v>17</v>
      </c>
      <c r="E2013" s="90" t="s">
        <v>528</v>
      </c>
      <c r="F2013" s="90" t="s">
        <v>686</v>
      </c>
      <c r="G2013" s="93">
        <v>400</v>
      </c>
      <c r="H2013" s="92"/>
      <c r="I2013" s="93">
        <v>400</v>
      </c>
      <c r="J2013" s="92"/>
      <c r="K2013" s="92"/>
      <c r="L2013" s="92"/>
      <c r="M2013" s="92"/>
      <c r="N2013" s="92"/>
      <c r="O2013" s="92"/>
      <c r="P2013" s="92"/>
      <c r="Q2013" s="92"/>
      <c r="R2013" s="92"/>
      <c r="S2013" s="92"/>
      <c r="T2013" s="92"/>
      <c r="U2013" s="92"/>
      <c r="V2013" s="92"/>
      <c r="W2013" s="92"/>
      <c r="X2013" s="92"/>
      <c r="Y2013" s="92"/>
      <c r="Z2013" s="92"/>
      <c r="AA2013" s="92"/>
      <c r="AB2013" s="92"/>
      <c r="AC2013" s="92"/>
      <c r="AD2013" s="93">
        <v>24.01</v>
      </c>
      <c r="AE2013" s="92"/>
      <c r="AF2013" s="92"/>
      <c r="AG2013" s="93">
        <v>424.01</v>
      </c>
      <c r="AH2013" s="93">
        <v>0</v>
      </c>
    </row>
    <row r="2014" spans="1:34" ht="15.75" thickBot="1" x14ac:dyDescent="0.3">
      <c r="A2014" s="90" t="s">
        <v>1056</v>
      </c>
      <c r="B2014" s="90" t="s">
        <v>18</v>
      </c>
      <c r="C2014" s="90" t="s">
        <v>453</v>
      </c>
      <c r="D2014" s="90" t="s">
        <v>17</v>
      </c>
      <c r="E2014" s="90" t="s">
        <v>528</v>
      </c>
      <c r="F2014" s="90" t="s">
        <v>697</v>
      </c>
      <c r="G2014" s="95">
        <v>400</v>
      </c>
      <c r="H2014" s="94"/>
      <c r="I2014" s="95">
        <v>400</v>
      </c>
      <c r="J2014" s="94"/>
      <c r="K2014" s="94"/>
      <c r="L2014" s="94"/>
      <c r="M2014" s="94"/>
      <c r="N2014" s="94"/>
      <c r="O2014" s="94"/>
      <c r="P2014" s="94"/>
      <c r="Q2014" s="94"/>
      <c r="R2014" s="94"/>
      <c r="S2014" s="94"/>
      <c r="T2014" s="94"/>
      <c r="U2014" s="94"/>
      <c r="V2014" s="94"/>
      <c r="W2014" s="94"/>
      <c r="X2014" s="94"/>
      <c r="Y2014" s="94"/>
      <c r="Z2014" s="94"/>
      <c r="AA2014" s="94"/>
      <c r="AB2014" s="94"/>
      <c r="AC2014" s="94"/>
      <c r="AD2014" s="95">
        <v>24.01</v>
      </c>
      <c r="AE2014" s="94"/>
      <c r="AF2014" s="94"/>
      <c r="AG2014" s="95">
        <v>424.01</v>
      </c>
      <c r="AH2014" s="95">
        <v>0</v>
      </c>
    </row>
    <row r="2015" spans="1:34" ht="15.75" thickBot="1" x14ac:dyDescent="0.3">
      <c r="A2015" s="90" t="s">
        <v>1056</v>
      </c>
      <c r="B2015" s="90" t="s">
        <v>18</v>
      </c>
      <c r="C2015" s="90" t="s">
        <v>453</v>
      </c>
      <c r="D2015" s="90" t="s">
        <v>17</v>
      </c>
      <c r="E2015" s="90" t="s">
        <v>518</v>
      </c>
      <c r="F2015" s="90" t="s">
        <v>686</v>
      </c>
      <c r="G2015" s="93">
        <v>766.15</v>
      </c>
      <c r="H2015" s="93">
        <v>10931</v>
      </c>
      <c r="I2015" s="92"/>
      <c r="J2015" s="92"/>
      <c r="K2015" s="93">
        <v>766.15</v>
      </c>
      <c r="L2015" s="92"/>
      <c r="M2015" s="92"/>
      <c r="N2015" s="92"/>
      <c r="O2015" s="92"/>
      <c r="P2015" s="92"/>
      <c r="Q2015" s="92"/>
      <c r="R2015" s="92"/>
      <c r="S2015" s="92"/>
      <c r="T2015" s="92"/>
      <c r="U2015" s="92"/>
      <c r="V2015" s="92"/>
      <c r="W2015" s="92"/>
      <c r="X2015" s="92"/>
      <c r="Y2015" s="92"/>
      <c r="Z2015" s="92"/>
      <c r="AA2015" s="92"/>
      <c r="AB2015" s="92"/>
      <c r="AC2015" s="92"/>
      <c r="AD2015" s="93">
        <v>45.97</v>
      </c>
      <c r="AE2015" s="92"/>
      <c r="AF2015" s="92"/>
      <c r="AG2015" s="93">
        <v>812.12</v>
      </c>
      <c r="AH2015" s="93">
        <v>0</v>
      </c>
    </row>
    <row r="2016" spans="1:34" ht="15.75" thickBot="1" x14ac:dyDescent="0.3">
      <c r="A2016" s="90" t="s">
        <v>1056</v>
      </c>
      <c r="B2016" s="90" t="s">
        <v>18</v>
      </c>
      <c r="C2016" s="90" t="s">
        <v>453</v>
      </c>
      <c r="D2016" s="90" t="s">
        <v>17</v>
      </c>
      <c r="E2016" s="90" t="s">
        <v>518</v>
      </c>
      <c r="F2016" s="90" t="s">
        <v>697</v>
      </c>
      <c r="G2016" s="95">
        <v>766.15</v>
      </c>
      <c r="H2016" s="305">
        <v>10931</v>
      </c>
      <c r="I2016" s="94"/>
      <c r="J2016" s="94"/>
      <c r="K2016" s="95">
        <v>766.15</v>
      </c>
      <c r="L2016" s="94"/>
      <c r="M2016" s="94"/>
      <c r="N2016" s="94"/>
      <c r="O2016" s="94"/>
      <c r="P2016" s="94"/>
      <c r="Q2016" s="94"/>
      <c r="R2016" s="94"/>
      <c r="S2016" s="94"/>
      <c r="T2016" s="94"/>
      <c r="U2016" s="94"/>
      <c r="V2016" s="94"/>
      <c r="W2016" s="94"/>
      <c r="X2016" s="94"/>
      <c r="Y2016" s="94"/>
      <c r="Z2016" s="94"/>
      <c r="AA2016" s="94"/>
      <c r="AB2016" s="94"/>
      <c r="AC2016" s="94"/>
      <c r="AD2016" s="95">
        <v>45.97</v>
      </c>
      <c r="AE2016" s="94"/>
      <c r="AF2016" s="94"/>
      <c r="AG2016" s="95">
        <v>812.12</v>
      </c>
      <c r="AH2016" s="95">
        <v>0</v>
      </c>
    </row>
    <row r="2017" spans="1:34" ht="15.75" thickBot="1" x14ac:dyDescent="0.3">
      <c r="A2017" s="90" t="s">
        <v>1056</v>
      </c>
      <c r="B2017" s="90" t="s">
        <v>18</v>
      </c>
      <c r="C2017" s="90" t="s">
        <v>453</v>
      </c>
      <c r="D2017" s="90" t="s">
        <v>17</v>
      </c>
      <c r="E2017" s="90" t="s">
        <v>727</v>
      </c>
      <c r="F2017" s="90" t="s">
        <v>686</v>
      </c>
      <c r="G2017" s="93">
        <v>6.23</v>
      </c>
      <c r="H2017" s="92"/>
      <c r="I2017" s="92"/>
      <c r="J2017" s="92"/>
      <c r="K2017" s="92"/>
      <c r="L2017" s="92"/>
      <c r="M2017" s="92"/>
      <c r="N2017" s="92"/>
      <c r="O2017" s="93">
        <v>6.23</v>
      </c>
      <c r="P2017" s="92"/>
      <c r="Q2017" s="92"/>
      <c r="R2017" s="92"/>
      <c r="S2017" s="92"/>
      <c r="T2017" s="92"/>
      <c r="U2017" s="92"/>
      <c r="V2017" s="92"/>
      <c r="W2017" s="92"/>
      <c r="X2017" s="92"/>
      <c r="Y2017" s="92"/>
      <c r="Z2017" s="92"/>
      <c r="AA2017" s="92"/>
      <c r="AB2017" s="92"/>
      <c r="AC2017" s="92"/>
      <c r="AD2017" s="93">
        <v>0.37</v>
      </c>
      <c r="AE2017" s="92"/>
      <c r="AF2017" s="92"/>
      <c r="AG2017" s="93">
        <v>6.6</v>
      </c>
      <c r="AH2017" s="93">
        <v>0</v>
      </c>
    </row>
    <row r="2018" spans="1:34" ht="15.75" thickBot="1" x14ac:dyDescent="0.3">
      <c r="A2018" s="90" t="s">
        <v>1056</v>
      </c>
      <c r="B2018" s="90" t="s">
        <v>18</v>
      </c>
      <c r="C2018" s="90" t="s">
        <v>453</v>
      </c>
      <c r="D2018" s="90" t="s">
        <v>17</v>
      </c>
      <c r="E2018" s="90" t="s">
        <v>727</v>
      </c>
      <c r="F2018" s="90" t="s">
        <v>697</v>
      </c>
      <c r="G2018" s="95">
        <v>6.23</v>
      </c>
      <c r="H2018" s="94"/>
      <c r="I2018" s="94"/>
      <c r="J2018" s="94"/>
      <c r="K2018" s="94"/>
      <c r="L2018" s="94"/>
      <c r="M2018" s="94"/>
      <c r="N2018" s="94"/>
      <c r="O2018" s="95">
        <v>6.23</v>
      </c>
      <c r="P2018" s="94"/>
      <c r="Q2018" s="94"/>
      <c r="R2018" s="94"/>
      <c r="S2018" s="94"/>
      <c r="T2018" s="94"/>
      <c r="U2018" s="94"/>
      <c r="V2018" s="94"/>
      <c r="W2018" s="94"/>
      <c r="X2018" s="94"/>
      <c r="Y2018" s="94"/>
      <c r="Z2018" s="94"/>
      <c r="AA2018" s="94"/>
      <c r="AB2018" s="94"/>
      <c r="AC2018" s="94"/>
      <c r="AD2018" s="95">
        <v>0.37</v>
      </c>
      <c r="AE2018" s="94"/>
      <c r="AF2018" s="94"/>
      <c r="AG2018" s="95">
        <v>6.6</v>
      </c>
      <c r="AH2018" s="95">
        <v>0</v>
      </c>
    </row>
    <row r="2019" spans="1:34" ht="15.75" thickBot="1" x14ac:dyDescent="0.3">
      <c r="A2019" s="90" t="s">
        <v>1056</v>
      </c>
      <c r="B2019" s="90" t="s">
        <v>18</v>
      </c>
      <c r="C2019" s="90" t="s">
        <v>453</v>
      </c>
      <c r="D2019" s="90" t="s">
        <v>17</v>
      </c>
      <c r="E2019" s="90" t="s">
        <v>673</v>
      </c>
      <c r="F2019" s="90" t="s">
        <v>686</v>
      </c>
      <c r="G2019" s="93">
        <v>2838.87</v>
      </c>
      <c r="H2019" s="92"/>
      <c r="I2019" s="92"/>
      <c r="J2019" s="92"/>
      <c r="K2019" s="92"/>
      <c r="L2019" s="92"/>
      <c r="M2019" s="92"/>
      <c r="N2019" s="92"/>
      <c r="O2019" s="92"/>
      <c r="P2019" s="92"/>
      <c r="Q2019" s="92"/>
      <c r="R2019" s="92"/>
      <c r="S2019" s="92"/>
      <c r="T2019" s="92"/>
      <c r="U2019" s="92"/>
      <c r="V2019" s="92"/>
      <c r="W2019" s="92"/>
      <c r="X2019" s="93">
        <v>2838.87</v>
      </c>
      <c r="Y2019" s="92"/>
      <c r="Z2019" s="92"/>
      <c r="AA2019" s="92"/>
      <c r="AB2019" s="92"/>
      <c r="AC2019" s="92"/>
      <c r="AD2019" s="93">
        <v>170.33</v>
      </c>
      <c r="AE2019" s="92"/>
      <c r="AF2019" s="92"/>
      <c r="AG2019" s="93">
        <v>3009.2</v>
      </c>
      <c r="AH2019" s="93">
        <v>0</v>
      </c>
    </row>
    <row r="2020" spans="1:34" ht="15.75" thickBot="1" x14ac:dyDescent="0.3">
      <c r="A2020" s="90" t="s">
        <v>1056</v>
      </c>
      <c r="B2020" s="90" t="s">
        <v>18</v>
      </c>
      <c r="C2020" s="90" t="s">
        <v>453</v>
      </c>
      <c r="D2020" s="90" t="s">
        <v>17</v>
      </c>
      <c r="E2020" s="90" t="s">
        <v>673</v>
      </c>
      <c r="F2020" s="90" t="s">
        <v>697</v>
      </c>
      <c r="G2020" s="95">
        <v>2838.87</v>
      </c>
      <c r="H2020" s="94"/>
      <c r="I2020" s="94"/>
      <c r="J2020" s="94"/>
      <c r="K2020" s="94"/>
      <c r="L2020" s="94"/>
      <c r="M2020" s="94"/>
      <c r="N2020" s="94"/>
      <c r="O2020" s="94"/>
      <c r="P2020" s="94"/>
      <c r="Q2020" s="94"/>
      <c r="R2020" s="94"/>
      <c r="S2020" s="94"/>
      <c r="T2020" s="94"/>
      <c r="U2020" s="94"/>
      <c r="V2020" s="94"/>
      <c r="W2020" s="94"/>
      <c r="X2020" s="95">
        <v>2838.87</v>
      </c>
      <c r="Y2020" s="94"/>
      <c r="Z2020" s="94"/>
      <c r="AA2020" s="94"/>
      <c r="AB2020" s="94"/>
      <c r="AC2020" s="94"/>
      <c r="AD2020" s="95">
        <v>170.33</v>
      </c>
      <c r="AE2020" s="94"/>
      <c r="AF2020" s="94"/>
      <c r="AG2020" s="95">
        <v>3009.2</v>
      </c>
      <c r="AH2020" s="95">
        <v>0</v>
      </c>
    </row>
    <row r="2021" spans="1:34" ht="15.75" thickBot="1" x14ac:dyDescent="0.3">
      <c r="A2021" s="90" t="s">
        <v>1056</v>
      </c>
      <c r="B2021" s="90" t="s">
        <v>18</v>
      </c>
      <c r="C2021" s="90" t="s">
        <v>453</v>
      </c>
      <c r="D2021" s="90" t="s">
        <v>17</v>
      </c>
      <c r="E2021" s="90" t="s">
        <v>196</v>
      </c>
      <c r="F2021" s="90" t="s">
        <v>686</v>
      </c>
      <c r="G2021" s="93">
        <v>4177.3900000000003</v>
      </c>
      <c r="H2021" s="92"/>
      <c r="I2021" s="92"/>
      <c r="J2021" s="92"/>
      <c r="K2021" s="92"/>
      <c r="L2021" s="92"/>
      <c r="M2021" s="92"/>
      <c r="N2021" s="92"/>
      <c r="O2021" s="92"/>
      <c r="P2021" s="93">
        <v>4177.3900000000003</v>
      </c>
      <c r="Q2021" s="92"/>
      <c r="R2021" s="92"/>
      <c r="S2021" s="92"/>
      <c r="T2021" s="92"/>
      <c r="U2021" s="92"/>
      <c r="V2021" s="92"/>
      <c r="W2021" s="92"/>
      <c r="X2021" s="92"/>
      <c r="Y2021" s="92"/>
      <c r="Z2021" s="92"/>
      <c r="AA2021" s="92"/>
      <c r="AB2021" s="92"/>
      <c r="AC2021" s="92"/>
      <c r="AD2021" s="93">
        <v>250.64</v>
      </c>
      <c r="AE2021" s="92"/>
      <c r="AF2021" s="92"/>
      <c r="AG2021" s="93">
        <v>4428.03</v>
      </c>
      <c r="AH2021" s="93">
        <v>0</v>
      </c>
    </row>
    <row r="2022" spans="1:34" ht="15.75" thickBot="1" x14ac:dyDescent="0.3">
      <c r="A2022" s="90" t="s">
        <v>1056</v>
      </c>
      <c r="B2022" s="90" t="s">
        <v>18</v>
      </c>
      <c r="C2022" s="90" t="s">
        <v>453</v>
      </c>
      <c r="D2022" s="90" t="s">
        <v>17</v>
      </c>
      <c r="E2022" s="90" t="s">
        <v>196</v>
      </c>
      <c r="F2022" s="90" t="s">
        <v>697</v>
      </c>
      <c r="G2022" s="95">
        <v>4177.3900000000003</v>
      </c>
      <c r="H2022" s="94"/>
      <c r="I2022" s="94"/>
      <c r="J2022" s="94"/>
      <c r="K2022" s="94"/>
      <c r="L2022" s="94"/>
      <c r="M2022" s="94"/>
      <c r="N2022" s="94"/>
      <c r="O2022" s="94"/>
      <c r="P2022" s="95">
        <v>4177.3900000000003</v>
      </c>
      <c r="Q2022" s="94"/>
      <c r="R2022" s="94"/>
      <c r="S2022" s="94"/>
      <c r="T2022" s="94"/>
      <c r="U2022" s="94"/>
      <c r="V2022" s="94"/>
      <c r="W2022" s="94"/>
      <c r="X2022" s="94"/>
      <c r="Y2022" s="94"/>
      <c r="Z2022" s="94"/>
      <c r="AA2022" s="94"/>
      <c r="AB2022" s="94"/>
      <c r="AC2022" s="94"/>
      <c r="AD2022" s="95">
        <v>250.64</v>
      </c>
      <c r="AE2022" s="94"/>
      <c r="AF2022" s="94"/>
      <c r="AG2022" s="95">
        <v>4428.03</v>
      </c>
      <c r="AH2022" s="95">
        <v>0</v>
      </c>
    </row>
    <row r="2023" spans="1:34" ht="15.75" thickBot="1" x14ac:dyDescent="0.3">
      <c r="A2023" s="90" t="s">
        <v>1056</v>
      </c>
      <c r="B2023" s="90" t="s">
        <v>18</v>
      </c>
      <c r="C2023" s="90" t="s">
        <v>453</v>
      </c>
      <c r="D2023" s="90" t="s">
        <v>20</v>
      </c>
      <c r="E2023" s="90" t="s">
        <v>528</v>
      </c>
      <c r="F2023" s="90" t="s">
        <v>686</v>
      </c>
      <c r="G2023" s="93">
        <v>400</v>
      </c>
      <c r="H2023" s="92"/>
      <c r="I2023" s="93">
        <v>400</v>
      </c>
      <c r="J2023" s="92"/>
      <c r="K2023" s="92"/>
      <c r="L2023" s="92"/>
      <c r="M2023" s="92"/>
      <c r="N2023" s="92"/>
      <c r="O2023" s="92"/>
      <c r="P2023" s="92"/>
      <c r="Q2023" s="92"/>
      <c r="R2023" s="92"/>
      <c r="S2023" s="92"/>
      <c r="T2023" s="92"/>
      <c r="U2023" s="92"/>
      <c r="V2023" s="92"/>
      <c r="W2023" s="92"/>
      <c r="X2023" s="92"/>
      <c r="Y2023" s="92"/>
      <c r="Z2023" s="92"/>
      <c r="AA2023" s="92"/>
      <c r="AB2023" s="92"/>
      <c r="AC2023" s="92"/>
      <c r="AD2023" s="93">
        <v>0</v>
      </c>
      <c r="AE2023" s="92"/>
      <c r="AF2023" s="92"/>
      <c r="AG2023" s="93">
        <v>400</v>
      </c>
      <c r="AH2023" s="93">
        <v>0</v>
      </c>
    </row>
    <row r="2024" spans="1:34" ht="15.75" thickBot="1" x14ac:dyDescent="0.3">
      <c r="A2024" s="90" t="s">
        <v>1056</v>
      </c>
      <c r="B2024" s="90" t="s">
        <v>18</v>
      </c>
      <c r="C2024" s="90" t="s">
        <v>453</v>
      </c>
      <c r="D2024" s="90" t="s">
        <v>20</v>
      </c>
      <c r="E2024" s="90" t="s">
        <v>528</v>
      </c>
      <c r="F2024" s="90" t="s">
        <v>697</v>
      </c>
      <c r="G2024" s="95">
        <v>400</v>
      </c>
      <c r="H2024" s="94"/>
      <c r="I2024" s="95">
        <v>400</v>
      </c>
      <c r="J2024" s="94"/>
      <c r="K2024" s="94"/>
      <c r="L2024" s="94"/>
      <c r="M2024" s="94"/>
      <c r="N2024" s="94"/>
      <c r="O2024" s="94"/>
      <c r="P2024" s="94"/>
      <c r="Q2024" s="94"/>
      <c r="R2024" s="94"/>
      <c r="S2024" s="94"/>
      <c r="T2024" s="94"/>
      <c r="U2024" s="94"/>
      <c r="V2024" s="94"/>
      <c r="W2024" s="94"/>
      <c r="X2024" s="94"/>
      <c r="Y2024" s="94"/>
      <c r="Z2024" s="94"/>
      <c r="AA2024" s="94"/>
      <c r="AB2024" s="94"/>
      <c r="AC2024" s="94"/>
      <c r="AD2024" s="95">
        <v>0</v>
      </c>
      <c r="AE2024" s="94"/>
      <c r="AF2024" s="94"/>
      <c r="AG2024" s="95">
        <v>400</v>
      </c>
      <c r="AH2024" s="95">
        <v>0</v>
      </c>
    </row>
    <row r="2025" spans="1:34" ht="15.75" thickBot="1" x14ac:dyDescent="0.3">
      <c r="A2025" s="90" t="s">
        <v>1056</v>
      </c>
      <c r="B2025" s="90" t="s">
        <v>18</v>
      </c>
      <c r="C2025" s="90" t="s">
        <v>453</v>
      </c>
      <c r="D2025" s="90" t="s">
        <v>20</v>
      </c>
      <c r="E2025" s="90" t="s">
        <v>518</v>
      </c>
      <c r="F2025" s="90" t="s">
        <v>686</v>
      </c>
      <c r="G2025" s="93">
        <v>1050.23</v>
      </c>
      <c r="H2025" s="93">
        <v>14984</v>
      </c>
      <c r="I2025" s="92"/>
      <c r="J2025" s="92"/>
      <c r="K2025" s="93">
        <v>1050.23</v>
      </c>
      <c r="L2025" s="92"/>
      <c r="M2025" s="92"/>
      <c r="N2025" s="92"/>
      <c r="O2025" s="92"/>
      <c r="P2025" s="92"/>
      <c r="Q2025" s="92"/>
      <c r="R2025" s="92"/>
      <c r="S2025" s="92"/>
      <c r="T2025" s="92"/>
      <c r="U2025" s="92"/>
      <c r="V2025" s="92"/>
      <c r="W2025" s="92"/>
      <c r="X2025" s="92"/>
      <c r="Y2025" s="92"/>
      <c r="Z2025" s="92"/>
      <c r="AA2025" s="92"/>
      <c r="AB2025" s="92"/>
      <c r="AC2025" s="92"/>
      <c r="AD2025" s="93">
        <v>0</v>
      </c>
      <c r="AE2025" s="92"/>
      <c r="AF2025" s="92"/>
      <c r="AG2025" s="93">
        <v>1050.23</v>
      </c>
      <c r="AH2025" s="93">
        <v>0</v>
      </c>
    </row>
    <row r="2026" spans="1:34" ht="15.75" thickBot="1" x14ac:dyDescent="0.3">
      <c r="A2026" s="90" t="s">
        <v>1056</v>
      </c>
      <c r="B2026" s="90" t="s">
        <v>18</v>
      </c>
      <c r="C2026" s="90" t="s">
        <v>453</v>
      </c>
      <c r="D2026" s="90" t="s">
        <v>20</v>
      </c>
      <c r="E2026" s="90" t="s">
        <v>518</v>
      </c>
      <c r="F2026" s="90" t="s">
        <v>697</v>
      </c>
      <c r="G2026" s="95">
        <v>1050.23</v>
      </c>
      <c r="H2026" s="305">
        <v>14984</v>
      </c>
      <c r="I2026" s="94"/>
      <c r="J2026" s="94"/>
      <c r="K2026" s="95">
        <v>1050.23</v>
      </c>
      <c r="L2026" s="94"/>
      <c r="M2026" s="94"/>
      <c r="N2026" s="94"/>
      <c r="O2026" s="94"/>
      <c r="P2026" s="94"/>
      <c r="Q2026" s="94"/>
      <c r="R2026" s="94"/>
      <c r="S2026" s="94"/>
      <c r="T2026" s="94"/>
      <c r="U2026" s="94"/>
      <c r="V2026" s="94"/>
      <c r="W2026" s="94"/>
      <c r="X2026" s="94"/>
      <c r="Y2026" s="94"/>
      <c r="Z2026" s="94"/>
      <c r="AA2026" s="94"/>
      <c r="AB2026" s="94"/>
      <c r="AC2026" s="94"/>
      <c r="AD2026" s="95">
        <v>0</v>
      </c>
      <c r="AE2026" s="94"/>
      <c r="AF2026" s="94"/>
      <c r="AG2026" s="95">
        <v>1050.23</v>
      </c>
      <c r="AH2026" s="95">
        <v>0</v>
      </c>
    </row>
    <row r="2027" spans="1:34" ht="15.75" thickBot="1" x14ac:dyDescent="0.3">
      <c r="A2027" s="90" t="s">
        <v>1056</v>
      </c>
      <c r="B2027" s="90" t="s">
        <v>18</v>
      </c>
      <c r="C2027" s="90" t="s">
        <v>453</v>
      </c>
      <c r="D2027" s="90" t="s">
        <v>20</v>
      </c>
      <c r="E2027" s="90" t="s">
        <v>727</v>
      </c>
      <c r="F2027" s="90" t="s">
        <v>686</v>
      </c>
      <c r="G2027" s="93">
        <v>8.5399999999999991</v>
      </c>
      <c r="H2027" s="92"/>
      <c r="I2027" s="92"/>
      <c r="J2027" s="92"/>
      <c r="K2027" s="92"/>
      <c r="L2027" s="92"/>
      <c r="M2027" s="92"/>
      <c r="N2027" s="92"/>
      <c r="O2027" s="93">
        <v>8.5399999999999991</v>
      </c>
      <c r="P2027" s="92"/>
      <c r="Q2027" s="92"/>
      <c r="R2027" s="92"/>
      <c r="S2027" s="92"/>
      <c r="T2027" s="92"/>
      <c r="U2027" s="92"/>
      <c r="V2027" s="92"/>
      <c r="W2027" s="92"/>
      <c r="X2027" s="92"/>
      <c r="Y2027" s="92"/>
      <c r="Z2027" s="92"/>
      <c r="AA2027" s="92"/>
      <c r="AB2027" s="92"/>
      <c r="AC2027" s="92"/>
      <c r="AD2027" s="93">
        <v>0</v>
      </c>
      <c r="AE2027" s="92"/>
      <c r="AF2027" s="92"/>
      <c r="AG2027" s="93">
        <v>8.5399999999999991</v>
      </c>
      <c r="AH2027" s="93">
        <v>0</v>
      </c>
    </row>
    <row r="2028" spans="1:34" ht="15.75" thickBot="1" x14ac:dyDescent="0.3">
      <c r="A2028" s="90" t="s">
        <v>1056</v>
      </c>
      <c r="B2028" s="90" t="s">
        <v>18</v>
      </c>
      <c r="C2028" s="90" t="s">
        <v>453</v>
      </c>
      <c r="D2028" s="90" t="s">
        <v>20</v>
      </c>
      <c r="E2028" s="90" t="s">
        <v>727</v>
      </c>
      <c r="F2028" s="90" t="s">
        <v>697</v>
      </c>
      <c r="G2028" s="95">
        <v>8.5399999999999991</v>
      </c>
      <c r="H2028" s="94"/>
      <c r="I2028" s="94"/>
      <c r="J2028" s="94"/>
      <c r="K2028" s="94"/>
      <c r="L2028" s="94"/>
      <c r="M2028" s="94"/>
      <c r="N2028" s="94"/>
      <c r="O2028" s="95">
        <v>8.5399999999999991</v>
      </c>
      <c r="P2028" s="94"/>
      <c r="Q2028" s="94"/>
      <c r="R2028" s="94"/>
      <c r="S2028" s="94"/>
      <c r="T2028" s="94"/>
      <c r="U2028" s="94"/>
      <c r="V2028" s="94"/>
      <c r="W2028" s="94"/>
      <c r="X2028" s="94"/>
      <c r="Y2028" s="94"/>
      <c r="Z2028" s="94"/>
      <c r="AA2028" s="94"/>
      <c r="AB2028" s="94"/>
      <c r="AC2028" s="94"/>
      <c r="AD2028" s="95">
        <v>0</v>
      </c>
      <c r="AE2028" s="94"/>
      <c r="AF2028" s="94"/>
      <c r="AG2028" s="95">
        <v>8.5399999999999991</v>
      </c>
      <c r="AH2028" s="95">
        <v>0</v>
      </c>
    </row>
    <row r="2029" spans="1:34" ht="15.75" thickBot="1" x14ac:dyDescent="0.3">
      <c r="A2029" s="90" t="s">
        <v>1056</v>
      </c>
      <c r="B2029" s="90" t="s">
        <v>18</v>
      </c>
      <c r="C2029" s="90" t="s">
        <v>453</v>
      </c>
      <c r="D2029" s="90" t="s">
        <v>20</v>
      </c>
      <c r="E2029" s="90" t="s">
        <v>673</v>
      </c>
      <c r="F2029" s="90" t="s">
        <v>686</v>
      </c>
      <c r="G2029" s="93">
        <v>2838.87</v>
      </c>
      <c r="H2029" s="92"/>
      <c r="I2029" s="92"/>
      <c r="J2029" s="92"/>
      <c r="K2029" s="92"/>
      <c r="L2029" s="92"/>
      <c r="M2029" s="92"/>
      <c r="N2029" s="92"/>
      <c r="O2029" s="92"/>
      <c r="P2029" s="92"/>
      <c r="Q2029" s="92"/>
      <c r="R2029" s="92"/>
      <c r="S2029" s="92"/>
      <c r="T2029" s="92"/>
      <c r="U2029" s="92"/>
      <c r="V2029" s="92"/>
      <c r="W2029" s="92"/>
      <c r="X2029" s="93">
        <v>2838.87</v>
      </c>
      <c r="Y2029" s="92"/>
      <c r="Z2029" s="92"/>
      <c r="AA2029" s="92"/>
      <c r="AB2029" s="92"/>
      <c r="AC2029" s="92"/>
      <c r="AD2029" s="93">
        <v>0</v>
      </c>
      <c r="AE2029" s="92"/>
      <c r="AF2029" s="92"/>
      <c r="AG2029" s="93">
        <v>2838.87</v>
      </c>
      <c r="AH2029" s="93">
        <v>0</v>
      </c>
    </row>
    <row r="2030" spans="1:34" ht="15.75" thickBot="1" x14ac:dyDescent="0.3">
      <c r="A2030" s="90" t="s">
        <v>1056</v>
      </c>
      <c r="B2030" s="90" t="s">
        <v>18</v>
      </c>
      <c r="C2030" s="90" t="s">
        <v>453</v>
      </c>
      <c r="D2030" s="90" t="s">
        <v>20</v>
      </c>
      <c r="E2030" s="90" t="s">
        <v>673</v>
      </c>
      <c r="F2030" s="90" t="s">
        <v>697</v>
      </c>
      <c r="G2030" s="95">
        <v>2838.87</v>
      </c>
      <c r="H2030" s="94"/>
      <c r="I2030" s="94"/>
      <c r="J2030" s="94"/>
      <c r="K2030" s="94"/>
      <c r="L2030" s="94"/>
      <c r="M2030" s="94"/>
      <c r="N2030" s="94"/>
      <c r="O2030" s="94"/>
      <c r="P2030" s="94"/>
      <c r="Q2030" s="94"/>
      <c r="R2030" s="94"/>
      <c r="S2030" s="94"/>
      <c r="T2030" s="94"/>
      <c r="U2030" s="94"/>
      <c r="V2030" s="94"/>
      <c r="W2030" s="94"/>
      <c r="X2030" s="95">
        <v>2838.87</v>
      </c>
      <c r="Y2030" s="94"/>
      <c r="Z2030" s="94"/>
      <c r="AA2030" s="94"/>
      <c r="AB2030" s="94"/>
      <c r="AC2030" s="94"/>
      <c r="AD2030" s="95">
        <v>0</v>
      </c>
      <c r="AE2030" s="94"/>
      <c r="AF2030" s="94"/>
      <c r="AG2030" s="95">
        <v>2838.87</v>
      </c>
      <c r="AH2030" s="95">
        <v>0</v>
      </c>
    </row>
    <row r="2031" spans="1:34" ht="15.75" thickBot="1" x14ac:dyDescent="0.3">
      <c r="A2031" s="90" t="s">
        <v>1056</v>
      </c>
      <c r="B2031" s="90" t="s">
        <v>18</v>
      </c>
      <c r="C2031" s="90" t="s">
        <v>453</v>
      </c>
      <c r="D2031" s="90" t="s">
        <v>20</v>
      </c>
      <c r="E2031" s="90" t="s">
        <v>196</v>
      </c>
      <c r="F2031" s="90" t="s">
        <v>686</v>
      </c>
      <c r="G2031" s="93">
        <v>5726.29</v>
      </c>
      <c r="H2031" s="92"/>
      <c r="I2031" s="92"/>
      <c r="J2031" s="92"/>
      <c r="K2031" s="92"/>
      <c r="L2031" s="92"/>
      <c r="M2031" s="92"/>
      <c r="N2031" s="92"/>
      <c r="O2031" s="92"/>
      <c r="P2031" s="93">
        <v>5726.29</v>
      </c>
      <c r="Q2031" s="92"/>
      <c r="R2031" s="92"/>
      <c r="S2031" s="92"/>
      <c r="T2031" s="92"/>
      <c r="U2031" s="92"/>
      <c r="V2031" s="92"/>
      <c r="W2031" s="92"/>
      <c r="X2031" s="92"/>
      <c r="Y2031" s="92"/>
      <c r="Z2031" s="92"/>
      <c r="AA2031" s="92"/>
      <c r="AB2031" s="92"/>
      <c r="AC2031" s="92"/>
      <c r="AD2031" s="93">
        <v>0</v>
      </c>
      <c r="AE2031" s="92"/>
      <c r="AF2031" s="92"/>
      <c r="AG2031" s="93">
        <v>5726.29</v>
      </c>
      <c r="AH2031" s="93">
        <v>0</v>
      </c>
    </row>
    <row r="2032" spans="1:34" ht="15.75" thickBot="1" x14ac:dyDescent="0.3">
      <c r="A2032" s="90" t="s">
        <v>1056</v>
      </c>
      <c r="B2032" s="90" t="s">
        <v>18</v>
      </c>
      <c r="C2032" s="90" t="s">
        <v>453</v>
      </c>
      <c r="D2032" s="90" t="s">
        <v>20</v>
      </c>
      <c r="E2032" s="90" t="s">
        <v>196</v>
      </c>
      <c r="F2032" s="90" t="s">
        <v>697</v>
      </c>
      <c r="G2032" s="95">
        <v>5726.29</v>
      </c>
      <c r="H2032" s="94"/>
      <c r="I2032" s="94"/>
      <c r="J2032" s="94"/>
      <c r="K2032" s="94"/>
      <c r="L2032" s="94"/>
      <c r="M2032" s="94"/>
      <c r="N2032" s="94"/>
      <c r="O2032" s="94"/>
      <c r="P2032" s="95">
        <v>5726.29</v>
      </c>
      <c r="Q2032" s="94"/>
      <c r="R2032" s="94"/>
      <c r="S2032" s="94"/>
      <c r="T2032" s="94"/>
      <c r="U2032" s="94"/>
      <c r="V2032" s="94"/>
      <c r="W2032" s="94"/>
      <c r="X2032" s="94"/>
      <c r="Y2032" s="94"/>
      <c r="Z2032" s="94"/>
      <c r="AA2032" s="94"/>
      <c r="AB2032" s="94"/>
      <c r="AC2032" s="94"/>
      <c r="AD2032" s="95">
        <v>0</v>
      </c>
      <c r="AE2032" s="94"/>
      <c r="AF2032" s="94"/>
      <c r="AG2032" s="95">
        <v>5726.29</v>
      </c>
      <c r="AH2032" s="95">
        <v>0</v>
      </c>
    </row>
    <row r="2033" spans="1:34" ht="15.75" thickBot="1" x14ac:dyDescent="0.3">
      <c r="A2033" s="90" t="s">
        <v>1056</v>
      </c>
      <c r="B2033" s="90" t="s">
        <v>68</v>
      </c>
      <c r="C2033" s="90" t="s">
        <v>877</v>
      </c>
      <c r="D2033" s="90" t="s">
        <v>17</v>
      </c>
      <c r="E2033" s="90" t="s">
        <v>528</v>
      </c>
      <c r="F2033" s="90" t="s">
        <v>686</v>
      </c>
      <c r="G2033" s="93">
        <v>40</v>
      </c>
      <c r="H2033" s="92"/>
      <c r="I2033" s="93">
        <v>40</v>
      </c>
      <c r="J2033" s="92"/>
      <c r="K2033" s="92"/>
      <c r="L2033" s="92"/>
      <c r="M2033" s="92"/>
      <c r="N2033" s="92"/>
      <c r="O2033" s="92"/>
      <c r="P2033" s="92"/>
      <c r="Q2033" s="92"/>
      <c r="R2033" s="92"/>
      <c r="S2033" s="92"/>
      <c r="T2033" s="92"/>
      <c r="U2033" s="92"/>
      <c r="V2033" s="92"/>
      <c r="W2033" s="92"/>
      <c r="X2033" s="92"/>
      <c r="Y2033" s="92"/>
      <c r="Z2033" s="92"/>
      <c r="AA2033" s="92"/>
      <c r="AB2033" s="92"/>
      <c r="AC2033" s="92"/>
      <c r="AD2033" s="93">
        <v>2.4</v>
      </c>
      <c r="AE2033" s="92"/>
      <c r="AF2033" s="92"/>
      <c r="AG2033" s="93">
        <v>42.4</v>
      </c>
      <c r="AH2033" s="93">
        <v>0</v>
      </c>
    </row>
    <row r="2034" spans="1:34" ht="15.75" thickBot="1" x14ac:dyDescent="0.3">
      <c r="A2034" s="90" t="s">
        <v>1056</v>
      </c>
      <c r="B2034" s="90" t="s">
        <v>68</v>
      </c>
      <c r="C2034" s="90" t="s">
        <v>877</v>
      </c>
      <c r="D2034" s="90" t="s">
        <v>17</v>
      </c>
      <c r="E2034" s="90" t="s">
        <v>528</v>
      </c>
      <c r="F2034" s="90" t="s">
        <v>697</v>
      </c>
      <c r="G2034" s="95">
        <v>40</v>
      </c>
      <c r="H2034" s="94"/>
      <c r="I2034" s="95">
        <v>40</v>
      </c>
      <c r="J2034" s="94"/>
      <c r="K2034" s="94"/>
      <c r="L2034" s="94"/>
      <c r="M2034" s="94"/>
      <c r="N2034" s="94"/>
      <c r="O2034" s="94"/>
      <c r="P2034" s="94"/>
      <c r="Q2034" s="94"/>
      <c r="R2034" s="94"/>
      <c r="S2034" s="94"/>
      <c r="T2034" s="94"/>
      <c r="U2034" s="94"/>
      <c r="V2034" s="94"/>
      <c r="W2034" s="94"/>
      <c r="X2034" s="94"/>
      <c r="Y2034" s="94"/>
      <c r="Z2034" s="94"/>
      <c r="AA2034" s="94"/>
      <c r="AB2034" s="94"/>
      <c r="AC2034" s="94"/>
      <c r="AD2034" s="95">
        <v>2.4</v>
      </c>
      <c r="AE2034" s="94"/>
      <c r="AF2034" s="94"/>
      <c r="AG2034" s="95">
        <v>42.4</v>
      </c>
      <c r="AH2034" s="95">
        <v>0</v>
      </c>
    </row>
    <row r="2035" spans="1:34" ht="15.75" thickBot="1" x14ac:dyDescent="0.3">
      <c r="A2035" s="90" t="s">
        <v>1056</v>
      </c>
      <c r="B2035" s="90" t="s">
        <v>68</v>
      </c>
      <c r="C2035" s="90" t="s">
        <v>877</v>
      </c>
      <c r="D2035" s="90" t="s">
        <v>17</v>
      </c>
      <c r="E2035" s="90" t="s">
        <v>547</v>
      </c>
      <c r="F2035" s="90" t="s">
        <v>686</v>
      </c>
      <c r="G2035" s="93">
        <v>544</v>
      </c>
      <c r="H2035" s="92"/>
      <c r="I2035" s="92"/>
      <c r="J2035" s="93">
        <v>544</v>
      </c>
      <c r="K2035" s="92"/>
      <c r="L2035" s="92"/>
      <c r="M2035" s="92"/>
      <c r="N2035" s="92"/>
      <c r="O2035" s="92"/>
      <c r="P2035" s="92"/>
      <c r="Q2035" s="92"/>
      <c r="R2035" s="92"/>
      <c r="S2035" s="92"/>
      <c r="T2035" s="92"/>
      <c r="U2035" s="92"/>
      <c r="V2035" s="92"/>
      <c r="W2035" s="92"/>
      <c r="X2035" s="92"/>
      <c r="Y2035" s="92"/>
      <c r="Z2035" s="92"/>
      <c r="AA2035" s="92"/>
      <c r="AB2035" s="92"/>
      <c r="AC2035" s="92"/>
      <c r="AD2035" s="93">
        <v>32.64</v>
      </c>
      <c r="AE2035" s="92"/>
      <c r="AF2035" s="92"/>
      <c r="AG2035" s="93">
        <v>576.64</v>
      </c>
      <c r="AH2035" s="93">
        <v>0</v>
      </c>
    </row>
    <row r="2036" spans="1:34" ht="15.75" thickBot="1" x14ac:dyDescent="0.3">
      <c r="A2036" s="90" t="s">
        <v>1056</v>
      </c>
      <c r="B2036" s="90" t="s">
        <v>68</v>
      </c>
      <c r="C2036" s="90" t="s">
        <v>877</v>
      </c>
      <c r="D2036" s="90" t="s">
        <v>17</v>
      </c>
      <c r="E2036" s="90" t="s">
        <v>547</v>
      </c>
      <c r="F2036" s="90" t="s">
        <v>697</v>
      </c>
      <c r="G2036" s="95">
        <v>544</v>
      </c>
      <c r="H2036" s="94"/>
      <c r="I2036" s="94"/>
      <c r="J2036" s="95">
        <v>544</v>
      </c>
      <c r="K2036" s="94"/>
      <c r="L2036" s="94"/>
      <c r="M2036" s="94"/>
      <c r="N2036" s="94"/>
      <c r="O2036" s="94"/>
      <c r="P2036" s="94"/>
      <c r="Q2036" s="94"/>
      <c r="R2036" s="94"/>
      <c r="S2036" s="94"/>
      <c r="T2036" s="94"/>
      <c r="U2036" s="94"/>
      <c r="V2036" s="94"/>
      <c r="W2036" s="94"/>
      <c r="X2036" s="94"/>
      <c r="Y2036" s="94"/>
      <c r="Z2036" s="94"/>
      <c r="AA2036" s="94"/>
      <c r="AB2036" s="94"/>
      <c r="AC2036" s="94"/>
      <c r="AD2036" s="95">
        <v>32.64</v>
      </c>
      <c r="AE2036" s="94"/>
      <c r="AF2036" s="94"/>
      <c r="AG2036" s="95">
        <v>576.64</v>
      </c>
      <c r="AH2036" s="95">
        <v>0</v>
      </c>
    </row>
    <row r="2037" spans="1:34" ht="15.75" thickBot="1" x14ac:dyDescent="0.3">
      <c r="A2037" s="90" t="s">
        <v>1056</v>
      </c>
      <c r="B2037" s="90" t="s">
        <v>68</v>
      </c>
      <c r="C2037" s="90" t="s">
        <v>877</v>
      </c>
      <c r="D2037" s="90" t="s">
        <v>17</v>
      </c>
      <c r="E2037" s="90" t="s">
        <v>518</v>
      </c>
      <c r="F2037" s="90" t="s">
        <v>686</v>
      </c>
      <c r="G2037" s="93">
        <v>0.23</v>
      </c>
      <c r="H2037" s="93">
        <v>7</v>
      </c>
      <c r="I2037" s="92"/>
      <c r="J2037" s="92"/>
      <c r="K2037" s="93">
        <v>0.23</v>
      </c>
      <c r="L2037" s="92"/>
      <c r="M2037" s="92"/>
      <c r="N2037" s="92"/>
      <c r="O2037" s="92"/>
      <c r="P2037" s="92"/>
      <c r="Q2037" s="92"/>
      <c r="R2037" s="92"/>
      <c r="S2037" s="92"/>
      <c r="T2037" s="92"/>
      <c r="U2037" s="92"/>
      <c r="V2037" s="92"/>
      <c r="W2037" s="92"/>
      <c r="X2037" s="92"/>
      <c r="Y2037" s="92"/>
      <c r="Z2037" s="92"/>
      <c r="AA2037" s="92"/>
      <c r="AB2037" s="92"/>
      <c r="AC2037" s="92"/>
      <c r="AD2037" s="93">
        <v>0.01</v>
      </c>
      <c r="AE2037" s="92"/>
      <c r="AF2037" s="92"/>
      <c r="AG2037" s="93">
        <v>0.24</v>
      </c>
      <c r="AH2037" s="93">
        <v>0</v>
      </c>
    </row>
    <row r="2038" spans="1:34" ht="15.75" thickBot="1" x14ac:dyDescent="0.3">
      <c r="A2038" s="90" t="s">
        <v>1056</v>
      </c>
      <c r="B2038" s="90" t="s">
        <v>68</v>
      </c>
      <c r="C2038" s="90" t="s">
        <v>877</v>
      </c>
      <c r="D2038" s="90" t="s">
        <v>17</v>
      </c>
      <c r="E2038" s="90" t="s">
        <v>518</v>
      </c>
      <c r="F2038" s="90" t="s">
        <v>697</v>
      </c>
      <c r="G2038" s="95">
        <v>0.23</v>
      </c>
      <c r="H2038" s="305">
        <v>7</v>
      </c>
      <c r="I2038" s="94"/>
      <c r="J2038" s="94"/>
      <c r="K2038" s="95">
        <v>0.23</v>
      </c>
      <c r="L2038" s="94"/>
      <c r="M2038" s="94"/>
      <c r="N2038" s="94"/>
      <c r="O2038" s="94"/>
      <c r="P2038" s="94"/>
      <c r="Q2038" s="94"/>
      <c r="R2038" s="94"/>
      <c r="S2038" s="94"/>
      <c r="T2038" s="94"/>
      <c r="U2038" s="94"/>
      <c r="V2038" s="94"/>
      <c r="W2038" s="94"/>
      <c r="X2038" s="94"/>
      <c r="Y2038" s="94"/>
      <c r="Z2038" s="94"/>
      <c r="AA2038" s="94"/>
      <c r="AB2038" s="94"/>
      <c r="AC2038" s="94"/>
      <c r="AD2038" s="95">
        <v>0.01</v>
      </c>
      <c r="AE2038" s="94"/>
      <c r="AF2038" s="94"/>
      <c r="AG2038" s="95">
        <v>0.24</v>
      </c>
      <c r="AH2038" s="95">
        <v>0</v>
      </c>
    </row>
    <row r="2039" spans="1:34" ht="15.75" thickBot="1" x14ac:dyDescent="0.3">
      <c r="A2039" s="90" t="s">
        <v>1056</v>
      </c>
      <c r="B2039" s="90" t="s">
        <v>68</v>
      </c>
      <c r="C2039" s="90" t="s">
        <v>877</v>
      </c>
      <c r="D2039" s="90" t="s">
        <v>17</v>
      </c>
      <c r="E2039" s="90" t="s">
        <v>196</v>
      </c>
      <c r="F2039" s="90" t="s">
        <v>686</v>
      </c>
      <c r="G2039" s="93">
        <v>2.68</v>
      </c>
      <c r="H2039" s="92"/>
      <c r="I2039" s="92"/>
      <c r="J2039" s="92"/>
      <c r="K2039" s="92"/>
      <c r="L2039" s="92"/>
      <c r="M2039" s="92"/>
      <c r="N2039" s="92"/>
      <c r="O2039" s="92"/>
      <c r="P2039" s="93">
        <v>2.68</v>
      </c>
      <c r="Q2039" s="92"/>
      <c r="R2039" s="92"/>
      <c r="S2039" s="92"/>
      <c r="T2039" s="92"/>
      <c r="U2039" s="92"/>
      <c r="V2039" s="92"/>
      <c r="W2039" s="92"/>
      <c r="X2039" s="92"/>
      <c r="Y2039" s="92"/>
      <c r="Z2039" s="92"/>
      <c r="AA2039" s="92"/>
      <c r="AB2039" s="92"/>
      <c r="AC2039" s="92"/>
      <c r="AD2039" s="93">
        <v>0.16</v>
      </c>
      <c r="AE2039" s="92"/>
      <c r="AF2039" s="92"/>
      <c r="AG2039" s="93">
        <v>2.84</v>
      </c>
      <c r="AH2039" s="93">
        <v>0</v>
      </c>
    </row>
    <row r="2040" spans="1:34" ht="15.75" thickBot="1" x14ac:dyDescent="0.3">
      <c r="A2040" s="90" t="s">
        <v>1056</v>
      </c>
      <c r="B2040" s="90" t="s">
        <v>68</v>
      </c>
      <c r="C2040" s="90" t="s">
        <v>877</v>
      </c>
      <c r="D2040" s="90" t="s">
        <v>17</v>
      </c>
      <c r="E2040" s="90" t="s">
        <v>196</v>
      </c>
      <c r="F2040" s="90" t="s">
        <v>697</v>
      </c>
      <c r="G2040" s="95">
        <v>2.68</v>
      </c>
      <c r="H2040" s="94"/>
      <c r="I2040" s="94"/>
      <c r="J2040" s="94"/>
      <c r="K2040" s="94"/>
      <c r="L2040" s="94"/>
      <c r="M2040" s="94"/>
      <c r="N2040" s="94"/>
      <c r="O2040" s="94"/>
      <c r="P2040" s="95">
        <v>2.68</v>
      </c>
      <c r="Q2040" s="94"/>
      <c r="R2040" s="94"/>
      <c r="S2040" s="94"/>
      <c r="T2040" s="94"/>
      <c r="U2040" s="94"/>
      <c r="V2040" s="94"/>
      <c r="W2040" s="94"/>
      <c r="X2040" s="94"/>
      <c r="Y2040" s="94"/>
      <c r="Z2040" s="94"/>
      <c r="AA2040" s="94"/>
      <c r="AB2040" s="94"/>
      <c r="AC2040" s="94"/>
      <c r="AD2040" s="95">
        <v>0.16</v>
      </c>
      <c r="AE2040" s="94"/>
      <c r="AF2040" s="94"/>
      <c r="AG2040" s="95">
        <v>2.84</v>
      </c>
      <c r="AH2040" s="95">
        <v>0</v>
      </c>
    </row>
    <row r="2041" spans="1:34" ht="15.75" thickBot="1" x14ac:dyDescent="0.3">
      <c r="A2041" s="90" t="s">
        <v>1056</v>
      </c>
      <c r="B2041" s="90" t="s">
        <v>50</v>
      </c>
      <c r="C2041" s="90" t="s">
        <v>881</v>
      </c>
      <c r="D2041" s="90" t="s">
        <v>661</v>
      </c>
      <c r="E2041" s="90" t="s">
        <v>198</v>
      </c>
      <c r="F2041" s="90" t="s">
        <v>522</v>
      </c>
      <c r="G2041" s="93">
        <v>186.17</v>
      </c>
      <c r="H2041" s="92"/>
      <c r="I2041" s="92"/>
      <c r="J2041" s="92"/>
      <c r="K2041" s="92"/>
      <c r="L2041" s="92"/>
      <c r="M2041" s="92"/>
      <c r="N2041" s="92"/>
      <c r="O2041" s="93">
        <v>186.17</v>
      </c>
      <c r="P2041" s="92"/>
      <c r="Q2041" s="92"/>
      <c r="R2041" s="92"/>
      <c r="S2041" s="92"/>
      <c r="T2041" s="92"/>
      <c r="U2041" s="92"/>
      <c r="V2041" s="92"/>
      <c r="W2041" s="92"/>
      <c r="X2041" s="92"/>
      <c r="Y2041" s="92"/>
      <c r="Z2041" s="92"/>
      <c r="AA2041" s="92"/>
      <c r="AB2041" s="92"/>
      <c r="AC2041" s="92"/>
      <c r="AD2041" s="93">
        <v>3.61</v>
      </c>
      <c r="AE2041" s="92"/>
      <c r="AF2041" s="92"/>
      <c r="AG2041" s="93">
        <v>189.78</v>
      </c>
      <c r="AH2041" s="93">
        <v>0</v>
      </c>
    </row>
    <row r="2042" spans="1:34" ht="15.75" thickBot="1" x14ac:dyDescent="0.3">
      <c r="A2042" s="90" t="s">
        <v>1056</v>
      </c>
      <c r="B2042" s="90" t="s">
        <v>50</v>
      </c>
      <c r="C2042" s="90" t="s">
        <v>881</v>
      </c>
      <c r="D2042" s="90" t="s">
        <v>661</v>
      </c>
      <c r="E2042" s="90" t="s">
        <v>198</v>
      </c>
      <c r="F2042" s="90" t="s">
        <v>697</v>
      </c>
      <c r="G2042" s="95">
        <v>186.17</v>
      </c>
      <c r="H2042" s="94"/>
      <c r="I2042" s="94"/>
      <c r="J2042" s="94"/>
      <c r="K2042" s="94"/>
      <c r="L2042" s="94"/>
      <c r="M2042" s="94"/>
      <c r="N2042" s="94"/>
      <c r="O2042" s="95">
        <v>186.17</v>
      </c>
      <c r="P2042" s="94"/>
      <c r="Q2042" s="94"/>
      <c r="R2042" s="94"/>
      <c r="S2042" s="94"/>
      <c r="T2042" s="94"/>
      <c r="U2042" s="94"/>
      <c r="V2042" s="94"/>
      <c r="W2042" s="94"/>
      <c r="X2042" s="94"/>
      <c r="Y2042" s="94"/>
      <c r="Z2042" s="94"/>
      <c r="AA2042" s="94"/>
      <c r="AB2042" s="94"/>
      <c r="AC2042" s="94"/>
      <c r="AD2042" s="95">
        <v>3.61</v>
      </c>
      <c r="AE2042" s="94"/>
      <c r="AF2042" s="94"/>
      <c r="AG2042" s="95">
        <v>189.78</v>
      </c>
      <c r="AH2042" s="95">
        <v>0</v>
      </c>
    </row>
    <row r="2043" spans="1:34" ht="15.75" thickBot="1" x14ac:dyDescent="0.3">
      <c r="A2043" s="90" t="s">
        <v>1056</v>
      </c>
      <c r="B2043" s="90" t="s">
        <v>50</v>
      </c>
      <c r="C2043" s="90" t="s">
        <v>881</v>
      </c>
      <c r="D2043" s="90" t="s">
        <v>661</v>
      </c>
      <c r="E2043" s="90" t="s">
        <v>518</v>
      </c>
      <c r="F2043" s="90" t="s">
        <v>522</v>
      </c>
      <c r="G2043" s="93">
        <v>14052.05</v>
      </c>
      <c r="H2043" s="93">
        <v>326640</v>
      </c>
      <c r="I2043" s="92"/>
      <c r="J2043" s="92"/>
      <c r="K2043" s="93">
        <v>14052.05</v>
      </c>
      <c r="L2043" s="92"/>
      <c r="M2043" s="92"/>
      <c r="N2043" s="92"/>
      <c r="O2043" s="92"/>
      <c r="P2043" s="92"/>
      <c r="Q2043" s="92"/>
      <c r="R2043" s="92"/>
      <c r="S2043" s="92"/>
      <c r="T2043" s="92"/>
      <c r="U2043" s="92"/>
      <c r="V2043" s="92"/>
      <c r="W2043" s="92"/>
      <c r="X2043" s="92"/>
      <c r="Y2043" s="92"/>
      <c r="Z2043" s="92"/>
      <c r="AA2043" s="92"/>
      <c r="AB2043" s="92"/>
      <c r="AC2043" s="92"/>
      <c r="AD2043" s="93">
        <v>272.95999999999998</v>
      </c>
      <c r="AE2043" s="92"/>
      <c r="AF2043" s="92"/>
      <c r="AG2043" s="93">
        <v>14325.01</v>
      </c>
      <c r="AH2043" s="93">
        <v>0</v>
      </c>
    </row>
    <row r="2044" spans="1:34" ht="15.75" thickBot="1" x14ac:dyDescent="0.3">
      <c r="A2044" s="90" t="s">
        <v>1056</v>
      </c>
      <c r="B2044" s="90" t="s">
        <v>50</v>
      </c>
      <c r="C2044" s="90" t="s">
        <v>881</v>
      </c>
      <c r="D2044" s="90" t="s">
        <v>661</v>
      </c>
      <c r="E2044" s="90" t="s">
        <v>518</v>
      </c>
      <c r="F2044" s="90" t="s">
        <v>697</v>
      </c>
      <c r="G2044" s="95">
        <v>14052.05</v>
      </c>
      <c r="H2044" s="305">
        <v>326640</v>
      </c>
      <c r="I2044" s="94"/>
      <c r="J2044" s="94"/>
      <c r="K2044" s="95">
        <v>14052.05</v>
      </c>
      <c r="L2044" s="94"/>
      <c r="M2044" s="94"/>
      <c r="N2044" s="94"/>
      <c r="O2044" s="94"/>
      <c r="P2044" s="94"/>
      <c r="Q2044" s="94"/>
      <c r="R2044" s="94"/>
      <c r="S2044" s="94"/>
      <c r="T2044" s="94"/>
      <c r="U2044" s="94"/>
      <c r="V2044" s="94"/>
      <c r="W2044" s="94"/>
      <c r="X2044" s="94"/>
      <c r="Y2044" s="94"/>
      <c r="Z2044" s="94"/>
      <c r="AA2044" s="94"/>
      <c r="AB2044" s="94"/>
      <c r="AC2044" s="94"/>
      <c r="AD2044" s="95">
        <v>272.95999999999998</v>
      </c>
      <c r="AE2044" s="94"/>
      <c r="AF2044" s="94"/>
      <c r="AG2044" s="95">
        <v>14325.01</v>
      </c>
      <c r="AH2044" s="95">
        <v>0</v>
      </c>
    </row>
    <row r="2045" spans="1:34" ht="15.75" thickBot="1" x14ac:dyDescent="0.3">
      <c r="A2045" s="90" t="s">
        <v>1056</v>
      </c>
      <c r="B2045" s="90" t="s">
        <v>50</v>
      </c>
      <c r="C2045" s="90" t="s">
        <v>881</v>
      </c>
      <c r="D2045" s="90" t="s">
        <v>661</v>
      </c>
      <c r="E2045" s="90" t="s">
        <v>524</v>
      </c>
      <c r="F2045" s="90" t="s">
        <v>522</v>
      </c>
      <c r="G2045" s="93">
        <v>4400</v>
      </c>
      <c r="H2045" s="92"/>
      <c r="I2045" s="93">
        <v>4400</v>
      </c>
      <c r="J2045" s="92"/>
      <c r="K2045" s="92"/>
      <c r="L2045" s="92"/>
      <c r="M2045" s="92"/>
      <c r="N2045" s="92"/>
      <c r="O2045" s="92"/>
      <c r="P2045" s="92"/>
      <c r="Q2045" s="92"/>
      <c r="R2045" s="92"/>
      <c r="S2045" s="92"/>
      <c r="T2045" s="92"/>
      <c r="U2045" s="92"/>
      <c r="V2045" s="92"/>
      <c r="W2045" s="92"/>
      <c r="X2045" s="92"/>
      <c r="Y2045" s="92"/>
      <c r="Z2045" s="92"/>
      <c r="AA2045" s="92"/>
      <c r="AB2045" s="92"/>
      <c r="AC2045" s="92"/>
      <c r="AD2045" s="93">
        <v>66</v>
      </c>
      <c r="AE2045" s="92"/>
      <c r="AF2045" s="92"/>
      <c r="AG2045" s="93">
        <v>4466</v>
      </c>
      <c r="AH2045" s="93">
        <v>0</v>
      </c>
    </row>
    <row r="2046" spans="1:34" ht="15.75" thickBot="1" x14ac:dyDescent="0.3">
      <c r="A2046" s="90" t="s">
        <v>1056</v>
      </c>
      <c r="B2046" s="90" t="s">
        <v>50</v>
      </c>
      <c r="C2046" s="90" t="s">
        <v>881</v>
      </c>
      <c r="D2046" s="90" t="s">
        <v>661</v>
      </c>
      <c r="E2046" s="90" t="s">
        <v>524</v>
      </c>
      <c r="F2046" s="90" t="s">
        <v>697</v>
      </c>
      <c r="G2046" s="95">
        <v>4400</v>
      </c>
      <c r="H2046" s="94"/>
      <c r="I2046" s="95">
        <v>4400</v>
      </c>
      <c r="J2046" s="94"/>
      <c r="K2046" s="94"/>
      <c r="L2046" s="94"/>
      <c r="M2046" s="94"/>
      <c r="N2046" s="94"/>
      <c r="O2046" s="94"/>
      <c r="P2046" s="94"/>
      <c r="Q2046" s="94"/>
      <c r="R2046" s="94"/>
      <c r="S2046" s="94"/>
      <c r="T2046" s="94"/>
      <c r="U2046" s="94"/>
      <c r="V2046" s="94"/>
      <c r="W2046" s="94"/>
      <c r="X2046" s="94"/>
      <c r="Y2046" s="94"/>
      <c r="Z2046" s="94"/>
      <c r="AA2046" s="94"/>
      <c r="AB2046" s="94"/>
      <c r="AC2046" s="94"/>
      <c r="AD2046" s="95">
        <v>66</v>
      </c>
      <c r="AE2046" s="94"/>
      <c r="AF2046" s="94"/>
      <c r="AG2046" s="95">
        <v>4466</v>
      </c>
      <c r="AH2046" s="95">
        <v>0</v>
      </c>
    </row>
    <row r="2047" spans="1:34" ht="15.75" thickBot="1" x14ac:dyDescent="0.3">
      <c r="A2047" s="90" t="s">
        <v>1056</v>
      </c>
      <c r="B2047" s="90" t="s">
        <v>50</v>
      </c>
      <c r="C2047" s="90" t="s">
        <v>881</v>
      </c>
      <c r="D2047" s="90" t="s">
        <v>662</v>
      </c>
      <c r="E2047" s="90" t="s">
        <v>198</v>
      </c>
      <c r="F2047" s="90" t="s">
        <v>522</v>
      </c>
      <c r="G2047" s="93">
        <v>33.770000000000003</v>
      </c>
      <c r="H2047" s="92"/>
      <c r="I2047" s="92"/>
      <c r="J2047" s="92"/>
      <c r="K2047" s="92"/>
      <c r="L2047" s="92"/>
      <c r="M2047" s="92"/>
      <c r="N2047" s="92"/>
      <c r="O2047" s="93">
        <v>33.770000000000003</v>
      </c>
      <c r="P2047" s="92"/>
      <c r="Q2047" s="92"/>
      <c r="R2047" s="92"/>
      <c r="S2047" s="92"/>
      <c r="T2047" s="92"/>
      <c r="U2047" s="92"/>
      <c r="V2047" s="92"/>
      <c r="W2047" s="92"/>
      <c r="X2047" s="92"/>
      <c r="Y2047" s="92"/>
      <c r="Z2047" s="92"/>
      <c r="AA2047" s="92"/>
      <c r="AB2047" s="92"/>
      <c r="AC2047" s="92"/>
      <c r="AD2047" s="93">
        <v>0.43</v>
      </c>
      <c r="AE2047" s="92"/>
      <c r="AF2047" s="92"/>
      <c r="AG2047" s="93">
        <v>34.200000000000003</v>
      </c>
      <c r="AH2047" s="93">
        <v>0</v>
      </c>
    </row>
    <row r="2048" spans="1:34" ht="15.75" thickBot="1" x14ac:dyDescent="0.3">
      <c r="A2048" s="90" t="s">
        <v>1056</v>
      </c>
      <c r="B2048" s="90" t="s">
        <v>50</v>
      </c>
      <c r="C2048" s="90" t="s">
        <v>881</v>
      </c>
      <c r="D2048" s="90" t="s">
        <v>662</v>
      </c>
      <c r="E2048" s="90" t="s">
        <v>198</v>
      </c>
      <c r="F2048" s="90" t="s">
        <v>697</v>
      </c>
      <c r="G2048" s="95">
        <v>33.770000000000003</v>
      </c>
      <c r="H2048" s="94"/>
      <c r="I2048" s="94"/>
      <c r="J2048" s="94"/>
      <c r="K2048" s="94"/>
      <c r="L2048" s="94"/>
      <c r="M2048" s="94"/>
      <c r="N2048" s="94"/>
      <c r="O2048" s="95">
        <v>33.770000000000003</v>
      </c>
      <c r="P2048" s="94"/>
      <c r="Q2048" s="94"/>
      <c r="R2048" s="94"/>
      <c r="S2048" s="94"/>
      <c r="T2048" s="94"/>
      <c r="U2048" s="94"/>
      <c r="V2048" s="94"/>
      <c r="W2048" s="94"/>
      <c r="X2048" s="94"/>
      <c r="Y2048" s="94"/>
      <c r="Z2048" s="94"/>
      <c r="AA2048" s="94"/>
      <c r="AB2048" s="94"/>
      <c r="AC2048" s="94"/>
      <c r="AD2048" s="95">
        <v>0.43</v>
      </c>
      <c r="AE2048" s="94"/>
      <c r="AF2048" s="94"/>
      <c r="AG2048" s="95">
        <v>34.200000000000003</v>
      </c>
      <c r="AH2048" s="95">
        <v>0</v>
      </c>
    </row>
    <row r="2049" spans="1:34" ht="15.75" thickBot="1" x14ac:dyDescent="0.3">
      <c r="A2049" s="90" t="s">
        <v>1056</v>
      </c>
      <c r="B2049" s="90" t="s">
        <v>50</v>
      </c>
      <c r="C2049" s="90" t="s">
        <v>881</v>
      </c>
      <c r="D2049" s="90" t="s">
        <v>662</v>
      </c>
      <c r="E2049" s="90" t="s">
        <v>525</v>
      </c>
      <c r="F2049" s="90" t="s">
        <v>690</v>
      </c>
      <c r="G2049" s="93">
        <v>-313.48</v>
      </c>
      <c r="H2049" s="92"/>
      <c r="I2049" s="92"/>
      <c r="J2049" s="92"/>
      <c r="K2049" s="92"/>
      <c r="L2049" s="92"/>
      <c r="M2049" s="92"/>
      <c r="N2049" s="92"/>
      <c r="O2049" s="92"/>
      <c r="P2049" s="92"/>
      <c r="Q2049" s="92"/>
      <c r="R2049" s="93">
        <v>-313.48</v>
      </c>
      <c r="S2049" s="92"/>
      <c r="T2049" s="92"/>
      <c r="U2049" s="92"/>
      <c r="V2049" s="92"/>
      <c r="W2049" s="92"/>
      <c r="X2049" s="92"/>
      <c r="Y2049" s="92"/>
      <c r="Z2049" s="92"/>
      <c r="AA2049" s="92"/>
      <c r="AB2049" s="92"/>
      <c r="AC2049" s="92"/>
      <c r="AD2049" s="93">
        <v>-9.41</v>
      </c>
      <c r="AE2049" s="92"/>
      <c r="AF2049" s="92"/>
      <c r="AG2049" s="93">
        <v>-322.89</v>
      </c>
      <c r="AH2049" s="93">
        <v>0</v>
      </c>
    </row>
    <row r="2050" spans="1:34" ht="15.75" thickBot="1" x14ac:dyDescent="0.3">
      <c r="A2050" s="90" t="s">
        <v>1056</v>
      </c>
      <c r="B2050" s="90" t="s">
        <v>50</v>
      </c>
      <c r="C2050" s="90" t="s">
        <v>881</v>
      </c>
      <c r="D2050" s="90" t="s">
        <v>662</v>
      </c>
      <c r="E2050" s="90" t="s">
        <v>525</v>
      </c>
      <c r="F2050" s="90" t="s">
        <v>697</v>
      </c>
      <c r="G2050" s="95">
        <v>-313.48</v>
      </c>
      <c r="H2050" s="94"/>
      <c r="I2050" s="94"/>
      <c r="J2050" s="94"/>
      <c r="K2050" s="94"/>
      <c r="L2050" s="94"/>
      <c r="M2050" s="94"/>
      <c r="N2050" s="94"/>
      <c r="O2050" s="94"/>
      <c r="P2050" s="94"/>
      <c r="Q2050" s="94"/>
      <c r="R2050" s="95">
        <v>-313.48</v>
      </c>
      <c r="S2050" s="94"/>
      <c r="T2050" s="94"/>
      <c r="U2050" s="94"/>
      <c r="V2050" s="94"/>
      <c r="W2050" s="94"/>
      <c r="X2050" s="94"/>
      <c r="Y2050" s="94"/>
      <c r="Z2050" s="94"/>
      <c r="AA2050" s="94"/>
      <c r="AB2050" s="94"/>
      <c r="AC2050" s="94"/>
      <c r="AD2050" s="95">
        <v>-9.41</v>
      </c>
      <c r="AE2050" s="94"/>
      <c r="AF2050" s="94"/>
      <c r="AG2050" s="95">
        <v>-322.89</v>
      </c>
      <c r="AH2050" s="95">
        <v>0</v>
      </c>
    </row>
    <row r="2051" spans="1:34" ht="15.75" thickBot="1" x14ac:dyDescent="0.3">
      <c r="A2051" s="90" t="s">
        <v>1056</v>
      </c>
      <c r="B2051" s="90" t="s">
        <v>50</v>
      </c>
      <c r="C2051" s="90" t="s">
        <v>881</v>
      </c>
      <c r="D2051" s="90" t="s">
        <v>662</v>
      </c>
      <c r="E2051" s="90" t="s">
        <v>518</v>
      </c>
      <c r="F2051" s="90" t="s">
        <v>522</v>
      </c>
      <c r="G2051" s="93">
        <v>2548.98</v>
      </c>
      <c r="H2051" s="93">
        <v>59251</v>
      </c>
      <c r="I2051" s="92"/>
      <c r="J2051" s="92"/>
      <c r="K2051" s="93">
        <v>2548.98</v>
      </c>
      <c r="L2051" s="92"/>
      <c r="M2051" s="92"/>
      <c r="N2051" s="92"/>
      <c r="O2051" s="92"/>
      <c r="P2051" s="92"/>
      <c r="Q2051" s="92"/>
      <c r="R2051" s="92"/>
      <c r="S2051" s="92"/>
      <c r="T2051" s="92"/>
      <c r="U2051" s="92"/>
      <c r="V2051" s="92"/>
      <c r="W2051" s="92"/>
      <c r="X2051" s="92"/>
      <c r="Y2051" s="92"/>
      <c r="Z2051" s="92"/>
      <c r="AA2051" s="92"/>
      <c r="AB2051" s="92"/>
      <c r="AC2051" s="92"/>
      <c r="AD2051" s="93">
        <v>32.68</v>
      </c>
      <c r="AE2051" s="92"/>
      <c r="AF2051" s="92"/>
      <c r="AG2051" s="93">
        <v>2581.66</v>
      </c>
      <c r="AH2051" s="93">
        <v>0</v>
      </c>
    </row>
    <row r="2052" spans="1:34" ht="15.75" thickBot="1" x14ac:dyDescent="0.3">
      <c r="A2052" s="90" t="s">
        <v>1056</v>
      </c>
      <c r="B2052" s="90" t="s">
        <v>50</v>
      </c>
      <c r="C2052" s="90" t="s">
        <v>881</v>
      </c>
      <c r="D2052" s="90" t="s">
        <v>662</v>
      </c>
      <c r="E2052" s="90" t="s">
        <v>518</v>
      </c>
      <c r="F2052" s="90" t="s">
        <v>697</v>
      </c>
      <c r="G2052" s="95">
        <v>2548.98</v>
      </c>
      <c r="H2052" s="305">
        <v>59251</v>
      </c>
      <c r="I2052" s="94"/>
      <c r="J2052" s="94"/>
      <c r="K2052" s="95">
        <v>2548.98</v>
      </c>
      <c r="L2052" s="94"/>
      <c r="M2052" s="94"/>
      <c r="N2052" s="94"/>
      <c r="O2052" s="94"/>
      <c r="P2052" s="94"/>
      <c r="Q2052" s="94"/>
      <c r="R2052" s="94"/>
      <c r="S2052" s="94"/>
      <c r="T2052" s="94"/>
      <c r="U2052" s="94"/>
      <c r="V2052" s="94"/>
      <c r="W2052" s="94"/>
      <c r="X2052" s="94"/>
      <c r="Y2052" s="94"/>
      <c r="Z2052" s="94"/>
      <c r="AA2052" s="94"/>
      <c r="AB2052" s="94"/>
      <c r="AC2052" s="94"/>
      <c r="AD2052" s="95">
        <v>32.68</v>
      </c>
      <c r="AE2052" s="94"/>
      <c r="AF2052" s="94"/>
      <c r="AG2052" s="95">
        <v>2581.66</v>
      </c>
      <c r="AH2052" s="95">
        <v>0</v>
      </c>
    </row>
    <row r="2053" spans="1:34" ht="15.75" thickBot="1" x14ac:dyDescent="0.3">
      <c r="A2053" s="90" t="s">
        <v>1056</v>
      </c>
      <c r="B2053" s="90" t="s">
        <v>50</v>
      </c>
      <c r="C2053" s="90" t="s">
        <v>881</v>
      </c>
      <c r="D2053" s="90" t="s">
        <v>662</v>
      </c>
      <c r="E2053" s="90" t="s">
        <v>527</v>
      </c>
      <c r="F2053" s="90" t="s">
        <v>690</v>
      </c>
      <c r="G2053" s="93">
        <v>192.91</v>
      </c>
      <c r="H2053" s="92"/>
      <c r="I2053" s="92"/>
      <c r="J2053" s="92"/>
      <c r="K2053" s="92"/>
      <c r="L2053" s="92"/>
      <c r="M2053" s="92"/>
      <c r="N2053" s="92"/>
      <c r="O2053" s="92"/>
      <c r="P2053" s="92"/>
      <c r="Q2053" s="92"/>
      <c r="R2053" s="92"/>
      <c r="S2053" s="93">
        <v>192.91</v>
      </c>
      <c r="T2053" s="92"/>
      <c r="U2053" s="92"/>
      <c r="V2053" s="92"/>
      <c r="W2053" s="92"/>
      <c r="X2053" s="92"/>
      <c r="Y2053" s="92"/>
      <c r="Z2053" s="92"/>
      <c r="AA2053" s="92"/>
      <c r="AB2053" s="92"/>
      <c r="AC2053" s="92"/>
      <c r="AD2053" s="93">
        <v>5.79</v>
      </c>
      <c r="AE2053" s="92"/>
      <c r="AF2053" s="92"/>
      <c r="AG2053" s="93">
        <v>198.7</v>
      </c>
      <c r="AH2053" s="93">
        <v>0</v>
      </c>
    </row>
    <row r="2054" spans="1:34" ht="15.75" thickBot="1" x14ac:dyDescent="0.3">
      <c r="A2054" s="90" t="s">
        <v>1056</v>
      </c>
      <c r="B2054" s="90" t="s">
        <v>50</v>
      </c>
      <c r="C2054" s="90" t="s">
        <v>881</v>
      </c>
      <c r="D2054" s="90" t="s">
        <v>662</v>
      </c>
      <c r="E2054" s="90" t="s">
        <v>527</v>
      </c>
      <c r="F2054" s="90" t="s">
        <v>697</v>
      </c>
      <c r="G2054" s="95">
        <v>192.91</v>
      </c>
      <c r="H2054" s="94"/>
      <c r="I2054" s="94"/>
      <c r="J2054" s="94"/>
      <c r="K2054" s="94"/>
      <c r="L2054" s="94"/>
      <c r="M2054" s="94"/>
      <c r="N2054" s="94"/>
      <c r="O2054" s="94"/>
      <c r="P2054" s="94"/>
      <c r="Q2054" s="94"/>
      <c r="R2054" s="94"/>
      <c r="S2054" s="95">
        <v>192.91</v>
      </c>
      <c r="T2054" s="94"/>
      <c r="U2054" s="94"/>
      <c r="V2054" s="94"/>
      <c r="W2054" s="94"/>
      <c r="X2054" s="94"/>
      <c r="Y2054" s="94"/>
      <c r="Z2054" s="94"/>
      <c r="AA2054" s="94"/>
      <c r="AB2054" s="94"/>
      <c r="AC2054" s="94"/>
      <c r="AD2054" s="95">
        <v>5.79</v>
      </c>
      <c r="AE2054" s="94"/>
      <c r="AF2054" s="94"/>
      <c r="AG2054" s="95">
        <v>198.7</v>
      </c>
      <c r="AH2054" s="95">
        <v>0</v>
      </c>
    </row>
    <row r="2055" spans="1:34" ht="15.75" thickBot="1" x14ac:dyDescent="0.3">
      <c r="A2055" s="90" t="s">
        <v>1056</v>
      </c>
      <c r="B2055" s="90" t="s">
        <v>50</v>
      </c>
      <c r="C2055" s="90" t="s">
        <v>881</v>
      </c>
      <c r="D2055" s="90" t="s">
        <v>662</v>
      </c>
      <c r="E2055" s="90" t="s">
        <v>671</v>
      </c>
      <c r="F2055" s="90" t="s">
        <v>522</v>
      </c>
      <c r="G2055" s="93">
        <v>56.83</v>
      </c>
      <c r="H2055" s="92"/>
      <c r="I2055" s="92"/>
      <c r="J2055" s="92"/>
      <c r="K2055" s="92"/>
      <c r="L2055" s="93">
        <v>56.83</v>
      </c>
      <c r="M2055" s="92"/>
      <c r="N2055" s="92"/>
      <c r="O2055" s="92"/>
      <c r="P2055" s="92"/>
      <c r="Q2055" s="92"/>
      <c r="R2055" s="92"/>
      <c r="S2055" s="92"/>
      <c r="T2055" s="92"/>
      <c r="U2055" s="92"/>
      <c r="V2055" s="92"/>
      <c r="W2055" s="92"/>
      <c r="X2055" s="92"/>
      <c r="Y2055" s="92"/>
      <c r="Z2055" s="92"/>
      <c r="AA2055" s="92"/>
      <c r="AB2055" s="92"/>
      <c r="AC2055" s="92"/>
      <c r="AD2055" s="93">
        <v>0</v>
      </c>
      <c r="AE2055" s="92"/>
      <c r="AF2055" s="92"/>
      <c r="AG2055" s="93">
        <v>56.83</v>
      </c>
      <c r="AH2055" s="93">
        <v>0</v>
      </c>
    </row>
    <row r="2056" spans="1:34" ht="15.75" thickBot="1" x14ac:dyDescent="0.3">
      <c r="A2056" s="90" t="s">
        <v>1056</v>
      </c>
      <c r="B2056" s="90" t="s">
        <v>50</v>
      </c>
      <c r="C2056" s="90" t="s">
        <v>881</v>
      </c>
      <c r="D2056" s="90" t="s">
        <v>662</v>
      </c>
      <c r="E2056" s="90" t="s">
        <v>671</v>
      </c>
      <c r="F2056" s="90" t="s">
        <v>697</v>
      </c>
      <c r="G2056" s="95">
        <v>56.83</v>
      </c>
      <c r="H2056" s="94"/>
      <c r="I2056" s="94"/>
      <c r="J2056" s="94"/>
      <c r="K2056" s="94"/>
      <c r="L2056" s="95">
        <v>56.83</v>
      </c>
      <c r="M2056" s="94"/>
      <c r="N2056" s="94"/>
      <c r="O2056" s="94"/>
      <c r="P2056" s="94"/>
      <c r="Q2056" s="94"/>
      <c r="R2056" s="94"/>
      <c r="S2056" s="94"/>
      <c r="T2056" s="94"/>
      <c r="U2056" s="94"/>
      <c r="V2056" s="94"/>
      <c r="W2056" s="94"/>
      <c r="X2056" s="94"/>
      <c r="Y2056" s="94"/>
      <c r="Z2056" s="94"/>
      <c r="AA2056" s="94"/>
      <c r="AB2056" s="94"/>
      <c r="AC2056" s="94"/>
      <c r="AD2056" s="95">
        <v>0</v>
      </c>
      <c r="AE2056" s="94"/>
      <c r="AF2056" s="94"/>
      <c r="AG2056" s="95">
        <v>56.83</v>
      </c>
      <c r="AH2056" s="95">
        <v>0</v>
      </c>
    </row>
    <row r="2057" spans="1:34" ht="15.75" thickBot="1" x14ac:dyDescent="0.3">
      <c r="A2057" s="90" t="s">
        <v>1056</v>
      </c>
      <c r="B2057" s="90" t="s">
        <v>50</v>
      </c>
      <c r="C2057" s="90" t="s">
        <v>881</v>
      </c>
      <c r="D2057" s="90" t="s">
        <v>662</v>
      </c>
      <c r="E2057" s="90" t="s">
        <v>524</v>
      </c>
      <c r="F2057" s="90" t="s">
        <v>522</v>
      </c>
      <c r="G2057" s="93">
        <v>1100</v>
      </c>
      <c r="H2057" s="92"/>
      <c r="I2057" s="93">
        <v>1100</v>
      </c>
      <c r="J2057" s="92"/>
      <c r="K2057" s="92"/>
      <c r="L2057" s="92"/>
      <c r="M2057" s="92"/>
      <c r="N2057" s="92"/>
      <c r="O2057" s="92"/>
      <c r="P2057" s="92"/>
      <c r="Q2057" s="92"/>
      <c r="R2057" s="92"/>
      <c r="S2057" s="92"/>
      <c r="T2057" s="92"/>
      <c r="U2057" s="92"/>
      <c r="V2057" s="92"/>
      <c r="W2057" s="92"/>
      <c r="X2057" s="92"/>
      <c r="Y2057" s="92"/>
      <c r="Z2057" s="92"/>
      <c r="AA2057" s="92"/>
      <c r="AB2057" s="92"/>
      <c r="AC2057" s="92"/>
      <c r="AD2057" s="93">
        <v>16.510000000000002</v>
      </c>
      <c r="AE2057" s="92"/>
      <c r="AF2057" s="92"/>
      <c r="AG2057" s="93">
        <v>1116.51</v>
      </c>
      <c r="AH2057" s="93">
        <v>0</v>
      </c>
    </row>
    <row r="2058" spans="1:34" ht="15.75" thickBot="1" x14ac:dyDescent="0.3">
      <c r="A2058" s="90" t="s">
        <v>1056</v>
      </c>
      <c r="B2058" s="90" t="s">
        <v>50</v>
      </c>
      <c r="C2058" s="90" t="s">
        <v>881</v>
      </c>
      <c r="D2058" s="90" t="s">
        <v>662</v>
      </c>
      <c r="E2058" s="90" t="s">
        <v>524</v>
      </c>
      <c r="F2058" s="90" t="s">
        <v>697</v>
      </c>
      <c r="G2058" s="95">
        <v>1100</v>
      </c>
      <c r="H2058" s="94"/>
      <c r="I2058" s="95">
        <v>1100</v>
      </c>
      <c r="J2058" s="94"/>
      <c r="K2058" s="94"/>
      <c r="L2058" s="94"/>
      <c r="M2058" s="94"/>
      <c r="N2058" s="94"/>
      <c r="O2058" s="94"/>
      <c r="P2058" s="94"/>
      <c r="Q2058" s="94"/>
      <c r="R2058" s="94"/>
      <c r="S2058" s="94"/>
      <c r="T2058" s="94"/>
      <c r="U2058" s="94"/>
      <c r="V2058" s="94"/>
      <c r="W2058" s="94"/>
      <c r="X2058" s="94"/>
      <c r="Y2058" s="94"/>
      <c r="Z2058" s="94"/>
      <c r="AA2058" s="94"/>
      <c r="AB2058" s="94"/>
      <c r="AC2058" s="94"/>
      <c r="AD2058" s="95">
        <v>16.510000000000002</v>
      </c>
      <c r="AE2058" s="94"/>
      <c r="AF2058" s="94"/>
      <c r="AG2058" s="95">
        <v>1116.51</v>
      </c>
      <c r="AH2058" s="95">
        <v>0</v>
      </c>
    </row>
    <row r="2059" spans="1:34" ht="15.75" thickBot="1" x14ac:dyDescent="0.3">
      <c r="A2059" s="90" t="s">
        <v>1056</v>
      </c>
      <c r="B2059" s="90" t="s">
        <v>50</v>
      </c>
      <c r="C2059" s="90" t="s">
        <v>881</v>
      </c>
      <c r="D2059" s="90" t="s">
        <v>662</v>
      </c>
      <c r="E2059" s="90" t="s">
        <v>676</v>
      </c>
      <c r="F2059" s="90" t="s">
        <v>522</v>
      </c>
      <c r="G2059" s="93">
        <v>8.2799999999999994</v>
      </c>
      <c r="H2059" s="92"/>
      <c r="I2059" s="92"/>
      <c r="J2059" s="92"/>
      <c r="K2059" s="92"/>
      <c r="L2059" s="92"/>
      <c r="M2059" s="92"/>
      <c r="N2059" s="92"/>
      <c r="O2059" s="92"/>
      <c r="P2059" s="92"/>
      <c r="Q2059" s="92"/>
      <c r="R2059" s="92"/>
      <c r="S2059" s="92"/>
      <c r="T2059" s="92"/>
      <c r="U2059" s="93">
        <v>8.2799999999999994</v>
      </c>
      <c r="V2059" s="92"/>
      <c r="W2059" s="92"/>
      <c r="X2059" s="92"/>
      <c r="Y2059" s="92"/>
      <c r="Z2059" s="92"/>
      <c r="AA2059" s="92"/>
      <c r="AB2059" s="92"/>
      <c r="AC2059" s="92"/>
      <c r="AD2059" s="93">
        <v>0.25</v>
      </c>
      <c r="AE2059" s="92"/>
      <c r="AF2059" s="92"/>
      <c r="AG2059" s="93">
        <v>8.5299999999999994</v>
      </c>
      <c r="AH2059" s="93">
        <v>0</v>
      </c>
    </row>
    <row r="2060" spans="1:34" ht="15.75" thickBot="1" x14ac:dyDescent="0.3">
      <c r="A2060" s="90" t="s">
        <v>1056</v>
      </c>
      <c r="B2060" s="90" t="s">
        <v>50</v>
      </c>
      <c r="C2060" s="90" t="s">
        <v>881</v>
      </c>
      <c r="D2060" s="90" t="s">
        <v>662</v>
      </c>
      <c r="E2060" s="90" t="s">
        <v>676</v>
      </c>
      <c r="F2060" s="90" t="s">
        <v>697</v>
      </c>
      <c r="G2060" s="95">
        <v>8.2799999999999994</v>
      </c>
      <c r="H2060" s="94"/>
      <c r="I2060" s="94"/>
      <c r="J2060" s="94"/>
      <c r="K2060" s="94"/>
      <c r="L2060" s="94"/>
      <c r="M2060" s="94"/>
      <c r="N2060" s="94"/>
      <c r="O2060" s="94"/>
      <c r="P2060" s="94"/>
      <c r="Q2060" s="94"/>
      <c r="R2060" s="94"/>
      <c r="S2060" s="94"/>
      <c r="T2060" s="94"/>
      <c r="U2060" s="95">
        <v>8.2799999999999994</v>
      </c>
      <c r="V2060" s="94"/>
      <c r="W2060" s="94"/>
      <c r="X2060" s="94"/>
      <c r="Y2060" s="94"/>
      <c r="Z2060" s="94"/>
      <c r="AA2060" s="94"/>
      <c r="AB2060" s="94"/>
      <c r="AC2060" s="94"/>
      <c r="AD2060" s="95">
        <v>0.25</v>
      </c>
      <c r="AE2060" s="94"/>
      <c r="AF2060" s="94"/>
      <c r="AG2060" s="95">
        <v>8.5299999999999994</v>
      </c>
      <c r="AH2060" s="95">
        <v>0</v>
      </c>
    </row>
    <row r="2061" spans="1:34" ht="15.75" thickBot="1" x14ac:dyDescent="0.3">
      <c r="A2061" s="90" t="s">
        <v>1056</v>
      </c>
      <c r="B2061" s="90" t="s">
        <v>50</v>
      </c>
      <c r="C2061" s="90" t="s">
        <v>881</v>
      </c>
      <c r="D2061" s="90" t="s">
        <v>662</v>
      </c>
      <c r="E2061" s="90" t="s">
        <v>677</v>
      </c>
      <c r="F2061" s="90" t="s">
        <v>522</v>
      </c>
      <c r="G2061" s="93">
        <v>9.1300000000000008</v>
      </c>
      <c r="H2061" s="92"/>
      <c r="I2061" s="92"/>
      <c r="J2061" s="92"/>
      <c r="K2061" s="92"/>
      <c r="L2061" s="92"/>
      <c r="M2061" s="92"/>
      <c r="N2061" s="92"/>
      <c r="O2061" s="92"/>
      <c r="P2061" s="92"/>
      <c r="Q2061" s="92"/>
      <c r="R2061" s="92"/>
      <c r="S2061" s="92"/>
      <c r="T2061" s="92"/>
      <c r="U2061" s="92"/>
      <c r="V2061" s="93">
        <v>9.1300000000000008</v>
      </c>
      <c r="W2061" s="92"/>
      <c r="X2061" s="92"/>
      <c r="Y2061" s="92"/>
      <c r="Z2061" s="92"/>
      <c r="AA2061" s="92"/>
      <c r="AB2061" s="92"/>
      <c r="AC2061" s="92"/>
      <c r="AD2061" s="93">
        <v>0.27</v>
      </c>
      <c r="AE2061" s="92"/>
      <c r="AF2061" s="92"/>
      <c r="AG2061" s="93">
        <v>9.4</v>
      </c>
      <c r="AH2061" s="93">
        <v>0</v>
      </c>
    </row>
    <row r="2062" spans="1:34" ht="15.75" thickBot="1" x14ac:dyDescent="0.3">
      <c r="A2062" s="90" t="s">
        <v>1056</v>
      </c>
      <c r="B2062" s="90" t="s">
        <v>50</v>
      </c>
      <c r="C2062" s="90" t="s">
        <v>881</v>
      </c>
      <c r="D2062" s="90" t="s">
        <v>662</v>
      </c>
      <c r="E2062" s="90" t="s">
        <v>677</v>
      </c>
      <c r="F2062" s="90" t="s">
        <v>697</v>
      </c>
      <c r="G2062" s="95">
        <v>9.1300000000000008</v>
      </c>
      <c r="H2062" s="94"/>
      <c r="I2062" s="94"/>
      <c r="J2062" s="94"/>
      <c r="K2062" s="94"/>
      <c r="L2062" s="94"/>
      <c r="M2062" s="94"/>
      <c r="N2062" s="94"/>
      <c r="O2062" s="94"/>
      <c r="P2062" s="94"/>
      <c r="Q2062" s="94"/>
      <c r="R2062" s="94"/>
      <c r="S2062" s="94"/>
      <c r="T2062" s="94"/>
      <c r="U2062" s="94"/>
      <c r="V2062" s="95">
        <v>9.1300000000000008</v>
      </c>
      <c r="W2062" s="94"/>
      <c r="X2062" s="94"/>
      <c r="Y2062" s="94"/>
      <c r="Z2062" s="94"/>
      <c r="AA2062" s="94"/>
      <c r="AB2062" s="94"/>
      <c r="AC2062" s="94"/>
      <c r="AD2062" s="95">
        <v>0.27</v>
      </c>
      <c r="AE2062" s="94"/>
      <c r="AF2062" s="94"/>
      <c r="AG2062" s="95">
        <v>9.4</v>
      </c>
      <c r="AH2062" s="95">
        <v>0</v>
      </c>
    </row>
    <row r="2063" spans="1:34" ht="15.75" thickBot="1" x14ac:dyDescent="0.3">
      <c r="A2063" s="90" t="s">
        <v>1056</v>
      </c>
      <c r="B2063" s="90" t="s">
        <v>878</v>
      </c>
      <c r="C2063" s="90" t="s">
        <v>879</v>
      </c>
      <c r="D2063" s="90" t="s">
        <v>21</v>
      </c>
      <c r="E2063" s="90" t="s">
        <v>528</v>
      </c>
      <c r="F2063" s="90" t="s">
        <v>686</v>
      </c>
      <c r="G2063" s="95">
        <v>24560</v>
      </c>
      <c r="H2063" s="94"/>
      <c r="I2063" s="95">
        <v>24560</v>
      </c>
      <c r="J2063" s="94"/>
      <c r="K2063" s="94"/>
      <c r="L2063" s="94"/>
      <c r="M2063" s="94"/>
      <c r="N2063" s="94"/>
      <c r="O2063" s="94"/>
      <c r="P2063" s="94"/>
      <c r="Q2063" s="94"/>
      <c r="R2063" s="94"/>
      <c r="S2063" s="94"/>
      <c r="T2063" s="94"/>
      <c r="U2063" s="94"/>
      <c r="V2063" s="94"/>
      <c r="W2063" s="94"/>
      <c r="X2063" s="94"/>
      <c r="Y2063" s="94"/>
      <c r="Z2063" s="94"/>
      <c r="AA2063" s="94"/>
      <c r="AB2063" s="94"/>
      <c r="AC2063" s="94"/>
      <c r="AD2063" s="95">
        <v>1397.84</v>
      </c>
      <c r="AE2063" s="94"/>
      <c r="AF2063" s="94"/>
      <c r="AG2063" s="95">
        <v>25957.84</v>
      </c>
      <c r="AH2063" s="95">
        <v>0</v>
      </c>
    </row>
    <row r="2064" spans="1:34" ht="15.75" thickBot="1" x14ac:dyDescent="0.3">
      <c r="A2064" s="90" t="s">
        <v>1056</v>
      </c>
      <c r="B2064" s="90" t="s">
        <v>878</v>
      </c>
      <c r="C2064" s="90" t="s">
        <v>879</v>
      </c>
      <c r="D2064" s="90" t="s">
        <v>21</v>
      </c>
      <c r="E2064" s="90" t="s">
        <v>528</v>
      </c>
      <c r="F2064" s="90" t="s">
        <v>697</v>
      </c>
      <c r="G2064" s="93">
        <v>24560</v>
      </c>
      <c r="H2064" s="92"/>
      <c r="I2064" s="93">
        <v>24560</v>
      </c>
      <c r="J2064" s="92"/>
      <c r="K2064" s="92"/>
      <c r="L2064" s="92"/>
      <c r="M2064" s="92"/>
      <c r="N2064" s="92"/>
      <c r="O2064" s="92"/>
      <c r="P2064" s="92"/>
      <c r="Q2064" s="92"/>
      <c r="R2064" s="92"/>
      <c r="S2064" s="92"/>
      <c r="T2064" s="92"/>
      <c r="U2064" s="92"/>
      <c r="V2064" s="92"/>
      <c r="W2064" s="92"/>
      <c r="X2064" s="92"/>
      <c r="Y2064" s="92"/>
      <c r="Z2064" s="92"/>
      <c r="AA2064" s="92"/>
      <c r="AB2064" s="92"/>
      <c r="AC2064" s="92"/>
      <c r="AD2064" s="93">
        <v>1397.84</v>
      </c>
      <c r="AE2064" s="92"/>
      <c r="AF2064" s="92"/>
      <c r="AG2064" s="93">
        <v>25957.84</v>
      </c>
      <c r="AH2064" s="93">
        <v>0</v>
      </c>
    </row>
    <row r="2065" spans="1:34" ht="15.75" thickBot="1" x14ac:dyDescent="0.3">
      <c r="A2065" s="90" t="s">
        <v>1056</v>
      </c>
      <c r="B2065" s="90" t="s">
        <v>878</v>
      </c>
      <c r="C2065" s="90" t="s">
        <v>879</v>
      </c>
      <c r="D2065" s="90" t="s">
        <v>21</v>
      </c>
      <c r="E2065" s="90" t="s">
        <v>518</v>
      </c>
      <c r="F2065" s="90" t="s">
        <v>686</v>
      </c>
      <c r="G2065" s="95">
        <v>121821.22</v>
      </c>
      <c r="H2065" s="95">
        <v>661849</v>
      </c>
      <c r="I2065" s="94"/>
      <c r="J2065" s="94"/>
      <c r="K2065" s="95">
        <v>121821.22</v>
      </c>
      <c r="L2065" s="94"/>
      <c r="M2065" s="94"/>
      <c r="N2065" s="94"/>
      <c r="O2065" s="94"/>
      <c r="P2065" s="94"/>
      <c r="Q2065" s="94"/>
      <c r="R2065" s="94"/>
      <c r="S2065" s="94"/>
      <c r="T2065" s="94"/>
      <c r="U2065" s="94"/>
      <c r="V2065" s="94"/>
      <c r="W2065" s="94"/>
      <c r="X2065" s="94"/>
      <c r="Y2065" s="94"/>
      <c r="Z2065" s="94"/>
      <c r="AA2065" s="94"/>
      <c r="AB2065" s="94"/>
      <c r="AC2065" s="94"/>
      <c r="AD2065" s="95">
        <v>6667.44</v>
      </c>
      <c r="AE2065" s="94"/>
      <c r="AF2065" s="94"/>
      <c r="AG2065" s="95">
        <v>128488.66</v>
      </c>
      <c r="AH2065" s="95">
        <v>0</v>
      </c>
    </row>
    <row r="2066" spans="1:34" ht="15.75" thickBot="1" x14ac:dyDescent="0.3">
      <c r="A2066" s="90" t="s">
        <v>1056</v>
      </c>
      <c r="B2066" s="90" t="s">
        <v>878</v>
      </c>
      <c r="C2066" s="90" t="s">
        <v>879</v>
      </c>
      <c r="D2066" s="90" t="s">
        <v>21</v>
      </c>
      <c r="E2066" s="90" t="s">
        <v>518</v>
      </c>
      <c r="F2066" s="90" t="s">
        <v>697</v>
      </c>
      <c r="G2066" s="93">
        <v>121821.22</v>
      </c>
      <c r="H2066" s="304">
        <v>661849</v>
      </c>
      <c r="I2066" s="92"/>
      <c r="J2066" s="92"/>
      <c r="K2066" s="93">
        <v>121821.22</v>
      </c>
      <c r="L2066" s="92"/>
      <c r="M2066" s="92"/>
      <c r="N2066" s="92"/>
      <c r="O2066" s="92"/>
      <c r="P2066" s="92"/>
      <c r="Q2066" s="92"/>
      <c r="R2066" s="92"/>
      <c r="S2066" s="92"/>
      <c r="T2066" s="92"/>
      <c r="U2066" s="92"/>
      <c r="V2066" s="92"/>
      <c r="W2066" s="92"/>
      <c r="X2066" s="92"/>
      <c r="Y2066" s="92"/>
      <c r="Z2066" s="92"/>
      <c r="AA2066" s="92"/>
      <c r="AB2066" s="92"/>
      <c r="AC2066" s="92"/>
      <c r="AD2066" s="93">
        <v>6667.44</v>
      </c>
      <c r="AE2066" s="92"/>
      <c r="AF2066" s="92"/>
      <c r="AG2066" s="93">
        <v>128488.66</v>
      </c>
      <c r="AH2066" s="93">
        <v>0</v>
      </c>
    </row>
    <row r="2067" spans="1:34" ht="15.75" thickBot="1" x14ac:dyDescent="0.3">
      <c r="A2067" s="90" t="s">
        <v>1056</v>
      </c>
      <c r="B2067" s="90" t="s">
        <v>878</v>
      </c>
      <c r="C2067" s="90" t="s">
        <v>879</v>
      </c>
      <c r="D2067" s="90" t="s">
        <v>21</v>
      </c>
      <c r="E2067" s="90" t="s">
        <v>673</v>
      </c>
      <c r="F2067" s="90" t="s">
        <v>686</v>
      </c>
      <c r="G2067" s="95">
        <v>57617.88</v>
      </c>
      <c r="H2067" s="94"/>
      <c r="I2067" s="94"/>
      <c r="J2067" s="94"/>
      <c r="K2067" s="94"/>
      <c r="L2067" s="94"/>
      <c r="M2067" s="94"/>
      <c r="N2067" s="94"/>
      <c r="O2067" s="94"/>
      <c r="P2067" s="94"/>
      <c r="Q2067" s="94"/>
      <c r="R2067" s="94"/>
      <c r="S2067" s="94"/>
      <c r="T2067" s="94"/>
      <c r="U2067" s="94"/>
      <c r="V2067" s="94"/>
      <c r="W2067" s="94"/>
      <c r="X2067" s="95">
        <v>57617.88</v>
      </c>
      <c r="Y2067" s="94"/>
      <c r="Z2067" s="94"/>
      <c r="AA2067" s="94"/>
      <c r="AB2067" s="94"/>
      <c r="AC2067" s="94"/>
      <c r="AD2067" s="95">
        <v>3270.6</v>
      </c>
      <c r="AE2067" s="94"/>
      <c r="AF2067" s="94"/>
      <c r="AG2067" s="95">
        <v>60888.480000000003</v>
      </c>
      <c r="AH2067" s="95">
        <v>0</v>
      </c>
    </row>
    <row r="2068" spans="1:34" ht="15.75" thickBot="1" x14ac:dyDescent="0.3">
      <c r="A2068" s="90" t="s">
        <v>1056</v>
      </c>
      <c r="B2068" s="90" t="s">
        <v>878</v>
      </c>
      <c r="C2068" s="90" t="s">
        <v>879</v>
      </c>
      <c r="D2068" s="90" t="s">
        <v>21</v>
      </c>
      <c r="E2068" s="90" t="s">
        <v>673</v>
      </c>
      <c r="F2068" s="90" t="s">
        <v>697</v>
      </c>
      <c r="G2068" s="93">
        <v>57617.88</v>
      </c>
      <c r="H2068" s="92"/>
      <c r="I2068" s="92"/>
      <c r="J2068" s="92"/>
      <c r="K2068" s="92"/>
      <c r="L2068" s="92"/>
      <c r="M2068" s="92"/>
      <c r="N2068" s="92"/>
      <c r="O2068" s="92"/>
      <c r="P2068" s="92"/>
      <c r="Q2068" s="92"/>
      <c r="R2068" s="92"/>
      <c r="S2068" s="92"/>
      <c r="T2068" s="92"/>
      <c r="U2068" s="92"/>
      <c r="V2068" s="92"/>
      <c r="W2068" s="92"/>
      <c r="X2068" s="93">
        <v>57617.88</v>
      </c>
      <c r="Y2068" s="92"/>
      <c r="Z2068" s="92"/>
      <c r="AA2068" s="92"/>
      <c r="AB2068" s="92"/>
      <c r="AC2068" s="92"/>
      <c r="AD2068" s="93">
        <v>3270.6</v>
      </c>
      <c r="AE2068" s="92"/>
      <c r="AF2068" s="92"/>
      <c r="AG2068" s="93">
        <v>60888.480000000003</v>
      </c>
      <c r="AH2068" s="93">
        <v>0</v>
      </c>
    </row>
    <row r="2069" spans="1:34" ht="15.75" thickBot="1" x14ac:dyDescent="0.3">
      <c r="A2069" s="90" t="s">
        <v>1056</v>
      </c>
      <c r="B2069" s="90" t="s">
        <v>878</v>
      </c>
      <c r="C2069" s="90" t="s">
        <v>879</v>
      </c>
      <c r="D2069" s="90" t="s">
        <v>21</v>
      </c>
      <c r="E2069" s="90" t="s">
        <v>196</v>
      </c>
      <c r="F2069" s="90" t="s">
        <v>686</v>
      </c>
      <c r="G2069" s="95">
        <v>252928.64000000001</v>
      </c>
      <c r="H2069" s="94"/>
      <c r="I2069" s="94"/>
      <c r="J2069" s="94"/>
      <c r="K2069" s="94"/>
      <c r="L2069" s="94"/>
      <c r="M2069" s="94"/>
      <c r="N2069" s="94"/>
      <c r="O2069" s="94"/>
      <c r="P2069" s="95">
        <v>252928.64000000001</v>
      </c>
      <c r="Q2069" s="94"/>
      <c r="R2069" s="94"/>
      <c r="S2069" s="94"/>
      <c r="T2069" s="94"/>
      <c r="U2069" s="94"/>
      <c r="V2069" s="94"/>
      <c r="W2069" s="94"/>
      <c r="X2069" s="94"/>
      <c r="Y2069" s="94"/>
      <c r="Z2069" s="94"/>
      <c r="AA2069" s="94"/>
      <c r="AB2069" s="94"/>
      <c r="AC2069" s="94"/>
      <c r="AD2069" s="95">
        <v>13861.92</v>
      </c>
      <c r="AE2069" s="94"/>
      <c r="AF2069" s="94"/>
      <c r="AG2069" s="95">
        <v>266790.56</v>
      </c>
      <c r="AH2069" s="95">
        <v>0</v>
      </c>
    </row>
    <row r="2070" spans="1:34" ht="15.75" thickBot="1" x14ac:dyDescent="0.3">
      <c r="A2070" s="90" t="s">
        <v>1056</v>
      </c>
      <c r="B2070" s="90" t="s">
        <v>878</v>
      </c>
      <c r="C2070" s="90" t="s">
        <v>879</v>
      </c>
      <c r="D2070" s="90" t="s">
        <v>21</v>
      </c>
      <c r="E2070" s="90" t="s">
        <v>196</v>
      </c>
      <c r="F2070" s="90" t="s">
        <v>697</v>
      </c>
      <c r="G2070" s="93">
        <v>252928.64000000001</v>
      </c>
      <c r="H2070" s="92"/>
      <c r="I2070" s="92"/>
      <c r="J2070" s="92"/>
      <c r="K2070" s="92"/>
      <c r="L2070" s="92"/>
      <c r="M2070" s="92"/>
      <c r="N2070" s="92"/>
      <c r="O2070" s="92"/>
      <c r="P2070" s="93">
        <v>252928.64000000001</v>
      </c>
      <c r="Q2070" s="92"/>
      <c r="R2070" s="92"/>
      <c r="S2070" s="92"/>
      <c r="T2070" s="92"/>
      <c r="U2070" s="92"/>
      <c r="V2070" s="92"/>
      <c r="W2070" s="92"/>
      <c r="X2070" s="92"/>
      <c r="Y2070" s="92"/>
      <c r="Z2070" s="92"/>
      <c r="AA2070" s="92"/>
      <c r="AB2070" s="92"/>
      <c r="AC2070" s="92"/>
      <c r="AD2070" s="93">
        <v>13861.92</v>
      </c>
      <c r="AE2070" s="92"/>
      <c r="AF2070" s="92"/>
      <c r="AG2070" s="93">
        <v>266790.56</v>
      </c>
      <c r="AH2070" s="93">
        <v>0</v>
      </c>
    </row>
    <row r="2071" spans="1:34" ht="15.75" thickBot="1" x14ac:dyDescent="0.3">
      <c r="A2071" s="90" t="s">
        <v>1056</v>
      </c>
      <c r="B2071" s="90" t="s">
        <v>878</v>
      </c>
      <c r="C2071" s="90" t="s">
        <v>879</v>
      </c>
      <c r="D2071" s="90" t="s">
        <v>17</v>
      </c>
      <c r="E2071" s="90" t="s">
        <v>528</v>
      </c>
      <c r="F2071" s="90" t="s">
        <v>686</v>
      </c>
      <c r="G2071" s="95">
        <v>1540</v>
      </c>
      <c r="H2071" s="94"/>
      <c r="I2071" s="95">
        <v>1540</v>
      </c>
      <c r="J2071" s="94"/>
      <c r="K2071" s="94"/>
      <c r="L2071" s="94"/>
      <c r="M2071" s="94"/>
      <c r="N2071" s="94"/>
      <c r="O2071" s="94"/>
      <c r="P2071" s="94"/>
      <c r="Q2071" s="94"/>
      <c r="R2071" s="94"/>
      <c r="S2071" s="94"/>
      <c r="T2071" s="94"/>
      <c r="U2071" s="94"/>
      <c r="V2071" s="94"/>
      <c r="W2071" s="94"/>
      <c r="X2071" s="94"/>
      <c r="Y2071" s="94"/>
      <c r="Z2071" s="94"/>
      <c r="AA2071" s="94"/>
      <c r="AB2071" s="94"/>
      <c r="AC2071" s="94"/>
      <c r="AD2071" s="95">
        <v>87.34</v>
      </c>
      <c r="AE2071" s="94"/>
      <c r="AF2071" s="94"/>
      <c r="AG2071" s="95">
        <v>1627.34</v>
      </c>
      <c r="AH2071" s="95">
        <v>0</v>
      </c>
    </row>
    <row r="2072" spans="1:34" ht="15.75" thickBot="1" x14ac:dyDescent="0.3">
      <c r="A2072" s="90" t="s">
        <v>1056</v>
      </c>
      <c r="B2072" s="90" t="s">
        <v>878</v>
      </c>
      <c r="C2072" s="90" t="s">
        <v>879</v>
      </c>
      <c r="D2072" s="90" t="s">
        <v>17</v>
      </c>
      <c r="E2072" s="90" t="s">
        <v>528</v>
      </c>
      <c r="F2072" s="90" t="s">
        <v>697</v>
      </c>
      <c r="G2072" s="93">
        <v>1540</v>
      </c>
      <c r="H2072" s="92"/>
      <c r="I2072" s="93">
        <v>1540</v>
      </c>
      <c r="J2072" s="92"/>
      <c r="K2072" s="92"/>
      <c r="L2072" s="92"/>
      <c r="M2072" s="92"/>
      <c r="N2072" s="92"/>
      <c r="O2072" s="92"/>
      <c r="P2072" s="92"/>
      <c r="Q2072" s="92"/>
      <c r="R2072" s="92"/>
      <c r="S2072" s="92"/>
      <c r="T2072" s="92"/>
      <c r="U2072" s="92"/>
      <c r="V2072" s="92"/>
      <c r="W2072" s="92"/>
      <c r="X2072" s="92"/>
      <c r="Y2072" s="92"/>
      <c r="Z2072" s="92"/>
      <c r="AA2072" s="92"/>
      <c r="AB2072" s="92"/>
      <c r="AC2072" s="92"/>
      <c r="AD2072" s="93">
        <v>87.34</v>
      </c>
      <c r="AE2072" s="92"/>
      <c r="AF2072" s="92"/>
      <c r="AG2072" s="93">
        <v>1627.34</v>
      </c>
      <c r="AH2072" s="93">
        <v>0</v>
      </c>
    </row>
    <row r="2073" spans="1:34" ht="15.75" thickBot="1" x14ac:dyDescent="0.3">
      <c r="A2073" s="90" t="s">
        <v>1056</v>
      </c>
      <c r="B2073" s="90" t="s">
        <v>878</v>
      </c>
      <c r="C2073" s="90" t="s">
        <v>879</v>
      </c>
      <c r="D2073" s="90" t="s">
        <v>17</v>
      </c>
      <c r="E2073" s="90" t="s">
        <v>518</v>
      </c>
      <c r="F2073" s="90" t="s">
        <v>686</v>
      </c>
      <c r="G2073" s="95">
        <v>4639.93</v>
      </c>
      <c r="H2073" s="95">
        <v>24488</v>
      </c>
      <c r="I2073" s="94"/>
      <c r="J2073" s="94"/>
      <c r="K2073" s="95">
        <v>4639.93</v>
      </c>
      <c r="L2073" s="94"/>
      <c r="M2073" s="94"/>
      <c r="N2073" s="94"/>
      <c r="O2073" s="94"/>
      <c r="P2073" s="94"/>
      <c r="Q2073" s="94"/>
      <c r="R2073" s="94"/>
      <c r="S2073" s="94"/>
      <c r="T2073" s="94"/>
      <c r="U2073" s="94"/>
      <c r="V2073" s="94"/>
      <c r="W2073" s="94"/>
      <c r="X2073" s="94"/>
      <c r="Y2073" s="94"/>
      <c r="Z2073" s="94"/>
      <c r="AA2073" s="94"/>
      <c r="AB2073" s="94"/>
      <c r="AC2073" s="94"/>
      <c r="AD2073" s="95">
        <v>233.02</v>
      </c>
      <c r="AE2073" s="94"/>
      <c r="AF2073" s="94"/>
      <c r="AG2073" s="95">
        <v>4872.95</v>
      </c>
      <c r="AH2073" s="95">
        <v>0</v>
      </c>
    </row>
    <row r="2074" spans="1:34" ht="15.75" thickBot="1" x14ac:dyDescent="0.3">
      <c r="A2074" s="90" t="s">
        <v>1056</v>
      </c>
      <c r="B2074" s="90" t="s">
        <v>878</v>
      </c>
      <c r="C2074" s="90" t="s">
        <v>879</v>
      </c>
      <c r="D2074" s="90" t="s">
        <v>17</v>
      </c>
      <c r="E2074" s="90" t="s">
        <v>518</v>
      </c>
      <c r="F2074" s="90" t="s">
        <v>697</v>
      </c>
      <c r="G2074" s="93">
        <v>4639.93</v>
      </c>
      <c r="H2074" s="304">
        <v>24488</v>
      </c>
      <c r="I2074" s="92"/>
      <c r="J2074" s="92"/>
      <c r="K2074" s="93">
        <v>4639.93</v>
      </c>
      <c r="L2074" s="92"/>
      <c r="M2074" s="92"/>
      <c r="N2074" s="92"/>
      <c r="O2074" s="92"/>
      <c r="P2074" s="92"/>
      <c r="Q2074" s="92"/>
      <c r="R2074" s="92"/>
      <c r="S2074" s="92"/>
      <c r="T2074" s="92"/>
      <c r="U2074" s="92"/>
      <c r="V2074" s="92"/>
      <c r="W2074" s="92"/>
      <c r="X2074" s="92"/>
      <c r="Y2074" s="92"/>
      <c r="Z2074" s="92"/>
      <c r="AA2074" s="92"/>
      <c r="AB2074" s="92"/>
      <c r="AC2074" s="92"/>
      <c r="AD2074" s="93">
        <v>233.02</v>
      </c>
      <c r="AE2074" s="92"/>
      <c r="AF2074" s="92"/>
      <c r="AG2074" s="93">
        <v>4872.95</v>
      </c>
      <c r="AH2074" s="93">
        <v>0</v>
      </c>
    </row>
    <row r="2075" spans="1:34" ht="15.75" thickBot="1" x14ac:dyDescent="0.3">
      <c r="A2075" s="90" t="s">
        <v>1056</v>
      </c>
      <c r="B2075" s="90" t="s">
        <v>878</v>
      </c>
      <c r="C2075" s="90" t="s">
        <v>879</v>
      </c>
      <c r="D2075" s="90" t="s">
        <v>17</v>
      </c>
      <c r="E2075" s="90" t="s">
        <v>673</v>
      </c>
      <c r="F2075" s="90" t="s">
        <v>686</v>
      </c>
      <c r="G2075" s="95">
        <v>5450.34</v>
      </c>
      <c r="H2075" s="94"/>
      <c r="I2075" s="94"/>
      <c r="J2075" s="94"/>
      <c r="K2075" s="94"/>
      <c r="L2075" s="94"/>
      <c r="M2075" s="94"/>
      <c r="N2075" s="94"/>
      <c r="O2075" s="94"/>
      <c r="P2075" s="94"/>
      <c r="Q2075" s="94"/>
      <c r="R2075" s="94"/>
      <c r="S2075" s="94"/>
      <c r="T2075" s="94"/>
      <c r="U2075" s="94"/>
      <c r="V2075" s="94"/>
      <c r="W2075" s="94"/>
      <c r="X2075" s="95">
        <v>5450.34</v>
      </c>
      <c r="Y2075" s="94"/>
      <c r="Z2075" s="94"/>
      <c r="AA2075" s="94"/>
      <c r="AB2075" s="94"/>
      <c r="AC2075" s="94"/>
      <c r="AD2075" s="95">
        <v>319.68</v>
      </c>
      <c r="AE2075" s="94"/>
      <c r="AF2075" s="94"/>
      <c r="AG2075" s="95">
        <v>5770.02</v>
      </c>
      <c r="AH2075" s="95">
        <v>0</v>
      </c>
    </row>
    <row r="2076" spans="1:34" ht="15.75" thickBot="1" x14ac:dyDescent="0.3">
      <c r="A2076" s="90" t="s">
        <v>1056</v>
      </c>
      <c r="B2076" s="90" t="s">
        <v>878</v>
      </c>
      <c r="C2076" s="90" t="s">
        <v>879</v>
      </c>
      <c r="D2076" s="90" t="s">
        <v>17</v>
      </c>
      <c r="E2076" s="90" t="s">
        <v>673</v>
      </c>
      <c r="F2076" s="90" t="s">
        <v>697</v>
      </c>
      <c r="G2076" s="93">
        <v>5450.34</v>
      </c>
      <c r="H2076" s="92"/>
      <c r="I2076" s="92"/>
      <c r="J2076" s="92"/>
      <c r="K2076" s="92"/>
      <c r="L2076" s="92"/>
      <c r="M2076" s="92"/>
      <c r="N2076" s="92"/>
      <c r="O2076" s="92"/>
      <c r="P2076" s="92"/>
      <c r="Q2076" s="92"/>
      <c r="R2076" s="92"/>
      <c r="S2076" s="92"/>
      <c r="T2076" s="92"/>
      <c r="U2076" s="92"/>
      <c r="V2076" s="92"/>
      <c r="W2076" s="92"/>
      <c r="X2076" s="93">
        <v>5450.34</v>
      </c>
      <c r="Y2076" s="92"/>
      <c r="Z2076" s="92"/>
      <c r="AA2076" s="92"/>
      <c r="AB2076" s="92"/>
      <c r="AC2076" s="92"/>
      <c r="AD2076" s="93">
        <v>319.68</v>
      </c>
      <c r="AE2076" s="92"/>
      <c r="AF2076" s="92"/>
      <c r="AG2076" s="93">
        <v>5770.02</v>
      </c>
      <c r="AH2076" s="93">
        <v>0</v>
      </c>
    </row>
    <row r="2077" spans="1:34" ht="15.75" thickBot="1" x14ac:dyDescent="0.3">
      <c r="A2077" s="90" t="s">
        <v>1056</v>
      </c>
      <c r="B2077" s="90" t="s">
        <v>878</v>
      </c>
      <c r="C2077" s="90" t="s">
        <v>879</v>
      </c>
      <c r="D2077" s="90" t="s">
        <v>17</v>
      </c>
      <c r="E2077" s="90" t="s">
        <v>196</v>
      </c>
      <c r="F2077" s="90" t="s">
        <v>686</v>
      </c>
      <c r="G2077" s="95">
        <v>9358.35</v>
      </c>
      <c r="H2077" s="94"/>
      <c r="I2077" s="94"/>
      <c r="J2077" s="94"/>
      <c r="K2077" s="94"/>
      <c r="L2077" s="94"/>
      <c r="M2077" s="94"/>
      <c r="N2077" s="94"/>
      <c r="O2077" s="94"/>
      <c r="P2077" s="95">
        <v>9358.35</v>
      </c>
      <c r="Q2077" s="94"/>
      <c r="R2077" s="94"/>
      <c r="S2077" s="94"/>
      <c r="T2077" s="94"/>
      <c r="U2077" s="94"/>
      <c r="V2077" s="94"/>
      <c r="W2077" s="94"/>
      <c r="X2077" s="94"/>
      <c r="Y2077" s="94"/>
      <c r="Z2077" s="94"/>
      <c r="AA2077" s="94"/>
      <c r="AB2077" s="94"/>
      <c r="AC2077" s="94"/>
      <c r="AD2077" s="95">
        <v>466.98</v>
      </c>
      <c r="AE2077" s="94"/>
      <c r="AF2077" s="94"/>
      <c r="AG2077" s="95">
        <v>9825.33</v>
      </c>
      <c r="AH2077" s="95">
        <v>0</v>
      </c>
    </row>
    <row r="2078" spans="1:34" ht="15.75" thickBot="1" x14ac:dyDescent="0.3">
      <c r="A2078" s="90" t="s">
        <v>1056</v>
      </c>
      <c r="B2078" s="90" t="s">
        <v>878</v>
      </c>
      <c r="C2078" s="90" t="s">
        <v>879</v>
      </c>
      <c r="D2078" s="90" t="s">
        <v>17</v>
      </c>
      <c r="E2078" s="90" t="s">
        <v>196</v>
      </c>
      <c r="F2078" s="90" t="s">
        <v>697</v>
      </c>
      <c r="G2078" s="93">
        <v>9358.35</v>
      </c>
      <c r="H2078" s="92"/>
      <c r="I2078" s="92"/>
      <c r="J2078" s="92"/>
      <c r="K2078" s="92"/>
      <c r="L2078" s="92"/>
      <c r="M2078" s="92"/>
      <c r="N2078" s="92"/>
      <c r="O2078" s="92"/>
      <c r="P2078" s="93">
        <v>9358.35</v>
      </c>
      <c r="Q2078" s="92"/>
      <c r="R2078" s="92"/>
      <c r="S2078" s="92"/>
      <c r="T2078" s="92"/>
      <c r="U2078" s="92"/>
      <c r="V2078" s="92"/>
      <c r="W2078" s="92"/>
      <c r="X2078" s="92"/>
      <c r="Y2078" s="92"/>
      <c r="Z2078" s="92"/>
      <c r="AA2078" s="92"/>
      <c r="AB2078" s="92"/>
      <c r="AC2078" s="92"/>
      <c r="AD2078" s="93">
        <v>466.98</v>
      </c>
      <c r="AE2078" s="92"/>
      <c r="AF2078" s="92"/>
      <c r="AG2078" s="93">
        <v>9825.33</v>
      </c>
      <c r="AH2078" s="93">
        <v>0</v>
      </c>
    </row>
    <row r="2079" spans="1:34" ht="15.75" thickBot="1" x14ac:dyDescent="0.3">
      <c r="A2079" s="90" t="s">
        <v>1056</v>
      </c>
      <c r="B2079" s="90" t="s">
        <v>872</v>
      </c>
      <c r="C2079" s="90" t="s">
        <v>873</v>
      </c>
      <c r="D2079" s="90" t="s">
        <v>21</v>
      </c>
      <c r="E2079" s="90" t="s">
        <v>528</v>
      </c>
      <c r="F2079" s="90" t="s">
        <v>686</v>
      </c>
      <c r="G2079" s="95">
        <v>800</v>
      </c>
      <c r="H2079" s="94"/>
      <c r="I2079" s="95">
        <v>800</v>
      </c>
      <c r="J2079" s="94"/>
      <c r="K2079" s="94"/>
      <c r="L2079" s="94"/>
      <c r="M2079" s="94"/>
      <c r="N2079" s="94"/>
      <c r="O2079" s="94"/>
      <c r="P2079" s="94"/>
      <c r="Q2079" s="94"/>
      <c r="R2079" s="94"/>
      <c r="S2079" s="94"/>
      <c r="T2079" s="94"/>
      <c r="U2079" s="94"/>
      <c r="V2079" s="94"/>
      <c r="W2079" s="94"/>
      <c r="X2079" s="94"/>
      <c r="Y2079" s="94"/>
      <c r="Z2079" s="94"/>
      <c r="AA2079" s="94"/>
      <c r="AB2079" s="94"/>
      <c r="AC2079" s="94"/>
      <c r="AD2079" s="95">
        <v>0</v>
      </c>
      <c r="AE2079" s="94"/>
      <c r="AF2079" s="94"/>
      <c r="AG2079" s="95">
        <v>800</v>
      </c>
      <c r="AH2079" s="95">
        <v>0</v>
      </c>
    </row>
    <row r="2080" spans="1:34" ht="15.75" thickBot="1" x14ac:dyDescent="0.3">
      <c r="A2080" s="90" t="s">
        <v>1056</v>
      </c>
      <c r="B2080" s="90" t="s">
        <v>872</v>
      </c>
      <c r="C2080" s="90" t="s">
        <v>873</v>
      </c>
      <c r="D2080" s="90" t="s">
        <v>21</v>
      </c>
      <c r="E2080" s="90" t="s">
        <v>528</v>
      </c>
      <c r="F2080" s="90" t="s">
        <v>697</v>
      </c>
      <c r="G2080" s="93">
        <v>800</v>
      </c>
      <c r="H2080" s="92"/>
      <c r="I2080" s="93">
        <v>800</v>
      </c>
      <c r="J2080" s="92"/>
      <c r="K2080" s="92"/>
      <c r="L2080" s="92"/>
      <c r="M2080" s="92"/>
      <c r="N2080" s="92"/>
      <c r="O2080" s="92"/>
      <c r="P2080" s="92"/>
      <c r="Q2080" s="92"/>
      <c r="R2080" s="92"/>
      <c r="S2080" s="92"/>
      <c r="T2080" s="92"/>
      <c r="U2080" s="92"/>
      <c r="V2080" s="92"/>
      <c r="W2080" s="92"/>
      <c r="X2080" s="92"/>
      <c r="Y2080" s="92"/>
      <c r="Z2080" s="92"/>
      <c r="AA2080" s="92"/>
      <c r="AB2080" s="92"/>
      <c r="AC2080" s="92"/>
      <c r="AD2080" s="93">
        <v>0</v>
      </c>
      <c r="AE2080" s="92"/>
      <c r="AF2080" s="92"/>
      <c r="AG2080" s="93">
        <v>800</v>
      </c>
      <c r="AH2080" s="93">
        <v>0</v>
      </c>
    </row>
    <row r="2081" spans="1:34" ht="15.75" thickBot="1" x14ac:dyDescent="0.3">
      <c r="A2081" s="90" t="s">
        <v>1056</v>
      </c>
      <c r="B2081" s="90" t="s">
        <v>872</v>
      </c>
      <c r="C2081" s="90" t="s">
        <v>873</v>
      </c>
      <c r="D2081" s="90" t="s">
        <v>21</v>
      </c>
      <c r="E2081" s="90" t="s">
        <v>518</v>
      </c>
      <c r="F2081" s="90" t="s">
        <v>686</v>
      </c>
      <c r="G2081" s="95">
        <v>5298.52</v>
      </c>
      <c r="H2081" s="95">
        <v>75596</v>
      </c>
      <c r="I2081" s="94"/>
      <c r="J2081" s="94"/>
      <c r="K2081" s="95">
        <v>5298.52</v>
      </c>
      <c r="L2081" s="94"/>
      <c r="M2081" s="94"/>
      <c r="N2081" s="94"/>
      <c r="O2081" s="94"/>
      <c r="P2081" s="94"/>
      <c r="Q2081" s="94"/>
      <c r="R2081" s="94"/>
      <c r="S2081" s="94"/>
      <c r="T2081" s="94"/>
      <c r="U2081" s="94"/>
      <c r="V2081" s="94"/>
      <c r="W2081" s="94"/>
      <c r="X2081" s="94"/>
      <c r="Y2081" s="94"/>
      <c r="Z2081" s="94"/>
      <c r="AA2081" s="94"/>
      <c r="AB2081" s="94"/>
      <c r="AC2081" s="94"/>
      <c r="AD2081" s="95">
        <v>0</v>
      </c>
      <c r="AE2081" s="94"/>
      <c r="AF2081" s="94"/>
      <c r="AG2081" s="95">
        <v>5298.52</v>
      </c>
      <c r="AH2081" s="95">
        <v>0</v>
      </c>
    </row>
    <row r="2082" spans="1:34" ht="15.75" thickBot="1" x14ac:dyDescent="0.3">
      <c r="A2082" s="90" t="s">
        <v>1056</v>
      </c>
      <c r="B2082" s="90" t="s">
        <v>872</v>
      </c>
      <c r="C2082" s="90" t="s">
        <v>873</v>
      </c>
      <c r="D2082" s="90" t="s">
        <v>21</v>
      </c>
      <c r="E2082" s="90" t="s">
        <v>518</v>
      </c>
      <c r="F2082" s="90" t="s">
        <v>697</v>
      </c>
      <c r="G2082" s="93">
        <v>5298.52</v>
      </c>
      <c r="H2082" s="304">
        <v>75596</v>
      </c>
      <c r="I2082" s="92"/>
      <c r="J2082" s="92"/>
      <c r="K2082" s="93">
        <v>5298.52</v>
      </c>
      <c r="L2082" s="92"/>
      <c r="M2082" s="92"/>
      <c r="N2082" s="92"/>
      <c r="O2082" s="92"/>
      <c r="P2082" s="92"/>
      <c r="Q2082" s="92"/>
      <c r="R2082" s="92"/>
      <c r="S2082" s="92"/>
      <c r="T2082" s="92"/>
      <c r="U2082" s="92"/>
      <c r="V2082" s="92"/>
      <c r="W2082" s="92"/>
      <c r="X2082" s="92"/>
      <c r="Y2082" s="92"/>
      <c r="Z2082" s="92"/>
      <c r="AA2082" s="92"/>
      <c r="AB2082" s="92"/>
      <c r="AC2082" s="92"/>
      <c r="AD2082" s="93">
        <v>0</v>
      </c>
      <c r="AE2082" s="92"/>
      <c r="AF2082" s="92"/>
      <c r="AG2082" s="93">
        <v>5298.52</v>
      </c>
      <c r="AH2082" s="93">
        <v>0</v>
      </c>
    </row>
    <row r="2083" spans="1:34" ht="15.75" thickBot="1" x14ac:dyDescent="0.3">
      <c r="A2083" s="90" t="s">
        <v>1056</v>
      </c>
      <c r="B2083" s="90" t="s">
        <v>872</v>
      </c>
      <c r="C2083" s="90" t="s">
        <v>873</v>
      </c>
      <c r="D2083" s="90" t="s">
        <v>21</v>
      </c>
      <c r="E2083" s="90" t="s">
        <v>673</v>
      </c>
      <c r="F2083" s="90" t="s">
        <v>686</v>
      </c>
      <c r="G2083" s="95">
        <v>5677.74</v>
      </c>
      <c r="H2083" s="94"/>
      <c r="I2083" s="94"/>
      <c r="J2083" s="94"/>
      <c r="K2083" s="94"/>
      <c r="L2083" s="94"/>
      <c r="M2083" s="94"/>
      <c r="N2083" s="94"/>
      <c r="O2083" s="94"/>
      <c r="P2083" s="94"/>
      <c r="Q2083" s="94"/>
      <c r="R2083" s="94"/>
      <c r="S2083" s="94"/>
      <c r="T2083" s="94"/>
      <c r="U2083" s="94"/>
      <c r="V2083" s="94"/>
      <c r="W2083" s="94"/>
      <c r="X2083" s="95">
        <v>5677.74</v>
      </c>
      <c r="Y2083" s="94"/>
      <c r="Z2083" s="94"/>
      <c r="AA2083" s="94"/>
      <c r="AB2083" s="94"/>
      <c r="AC2083" s="94"/>
      <c r="AD2083" s="95">
        <v>0</v>
      </c>
      <c r="AE2083" s="94"/>
      <c r="AF2083" s="94"/>
      <c r="AG2083" s="95">
        <v>5677.74</v>
      </c>
      <c r="AH2083" s="95">
        <v>0</v>
      </c>
    </row>
    <row r="2084" spans="1:34" ht="15.75" thickBot="1" x14ac:dyDescent="0.3">
      <c r="A2084" s="90" t="s">
        <v>1056</v>
      </c>
      <c r="B2084" s="90" t="s">
        <v>872</v>
      </c>
      <c r="C2084" s="90" t="s">
        <v>873</v>
      </c>
      <c r="D2084" s="90" t="s">
        <v>21</v>
      </c>
      <c r="E2084" s="90" t="s">
        <v>673</v>
      </c>
      <c r="F2084" s="90" t="s">
        <v>697</v>
      </c>
      <c r="G2084" s="93">
        <v>5677.74</v>
      </c>
      <c r="H2084" s="92"/>
      <c r="I2084" s="92"/>
      <c r="J2084" s="92"/>
      <c r="K2084" s="92"/>
      <c r="L2084" s="92"/>
      <c r="M2084" s="92"/>
      <c r="N2084" s="92"/>
      <c r="O2084" s="92"/>
      <c r="P2084" s="92"/>
      <c r="Q2084" s="92"/>
      <c r="R2084" s="92"/>
      <c r="S2084" s="92"/>
      <c r="T2084" s="92"/>
      <c r="U2084" s="92"/>
      <c r="V2084" s="92"/>
      <c r="W2084" s="92"/>
      <c r="X2084" s="93">
        <v>5677.74</v>
      </c>
      <c r="Y2084" s="92"/>
      <c r="Z2084" s="92"/>
      <c r="AA2084" s="92"/>
      <c r="AB2084" s="92"/>
      <c r="AC2084" s="92"/>
      <c r="AD2084" s="93">
        <v>0</v>
      </c>
      <c r="AE2084" s="92"/>
      <c r="AF2084" s="92"/>
      <c r="AG2084" s="93">
        <v>5677.74</v>
      </c>
      <c r="AH2084" s="93">
        <v>0</v>
      </c>
    </row>
    <row r="2085" spans="1:34" ht="15.75" thickBot="1" x14ac:dyDescent="0.3">
      <c r="A2085" s="90" t="s">
        <v>1056</v>
      </c>
      <c r="B2085" s="90" t="s">
        <v>872</v>
      </c>
      <c r="C2085" s="90" t="s">
        <v>873</v>
      </c>
      <c r="D2085" s="90" t="s">
        <v>21</v>
      </c>
      <c r="E2085" s="90" t="s">
        <v>196</v>
      </c>
      <c r="F2085" s="90" t="s">
        <v>686</v>
      </c>
      <c r="G2085" s="95">
        <v>28889.759999999998</v>
      </c>
      <c r="H2085" s="94"/>
      <c r="I2085" s="94"/>
      <c r="J2085" s="94"/>
      <c r="K2085" s="94"/>
      <c r="L2085" s="94"/>
      <c r="M2085" s="94"/>
      <c r="N2085" s="94"/>
      <c r="O2085" s="94"/>
      <c r="P2085" s="95">
        <v>28889.759999999998</v>
      </c>
      <c r="Q2085" s="94"/>
      <c r="R2085" s="94"/>
      <c r="S2085" s="94"/>
      <c r="T2085" s="94"/>
      <c r="U2085" s="94"/>
      <c r="V2085" s="94"/>
      <c r="W2085" s="94"/>
      <c r="X2085" s="94"/>
      <c r="Y2085" s="94"/>
      <c r="Z2085" s="94"/>
      <c r="AA2085" s="94"/>
      <c r="AB2085" s="94"/>
      <c r="AC2085" s="94"/>
      <c r="AD2085" s="95">
        <v>0</v>
      </c>
      <c r="AE2085" s="94"/>
      <c r="AF2085" s="94"/>
      <c r="AG2085" s="95">
        <v>28889.759999999998</v>
      </c>
      <c r="AH2085" s="95">
        <v>0</v>
      </c>
    </row>
    <row r="2086" spans="1:34" ht="15.75" thickBot="1" x14ac:dyDescent="0.3">
      <c r="A2086" s="90" t="s">
        <v>1056</v>
      </c>
      <c r="B2086" s="90" t="s">
        <v>872</v>
      </c>
      <c r="C2086" s="90" t="s">
        <v>873</v>
      </c>
      <c r="D2086" s="90" t="s">
        <v>21</v>
      </c>
      <c r="E2086" s="90" t="s">
        <v>196</v>
      </c>
      <c r="F2086" s="90" t="s">
        <v>697</v>
      </c>
      <c r="G2086" s="93">
        <v>28889.759999999998</v>
      </c>
      <c r="H2086" s="92"/>
      <c r="I2086" s="92"/>
      <c r="J2086" s="92"/>
      <c r="K2086" s="92"/>
      <c r="L2086" s="92"/>
      <c r="M2086" s="92"/>
      <c r="N2086" s="92"/>
      <c r="O2086" s="92"/>
      <c r="P2086" s="93">
        <v>28889.759999999998</v>
      </c>
      <c r="Q2086" s="92"/>
      <c r="R2086" s="92"/>
      <c r="S2086" s="92"/>
      <c r="T2086" s="92"/>
      <c r="U2086" s="92"/>
      <c r="V2086" s="92"/>
      <c r="W2086" s="92"/>
      <c r="X2086" s="92"/>
      <c r="Y2086" s="92"/>
      <c r="Z2086" s="92"/>
      <c r="AA2086" s="92"/>
      <c r="AB2086" s="92"/>
      <c r="AC2086" s="92"/>
      <c r="AD2086" s="93">
        <v>0</v>
      </c>
      <c r="AE2086" s="92"/>
      <c r="AF2086" s="92"/>
      <c r="AG2086" s="93">
        <v>28889.759999999998</v>
      </c>
      <c r="AH2086" s="93">
        <v>0</v>
      </c>
    </row>
    <row r="2087" spans="1:34" ht="15.75" thickBot="1" x14ac:dyDescent="0.3">
      <c r="A2087" s="90" t="s">
        <v>1056</v>
      </c>
      <c r="B2087" s="90" t="s">
        <v>1001</v>
      </c>
      <c r="C2087" s="90" t="s">
        <v>1002</v>
      </c>
      <c r="D2087" s="90" t="s">
        <v>663</v>
      </c>
      <c r="E2087" s="90" t="s">
        <v>729</v>
      </c>
      <c r="F2087" s="90" t="s">
        <v>522</v>
      </c>
      <c r="G2087" s="95">
        <v>-1764.27</v>
      </c>
      <c r="H2087" s="94"/>
      <c r="I2087" s="94"/>
      <c r="J2087" s="94"/>
      <c r="K2087" s="94"/>
      <c r="L2087" s="94"/>
      <c r="M2087" s="94"/>
      <c r="N2087" s="94"/>
      <c r="O2087" s="94"/>
      <c r="P2087" s="94"/>
      <c r="Q2087" s="95">
        <v>-1764.27</v>
      </c>
      <c r="R2087" s="94"/>
      <c r="S2087" s="94"/>
      <c r="T2087" s="94"/>
      <c r="U2087" s="94"/>
      <c r="V2087" s="94"/>
      <c r="W2087" s="94"/>
      <c r="X2087" s="94"/>
      <c r="Y2087" s="94"/>
      <c r="Z2087" s="94"/>
      <c r="AA2087" s="94"/>
      <c r="AB2087" s="94"/>
      <c r="AC2087" s="94"/>
      <c r="AD2087" s="95">
        <v>-11.76</v>
      </c>
      <c r="AE2087" s="94"/>
      <c r="AF2087" s="94"/>
      <c r="AG2087" s="95">
        <v>-1776.03</v>
      </c>
      <c r="AH2087" s="95">
        <v>0</v>
      </c>
    </row>
    <row r="2088" spans="1:34" ht="15.75" thickBot="1" x14ac:dyDescent="0.3">
      <c r="A2088" s="90" t="s">
        <v>1056</v>
      </c>
      <c r="B2088" s="90" t="s">
        <v>1001</v>
      </c>
      <c r="C2088" s="90" t="s">
        <v>1002</v>
      </c>
      <c r="D2088" s="90" t="s">
        <v>663</v>
      </c>
      <c r="E2088" s="90" t="s">
        <v>729</v>
      </c>
      <c r="F2088" s="90" t="s">
        <v>697</v>
      </c>
      <c r="G2088" s="93">
        <v>-1764.27</v>
      </c>
      <c r="H2088" s="92"/>
      <c r="I2088" s="92"/>
      <c r="J2088" s="92"/>
      <c r="K2088" s="92"/>
      <c r="L2088" s="92"/>
      <c r="M2088" s="92"/>
      <c r="N2088" s="92"/>
      <c r="O2088" s="92"/>
      <c r="P2088" s="92"/>
      <c r="Q2088" s="93">
        <v>-1764.27</v>
      </c>
      <c r="R2088" s="92"/>
      <c r="S2088" s="92"/>
      <c r="T2088" s="92"/>
      <c r="U2088" s="92"/>
      <c r="V2088" s="92"/>
      <c r="W2088" s="92"/>
      <c r="X2088" s="92"/>
      <c r="Y2088" s="92"/>
      <c r="Z2088" s="92"/>
      <c r="AA2088" s="92"/>
      <c r="AB2088" s="92"/>
      <c r="AC2088" s="92"/>
      <c r="AD2088" s="93">
        <v>-11.76</v>
      </c>
      <c r="AE2088" s="92"/>
      <c r="AF2088" s="92"/>
      <c r="AG2088" s="93">
        <v>-1776.03</v>
      </c>
      <c r="AH2088" s="93">
        <v>0</v>
      </c>
    </row>
    <row r="2089" spans="1:34" ht="15.75" thickBot="1" x14ac:dyDescent="0.3">
      <c r="A2089" s="90" t="s">
        <v>1056</v>
      </c>
      <c r="B2089" s="90" t="s">
        <v>1001</v>
      </c>
      <c r="C2089" s="90" t="s">
        <v>1002</v>
      </c>
      <c r="D2089" s="90" t="s">
        <v>663</v>
      </c>
      <c r="E2089" s="90" t="s">
        <v>528</v>
      </c>
      <c r="F2089" s="90" t="s">
        <v>690</v>
      </c>
      <c r="G2089" s="95">
        <v>720</v>
      </c>
      <c r="H2089" s="94"/>
      <c r="I2089" s="95">
        <v>720</v>
      </c>
      <c r="J2089" s="94"/>
      <c r="K2089" s="94"/>
      <c r="L2089" s="94"/>
      <c r="M2089" s="94"/>
      <c r="N2089" s="94"/>
      <c r="O2089" s="94"/>
      <c r="P2089" s="94"/>
      <c r="Q2089" s="94"/>
      <c r="R2089" s="94"/>
      <c r="S2089" s="94"/>
      <c r="T2089" s="94"/>
      <c r="U2089" s="94"/>
      <c r="V2089" s="94"/>
      <c r="W2089" s="94"/>
      <c r="X2089" s="94"/>
      <c r="Y2089" s="94"/>
      <c r="Z2089" s="94"/>
      <c r="AA2089" s="94"/>
      <c r="AB2089" s="94"/>
      <c r="AC2089" s="94"/>
      <c r="AD2089" s="95">
        <v>16.190000000000001</v>
      </c>
      <c r="AE2089" s="94"/>
      <c r="AF2089" s="94"/>
      <c r="AG2089" s="95">
        <v>736.19</v>
      </c>
      <c r="AH2089" s="95">
        <v>0</v>
      </c>
    </row>
    <row r="2090" spans="1:34" ht="15.75" thickBot="1" x14ac:dyDescent="0.3">
      <c r="A2090" s="90" t="s">
        <v>1056</v>
      </c>
      <c r="B2090" s="90" t="s">
        <v>1001</v>
      </c>
      <c r="C2090" s="90" t="s">
        <v>1002</v>
      </c>
      <c r="D2090" s="90" t="s">
        <v>663</v>
      </c>
      <c r="E2090" s="90" t="s">
        <v>528</v>
      </c>
      <c r="F2090" s="90" t="s">
        <v>697</v>
      </c>
      <c r="G2090" s="93">
        <v>720</v>
      </c>
      <c r="H2090" s="92"/>
      <c r="I2090" s="93">
        <v>720</v>
      </c>
      <c r="J2090" s="92"/>
      <c r="K2090" s="92"/>
      <c r="L2090" s="92"/>
      <c r="M2090" s="92"/>
      <c r="N2090" s="92"/>
      <c r="O2090" s="92"/>
      <c r="P2090" s="92"/>
      <c r="Q2090" s="92"/>
      <c r="R2090" s="92"/>
      <c r="S2090" s="92"/>
      <c r="T2090" s="92"/>
      <c r="U2090" s="92"/>
      <c r="V2090" s="92"/>
      <c r="W2090" s="92"/>
      <c r="X2090" s="92"/>
      <c r="Y2090" s="92"/>
      <c r="Z2090" s="92"/>
      <c r="AA2090" s="92"/>
      <c r="AB2090" s="92"/>
      <c r="AC2090" s="92"/>
      <c r="AD2090" s="93">
        <v>16.190000000000001</v>
      </c>
      <c r="AE2090" s="92"/>
      <c r="AF2090" s="92"/>
      <c r="AG2090" s="93">
        <v>736.19</v>
      </c>
      <c r="AH2090" s="93">
        <v>0</v>
      </c>
    </row>
    <row r="2091" spans="1:34" ht="15.75" thickBot="1" x14ac:dyDescent="0.3">
      <c r="A2091" s="90" t="s">
        <v>1056</v>
      </c>
      <c r="B2091" s="90" t="s">
        <v>1001</v>
      </c>
      <c r="C2091" s="90" t="s">
        <v>1002</v>
      </c>
      <c r="D2091" s="90" t="s">
        <v>663</v>
      </c>
      <c r="E2091" s="90" t="s">
        <v>518</v>
      </c>
      <c r="F2091" s="90" t="s">
        <v>522</v>
      </c>
      <c r="G2091" s="95">
        <v>73616.61</v>
      </c>
      <c r="H2091" s="95">
        <v>412940</v>
      </c>
      <c r="I2091" s="94"/>
      <c r="J2091" s="94"/>
      <c r="K2091" s="95">
        <v>73616.61</v>
      </c>
      <c r="L2091" s="94"/>
      <c r="M2091" s="94"/>
      <c r="N2091" s="94"/>
      <c r="O2091" s="94"/>
      <c r="P2091" s="94"/>
      <c r="Q2091" s="94"/>
      <c r="R2091" s="94"/>
      <c r="S2091" s="94"/>
      <c r="T2091" s="94"/>
      <c r="U2091" s="94"/>
      <c r="V2091" s="94"/>
      <c r="W2091" s="94"/>
      <c r="X2091" s="94"/>
      <c r="Y2091" s="94"/>
      <c r="Z2091" s="94"/>
      <c r="AA2091" s="94"/>
      <c r="AB2091" s="94"/>
      <c r="AC2091" s="94"/>
      <c r="AD2091" s="95">
        <v>1202.8599999999999</v>
      </c>
      <c r="AE2091" s="94"/>
      <c r="AF2091" s="94"/>
      <c r="AG2091" s="95">
        <v>74819.47</v>
      </c>
      <c r="AH2091" s="95">
        <v>0</v>
      </c>
    </row>
    <row r="2092" spans="1:34" ht="15.75" thickBot="1" x14ac:dyDescent="0.3">
      <c r="A2092" s="90" t="s">
        <v>1056</v>
      </c>
      <c r="B2092" s="90" t="s">
        <v>1001</v>
      </c>
      <c r="C2092" s="90" t="s">
        <v>1002</v>
      </c>
      <c r="D2092" s="90" t="s">
        <v>663</v>
      </c>
      <c r="E2092" s="90" t="s">
        <v>518</v>
      </c>
      <c r="F2092" s="90" t="s">
        <v>697</v>
      </c>
      <c r="G2092" s="93">
        <v>73616.61</v>
      </c>
      <c r="H2092" s="304">
        <v>412940</v>
      </c>
      <c r="I2092" s="92"/>
      <c r="J2092" s="92"/>
      <c r="K2092" s="93">
        <v>73616.61</v>
      </c>
      <c r="L2092" s="92"/>
      <c r="M2092" s="92"/>
      <c r="N2092" s="92"/>
      <c r="O2092" s="92"/>
      <c r="P2092" s="92"/>
      <c r="Q2092" s="92"/>
      <c r="R2092" s="92"/>
      <c r="S2092" s="92"/>
      <c r="T2092" s="92"/>
      <c r="U2092" s="92"/>
      <c r="V2092" s="92"/>
      <c r="W2092" s="92"/>
      <c r="X2092" s="92"/>
      <c r="Y2092" s="92"/>
      <c r="Z2092" s="92"/>
      <c r="AA2092" s="92"/>
      <c r="AB2092" s="92"/>
      <c r="AC2092" s="92"/>
      <c r="AD2092" s="93">
        <v>1202.8599999999999</v>
      </c>
      <c r="AE2092" s="92"/>
      <c r="AF2092" s="92"/>
      <c r="AG2092" s="93">
        <v>74819.47</v>
      </c>
      <c r="AH2092" s="93">
        <v>0</v>
      </c>
    </row>
    <row r="2093" spans="1:34" ht="15.75" thickBot="1" x14ac:dyDescent="0.3">
      <c r="A2093" s="90" t="s">
        <v>1056</v>
      </c>
      <c r="B2093" s="90" t="s">
        <v>1001</v>
      </c>
      <c r="C2093" s="90" t="s">
        <v>1002</v>
      </c>
      <c r="D2093" s="90" t="s">
        <v>663</v>
      </c>
      <c r="E2093" s="90" t="s">
        <v>673</v>
      </c>
      <c r="F2093" s="90" t="s">
        <v>522</v>
      </c>
      <c r="G2093" s="95">
        <v>1038.1600000000001</v>
      </c>
      <c r="H2093" s="94"/>
      <c r="I2093" s="94"/>
      <c r="J2093" s="94"/>
      <c r="K2093" s="94"/>
      <c r="L2093" s="94"/>
      <c r="M2093" s="94"/>
      <c r="N2093" s="94"/>
      <c r="O2093" s="94"/>
      <c r="P2093" s="94"/>
      <c r="Q2093" s="94"/>
      <c r="R2093" s="94"/>
      <c r="S2093" s="94"/>
      <c r="T2093" s="94"/>
      <c r="U2093" s="94"/>
      <c r="V2093" s="94"/>
      <c r="W2093" s="94"/>
      <c r="X2093" s="95">
        <v>1038.1600000000001</v>
      </c>
      <c r="Y2093" s="94"/>
      <c r="Z2093" s="94"/>
      <c r="AA2093" s="94"/>
      <c r="AB2093" s="94"/>
      <c r="AC2093" s="94"/>
      <c r="AD2093" s="95">
        <v>23.36</v>
      </c>
      <c r="AE2093" s="94"/>
      <c r="AF2093" s="94"/>
      <c r="AG2093" s="95">
        <v>1061.52</v>
      </c>
      <c r="AH2093" s="95">
        <v>0</v>
      </c>
    </row>
    <row r="2094" spans="1:34" ht="15.75" thickBot="1" x14ac:dyDescent="0.3">
      <c r="A2094" s="90" t="s">
        <v>1056</v>
      </c>
      <c r="B2094" s="90" t="s">
        <v>1001</v>
      </c>
      <c r="C2094" s="90" t="s">
        <v>1002</v>
      </c>
      <c r="D2094" s="90" t="s">
        <v>663</v>
      </c>
      <c r="E2094" s="90" t="s">
        <v>673</v>
      </c>
      <c r="F2094" s="90" t="s">
        <v>697</v>
      </c>
      <c r="G2094" s="93">
        <v>1038.1600000000001</v>
      </c>
      <c r="H2094" s="92"/>
      <c r="I2094" s="92"/>
      <c r="J2094" s="92"/>
      <c r="K2094" s="92"/>
      <c r="L2094" s="92"/>
      <c r="M2094" s="92"/>
      <c r="N2094" s="92"/>
      <c r="O2094" s="92"/>
      <c r="P2094" s="92"/>
      <c r="Q2094" s="92"/>
      <c r="R2094" s="92"/>
      <c r="S2094" s="92"/>
      <c r="T2094" s="92"/>
      <c r="U2094" s="92"/>
      <c r="V2094" s="92"/>
      <c r="W2094" s="92"/>
      <c r="X2094" s="93">
        <v>1038.1600000000001</v>
      </c>
      <c r="Y2094" s="92"/>
      <c r="Z2094" s="92"/>
      <c r="AA2094" s="92"/>
      <c r="AB2094" s="92"/>
      <c r="AC2094" s="92"/>
      <c r="AD2094" s="93">
        <v>23.36</v>
      </c>
      <c r="AE2094" s="92"/>
      <c r="AF2094" s="92"/>
      <c r="AG2094" s="93">
        <v>1061.52</v>
      </c>
      <c r="AH2094" s="93">
        <v>0</v>
      </c>
    </row>
    <row r="2095" spans="1:34" ht="15.75" thickBot="1" x14ac:dyDescent="0.3">
      <c r="A2095" s="90" t="s">
        <v>1056</v>
      </c>
      <c r="B2095" s="90" t="s">
        <v>1001</v>
      </c>
      <c r="C2095" s="90" t="s">
        <v>1002</v>
      </c>
      <c r="D2095" s="90" t="s">
        <v>663</v>
      </c>
      <c r="E2095" s="90" t="s">
        <v>530</v>
      </c>
      <c r="F2095" s="90" t="s">
        <v>522</v>
      </c>
      <c r="G2095" s="95">
        <v>34649.800000000003</v>
      </c>
      <c r="H2095" s="94"/>
      <c r="I2095" s="94"/>
      <c r="J2095" s="94"/>
      <c r="K2095" s="94"/>
      <c r="L2095" s="94"/>
      <c r="M2095" s="94"/>
      <c r="N2095" s="94"/>
      <c r="O2095" s="94"/>
      <c r="P2095" s="94"/>
      <c r="Q2095" s="94"/>
      <c r="R2095" s="94"/>
      <c r="S2095" s="94"/>
      <c r="T2095" s="94"/>
      <c r="U2095" s="94"/>
      <c r="V2095" s="94"/>
      <c r="W2095" s="95">
        <v>34649.800000000003</v>
      </c>
      <c r="X2095" s="94"/>
      <c r="Y2095" s="94"/>
      <c r="Z2095" s="94"/>
      <c r="AA2095" s="94"/>
      <c r="AB2095" s="94"/>
      <c r="AC2095" s="94"/>
      <c r="AD2095" s="95">
        <v>565.58000000000004</v>
      </c>
      <c r="AE2095" s="94"/>
      <c r="AF2095" s="94"/>
      <c r="AG2095" s="95">
        <v>35215.379999999997</v>
      </c>
      <c r="AH2095" s="95">
        <v>0</v>
      </c>
    </row>
    <row r="2096" spans="1:34" ht="15.75" thickBot="1" x14ac:dyDescent="0.3">
      <c r="A2096" s="90" t="s">
        <v>1056</v>
      </c>
      <c r="B2096" s="90" t="s">
        <v>1001</v>
      </c>
      <c r="C2096" s="90" t="s">
        <v>1002</v>
      </c>
      <c r="D2096" s="90" t="s">
        <v>663</v>
      </c>
      <c r="E2096" s="90" t="s">
        <v>530</v>
      </c>
      <c r="F2096" s="90" t="s">
        <v>697</v>
      </c>
      <c r="G2096" s="93">
        <v>34649.800000000003</v>
      </c>
      <c r="H2096" s="92"/>
      <c r="I2096" s="92"/>
      <c r="J2096" s="92"/>
      <c r="K2096" s="92"/>
      <c r="L2096" s="92"/>
      <c r="M2096" s="92"/>
      <c r="N2096" s="92"/>
      <c r="O2096" s="92"/>
      <c r="P2096" s="92"/>
      <c r="Q2096" s="92"/>
      <c r="R2096" s="92"/>
      <c r="S2096" s="92"/>
      <c r="T2096" s="92"/>
      <c r="U2096" s="92"/>
      <c r="V2096" s="92"/>
      <c r="W2096" s="93">
        <v>34649.800000000003</v>
      </c>
      <c r="X2096" s="92"/>
      <c r="Y2096" s="92"/>
      <c r="Z2096" s="92"/>
      <c r="AA2096" s="92"/>
      <c r="AB2096" s="92"/>
      <c r="AC2096" s="92"/>
      <c r="AD2096" s="93">
        <v>565.58000000000004</v>
      </c>
      <c r="AE2096" s="92"/>
      <c r="AF2096" s="92"/>
      <c r="AG2096" s="93">
        <v>35215.379999999997</v>
      </c>
      <c r="AH2096" s="93">
        <v>0</v>
      </c>
    </row>
    <row r="2097" spans="1:34" ht="15.75" thickBot="1" x14ac:dyDescent="0.3">
      <c r="A2097" s="90" t="s">
        <v>1056</v>
      </c>
      <c r="B2097" s="90" t="s">
        <v>1001</v>
      </c>
      <c r="C2097" s="90" t="s">
        <v>1002</v>
      </c>
      <c r="D2097" s="90" t="s">
        <v>663</v>
      </c>
      <c r="E2097" s="90" t="s">
        <v>524</v>
      </c>
      <c r="F2097" s="90" t="s">
        <v>522</v>
      </c>
      <c r="G2097" s="95">
        <v>2200</v>
      </c>
      <c r="H2097" s="94"/>
      <c r="I2097" s="95">
        <v>2200</v>
      </c>
      <c r="J2097" s="94"/>
      <c r="K2097" s="94"/>
      <c r="L2097" s="94"/>
      <c r="M2097" s="94"/>
      <c r="N2097" s="94"/>
      <c r="O2097" s="94"/>
      <c r="P2097" s="94"/>
      <c r="Q2097" s="94"/>
      <c r="R2097" s="94"/>
      <c r="S2097" s="94"/>
      <c r="T2097" s="94"/>
      <c r="U2097" s="94"/>
      <c r="V2097" s="94"/>
      <c r="W2097" s="94"/>
      <c r="X2097" s="94"/>
      <c r="Y2097" s="94"/>
      <c r="Z2097" s="94"/>
      <c r="AA2097" s="94"/>
      <c r="AB2097" s="94"/>
      <c r="AC2097" s="94"/>
      <c r="AD2097" s="95">
        <v>49.5</v>
      </c>
      <c r="AE2097" s="94"/>
      <c r="AF2097" s="94"/>
      <c r="AG2097" s="95">
        <v>2249.5</v>
      </c>
      <c r="AH2097" s="95">
        <v>0</v>
      </c>
    </row>
    <row r="2098" spans="1:34" ht="15.75" thickBot="1" x14ac:dyDescent="0.3">
      <c r="A2098" s="90" t="s">
        <v>1056</v>
      </c>
      <c r="B2098" s="90" t="s">
        <v>1001</v>
      </c>
      <c r="C2098" s="90" t="s">
        <v>1002</v>
      </c>
      <c r="D2098" s="90" t="s">
        <v>663</v>
      </c>
      <c r="E2098" s="90" t="s">
        <v>524</v>
      </c>
      <c r="F2098" s="90" t="s">
        <v>697</v>
      </c>
      <c r="G2098" s="93">
        <v>2200</v>
      </c>
      <c r="H2098" s="92"/>
      <c r="I2098" s="93">
        <v>2200</v>
      </c>
      <c r="J2098" s="92"/>
      <c r="K2098" s="92"/>
      <c r="L2098" s="92"/>
      <c r="M2098" s="92"/>
      <c r="N2098" s="92"/>
      <c r="O2098" s="92"/>
      <c r="P2098" s="92"/>
      <c r="Q2098" s="92"/>
      <c r="R2098" s="92"/>
      <c r="S2098" s="92"/>
      <c r="T2098" s="92"/>
      <c r="U2098" s="92"/>
      <c r="V2098" s="92"/>
      <c r="W2098" s="92"/>
      <c r="X2098" s="92"/>
      <c r="Y2098" s="92"/>
      <c r="Z2098" s="92"/>
      <c r="AA2098" s="92"/>
      <c r="AB2098" s="92"/>
      <c r="AC2098" s="92"/>
      <c r="AD2098" s="93">
        <v>49.5</v>
      </c>
      <c r="AE2098" s="92"/>
      <c r="AF2098" s="92"/>
      <c r="AG2098" s="93">
        <v>2249.5</v>
      </c>
      <c r="AH2098" s="93">
        <v>0</v>
      </c>
    </row>
    <row r="2099" spans="1:34" ht="15.75" thickBot="1" x14ac:dyDescent="0.3">
      <c r="A2099" s="90" t="s">
        <v>1056</v>
      </c>
      <c r="B2099" s="90" t="s">
        <v>1001</v>
      </c>
      <c r="C2099" s="90" t="s">
        <v>1002</v>
      </c>
      <c r="D2099" s="90" t="s">
        <v>662</v>
      </c>
      <c r="E2099" s="90" t="s">
        <v>729</v>
      </c>
      <c r="F2099" s="90" t="s">
        <v>522</v>
      </c>
      <c r="G2099" s="95">
        <v>-1404.23</v>
      </c>
      <c r="H2099" s="94"/>
      <c r="I2099" s="94"/>
      <c r="J2099" s="94"/>
      <c r="K2099" s="94"/>
      <c r="L2099" s="94"/>
      <c r="M2099" s="94"/>
      <c r="N2099" s="94"/>
      <c r="O2099" s="94"/>
      <c r="P2099" s="94"/>
      <c r="Q2099" s="95">
        <v>-1404.23</v>
      </c>
      <c r="R2099" s="94"/>
      <c r="S2099" s="94"/>
      <c r="T2099" s="94"/>
      <c r="U2099" s="94"/>
      <c r="V2099" s="94"/>
      <c r="W2099" s="94"/>
      <c r="X2099" s="94"/>
      <c r="Y2099" s="94"/>
      <c r="Z2099" s="94"/>
      <c r="AA2099" s="94"/>
      <c r="AB2099" s="94"/>
      <c r="AC2099" s="94"/>
      <c r="AD2099" s="95">
        <v>0</v>
      </c>
      <c r="AE2099" s="94"/>
      <c r="AF2099" s="94"/>
      <c r="AG2099" s="95">
        <v>-1404.23</v>
      </c>
      <c r="AH2099" s="95">
        <v>0</v>
      </c>
    </row>
    <row r="2100" spans="1:34" ht="15.75" thickBot="1" x14ac:dyDescent="0.3">
      <c r="A2100" s="90" t="s">
        <v>1056</v>
      </c>
      <c r="B2100" s="90" t="s">
        <v>1001</v>
      </c>
      <c r="C2100" s="90" t="s">
        <v>1002</v>
      </c>
      <c r="D2100" s="90" t="s">
        <v>662</v>
      </c>
      <c r="E2100" s="90" t="s">
        <v>729</v>
      </c>
      <c r="F2100" s="90" t="s">
        <v>697</v>
      </c>
      <c r="G2100" s="93">
        <v>-1404.23</v>
      </c>
      <c r="H2100" s="92"/>
      <c r="I2100" s="92"/>
      <c r="J2100" s="92"/>
      <c r="K2100" s="92"/>
      <c r="L2100" s="92"/>
      <c r="M2100" s="92"/>
      <c r="N2100" s="92"/>
      <c r="O2100" s="92"/>
      <c r="P2100" s="92"/>
      <c r="Q2100" s="93">
        <v>-1404.23</v>
      </c>
      <c r="R2100" s="92"/>
      <c r="S2100" s="92"/>
      <c r="T2100" s="92"/>
      <c r="U2100" s="92"/>
      <c r="V2100" s="92"/>
      <c r="W2100" s="92"/>
      <c r="X2100" s="92"/>
      <c r="Y2100" s="92"/>
      <c r="Z2100" s="92"/>
      <c r="AA2100" s="92"/>
      <c r="AB2100" s="92"/>
      <c r="AC2100" s="92"/>
      <c r="AD2100" s="93">
        <v>0</v>
      </c>
      <c r="AE2100" s="92"/>
      <c r="AF2100" s="92"/>
      <c r="AG2100" s="93">
        <v>-1404.23</v>
      </c>
      <c r="AH2100" s="93">
        <v>0</v>
      </c>
    </row>
    <row r="2101" spans="1:34" ht="15.75" thickBot="1" x14ac:dyDescent="0.3">
      <c r="A2101" s="90" t="s">
        <v>1056</v>
      </c>
      <c r="B2101" s="90" t="s">
        <v>1001</v>
      </c>
      <c r="C2101" s="90" t="s">
        <v>1002</v>
      </c>
      <c r="D2101" s="90" t="s">
        <v>662</v>
      </c>
      <c r="E2101" s="90" t="s">
        <v>528</v>
      </c>
      <c r="F2101" s="90" t="s">
        <v>690</v>
      </c>
      <c r="G2101" s="95">
        <v>180</v>
      </c>
      <c r="H2101" s="94"/>
      <c r="I2101" s="95">
        <v>180</v>
      </c>
      <c r="J2101" s="94"/>
      <c r="K2101" s="94"/>
      <c r="L2101" s="94"/>
      <c r="M2101" s="94"/>
      <c r="N2101" s="94"/>
      <c r="O2101" s="94"/>
      <c r="P2101" s="94"/>
      <c r="Q2101" s="94"/>
      <c r="R2101" s="94"/>
      <c r="S2101" s="94"/>
      <c r="T2101" s="94"/>
      <c r="U2101" s="94"/>
      <c r="V2101" s="94"/>
      <c r="W2101" s="94"/>
      <c r="X2101" s="94"/>
      <c r="Y2101" s="94"/>
      <c r="Z2101" s="94"/>
      <c r="AA2101" s="94"/>
      <c r="AB2101" s="94"/>
      <c r="AC2101" s="94"/>
      <c r="AD2101" s="95">
        <v>0</v>
      </c>
      <c r="AE2101" s="94"/>
      <c r="AF2101" s="94"/>
      <c r="AG2101" s="95">
        <v>180</v>
      </c>
      <c r="AH2101" s="95">
        <v>0</v>
      </c>
    </row>
    <row r="2102" spans="1:34" ht="15.75" thickBot="1" x14ac:dyDescent="0.3">
      <c r="A2102" s="90" t="s">
        <v>1056</v>
      </c>
      <c r="B2102" s="90" t="s">
        <v>1001</v>
      </c>
      <c r="C2102" s="90" t="s">
        <v>1002</v>
      </c>
      <c r="D2102" s="90" t="s">
        <v>662</v>
      </c>
      <c r="E2102" s="90" t="s">
        <v>528</v>
      </c>
      <c r="F2102" s="90" t="s">
        <v>697</v>
      </c>
      <c r="G2102" s="93">
        <v>180</v>
      </c>
      <c r="H2102" s="92"/>
      <c r="I2102" s="93">
        <v>180</v>
      </c>
      <c r="J2102" s="92"/>
      <c r="K2102" s="92"/>
      <c r="L2102" s="92"/>
      <c r="M2102" s="92"/>
      <c r="N2102" s="92"/>
      <c r="O2102" s="92"/>
      <c r="P2102" s="92"/>
      <c r="Q2102" s="92"/>
      <c r="R2102" s="92"/>
      <c r="S2102" s="92"/>
      <c r="T2102" s="92"/>
      <c r="U2102" s="92"/>
      <c r="V2102" s="92"/>
      <c r="W2102" s="92"/>
      <c r="X2102" s="92"/>
      <c r="Y2102" s="92"/>
      <c r="Z2102" s="92"/>
      <c r="AA2102" s="92"/>
      <c r="AB2102" s="92"/>
      <c r="AC2102" s="92"/>
      <c r="AD2102" s="93">
        <v>0</v>
      </c>
      <c r="AE2102" s="92"/>
      <c r="AF2102" s="92"/>
      <c r="AG2102" s="93">
        <v>180</v>
      </c>
      <c r="AH2102" s="93">
        <v>0</v>
      </c>
    </row>
    <row r="2103" spans="1:34" ht="15.75" thickBot="1" x14ac:dyDescent="0.3">
      <c r="A2103" s="90" t="s">
        <v>1056</v>
      </c>
      <c r="B2103" s="90" t="s">
        <v>1001</v>
      </c>
      <c r="C2103" s="90" t="s">
        <v>1002</v>
      </c>
      <c r="D2103" s="90" t="s">
        <v>662</v>
      </c>
      <c r="E2103" s="90" t="s">
        <v>518</v>
      </c>
      <c r="F2103" s="90" t="s">
        <v>522</v>
      </c>
      <c r="G2103" s="95">
        <v>21797.27</v>
      </c>
      <c r="H2103" s="95">
        <v>122320</v>
      </c>
      <c r="I2103" s="94"/>
      <c r="J2103" s="94"/>
      <c r="K2103" s="95">
        <v>21797.27</v>
      </c>
      <c r="L2103" s="94"/>
      <c r="M2103" s="94"/>
      <c r="N2103" s="94"/>
      <c r="O2103" s="94"/>
      <c r="P2103" s="94"/>
      <c r="Q2103" s="94"/>
      <c r="R2103" s="94"/>
      <c r="S2103" s="94"/>
      <c r="T2103" s="94"/>
      <c r="U2103" s="94"/>
      <c r="V2103" s="94"/>
      <c r="W2103" s="94"/>
      <c r="X2103" s="94"/>
      <c r="Y2103" s="94"/>
      <c r="Z2103" s="94"/>
      <c r="AA2103" s="94"/>
      <c r="AB2103" s="94"/>
      <c r="AC2103" s="94"/>
      <c r="AD2103" s="95">
        <v>0</v>
      </c>
      <c r="AE2103" s="94"/>
      <c r="AF2103" s="94"/>
      <c r="AG2103" s="95">
        <v>21797.27</v>
      </c>
      <c r="AH2103" s="95">
        <v>0</v>
      </c>
    </row>
    <row r="2104" spans="1:34" ht="15.75" thickBot="1" x14ac:dyDescent="0.3">
      <c r="A2104" s="90" t="s">
        <v>1056</v>
      </c>
      <c r="B2104" s="90" t="s">
        <v>1001</v>
      </c>
      <c r="C2104" s="90" t="s">
        <v>1002</v>
      </c>
      <c r="D2104" s="90" t="s">
        <v>662</v>
      </c>
      <c r="E2104" s="90" t="s">
        <v>518</v>
      </c>
      <c r="F2104" s="90" t="s">
        <v>697</v>
      </c>
      <c r="G2104" s="93">
        <v>21797.27</v>
      </c>
      <c r="H2104" s="304">
        <v>122320</v>
      </c>
      <c r="I2104" s="92"/>
      <c r="J2104" s="92"/>
      <c r="K2104" s="93">
        <v>21797.27</v>
      </c>
      <c r="L2104" s="92"/>
      <c r="M2104" s="92"/>
      <c r="N2104" s="92"/>
      <c r="O2104" s="92"/>
      <c r="P2104" s="92"/>
      <c r="Q2104" s="92"/>
      <c r="R2104" s="92"/>
      <c r="S2104" s="92"/>
      <c r="T2104" s="92"/>
      <c r="U2104" s="92"/>
      <c r="V2104" s="92"/>
      <c r="W2104" s="92"/>
      <c r="X2104" s="92"/>
      <c r="Y2104" s="92"/>
      <c r="Z2104" s="92"/>
      <c r="AA2104" s="92"/>
      <c r="AB2104" s="92"/>
      <c r="AC2104" s="92"/>
      <c r="AD2104" s="93">
        <v>0</v>
      </c>
      <c r="AE2104" s="92"/>
      <c r="AF2104" s="92"/>
      <c r="AG2104" s="93">
        <v>21797.27</v>
      </c>
      <c r="AH2104" s="93">
        <v>0</v>
      </c>
    </row>
    <row r="2105" spans="1:34" ht="15.75" thickBot="1" x14ac:dyDescent="0.3">
      <c r="A2105" s="90" t="s">
        <v>1056</v>
      </c>
      <c r="B2105" s="90" t="s">
        <v>1001</v>
      </c>
      <c r="C2105" s="90" t="s">
        <v>1002</v>
      </c>
      <c r="D2105" s="90" t="s">
        <v>662</v>
      </c>
      <c r="E2105" s="90" t="s">
        <v>673</v>
      </c>
      <c r="F2105" s="90" t="s">
        <v>522</v>
      </c>
      <c r="G2105" s="95">
        <v>259.54000000000002</v>
      </c>
      <c r="H2105" s="94"/>
      <c r="I2105" s="94"/>
      <c r="J2105" s="94"/>
      <c r="K2105" s="94"/>
      <c r="L2105" s="94"/>
      <c r="M2105" s="94"/>
      <c r="N2105" s="94"/>
      <c r="O2105" s="94"/>
      <c r="P2105" s="94"/>
      <c r="Q2105" s="94"/>
      <c r="R2105" s="94"/>
      <c r="S2105" s="94"/>
      <c r="T2105" s="94"/>
      <c r="U2105" s="94"/>
      <c r="V2105" s="94"/>
      <c r="W2105" s="94"/>
      <c r="X2105" s="95">
        <v>259.54000000000002</v>
      </c>
      <c r="Y2105" s="94"/>
      <c r="Z2105" s="94"/>
      <c r="AA2105" s="94"/>
      <c r="AB2105" s="94"/>
      <c r="AC2105" s="94"/>
      <c r="AD2105" s="95">
        <v>0</v>
      </c>
      <c r="AE2105" s="94"/>
      <c r="AF2105" s="94"/>
      <c r="AG2105" s="95">
        <v>259.54000000000002</v>
      </c>
      <c r="AH2105" s="95">
        <v>0</v>
      </c>
    </row>
    <row r="2106" spans="1:34" ht="15.75" thickBot="1" x14ac:dyDescent="0.3">
      <c r="A2106" s="90" t="s">
        <v>1056</v>
      </c>
      <c r="B2106" s="90" t="s">
        <v>1001</v>
      </c>
      <c r="C2106" s="90" t="s">
        <v>1002</v>
      </c>
      <c r="D2106" s="90" t="s">
        <v>662</v>
      </c>
      <c r="E2106" s="90" t="s">
        <v>673</v>
      </c>
      <c r="F2106" s="90" t="s">
        <v>697</v>
      </c>
      <c r="G2106" s="93">
        <v>259.54000000000002</v>
      </c>
      <c r="H2106" s="92"/>
      <c r="I2106" s="92"/>
      <c r="J2106" s="92"/>
      <c r="K2106" s="92"/>
      <c r="L2106" s="92"/>
      <c r="M2106" s="92"/>
      <c r="N2106" s="92"/>
      <c r="O2106" s="92"/>
      <c r="P2106" s="92"/>
      <c r="Q2106" s="92"/>
      <c r="R2106" s="92"/>
      <c r="S2106" s="92"/>
      <c r="T2106" s="92"/>
      <c r="U2106" s="92"/>
      <c r="V2106" s="92"/>
      <c r="W2106" s="92"/>
      <c r="X2106" s="93">
        <v>259.54000000000002</v>
      </c>
      <c r="Y2106" s="92"/>
      <c r="Z2106" s="92"/>
      <c r="AA2106" s="92"/>
      <c r="AB2106" s="92"/>
      <c r="AC2106" s="92"/>
      <c r="AD2106" s="93">
        <v>0</v>
      </c>
      <c r="AE2106" s="92"/>
      <c r="AF2106" s="92"/>
      <c r="AG2106" s="93">
        <v>259.54000000000002</v>
      </c>
      <c r="AH2106" s="93">
        <v>0</v>
      </c>
    </row>
    <row r="2107" spans="1:34" ht="15.75" thickBot="1" x14ac:dyDescent="0.3">
      <c r="A2107" s="90" t="s">
        <v>1056</v>
      </c>
      <c r="B2107" s="90" t="s">
        <v>1001</v>
      </c>
      <c r="C2107" s="90" t="s">
        <v>1002</v>
      </c>
      <c r="D2107" s="90" t="s">
        <v>662</v>
      </c>
      <c r="E2107" s="90" t="s">
        <v>530</v>
      </c>
      <c r="F2107" s="90" t="s">
        <v>522</v>
      </c>
      <c r="G2107" s="95">
        <v>10263.870000000001</v>
      </c>
      <c r="H2107" s="94"/>
      <c r="I2107" s="94"/>
      <c r="J2107" s="94"/>
      <c r="K2107" s="94"/>
      <c r="L2107" s="94"/>
      <c r="M2107" s="94"/>
      <c r="N2107" s="94"/>
      <c r="O2107" s="94"/>
      <c r="P2107" s="94"/>
      <c r="Q2107" s="94"/>
      <c r="R2107" s="94"/>
      <c r="S2107" s="94"/>
      <c r="T2107" s="94"/>
      <c r="U2107" s="94"/>
      <c r="V2107" s="94"/>
      <c r="W2107" s="95">
        <v>10263.870000000001</v>
      </c>
      <c r="X2107" s="94"/>
      <c r="Y2107" s="94"/>
      <c r="Z2107" s="94"/>
      <c r="AA2107" s="94"/>
      <c r="AB2107" s="94"/>
      <c r="AC2107" s="94"/>
      <c r="AD2107" s="95">
        <v>0</v>
      </c>
      <c r="AE2107" s="94"/>
      <c r="AF2107" s="94"/>
      <c r="AG2107" s="95">
        <v>10263.870000000001</v>
      </c>
      <c r="AH2107" s="95">
        <v>0</v>
      </c>
    </row>
    <row r="2108" spans="1:34" ht="15.75" thickBot="1" x14ac:dyDescent="0.3">
      <c r="A2108" s="90" t="s">
        <v>1056</v>
      </c>
      <c r="B2108" s="90" t="s">
        <v>1001</v>
      </c>
      <c r="C2108" s="90" t="s">
        <v>1002</v>
      </c>
      <c r="D2108" s="90" t="s">
        <v>662</v>
      </c>
      <c r="E2108" s="90" t="s">
        <v>530</v>
      </c>
      <c r="F2108" s="90" t="s">
        <v>697</v>
      </c>
      <c r="G2108" s="93">
        <v>10263.870000000001</v>
      </c>
      <c r="H2108" s="92"/>
      <c r="I2108" s="92"/>
      <c r="J2108" s="92"/>
      <c r="K2108" s="92"/>
      <c r="L2108" s="92"/>
      <c r="M2108" s="92"/>
      <c r="N2108" s="92"/>
      <c r="O2108" s="92"/>
      <c r="P2108" s="92"/>
      <c r="Q2108" s="92"/>
      <c r="R2108" s="92"/>
      <c r="S2108" s="92"/>
      <c r="T2108" s="92"/>
      <c r="U2108" s="92"/>
      <c r="V2108" s="92"/>
      <c r="W2108" s="93">
        <v>10263.870000000001</v>
      </c>
      <c r="X2108" s="92"/>
      <c r="Y2108" s="92"/>
      <c r="Z2108" s="92"/>
      <c r="AA2108" s="92"/>
      <c r="AB2108" s="92"/>
      <c r="AC2108" s="92"/>
      <c r="AD2108" s="93">
        <v>0</v>
      </c>
      <c r="AE2108" s="92"/>
      <c r="AF2108" s="92"/>
      <c r="AG2108" s="93">
        <v>10263.870000000001</v>
      </c>
      <c r="AH2108" s="93">
        <v>0</v>
      </c>
    </row>
    <row r="2109" spans="1:34" ht="15.75" thickBot="1" x14ac:dyDescent="0.3">
      <c r="A2109" s="90" t="s">
        <v>1056</v>
      </c>
      <c r="B2109" s="90" t="s">
        <v>1001</v>
      </c>
      <c r="C2109" s="90" t="s">
        <v>1002</v>
      </c>
      <c r="D2109" s="90" t="s">
        <v>662</v>
      </c>
      <c r="E2109" s="90" t="s">
        <v>524</v>
      </c>
      <c r="F2109" s="90" t="s">
        <v>522</v>
      </c>
      <c r="G2109" s="95">
        <v>550</v>
      </c>
      <c r="H2109" s="94"/>
      <c r="I2109" s="95">
        <v>550</v>
      </c>
      <c r="J2109" s="94"/>
      <c r="K2109" s="94"/>
      <c r="L2109" s="94"/>
      <c r="M2109" s="94"/>
      <c r="N2109" s="94"/>
      <c r="O2109" s="94"/>
      <c r="P2109" s="94"/>
      <c r="Q2109" s="94"/>
      <c r="R2109" s="94"/>
      <c r="S2109" s="94"/>
      <c r="T2109" s="94"/>
      <c r="U2109" s="94"/>
      <c r="V2109" s="94"/>
      <c r="W2109" s="94"/>
      <c r="X2109" s="94"/>
      <c r="Y2109" s="94"/>
      <c r="Z2109" s="94"/>
      <c r="AA2109" s="94"/>
      <c r="AB2109" s="94"/>
      <c r="AC2109" s="94"/>
      <c r="AD2109" s="95">
        <v>0</v>
      </c>
      <c r="AE2109" s="94"/>
      <c r="AF2109" s="94"/>
      <c r="AG2109" s="95">
        <v>550</v>
      </c>
      <c r="AH2109" s="95">
        <v>0</v>
      </c>
    </row>
    <row r="2110" spans="1:34" ht="15.75" thickBot="1" x14ac:dyDescent="0.3">
      <c r="A2110" s="90" t="s">
        <v>1056</v>
      </c>
      <c r="B2110" s="90" t="s">
        <v>1001</v>
      </c>
      <c r="C2110" s="90" t="s">
        <v>1002</v>
      </c>
      <c r="D2110" s="90" t="s">
        <v>662</v>
      </c>
      <c r="E2110" s="90" t="s">
        <v>524</v>
      </c>
      <c r="F2110" s="90" t="s">
        <v>697</v>
      </c>
      <c r="G2110" s="93">
        <v>550</v>
      </c>
      <c r="H2110" s="92"/>
      <c r="I2110" s="93">
        <v>550</v>
      </c>
      <c r="J2110" s="92"/>
      <c r="K2110" s="92"/>
      <c r="L2110" s="92"/>
      <c r="M2110" s="92"/>
      <c r="N2110" s="92"/>
      <c r="O2110" s="92"/>
      <c r="P2110" s="92"/>
      <c r="Q2110" s="92"/>
      <c r="R2110" s="92"/>
      <c r="S2110" s="92"/>
      <c r="T2110" s="92"/>
      <c r="U2110" s="92"/>
      <c r="V2110" s="92"/>
      <c r="W2110" s="92"/>
      <c r="X2110" s="92"/>
      <c r="Y2110" s="92"/>
      <c r="Z2110" s="92"/>
      <c r="AA2110" s="92"/>
      <c r="AB2110" s="92"/>
      <c r="AC2110" s="92"/>
      <c r="AD2110" s="93">
        <v>0</v>
      </c>
      <c r="AE2110" s="92"/>
      <c r="AF2110" s="92"/>
      <c r="AG2110" s="93">
        <v>550</v>
      </c>
      <c r="AH2110" s="93">
        <v>0</v>
      </c>
    </row>
    <row r="2111" spans="1:34" ht="15.75" thickBot="1" x14ac:dyDescent="0.3">
      <c r="A2111" s="90" t="s">
        <v>1056</v>
      </c>
      <c r="B2111" s="90" t="s">
        <v>93</v>
      </c>
      <c r="C2111" s="90" t="s">
        <v>719</v>
      </c>
      <c r="D2111" s="90" t="s">
        <v>663</v>
      </c>
      <c r="E2111" s="90" t="s">
        <v>525</v>
      </c>
      <c r="F2111" s="90" t="s">
        <v>690</v>
      </c>
      <c r="G2111" s="93">
        <v>-646.91999999999996</v>
      </c>
      <c r="H2111" s="92"/>
      <c r="I2111" s="92"/>
      <c r="J2111" s="92"/>
      <c r="K2111" s="92"/>
      <c r="L2111" s="92"/>
      <c r="M2111" s="92"/>
      <c r="N2111" s="92"/>
      <c r="O2111" s="92"/>
      <c r="P2111" s="92"/>
      <c r="Q2111" s="92"/>
      <c r="R2111" s="93">
        <v>-646.91999999999996</v>
      </c>
      <c r="S2111" s="92"/>
      <c r="T2111" s="92"/>
      <c r="U2111" s="92"/>
      <c r="V2111" s="92"/>
      <c r="W2111" s="92"/>
      <c r="X2111" s="92"/>
      <c r="Y2111" s="92"/>
      <c r="Z2111" s="92"/>
      <c r="AA2111" s="92"/>
      <c r="AB2111" s="92"/>
      <c r="AC2111" s="92"/>
      <c r="AD2111" s="93">
        <v>0</v>
      </c>
      <c r="AE2111" s="92"/>
      <c r="AF2111" s="92"/>
      <c r="AG2111" s="93">
        <v>-646.91999999999996</v>
      </c>
      <c r="AH2111" s="93">
        <v>0</v>
      </c>
    </row>
    <row r="2112" spans="1:34" ht="15.75" thickBot="1" x14ac:dyDescent="0.3">
      <c r="A2112" s="90" t="s">
        <v>1056</v>
      </c>
      <c r="B2112" s="90" t="s">
        <v>93</v>
      </c>
      <c r="C2112" s="90" t="s">
        <v>719</v>
      </c>
      <c r="D2112" s="90" t="s">
        <v>663</v>
      </c>
      <c r="E2112" s="90" t="s">
        <v>525</v>
      </c>
      <c r="F2112" s="90" t="s">
        <v>697</v>
      </c>
      <c r="G2112" s="95">
        <v>-646.91999999999996</v>
      </c>
      <c r="H2112" s="94"/>
      <c r="I2112" s="94"/>
      <c r="J2112" s="94"/>
      <c r="K2112" s="94"/>
      <c r="L2112" s="94"/>
      <c r="M2112" s="94"/>
      <c r="N2112" s="94"/>
      <c r="O2112" s="94"/>
      <c r="P2112" s="94"/>
      <c r="Q2112" s="94"/>
      <c r="R2112" s="95">
        <v>-646.91999999999996</v>
      </c>
      <c r="S2112" s="94"/>
      <c r="T2112" s="94"/>
      <c r="U2112" s="94"/>
      <c r="V2112" s="94"/>
      <c r="W2112" s="94"/>
      <c r="X2112" s="94"/>
      <c r="Y2112" s="94"/>
      <c r="Z2112" s="94"/>
      <c r="AA2112" s="94"/>
      <c r="AB2112" s="94"/>
      <c r="AC2112" s="94"/>
      <c r="AD2112" s="95">
        <v>0</v>
      </c>
      <c r="AE2112" s="94"/>
      <c r="AF2112" s="94"/>
      <c r="AG2112" s="95">
        <v>-646.91999999999996</v>
      </c>
      <c r="AH2112" s="95">
        <v>0</v>
      </c>
    </row>
    <row r="2113" spans="1:34" ht="15.75" thickBot="1" x14ac:dyDescent="0.3">
      <c r="A2113" s="90" t="s">
        <v>1056</v>
      </c>
      <c r="B2113" s="90" t="s">
        <v>93</v>
      </c>
      <c r="C2113" s="90" t="s">
        <v>719</v>
      </c>
      <c r="D2113" s="90" t="s">
        <v>663</v>
      </c>
      <c r="E2113" s="90" t="s">
        <v>527</v>
      </c>
      <c r="F2113" s="90" t="s">
        <v>690</v>
      </c>
      <c r="G2113" s="93">
        <v>2929.16</v>
      </c>
      <c r="H2113" s="92"/>
      <c r="I2113" s="92"/>
      <c r="J2113" s="92"/>
      <c r="K2113" s="92"/>
      <c r="L2113" s="92"/>
      <c r="M2113" s="92"/>
      <c r="N2113" s="92"/>
      <c r="O2113" s="92"/>
      <c r="P2113" s="92"/>
      <c r="Q2113" s="92"/>
      <c r="R2113" s="92"/>
      <c r="S2113" s="93">
        <v>2929.16</v>
      </c>
      <c r="T2113" s="92"/>
      <c r="U2113" s="92"/>
      <c r="V2113" s="92"/>
      <c r="W2113" s="92"/>
      <c r="X2113" s="92"/>
      <c r="Y2113" s="92"/>
      <c r="Z2113" s="92"/>
      <c r="AA2113" s="92"/>
      <c r="AB2113" s="92"/>
      <c r="AC2113" s="92"/>
      <c r="AD2113" s="93">
        <v>0</v>
      </c>
      <c r="AE2113" s="92"/>
      <c r="AF2113" s="92"/>
      <c r="AG2113" s="93">
        <v>2929.16</v>
      </c>
      <c r="AH2113" s="93">
        <v>0</v>
      </c>
    </row>
    <row r="2114" spans="1:34" ht="15.75" thickBot="1" x14ac:dyDescent="0.3">
      <c r="A2114" s="90" t="s">
        <v>1056</v>
      </c>
      <c r="B2114" s="90" t="s">
        <v>93</v>
      </c>
      <c r="C2114" s="90" t="s">
        <v>719</v>
      </c>
      <c r="D2114" s="90" t="s">
        <v>663</v>
      </c>
      <c r="E2114" s="90" t="s">
        <v>527</v>
      </c>
      <c r="F2114" s="90" t="s">
        <v>697</v>
      </c>
      <c r="G2114" s="95">
        <v>2929.16</v>
      </c>
      <c r="H2114" s="94"/>
      <c r="I2114" s="94"/>
      <c r="J2114" s="94"/>
      <c r="K2114" s="94"/>
      <c r="L2114" s="94"/>
      <c r="M2114" s="94"/>
      <c r="N2114" s="94"/>
      <c r="O2114" s="94"/>
      <c r="P2114" s="94"/>
      <c r="Q2114" s="94"/>
      <c r="R2114" s="94"/>
      <c r="S2114" s="95">
        <v>2929.16</v>
      </c>
      <c r="T2114" s="94"/>
      <c r="U2114" s="94"/>
      <c r="V2114" s="94"/>
      <c r="W2114" s="94"/>
      <c r="X2114" s="94"/>
      <c r="Y2114" s="94"/>
      <c r="Z2114" s="94"/>
      <c r="AA2114" s="94"/>
      <c r="AB2114" s="94"/>
      <c r="AC2114" s="94"/>
      <c r="AD2114" s="95">
        <v>0</v>
      </c>
      <c r="AE2114" s="94"/>
      <c r="AF2114" s="94"/>
      <c r="AG2114" s="95">
        <v>2929.16</v>
      </c>
      <c r="AH2114" s="95">
        <v>0</v>
      </c>
    </row>
    <row r="2115" spans="1:34" ht="15.75" thickBot="1" x14ac:dyDescent="0.3">
      <c r="A2115" s="90" t="s">
        <v>1056</v>
      </c>
      <c r="B2115" s="90" t="s">
        <v>93</v>
      </c>
      <c r="C2115" s="90" t="s">
        <v>719</v>
      </c>
      <c r="D2115" s="90" t="s">
        <v>663</v>
      </c>
      <c r="E2115" s="90" t="s">
        <v>524</v>
      </c>
      <c r="F2115" s="90" t="s">
        <v>522</v>
      </c>
      <c r="G2115" s="93">
        <v>525</v>
      </c>
      <c r="H2115" s="92"/>
      <c r="I2115" s="93">
        <v>525</v>
      </c>
      <c r="J2115" s="92"/>
      <c r="K2115" s="92"/>
      <c r="L2115" s="92"/>
      <c r="M2115" s="92"/>
      <c r="N2115" s="92"/>
      <c r="O2115" s="92"/>
      <c r="P2115" s="92"/>
      <c r="Q2115" s="92"/>
      <c r="R2115" s="92"/>
      <c r="S2115" s="92"/>
      <c r="T2115" s="92"/>
      <c r="U2115" s="92"/>
      <c r="V2115" s="92"/>
      <c r="W2115" s="92"/>
      <c r="X2115" s="92"/>
      <c r="Y2115" s="92"/>
      <c r="Z2115" s="92"/>
      <c r="AA2115" s="92"/>
      <c r="AB2115" s="92"/>
      <c r="AC2115" s="92"/>
      <c r="AD2115" s="93">
        <v>0</v>
      </c>
      <c r="AE2115" s="92"/>
      <c r="AF2115" s="92"/>
      <c r="AG2115" s="93">
        <v>525</v>
      </c>
      <c r="AH2115" s="93">
        <v>0</v>
      </c>
    </row>
    <row r="2116" spans="1:34" ht="15.75" thickBot="1" x14ac:dyDescent="0.3">
      <c r="A2116" s="90" t="s">
        <v>1056</v>
      </c>
      <c r="B2116" s="90" t="s">
        <v>93</v>
      </c>
      <c r="C2116" s="90" t="s">
        <v>719</v>
      </c>
      <c r="D2116" s="90" t="s">
        <v>663</v>
      </c>
      <c r="E2116" s="90" t="s">
        <v>524</v>
      </c>
      <c r="F2116" s="90" t="s">
        <v>697</v>
      </c>
      <c r="G2116" s="95">
        <v>525</v>
      </c>
      <c r="H2116" s="94"/>
      <c r="I2116" s="95">
        <v>525</v>
      </c>
      <c r="J2116" s="94"/>
      <c r="K2116" s="94"/>
      <c r="L2116" s="94"/>
      <c r="M2116" s="94"/>
      <c r="N2116" s="94"/>
      <c r="O2116" s="94"/>
      <c r="P2116" s="94"/>
      <c r="Q2116" s="94"/>
      <c r="R2116" s="94"/>
      <c r="S2116" s="94"/>
      <c r="T2116" s="94"/>
      <c r="U2116" s="94"/>
      <c r="V2116" s="94"/>
      <c r="W2116" s="94"/>
      <c r="X2116" s="94"/>
      <c r="Y2116" s="94"/>
      <c r="Z2116" s="94"/>
      <c r="AA2116" s="94"/>
      <c r="AB2116" s="94"/>
      <c r="AC2116" s="94"/>
      <c r="AD2116" s="95">
        <v>0</v>
      </c>
      <c r="AE2116" s="94"/>
      <c r="AF2116" s="94"/>
      <c r="AG2116" s="95">
        <v>525</v>
      </c>
      <c r="AH2116" s="95">
        <v>0</v>
      </c>
    </row>
    <row r="2117" spans="1:34" ht="15.75" thickBot="1" x14ac:dyDescent="0.3">
      <c r="A2117" s="90" t="s">
        <v>1056</v>
      </c>
      <c r="B2117" s="90" t="s">
        <v>1003</v>
      </c>
      <c r="C2117" s="90" t="s">
        <v>1004</v>
      </c>
      <c r="D2117" s="90" t="s">
        <v>663</v>
      </c>
      <c r="E2117" s="90" t="s">
        <v>528</v>
      </c>
      <c r="F2117" s="90" t="s">
        <v>690</v>
      </c>
      <c r="G2117" s="93">
        <v>400</v>
      </c>
      <c r="H2117" s="92"/>
      <c r="I2117" s="93">
        <v>400</v>
      </c>
      <c r="J2117" s="92"/>
      <c r="K2117" s="92"/>
      <c r="L2117" s="92"/>
      <c r="M2117" s="92"/>
      <c r="N2117" s="92"/>
      <c r="O2117" s="92"/>
      <c r="P2117" s="92"/>
      <c r="Q2117" s="92"/>
      <c r="R2117" s="92"/>
      <c r="S2117" s="92"/>
      <c r="T2117" s="92"/>
      <c r="U2117" s="92"/>
      <c r="V2117" s="92"/>
      <c r="W2117" s="92"/>
      <c r="X2117" s="92"/>
      <c r="Y2117" s="92"/>
      <c r="Z2117" s="92"/>
      <c r="AA2117" s="92"/>
      <c r="AB2117" s="92"/>
      <c r="AC2117" s="92"/>
      <c r="AD2117" s="93">
        <v>0</v>
      </c>
      <c r="AE2117" s="92"/>
      <c r="AF2117" s="92"/>
      <c r="AG2117" s="93">
        <v>400</v>
      </c>
      <c r="AH2117" s="93">
        <v>0</v>
      </c>
    </row>
    <row r="2118" spans="1:34" ht="15.75" thickBot="1" x14ac:dyDescent="0.3">
      <c r="A2118" s="90" t="s">
        <v>1056</v>
      </c>
      <c r="B2118" s="90" t="s">
        <v>1003</v>
      </c>
      <c r="C2118" s="90" t="s">
        <v>1004</v>
      </c>
      <c r="D2118" s="90" t="s">
        <v>663</v>
      </c>
      <c r="E2118" s="90" t="s">
        <v>528</v>
      </c>
      <c r="F2118" s="90" t="s">
        <v>697</v>
      </c>
      <c r="G2118" s="95">
        <v>400</v>
      </c>
      <c r="H2118" s="94"/>
      <c r="I2118" s="95">
        <v>400</v>
      </c>
      <c r="J2118" s="94"/>
      <c r="K2118" s="94"/>
      <c r="L2118" s="94"/>
      <c r="M2118" s="94"/>
      <c r="N2118" s="94"/>
      <c r="O2118" s="94"/>
      <c r="P2118" s="94"/>
      <c r="Q2118" s="94"/>
      <c r="R2118" s="94"/>
      <c r="S2118" s="94"/>
      <c r="T2118" s="94"/>
      <c r="U2118" s="94"/>
      <c r="V2118" s="94"/>
      <c r="W2118" s="94"/>
      <c r="X2118" s="94"/>
      <c r="Y2118" s="94"/>
      <c r="Z2118" s="94"/>
      <c r="AA2118" s="94"/>
      <c r="AB2118" s="94"/>
      <c r="AC2118" s="94"/>
      <c r="AD2118" s="95">
        <v>0</v>
      </c>
      <c r="AE2118" s="94"/>
      <c r="AF2118" s="94"/>
      <c r="AG2118" s="95">
        <v>400</v>
      </c>
      <c r="AH2118" s="95">
        <v>0</v>
      </c>
    </row>
    <row r="2119" spans="1:34" ht="15.75" thickBot="1" x14ac:dyDescent="0.3">
      <c r="A2119" s="90" t="s">
        <v>1056</v>
      </c>
      <c r="B2119" s="90" t="s">
        <v>1003</v>
      </c>
      <c r="C2119" s="90" t="s">
        <v>1004</v>
      </c>
      <c r="D2119" s="90" t="s">
        <v>663</v>
      </c>
      <c r="E2119" s="90" t="s">
        <v>518</v>
      </c>
      <c r="F2119" s="90" t="s">
        <v>522</v>
      </c>
      <c r="G2119" s="93">
        <v>1120.25</v>
      </c>
      <c r="H2119" s="93">
        <v>15983</v>
      </c>
      <c r="I2119" s="92"/>
      <c r="J2119" s="92"/>
      <c r="K2119" s="93">
        <v>1120.25</v>
      </c>
      <c r="L2119" s="92"/>
      <c r="M2119" s="92"/>
      <c r="N2119" s="92"/>
      <c r="O2119" s="92"/>
      <c r="P2119" s="92"/>
      <c r="Q2119" s="92"/>
      <c r="R2119" s="92"/>
      <c r="S2119" s="92"/>
      <c r="T2119" s="92"/>
      <c r="U2119" s="92"/>
      <c r="V2119" s="92"/>
      <c r="W2119" s="92"/>
      <c r="X2119" s="92"/>
      <c r="Y2119" s="92"/>
      <c r="Z2119" s="92"/>
      <c r="AA2119" s="92"/>
      <c r="AB2119" s="92"/>
      <c r="AC2119" s="92"/>
      <c r="AD2119" s="93">
        <v>0</v>
      </c>
      <c r="AE2119" s="92"/>
      <c r="AF2119" s="92"/>
      <c r="AG2119" s="93">
        <v>1120.25</v>
      </c>
      <c r="AH2119" s="93">
        <v>0</v>
      </c>
    </row>
    <row r="2120" spans="1:34" ht="15.75" thickBot="1" x14ac:dyDescent="0.3">
      <c r="A2120" s="90" t="s">
        <v>1056</v>
      </c>
      <c r="B2120" s="90" t="s">
        <v>1003</v>
      </c>
      <c r="C2120" s="90" t="s">
        <v>1004</v>
      </c>
      <c r="D2120" s="90" t="s">
        <v>663</v>
      </c>
      <c r="E2120" s="90" t="s">
        <v>518</v>
      </c>
      <c r="F2120" s="90" t="s">
        <v>697</v>
      </c>
      <c r="G2120" s="95">
        <v>1120.25</v>
      </c>
      <c r="H2120" s="305">
        <v>15983</v>
      </c>
      <c r="I2120" s="94"/>
      <c r="J2120" s="94"/>
      <c r="K2120" s="95">
        <v>1120.25</v>
      </c>
      <c r="L2120" s="94"/>
      <c r="M2120" s="94"/>
      <c r="N2120" s="94"/>
      <c r="O2120" s="94"/>
      <c r="P2120" s="94"/>
      <c r="Q2120" s="94"/>
      <c r="R2120" s="94"/>
      <c r="S2120" s="94"/>
      <c r="T2120" s="94"/>
      <c r="U2120" s="94"/>
      <c r="V2120" s="94"/>
      <c r="W2120" s="94"/>
      <c r="X2120" s="94"/>
      <c r="Y2120" s="94"/>
      <c r="Z2120" s="94"/>
      <c r="AA2120" s="94"/>
      <c r="AB2120" s="94"/>
      <c r="AC2120" s="94"/>
      <c r="AD2120" s="95">
        <v>0</v>
      </c>
      <c r="AE2120" s="94"/>
      <c r="AF2120" s="94"/>
      <c r="AG2120" s="95">
        <v>1120.25</v>
      </c>
      <c r="AH2120" s="95">
        <v>0</v>
      </c>
    </row>
    <row r="2121" spans="1:34" ht="15.75" thickBot="1" x14ac:dyDescent="0.3">
      <c r="A2121" s="90" t="s">
        <v>1056</v>
      </c>
      <c r="B2121" s="90" t="s">
        <v>1003</v>
      </c>
      <c r="C2121" s="90" t="s">
        <v>1004</v>
      </c>
      <c r="D2121" s="90" t="s">
        <v>663</v>
      </c>
      <c r="E2121" s="90" t="s">
        <v>673</v>
      </c>
      <c r="F2121" s="90" t="s">
        <v>522</v>
      </c>
      <c r="G2121" s="93">
        <v>2838.87</v>
      </c>
      <c r="H2121" s="92"/>
      <c r="I2121" s="92"/>
      <c r="J2121" s="92"/>
      <c r="K2121" s="92"/>
      <c r="L2121" s="92"/>
      <c r="M2121" s="92"/>
      <c r="N2121" s="92"/>
      <c r="O2121" s="92"/>
      <c r="P2121" s="92"/>
      <c r="Q2121" s="92"/>
      <c r="R2121" s="92"/>
      <c r="S2121" s="92"/>
      <c r="T2121" s="92"/>
      <c r="U2121" s="92"/>
      <c r="V2121" s="92"/>
      <c r="W2121" s="92"/>
      <c r="X2121" s="93">
        <v>2838.87</v>
      </c>
      <c r="Y2121" s="92"/>
      <c r="Z2121" s="92"/>
      <c r="AA2121" s="92"/>
      <c r="AB2121" s="92"/>
      <c r="AC2121" s="92"/>
      <c r="AD2121" s="93">
        <v>0</v>
      </c>
      <c r="AE2121" s="92"/>
      <c r="AF2121" s="92"/>
      <c r="AG2121" s="93">
        <v>2838.87</v>
      </c>
      <c r="AH2121" s="93">
        <v>0</v>
      </c>
    </row>
    <row r="2122" spans="1:34" ht="15.75" thickBot="1" x14ac:dyDescent="0.3">
      <c r="A2122" s="90" t="s">
        <v>1056</v>
      </c>
      <c r="B2122" s="90" t="s">
        <v>1003</v>
      </c>
      <c r="C2122" s="90" t="s">
        <v>1004</v>
      </c>
      <c r="D2122" s="90" t="s">
        <v>663</v>
      </c>
      <c r="E2122" s="90" t="s">
        <v>673</v>
      </c>
      <c r="F2122" s="90" t="s">
        <v>697</v>
      </c>
      <c r="G2122" s="95">
        <v>2838.87</v>
      </c>
      <c r="H2122" s="94"/>
      <c r="I2122" s="94"/>
      <c r="J2122" s="94"/>
      <c r="K2122" s="94"/>
      <c r="L2122" s="94"/>
      <c r="M2122" s="94"/>
      <c r="N2122" s="94"/>
      <c r="O2122" s="94"/>
      <c r="P2122" s="94"/>
      <c r="Q2122" s="94"/>
      <c r="R2122" s="94"/>
      <c r="S2122" s="94"/>
      <c r="T2122" s="94"/>
      <c r="U2122" s="94"/>
      <c r="V2122" s="94"/>
      <c r="W2122" s="94"/>
      <c r="X2122" s="95">
        <v>2838.87</v>
      </c>
      <c r="Y2122" s="94"/>
      <c r="Z2122" s="94"/>
      <c r="AA2122" s="94"/>
      <c r="AB2122" s="94"/>
      <c r="AC2122" s="94"/>
      <c r="AD2122" s="95">
        <v>0</v>
      </c>
      <c r="AE2122" s="94"/>
      <c r="AF2122" s="94"/>
      <c r="AG2122" s="95">
        <v>2838.87</v>
      </c>
      <c r="AH2122" s="95">
        <v>0</v>
      </c>
    </row>
    <row r="2123" spans="1:34" ht="15.75" thickBot="1" x14ac:dyDescent="0.3">
      <c r="A2123" s="90" t="s">
        <v>1056</v>
      </c>
      <c r="B2123" s="90" t="s">
        <v>1003</v>
      </c>
      <c r="C2123" s="90" t="s">
        <v>1004</v>
      </c>
      <c r="D2123" s="90" t="s">
        <v>663</v>
      </c>
      <c r="E2123" s="90" t="s">
        <v>530</v>
      </c>
      <c r="F2123" s="90" t="s">
        <v>522</v>
      </c>
      <c r="G2123" s="93">
        <v>1341.13</v>
      </c>
      <c r="H2123" s="92"/>
      <c r="I2123" s="92"/>
      <c r="J2123" s="92"/>
      <c r="K2123" s="92"/>
      <c r="L2123" s="92"/>
      <c r="M2123" s="92"/>
      <c r="N2123" s="92"/>
      <c r="O2123" s="92"/>
      <c r="P2123" s="92"/>
      <c r="Q2123" s="92"/>
      <c r="R2123" s="92"/>
      <c r="S2123" s="92"/>
      <c r="T2123" s="92"/>
      <c r="U2123" s="92"/>
      <c r="V2123" s="92"/>
      <c r="W2123" s="93">
        <v>1341.13</v>
      </c>
      <c r="X2123" s="92"/>
      <c r="Y2123" s="92"/>
      <c r="Z2123" s="92"/>
      <c r="AA2123" s="92"/>
      <c r="AB2123" s="92"/>
      <c r="AC2123" s="92"/>
      <c r="AD2123" s="93">
        <v>0</v>
      </c>
      <c r="AE2123" s="92"/>
      <c r="AF2123" s="92"/>
      <c r="AG2123" s="93">
        <v>1341.13</v>
      </c>
      <c r="AH2123" s="93">
        <v>0</v>
      </c>
    </row>
    <row r="2124" spans="1:34" ht="15.75" thickBot="1" x14ac:dyDescent="0.3">
      <c r="A2124" s="90" t="s">
        <v>1056</v>
      </c>
      <c r="B2124" s="90" t="s">
        <v>1003</v>
      </c>
      <c r="C2124" s="90" t="s">
        <v>1004</v>
      </c>
      <c r="D2124" s="90" t="s">
        <v>663</v>
      </c>
      <c r="E2124" s="90" t="s">
        <v>530</v>
      </c>
      <c r="F2124" s="90" t="s">
        <v>697</v>
      </c>
      <c r="G2124" s="95">
        <v>1341.13</v>
      </c>
      <c r="H2124" s="94"/>
      <c r="I2124" s="94"/>
      <c r="J2124" s="94"/>
      <c r="K2124" s="94"/>
      <c r="L2124" s="94"/>
      <c r="M2124" s="94"/>
      <c r="N2124" s="94"/>
      <c r="O2124" s="94"/>
      <c r="P2124" s="94"/>
      <c r="Q2124" s="94"/>
      <c r="R2124" s="94"/>
      <c r="S2124" s="94"/>
      <c r="T2124" s="94"/>
      <c r="U2124" s="94"/>
      <c r="V2124" s="94"/>
      <c r="W2124" s="95">
        <v>1341.13</v>
      </c>
      <c r="X2124" s="94"/>
      <c r="Y2124" s="94"/>
      <c r="Z2124" s="94"/>
      <c r="AA2124" s="94"/>
      <c r="AB2124" s="94"/>
      <c r="AC2124" s="94"/>
      <c r="AD2124" s="95">
        <v>0</v>
      </c>
      <c r="AE2124" s="94"/>
      <c r="AF2124" s="94"/>
      <c r="AG2124" s="95">
        <v>1341.13</v>
      </c>
      <c r="AH2124" s="95">
        <v>0</v>
      </c>
    </row>
    <row r="2125" spans="1:34" ht="15.75" thickBot="1" x14ac:dyDescent="0.3">
      <c r="A2125" s="90" t="s">
        <v>1056</v>
      </c>
      <c r="B2125" s="90" t="s">
        <v>1003</v>
      </c>
      <c r="C2125" s="90" t="s">
        <v>1004</v>
      </c>
      <c r="D2125" s="90" t="s">
        <v>663</v>
      </c>
      <c r="E2125" s="90" t="s">
        <v>524</v>
      </c>
      <c r="F2125" s="90" t="s">
        <v>522</v>
      </c>
      <c r="G2125" s="93">
        <v>550</v>
      </c>
      <c r="H2125" s="92"/>
      <c r="I2125" s="93">
        <v>550</v>
      </c>
      <c r="J2125" s="92"/>
      <c r="K2125" s="92"/>
      <c r="L2125" s="92"/>
      <c r="M2125" s="92"/>
      <c r="N2125" s="92"/>
      <c r="O2125" s="92"/>
      <c r="P2125" s="92"/>
      <c r="Q2125" s="92"/>
      <c r="R2125" s="92"/>
      <c r="S2125" s="92"/>
      <c r="T2125" s="92"/>
      <c r="U2125" s="92"/>
      <c r="V2125" s="92"/>
      <c r="W2125" s="92"/>
      <c r="X2125" s="92"/>
      <c r="Y2125" s="92"/>
      <c r="Z2125" s="92"/>
      <c r="AA2125" s="92"/>
      <c r="AB2125" s="92"/>
      <c r="AC2125" s="92"/>
      <c r="AD2125" s="93">
        <v>0</v>
      </c>
      <c r="AE2125" s="92"/>
      <c r="AF2125" s="92"/>
      <c r="AG2125" s="93">
        <v>550</v>
      </c>
      <c r="AH2125" s="93">
        <v>0</v>
      </c>
    </row>
    <row r="2126" spans="1:34" ht="15.75" thickBot="1" x14ac:dyDescent="0.3">
      <c r="A2126" s="90" t="s">
        <v>1056</v>
      </c>
      <c r="B2126" s="90" t="s">
        <v>1003</v>
      </c>
      <c r="C2126" s="90" t="s">
        <v>1004</v>
      </c>
      <c r="D2126" s="90" t="s">
        <v>663</v>
      </c>
      <c r="E2126" s="90" t="s">
        <v>524</v>
      </c>
      <c r="F2126" s="90" t="s">
        <v>697</v>
      </c>
      <c r="G2126" s="95">
        <v>550</v>
      </c>
      <c r="H2126" s="94"/>
      <c r="I2126" s="95">
        <v>550</v>
      </c>
      <c r="J2126" s="94"/>
      <c r="K2126" s="94"/>
      <c r="L2126" s="94"/>
      <c r="M2126" s="94"/>
      <c r="N2126" s="94"/>
      <c r="O2126" s="94"/>
      <c r="P2126" s="94"/>
      <c r="Q2126" s="94"/>
      <c r="R2126" s="94"/>
      <c r="S2126" s="94"/>
      <c r="T2126" s="94"/>
      <c r="U2126" s="94"/>
      <c r="V2126" s="94"/>
      <c r="W2126" s="94"/>
      <c r="X2126" s="94"/>
      <c r="Y2126" s="94"/>
      <c r="Z2126" s="94"/>
      <c r="AA2126" s="94"/>
      <c r="AB2126" s="94"/>
      <c r="AC2126" s="94"/>
      <c r="AD2126" s="95">
        <v>0</v>
      </c>
      <c r="AE2126" s="94"/>
      <c r="AF2126" s="94"/>
      <c r="AG2126" s="95">
        <v>550</v>
      </c>
      <c r="AH2126" s="95">
        <v>0</v>
      </c>
    </row>
    <row r="2127" spans="1:34" ht="15.75" thickBot="1" x14ac:dyDescent="0.3">
      <c r="A2127" s="90" t="s">
        <v>1056</v>
      </c>
      <c r="B2127" s="90" t="s">
        <v>1003</v>
      </c>
      <c r="C2127" s="90" t="s">
        <v>1004</v>
      </c>
      <c r="D2127" s="90" t="s">
        <v>662</v>
      </c>
      <c r="E2127" s="90" t="s">
        <v>729</v>
      </c>
      <c r="F2127" s="90" t="s">
        <v>522</v>
      </c>
      <c r="G2127" s="93">
        <v>-1491.23</v>
      </c>
      <c r="H2127" s="92"/>
      <c r="I2127" s="92"/>
      <c r="J2127" s="92"/>
      <c r="K2127" s="92"/>
      <c r="L2127" s="92"/>
      <c r="M2127" s="92"/>
      <c r="N2127" s="92"/>
      <c r="O2127" s="92"/>
      <c r="P2127" s="92"/>
      <c r="Q2127" s="93">
        <v>-1491.23</v>
      </c>
      <c r="R2127" s="92"/>
      <c r="S2127" s="92"/>
      <c r="T2127" s="92"/>
      <c r="U2127" s="92"/>
      <c r="V2127" s="92"/>
      <c r="W2127" s="92"/>
      <c r="X2127" s="92"/>
      <c r="Y2127" s="92"/>
      <c r="Z2127" s="92"/>
      <c r="AA2127" s="92"/>
      <c r="AB2127" s="92"/>
      <c r="AC2127" s="92"/>
      <c r="AD2127" s="93">
        <v>0</v>
      </c>
      <c r="AE2127" s="92"/>
      <c r="AF2127" s="92"/>
      <c r="AG2127" s="93">
        <v>-1491.23</v>
      </c>
      <c r="AH2127" s="93">
        <v>0</v>
      </c>
    </row>
    <row r="2128" spans="1:34" ht="15.75" thickBot="1" x14ac:dyDescent="0.3">
      <c r="A2128" s="90" t="s">
        <v>1056</v>
      </c>
      <c r="B2128" s="90" t="s">
        <v>1003</v>
      </c>
      <c r="C2128" s="90" t="s">
        <v>1004</v>
      </c>
      <c r="D2128" s="90" t="s">
        <v>662</v>
      </c>
      <c r="E2128" s="90" t="s">
        <v>729</v>
      </c>
      <c r="F2128" s="90" t="s">
        <v>697</v>
      </c>
      <c r="G2128" s="95">
        <v>-1491.23</v>
      </c>
      <c r="H2128" s="94"/>
      <c r="I2128" s="94"/>
      <c r="J2128" s="94"/>
      <c r="K2128" s="94"/>
      <c r="L2128" s="94"/>
      <c r="M2128" s="94"/>
      <c r="N2128" s="94"/>
      <c r="O2128" s="94"/>
      <c r="P2128" s="94"/>
      <c r="Q2128" s="95">
        <v>-1491.23</v>
      </c>
      <c r="R2128" s="94"/>
      <c r="S2128" s="94"/>
      <c r="T2128" s="94"/>
      <c r="U2128" s="94"/>
      <c r="V2128" s="94"/>
      <c r="W2128" s="94"/>
      <c r="X2128" s="94"/>
      <c r="Y2128" s="94"/>
      <c r="Z2128" s="94"/>
      <c r="AA2128" s="94"/>
      <c r="AB2128" s="94"/>
      <c r="AC2128" s="94"/>
      <c r="AD2128" s="95">
        <v>0</v>
      </c>
      <c r="AE2128" s="94"/>
      <c r="AF2128" s="94"/>
      <c r="AG2128" s="95">
        <v>-1491.23</v>
      </c>
      <c r="AH2128" s="95">
        <v>0</v>
      </c>
    </row>
    <row r="2129" spans="1:34" ht="15.75" thickBot="1" x14ac:dyDescent="0.3">
      <c r="A2129" s="90" t="s">
        <v>1056</v>
      </c>
      <c r="B2129" s="90" t="s">
        <v>1003</v>
      </c>
      <c r="C2129" s="90" t="s">
        <v>1004</v>
      </c>
      <c r="D2129" s="90" t="s">
        <v>662</v>
      </c>
      <c r="E2129" s="90" t="s">
        <v>528</v>
      </c>
      <c r="F2129" s="90" t="s">
        <v>690</v>
      </c>
      <c r="G2129" s="93">
        <v>400</v>
      </c>
      <c r="H2129" s="92"/>
      <c r="I2129" s="93">
        <v>400</v>
      </c>
      <c r="J2129" s="92"/>
      <c r="K2129" s="92"/>
      <c r="L2129" s="92"/>
      <c r="M2129" s="92"/>
      <c r="N2129" s="92"/>
      <c r="O2129" s="92"/>
      <c r="P2129" s="92"/>
      <c r="Q2129" s="92"/>
      <c r="R2129" s="92"/>
      <c r="S2129" s="92"/>
      <c r="T2129" s="92"/>
      <c r="U2129" s="92"/>
      <c r="V2129" s="92"/>
      <c r="W2129" s="92"/>
      <c r="X2129" s="92"/>
      <c r="Y2129" s="92"/>
      <c r="Z2129" s="92"/>
      <c r="AA2129" s="92"/>
      <c r="AB2129" s="92"/>
      <c r="AC2129" s="92"/>
      <c r="AD2129" s="93">
        <v>0</v>
      </c>
      <c r="AE2129" s="92"/>
      <c r="AF2129" s="92"/>
      <c r="AG2129" s="93">
        <v>400</v>
      </c>
      <c r="AH2129" s="93">
        <v>0</v>
      </c>
    </row>
    <row r="2130" spans="1:34" ht="15.75" thickBot="1" x14ac:dyDescent="0.3">
      <c r="A2130" s="90" t="s">
        <v>1056</v>
      </c>
      <c r="B2130" s="90" t="s">
        <v>1003</v>
      </c>
      <c r="C2130" s="90" t="s">
        <v>1004</v>
      </c>
      <c r="D2130" s="90" t="s">
        <v>662</v>
      </c>
      <c r="E2130" s="90" t="s">
        <v>528</v>
      </c>
      <c r="F2130" s="90" t="s">
        <v>697</v>
      </c>
      <c r="G2130" s="95">
        <v>400</v>
      </c>
      <c r="H2130" s="94"/>
      <c r="I2130" s="95">
        <v>400</v>
      </c>
      <c r="J2130" s="94"/>
      <c r="K2130" s="94"/>
      <c r="L2130" s="94"/>
      <c r="M2130" s="94"/>
      <c r="N2130" s="94"/>
      <c r="O2130" s="94"/>
      <c r="P2130" s="94"/>
      <c r="Q2130" s="94"/>
      <c r="R2130" s="94"/>
      <c r="S2130" s="94"/>
      <c r="T2130" s="94"/>
      <c r="U2130" s="94"/>
      <c r="V2130" s="94"/>
      <c r="W2130" s="94"/>
      <c r="X2130" s="94"/>
      <c r="Y2130" s="94"/>
      <c r="Z2130" s="94"/>
      <c r="AA2130" s="94"/>
      <c r="AB2130" s="94"/>
      <c r="AC2130" s="94"/>
      <c r="AD2130" s="95">
        <v>0</v>
      </c>
      <c r="AE2130" s="94"/>
      <c r="AF2130" s="94"/>
      <c r="AG2130" s="95">
        <v>400</v>
      </c>
      <c r="AH2130" s="95">
        <v>0</v>
      </c>
    </row>
    <row r="2131" spans="1:34" ht="15.75" thickBot="1" x14ac:dyDescent="0.3">
      <c r="A2131" s="90" t="s">
        <v>1056</v>
      </c>
      <c r="B2131" s="90" t="s">
        <v>1003</v>
      </c>
      <c r="C2131" s="90" t="s">
        <v>1004</v>
      </c>
      <c r="D2131" s="90" t="s">
        <v>662</v>
      </c>
      <c r="E2131" s="90" t="s">
        <v>518</v>
      </c>
      <c r="F2131" s="90" t="s">
        <v>522</v>
      </c>
      <c r="G2131" s="93">
        <v>9104.5499999999993</v>
      </c>
      <c r="H2131" s="93">
        <v>129898</v>
      </c>
      <c r="I2131" s="92"/>
      <c r="J2131" s="92"/>
      <c r="K2131" s="93">
        <v>9104.5499999999993</v>
      </c>
      <c r="L2131" s="92"/>
      <c r="M2131" s="92"/>
      <c r="N2131" s="92"/>
      <c r="O2131" s="92"/>
      <c r="P2131" s="92"/>
      <c r="Q2131" s="92"/>
      <c r="R2131" s="92"/>
      <c r="S2131" s="92"/>
      <c r="T2131" s="92"/>
      <c r="U2131" s="92"/>
      <c r="V2131" s="92"/>
      <c r="W2131" s="92"/>
      <c r="X2131" s="92"/>
      <c r="Y2131" s="92"/>
      <c r="Z2131" s="92"/>
      <c r="AA2131" s="92"/>
      <c r="AB2131" s="92"/>
      <c r="AC2131" s="92"/>
      <c r="AD2131" s="93">
        <v>0</v>
      </c>
      <c r="AE2131" s="92"/>
      <c r="AF2131" s="92"/>
      <c r="AG2131" s="93">
        <v>9104.5499999999993</v>
      </c>
      <c r="AH2131" s="93">
        <v>0</v>
      </c>
    </row>
    <row r="2132" spans="1:34" ht="15.75" thickBot="1" x14ac:dyDescent="0.3">
      <c r="A2132" s="90" t="s">
        <v>1056</v>
      </c>
      <c r="B2132" s="90" t="s">
        <v>1003</v>
      </c>
      <c r="C2132" s="90" t="s">
        <v>1004</v>
      </c>
      <c r="D2132" s="90" t="s">
        <v>662</v>
      </c>
      <c r="E2132" s="90" t="s">
        <v>518</v>
      </c>
      <c r="F2132" s="90" t="s">
        <v>697</v>
      </c>
      <c r="G2132" s="95">
        <v>9104.5499999999993</v>
      </c>
      <c r="H2132" s="305">
        <v>129898</v>
      </c>
      <c r="I2132" s="94"/>
      <c r="J2132" s="94"/>
      <c r="K2132" s="95">
        <v>9104.5499999999993</v>
      </c>
      <c r="L2132" s="94"/>
      <c r="M2132" s="94"/>
      <c r="N2132" s="94"/>
      <c r="O2132" s="94"/>
      <c r="P2132" s="94"/>
      <c r="Q2132" s="94"/>
      <c r="R2132" s="94"/>
      <c r="S2132" s="94"/>
      <c r="T2132" s="94"/>
      <c r="U2132" s="94"/>
      <c r="V2132" s="94"/>
      <c r="W2132" s="94"/>
      <c r="X2132" s="94"/>
      <c r="Y2132" s="94"/>
      <c r="Z2132" s="94"/>
      <c r="AA2132" s="94"/>
      <c r="AB2132" s="94"/>
      <c r="AC2132" s="94"/>
      <c r="AD2132" s="95">
        <v>0</v>
      </c>
      <c r="AE2132" s="94"/>
      <c r="AF2132" s="94"/>
      <c r="AG2132" s="95">
        <v>9104.5499999999993</v>
      </c>
      <c r="AH2132" s="95">
        <v>0</v>
      </c>
    </row>
    <row r="2133" spans="1:34" ht="15.75" thickBot="1" x14ac:dyDescent="0.3">
      <c r="A2133" s="90" t="s">
        <v>1056</v>
      </c>
      <c r="B2133" s="90" t="s">
        <v>1003</v>
      </c>
      <c r="C2133" s="90" t="s">
        <v>1004</v>
      </c>
      <c r="D2133" s="90" t="s">
        <v>662</v>
      </c>
      <c r="E2133" s="90" t="s">
        <v>673</v>
      </c>
      <c r="F2133" s="90" t="s">
        <v>522</v>
      </c>
      <c r="G2133" s="93">
        <v>2838.87</v>
      </c>
      <c r="H2133" s="92"/>
      <c r="I2133" s="92"/>
      <c r="J2133" s="92"/>
      <c r="K2133" s="92"/>
      <c r="L2133" s="92"/>
      <c r="M2133" s="92"/>
      <c r="N2133" s="92"/>
      <c r="O2133" s="92"/>
      <c r="P2133" s="92"/>
      <c r="Q2133" s="92"/>
      <c r="R2133" s="92"/>
      <c r="S2133" s="92"/>
      <c r="T2133" s="92"/>
      <c r="U2133" s="92"/>
      <c r="V2133" s="92"/>
      <c r="W2133" s="92"/>
      <c r="X2133" s="93">
        <v>2838.87</v>
      </c>
      <c r="Y2133" s="92"/>
      <c r="Z2133" s="92"/>
      <c r="AA2133" s="92"/>
      <c r="AB2133" s="92"/>
      <c r="AC2133" s="92"/>
      <c r="AD2133" s="93">
        <v>0</v>
      </c>
      <c r="AE2133" s="92"/>
      <c r="AF2133" s="92"/>
      <c r="AG2133" s="93">
        <v>2838.87</v>
      </c>
      <c r="AH2133" s="93">
        <v>0</v>
      </c>
    </row>
    <row r="2134" spans="1:34" ht="15.75" thickBot="1" x14ac:dyDescent="0.3">
      <c r="A2134" s="90" t="s">
        <v>1056</v>
      </c>
      <c r="B2134" s="90" t="s">
        <v>1003</v>
      </c>
      <c r="C2134" s="90" t="s">
        <v>1004</v>
      </c>
      <c r="D2134" s="90" t="s">
        <v>662</v>
      </c>
      <c r="E2134" s="90" t="s">
        <v>673</v>
      </c>
      <c r="F2134" s="90" t="s">
        <v>697</v>
      </c>
      <c r="G2134" s="95">
        <v>2838.87</v>
      </c>
      <c r="H2134" s="94"/>
      <c r="I2134" s="94"/>
      <c r="J2134" s="94"/>
      <c r="K2134" s="94"/>
      <c r="L2134" s="94"/>
      <c r="M2134" s="94"/>
      <c r="N2134" s="94"/>
      <c r="O2134" s="94"/>
      <c r="P2134" s="94"/>
      <c r="Q2134" s="94"/>
      <c r="R2134" s="94"/>
      <c r="S2134" s="94"/>
      <c r="T2134" s="94"/>
      <c r="U2134" s="94"/>
      <c r="V2134" s="94"/>
      <c r="W2134" s="94"/>
      <c r="X2134" s="95">
        <v>2838.87</v>
      </c>
      <c r="Y2134" s="94"/>
      <c r="Z2134" s="94"/>
      <c r="AA2134" s="94"/>
      <c r="AB2134" s="94"/>
      <c r="AC2134" s="94"/>
      <c r="AD2134" s="95">
        <v>0</v>
      </c>
      <c r="AE2134" s="94"/>
      <c r="AF2134" s="94"/>
      <c r="AG2134" s="95">
        <v>2838.87</v>
      </c>
      <c r="AH2134" s="95">
        <v>0</v>
      </c>
    </row>
    <row r="2135" spans="1:34" ht="15.75" thickBot="1" x14ac:dyDescent="0.3">
      <c r="A2135" s="90" t="s">
        <v>1056</v>
      </c>
      <c r="B2135" s="90" t="s">
        <v>1003</v>
      </c>
      <c r="C2135" s="90" t="s">
        <v>1004</v>
      </c>
      <c r="D2135" s="90" t="s">
        <v>662</v>
      </c>
      <c r="E2135" s="90" t="s">
        <v>530</v>
      </c>
      <c r="F2135" s="90" t="s">
        <v>522</v>
      </c>
      <c r="G2135" s="93">
        <v>10899.74</v>
      </c>
      <c r="H2135" s="92"/>
      <c r="I2135" s="92"/>
      <c r="J2135" s="92"/>
      <c r="K2135" s="92"/>
      <c r="L2135" s="92"/>
      <c r="M2135" s="92"/>
      <c r="N2135" s="92"/>
      <c r="O2135" s="92"/>
      <c r="P2135" s="92"/>
      <c r="Q2135" s="92"/>
      <c r="R2135" s="92"/>
      <c r="S2135" s="92"/>
      <c r="T2135" s="92"/>
      <c r="U2135" s="92"/>
      <c r="V2135" s="92"/>
      <c r="W2135" s="93">
        <v>10899.74</v>
      </c>
      <c r="X2135" s="92"/>
      <c r="Y2135" s="92"/>
      <c r="Z2135" s="92"/>
      <c r="AA2135" s="92"/>
      <c r="AB2135" s="92"/>
      <c r="AC2135" s="92"/>
      <c r="AD2135" s="93">
        <v>0</v>
      </c>
      <c r="AE2135" s="92"/>
      <c r="AF2135" s="92"/>
      <c r="AG2135" s="93">
        <v>10899.74</v>
      </c>
      <c r="AH2135" s="93">
        <v>0</v>
      </c>
    </row>
    <row r="2136" spans="1:34" ht="15.75" thickBot="1" x14ac:dyDescent="0.3">
      <c r="A2136" s="90" t="s">
        <v>1056</v>
      </c>
      <c r="B2136" s="90" t="s">
        <v>1003</v>
      </c>
      <c r="C2136" s="90" t="s">
        <v>1004</v>
      </c>
      <c r="D2136" s="90" t="s">
        <v>662</v>
      </c>
      <c r="E2136" s="90" t="s">
        <v>530</v>
      </c>
      <c r="F2136" s="90" t="s">
        <v>697</v>
      </c>
      <c r="G2136" s="95">
        <v>10899.74</v>
      </c>
      <c r="H2136" s="94"/>
      <c r="I2136" s="94"/>
      <c r="J2136" s="94"/>
      <c r="K2136" s="94"/>
      <c r="L2136" s="94"/>
      <c r="M2136" s="94"/>
      <c r="N2136" s="94"/>
      <c r="O2136" s="94"/>
      <c r="P2136" s="94"/>
      <c r="Q2136" s="94"/>
      <c r="R2136" s="94"/>
      <c r="S2136" s="94"/>
      <c r="T2136" s="94"/>
      <c r="U2136" s="94"/>
      <c r="V2136" s="94"/>
      <c r="W2136" s="95">
        <v>10899.74</v>
      </c>
      <c r="X2136" s="94"/>
      <c r="Y2136" s="94"/>
      <c r="Z2136" s="94"/>
      <c r="AA2136" s="94"/>
      <c r="AB2136" s="94"/>
      <c r="AC2136" s="94"/>
      <c r="AD2136" s="95">
        <v>0</v>
      </c>
      <c r="AE2136" s="94"/>
      <c r="AF2136" s="94"/>
      <c r="AG2136" s="95">
        <v>10899.74</v>
      </c>
      <c r="AH2136" s="95">
        <v>0</v>
      </c>
    </row>
    <row r="2137" spans="1:34" ht="15.75" thickBot="1" x14ac:dyDescent="0.3">
      <c r="A2137" s="90" t="s">
        <v>1056</v>
      </c>
      <c r="B2137" s="90" t="s">
        <v>1003</v>
      </c>
      <c r="C2137" s="90" t="s">
        <v>1004</v>
      </c>
      <c r="D2137" s="90" t="s">
        <v>662</v>
      </c>
      <c r="E2137" s="90" t="s">
        <v>524</v>
      </c>
      <c r="F2137" s="90" t="s">
        <v>522</v>
      </c>
      <c r="G2137" s="93">
        <v>550</v>
      </c>
      <c r="H2137" s="92"/>
      <c r="I2137" s="93">
        <v>550</v>
      </c>
      <c r="J2137" s="92"/>
      <c r="K2137" s="92"/>
      <c r="L2137" s="92"/>
      <c r="M2137" s="92"/>
      <c r="N2137" s="92"/>
      <c r="O2137" s="92"/>
      <c r="P2137" s="92"/>
      <c r="Q2137" s="92"/>
      <c r="R2137" s="92"/>
      <c r="S2137" s="92"/>
      <c r="T2137" s="92"/>
      <c r="U2137" s="92"/>
      <c r="V2137" s="92"/>
      <c r="W2137" s="92"/>
      <c r="X2137" s="92"/>
      <c r="Y2137" s="92"/>
      <c r="Z2137" s="92"/>
      <c r="AA2137" s="92"/>
      <c r="AB2137" s="92"/>
      <c r="AC2137" s="92"/>
      <c r="AD2137" s="93">
        <v>0</v>
      </c>
      <c r="AE2137" s="92"/>
      <c r="AF2137" s="92"/>
      <c r="AG2137" s="93">
        <v>550</v>
      </c>
      <c r="AH2137" s="93">
        <v>0</v>
      </c>
    </row>
    <row r="2138" spans="1:34" ht="15.75" thickBot="1" x14ac:dyDescent="0.3">
      <c r="A2138" s="90" t="s">
        <v>1056</v>
      </c>
      <c r="B2138" s="90" t="s">
        <v>1003</v>
      </c>
      <c r="C2138" s="90" t="s">
        <v>1004</v>
      </c>
      <c r="D2138" s="90" t="s">
        <v>662</v>
      </c>
      <c r="E2138" s="90" t="s">
        <v>524</v>
      </c>
      <c r="F2138" s="90" t="s">
        <v>697</v>
      </c>
      <c r="G2138" s="95">
        <v>550</v>
      </c>
      <c r="H2138" s="94"/>
      <c r="I2138" s="95">
        <v>550</v>
      </c>
      <c r="J2138" s="94"/>
      <c r="K2138" s="94"/>
      <c r="L2138" s="94"/>
      <c r="M2138" s="94"/>
      <c r="N2138" s="94"/>
      <c r="O2138" s="94"/>
      <c r="P2138" s="94"/>
      <c r="Q2138" s="94"/>
      <c r="R2138" s="94"/>
      <c r="S2138" s="94"/>
      <c r="T2138" s="94"/>
      <c r="U2138" s="94"/>
      <c r="V2138" s="94"/>
      <c r="W2138" s="94"/>
      <c r="X2138" s="94"/>
      <c r="Y2138" s="94"/>
      <c r="Z2138" s="94"/>
      <c r="AA2138" s="94"/>
      <c r="AB2138" s="94"/>
      <c r="AC2138" s="94"/>
      <c r="AD2138" s="95">
        <v>0</v>
      </c>
      <c r="AE2138" s="94"/>
      <c r="AF2138" s="94"/>
      <c r="AG2138" s="95">
        <v>550</v>
      </c>
      <c r="AH2138" s="95">
        <v>0</v>
      </c>
    </row>
    <row r="2139" spans="1:34" ht="15.75" thickBot="1" x14ac:dyDescent="0.3">
      <c r="A2139" s="90" t="s">
        <v>1056</v>
      </c>
      <c r="B2139" s="90" t="s">
        <v>933</v>
      </c>
      <c r="C2139" s="90" t="s">
        <v>1005</v>
      </c>
      <c r="D2139" s="90" t="s">
        <v>663</v>
      </c>
      <c r="E2139" s="90" t="s">
        <v>525</v>
      </c>
      <c r="F2139" s="90" t="s">
        <v>690</v>
      </c>
      <c r="G2139" s="95">
        <v>-2135.4</v>
      </c>
      <c r="H2139" s="94"/>
      <c r="I2139" s="94"/>
      <c r="J2139" s="94"/>
      <c r="K2139" s="94"/>
      <c r="L2139" s="94"/>
      <c r="M2139" s="94"/>
      <c r="N2139" s="94"/>
      <c r="O2139" s="94"/>
      <c r="P2139" s="94"/>
      <c r="Q2139" s="94"/>
      <c r="R2139" s="95">
        <v>-2135.4</v>
      </c>
      <c r="S2139" s="94"/>
      <c r="T2139" s="94"/>
      <c r="U2139" s="94"/>
      <c r="V2139" s="94"/>
      <c r="W2139" s="94"/>
      <c r="X2139" s="94"/>
      <c r="Y2139" s="94"/>
      <c r="Z2139" s="94"/>
      <c r="AA2139" s="94"/>
      <c r="AB2139" s="94"/>
      <c r="AC2139" s="94"/>
      <c r="AD2139" s="95">
        <v>-128.13</v>
      </c>
      <c r="AE2139" s="94"/>
      <c r="AF2139" s="94"/>
      <c r="AG2139" s="95">
        <v>-2263.5300000000002</v>
      </c>
      <c r="AH2139" s="95">
        <v>0</v>
      </c>
    </row>
    <row r="2140" spans="1:34" ht="15.75" thickBot="1" x14ac:dyDescent="0.3">
      <c r="A2140" s="90" t="s">
        <v>1056</v>
      </c>
      <c r="B2140" s="90" t="s">
        <v>933</v>
      </c>
      <c r="C2140" s="90" t="s">
        <v>1005</v>
      </c>
      <c r="D2140" s="90" t="s">
        <v>663</v>
      </c>
      <c r="E2140" s="90" t="s">
        <v>525</v>
      </c>
      <c r="F2140" s="90" t="s">
        <v>697</v>
      </c>
      <c r="G2140" s="93">
        <v>-2135.4</v>
      </c>
      <c r="H2140" s="92"/>
      <c r="I2140" s="92"/>
      <c r="J2140" s="92"/>
      <c r="K2140" s="92"/>
      <c r="L2140" s="92"/>
      <c r="M2140" s="92"/>
      <c r="N2140" s="92"/>
      <c r="O2140" s="92"/>
      <c r="P2140" s="92"/>
      <c r="Q2140" s="92"/>
      <c r="R2140" s="93">
        <v>-2135.4</v>
      </c>
      <c r="S2140" s="92"/>
      <c r="T2140" s="92"/>
      <c r="U2140" s="92"/>
      <c r="V2140" s="92"/>
      <c r="W2140" s="92"/>
      <c r="X2140" s="92"/>
      <c r="Y2140" s="92"/>
      <c r="Z2140" s="92"/>
      <c r="AA2140" s="92"/>
      <c r="AB2140" s="92"/>
      <c r="AC2140" s="92"/>
      <c r="AD2140" s="93">
        <v>-128.13</v>
      </c>
      <c r="AE2140" s="92"/>
      <c r="AF2140" s="92"/>
      <c r="AG2140" s="93">
        <v>-2263.5300000000002</v>
      </c>
      <c r="AH2140" s="93">
        <v>0</v>
      </c>
    </row>
    <row r="2141" spans="1:34" ht="15.75" thickBot="1" x14ac:dyDescent="0.3">
      <c r="A2141" s="90" t="s">
        <v>1056</v>
      </c>
      <c r="B2141" s="90" t="s">
        <v>933</v>
      </c>
      <c r="C2141" s="90" t="s">
        <v>1005</v>
      </c>
      <c r="D2141" s="90" t="s">
        <v>663</v>
      </c>
      <c r="E2141" s="90" t="s">
        <v>518</v>
      </c>
      <c r="F2141" s="90" t="s">
        <v>522</v>
      </c>
      <c r="G2141" s="95">
        <v>296107.34999999998</v>
      </c>
      <c r="H2141" s="95">
        <v>6883016</v>
      </c>
      <c r="I2141" s="94"/>
      <c r="J2141" s="94"/>
      <c r="K2141" s="95">
        <v>296107.34999999998</v>
      </c>
      <c r="L2141" s="94"/>
      <c r="M2141" s="94"/>
      <c r="N2141" s="94"/>
      <c r="O2141" s="94"/>
      <c r="P2141" s="94"/>
      <c r="Q2141" s="94"/>
      <c r="R2141" s="94"/>
      <c r="S2141" s="94"/>
      <c r="T2141" s="94"/>
      <c r="U2141" s="94"/>
      <c r="V2141" s="94"/>
      <c r="W2141" s="94"/>
      <c r="X2141" s="94"/>
      <c r="Y2141" s="94"/>
      <c r="Z2141" s="94"/>
      <c r="AA2141" s="94"/>
      <c r="AB2141" s="94"/>
      <c r="AC2141" s="94"/>
      <c r="AD2141" s="95">
        <v>13280.9</v>
      </c>
      <c r="AE2141" s="94"/>
      <c r="AF2141" s="94"/>
      <c r="AG2141" s="95">
        <v>309388.25</v>
      </c>
      <c r="AH2141" s="95">
        <v>0</v>
      </c>
    </row>
    <row r="2142" spans="1:34" ht="15.75" thickBot="1" x14ac:dyDescent="0.3">
      <c r="A2142" s="90" t="s">
        <v>1056</v>
      </c>
      <c r="B2142" s="90" t="s">
        <v>933</v>
      </c>
      <c r="C2142" s="90" t="s">
        <v>1005</v>
      </c>
      <c r="D2142" s="90" t="s">
        <v>663</v>
      </c>
      <c r="E2142" s="90" t="s">
        <v>518</v>
      </c>
      <c r="F2142" s="90" t="s">
        <v>697</v>
      </c>
      <c r="G2142" s="93">
        <v>296107.34999999998</v>
      </c>
      <c r="H2142" s="304">
        <v>6883016</v>
      </c>
      <c r="I2142" s="92"/>
      <c r="J2142" s="92"/>
      <c r="K2142" s="93">
        <v>296107.34999999998</v>
      </c>
      <c r="L2142" s="92"/>
      <c r="M2142" s="92"/>
      <c r="N2142" s="92"/>
      <c r="O2142" s="92"/>
      <c r="P2142" s="92"/>
      <c r="Q2142" s="92"/>
      <c r="R2142" s="92"/>
      <c r="S2142" s="92"/>
      <c r="T2142" s="92"/>
      <c r="U2142" s="92"/>
      <c r="V2142" s="92"/>
      <c r="W2142" s="92"/>
      <c r="X2142" s="92"/>
      <c r="Y2142" s="92"/>
      <c r="Z2142" s="92"/>
      <c r="AA2142" s="92"/>
      <c r="AB2142" s="92"/>
      <c r="AC2142" s="92"/>
      <c r="AD2142" s="93">
        <v>13280.9</v>
      </c>
      <c r="AE2142" s="92"/>
      <c r="AF2142" s="92"/>
      <c r="AG2142" s="93">
        <v>309388.25</v>
      </c>
      <c r="AH2142" s="93">
        <v>0</v>
      </c>
    </row>
    <row r="2143" spans="1:34" ht="15.75" thickBot="1" x14ac:dyDescent="0.3">
      <c r="A2143" s="90" t="s">
        <v>1056</v>
      </c>
      <c r="B2143" s="90" t="s">
        <v>933</v>
      </c>
      <c r="C2143" s="90" t="s">
        <v>1005</v>
      </c>
      <c r="D2143" s="90" t="s">
        <v>663</v>
      </c>
      <c r="E2143" s="90" t="s">
        <v>527</v>
      </c>
      <c r="F2143" s="90" t="s">
        <v>690</v>
      </c>
      <c r="G2143" s="95">
        <v>1020.81</v>
      </c>
      <c r="H2143" s="94"/>
      <c r="I2143" s="94"/>
      <c r="J2143" s="94"/>
      <c r="K2143" s="94"/>
      <c r="L2143" s="94"/>
      <c r="M2143" s="94"/>
      <c r="N2143" s="94"/>
      <c r="O2143" s="94"/>
      <c r="P2143" s="94"/>
      <c r="Q2143" s="94"/>
      <c r="R2143" s="94"/>
      <c r="S2143" s="95">
        <v>1020.81</v>
      </c>
      <c r="T2143" s="94"/>
      <c r="U2143" s="94"/>
      <c r="V2143" s="94"/>
      <c r="W2143" s="94"/>
      <c r="X2143" s="94"/>
      <c r="Y2143" s="94"/>
      <c r="Z2143" s="94"/>
      <c r="AA2143" s="94"/>
      <c r="AB2143" s="94"/>
      <c r="AC2143" s="94"/>
      <c r="AD2143" s="95">
        <v>61.24</v>
      </c>
      <c r="AE2143" s="94"/>
      <c r="AF2143" s="94"/>
      <c r="AG2143" s="95">
        <v>1082.05</v>
      </c>
      <c r="AH2143" s="95">
        <v>0</v>
      </c>
    </row>
    <row r="2144" spans="1:34" ht="15.75" thickBot="1" x14ac:dyDescent="0.3">
      <c r="A2144" s="90" t="s">
        <v>1056</v>
      </c>
      <c r="B2144" s="90" t="s">
        <v>933</v>
      </c>
      <c r="C2144" s="90" t="s">
        <v>1005</v>
      </c>
      <c r="D2144" s="90" t="s">
        <v>663</v>
      </c>
      <c r="E2144" s="90" t="s">
        <v>527</v>
      </c>
      <c r="F2144" s="90" t="s">
        <v>697</v>
      </c>
      <c r="G2144" s="93">
        <v>1020.81</v>
      </c>
      <c r="H2144" s="92"/>
      <c r="I2144" s="92"/>
      <c r="J2144" s="92"/>
      <c r="K2144" s="92"/>
      <c r="L2144" s="92"/>
      <c r="M2144" s="92"/>
      <c r="N2144" s="92"/>
      <c r="O2144" s="92"/>
      <c r="P2144" s="92"/>
      <c r="Q2144" s="92"/>
      <c r="R2144" s="92"/>
      <c r="S2144" s="93">
        <v>1020.81</v>
      </c>
      <c r="T2144" s="92"/>
      <c r="U2144" s="92"/>
      <c r="V2144" s="92"/>
      <c r="W2144" s="92"/>
      <c r="X2144" s="92"/>
      <c r="Y2144" s="92"/>
      <c r="Z2144" s="92"/>
      <c r="AA2144" s="92"/>
      <c r="AB2144" s="92"/>
      <c r="AC2144" s="92"/>
      <c r="AD2144" s="93">
        <v>61.24</v>
      </c>
      <c r="AE2144" s="92"/>
      <c r="AF2144" s="92"/>
      <c r="AG2144" s="93">
        <v>1082.05</v>
      </c>
      <c r="AH2144" s="93">
        <v>0</v>
      </c>
    </row>
    <row r="2145" spans="1:34" ht="15.75" thickBot="1" x14ac:dyDescent="0.3">
      <c r="A2145" s="90" t="s">
        <v>1056</v>
      </c>
      <c r="B2145" s="90" t="s">
        <v>933</v>
      </c>
      <c r="C2145" s="90" t="s">
        <v>1005</v>
      </c>
      <c r="D2145" s="90" t="s">
        <v>663</v>
      </c>
      <c r="E2145" s="90" t="s">
        <v>671</v>
      </c>
      <c r="F2145" s="90" t="s">
        <v>522</v>
      </c>
      <c r="G2145" s="95">
        <v>2367.5700000000002</v>
      </c>
      <c r="H2145" s="94"/>
      <c r="I2145" s="94"/>
      <c r="J2145" s="94"/>
      <c r="K2145" s="94"/>
      <c r="L2145" s="95">
        <v>2367.5700000000002</v>
      </c>
      <c r="M2145" s="94"/>
      <c r="N2145" s="94"/>
      <c r="O2145" s="94"/>
      <c r="P2145" s="94"/>
      <c r="Q2145" s="94"/>
      <c r="R2145" s="94"/>
      <c r="S2145" s="94"/>
      <c r="T2145" s="94"/>
      <c r="U2145" s="94"/>
      <c r="V2145" s="94"/>
      <c r="W2145" s="94"/>
      <c r="X2145" s="94"/>
      <c r="Y2145" s="94"/>
      <c r="Z2145" s="94"/>
      <c r="AA2145" s="94"/>
      <c r="AB2145" s="94"/>
      <c r="AC2145" s="94"/>
      <c r="AD2145" s="95">
        <v>91.17</v>
      </c>
      <c r="AE2145" s="94"/>
      <c r="AF2145" s="94"/>
      <c r="AG2145" s="95">
        <v>2458.7399999999998</v>
      </c>
      <c r="AH2145" s="95">
        <v>0</v>
      </c>
    </row>
    <row r="2146" spans="1:34" ht="15.75" thickBot="1" x14ac:dyDescent="0.3">
      <c r="A2146" s="90" t="s">
        <v>1056</v>
      </c>
      <c r="B2146" s="90" t="s">
        <v>933</v>
      </c>
      <c r="C2146" s="90" t="s">
        <v>1005</v>
      </c>
      <c r="D2146" s="90" t="s">
        <v>663</v>
      </c>
      <c r="E2146" s="90" t="s">
        <v>671</v>
      </c>
      <c r="F2146" s="90" t="s">
        <v>697</v>
      </c>
      <c r="G2146" s="93">
        <v>2367.5700000000002</v>
      </c>
      <c r="H2146" s="92"/>
      <c r="I2146" s="92"/>
      <c r="J2146" s="92"/>
      <c r="K2146" s="92"/>
      <c r="L2146" s="93">
        <v>2367.5700000000002</v>
      </c>
      <c r="M2146" s="92"/>
      <c r="N2146" s="92"/>
      <c r="O2146" s="92"/>
      <c r="P2146" s="92"/>
      <c r="Q2146" s="92"/>
      <c r="R2146" s="92"/>
      <c r="S2146" s="92"/>
      <c r="T2146" s="92"/>
      <c r="U2146" s="92"/>
      <c r="V2146" s="92"/>
      <c r="W2146" s="92"/>
      <c r="X2146" s="92"/>
      <c r="Y2146" s="92"/>
      <c r="Z2146" s="92"/>
      <c r="AA2146" s="92"/>
      <c r="AB2146" s="92"/>
      <c r="AC2146" s="92"/>
      <c r="AD2146" s="93">
        <v>91.17</v>
      </c>
      <c r="AE2146" s="92"/>
      <c r="AF2146" s="92"/>
      <c r="AG2146" s="93">
        <v>2458.7399999999998</v>
      </c>
      <c r="AH2146" s="93">
        <v>0</v>
      </c>
    </row>
    <row r="2147" spans="1:34" ht="15.75" thickBot="1" x14ac:dyDescent="0.3">
      <c r="A2147" s="90" t="s">
        <v>1056</v>
      </c>
      <c r="B2147" s="90" t="s">
        <v>933</v>
      </c>
      <c r="C2147" s="90" t="s">
        <v>1005</v>
      </c>
      <c r="D2147" s="90" t="s">
        <v>663</v>
      </c>
      <c r="E2147" s="90" t="s">
        <v>524</v>
      </c>
      <c r="F2147" s="90" t="s">
        <v>522</v>
      </c>
      <c r="G2147" s="95">
        <v>34650</v>
      </c>
      <c r="H2147" s="94"/>
      <c r="I2147" s="95">
        <v>34650</v>
      </c>
      <c r="J2147" s="94"/>
      <c r="K2147" s="94"/>
      <c r="L2147" s="94"/>
      <c r="M2147" s="94"/>
      <c r="N2147" s="94"/>
      <c r="O2147" s="94"/>
      <c r="P2147" s="94"/>
      <c r="Q2147" s="94"/>
      <c r="R2147" s="94"/>
      <c r="S2147" s="94"/>
      <c r="T2147" s="94"/>
      <c r="U2147" s="94"/>
      <c r="V2147" s="94"/>
      <c r="W2147" s="94"/>
      <c r="X2147" s="94"/>
      <c r="Y2147" s="94"/>
      <c r="Z2147" s="94"/>
      <c r="AA2147" s="94"/>
      <c r="AB2147" s="94"/>
      <c r="AC2147" s="94"/>
      <c r="AD2147" s="95">
        <v>1707.44</v>
      </c>
      <c r="AE2147" s="94"/>
      <c r="AF2147" s="94"/>
      <c r="AG2147" s="95">
        <v>36357.440000000002</v>
      </c>
      <c r="AH2147" s="95">
        <v>0</v>
      </c>
    </row>
    <row r="2148" spans="1:34" ht="15.75" thickBot="1" x14ac:dyDescent="0.3">
      <c r="A2148" s="90" t="s">
        <v>1056</v>
      </c>
      <c r="B2148" s="90" t="s">
        <v>933</v>
      </c>
      <c r="C2148" s="90" t="s">
        <v>1005</v>
      </c>
      <c r="D2148" s="90" t="s">
        <v>663</v>
      </c>
      <c r="E2148" s="90" t="s">
        <v>524</v>
      </c>
      <c r="F2148" s="90" t="s">
        <v>697</v>
      </c>
      <c r="G2148" s="93">
        <v>34650</v>
      </c>
      <c r="H2148" s="92"/>
      <c r="I2148" s="93">
        <v>34650</v>
      </c>
      <c r="J2148" s="92"/>
      <c r="K2148" s="92"/>
      <c r="L2148" s="92"/>
      <c r="M2148" s="92"/>
      <c r="N2148" s="92"/>
      <c r="O2148" s="92"/>
      <c r="P2148" s="92"/>
      <c r="Q2148" s="92"/>
      <c r="R2148" s="92"/>
      <c r="S2148" s="92"/>
      <c r="T2148" s="92"/>
      <c r="U2148" s="92"/>
      <c r="V2148" s="92"/>
      <c r="W2148" s="92"/>
      <c r="X2148" s="92"/>
      <c r="Y2148" s="92"/>
      <c r="Z2148" s="92"/>
      <c r="AA2148" s="92"/>
      <c r="AB2148" s="92"/>
      <c r="AC2148" s="92"/>
      <c r="AD2148" s="93">
        <v>1707.44</v>
      </c>
      <c r="AE2148" s="92"/>
      <c r="AF2148" s="92"/>
      <c r="AG2148" s="93">
        <v>36357.440000000002</v>
      </c>
      <c r="AH2148" s="93">
        <v>0</v>
      </c>
    </row>
    <row r="2149" spans="1:34" ht="15.75" thickBot="1" x14ac:dyDescent="0.3">
      <c r="A2149" s="90" t="s">
        <v>1056</v>
      </c>
      <c r="B2149" s="90" t="s">
        <v>933</v>
      </c>
      <c r="C2149" s="90" t="s">
        <v>1005</v>
      </c>
      <c r="D2149" s="90" t="s">
        <v>663</v>
      </c>
      <c r="E2149" s="90" t="s">
        <v>676</v>
      </c>
      <c r="F2149" s="90" t="s">
        <v>522</v>
      </c>
      <c r="G2149" s="95">
        <v>190.64</v>
      </c>
      <c r="H2149" s="94"/>
      <c r="I2149" s="94"/>
      <c r="J2149" s="94"/>
      <c r="K2149" s="94"/>
      <c r="L2149" s="94"/>
      <c r="M2149" s="94"/>
      <c r="N2149" s="94"/>
      <c r="O2149" s="94"/>
      <c r="P2149" s="94"/>
      <c r="Q2149" s="94"/>
      <c r="R2149" s="94"/>
      <c r="S2149" s="94"/>
      <c r="T2149" s="94"/>
      <c r="U2149" s="95">
        <v>190.64</v>
      </c>
      <c r="V2149" s="94"/>
      <c r="W2149" s="94"/>
      <c r="X2149" s="94"/>
      <c r="Y2149" s="94"/>
      <c r="Z2149" s="94"/>
      <c r="AA2149" s="94"/>
      <c r="AB2149" s="94"/>
      <c r="AC2149" s="94"/>
      <c r="AD2149" s="95">
        <v>11.44</v>
      </c>
      <c r="AE2149" s="94"/>
      <c r="AF2149" s="94"/>
      <c r="AG2149" s="95">
        <v>202.08</v>
      </c>
      <c r="AH2149" s="95">
        <v>0</v>
      </c>
    </row>
    <row r="2150" spans="1:34" ht="15.75" thickBot="1" x14ac:dyDescent="0.3">
      <c r="A2150" s="90" t="s">
        <v>1056</v>
      </c>
      <c r="B2150" s="90" t="s">
        <v>933</v>
      </c>
      <c r="C2150" s="90" t="s">
        <v>1005</v>
      </c>
      <c r="D2150" s="90" t="s">
        <v>663</v>
      </c>
      <c r="E2150" s="90" t="s">
        <v>676</v>
      </c>
      <c r="F2150" s="90" t="s">
        <v>697</v>
      </c>
      <c r="G2150" s="93">
        <v>190.64</v>
      </c>
      <c r="H2150" s="92"/>
      <c r="I2150" s="92"/>
      <c r="J2150" s="92"/>
      <c r="K2150" s="92"/>
      <c r="L2150" s="92"/>
      <c r="M2150" s="92"/>
      <c r="N2150" s="92"/>
      <c r="O2150" s="92"/>
      <c r="P2150" s="92"/>
      <c r="Q2150" s="92"/>
      <c r="R2150" s="92"/>
      <c r="S2150" s="92"/>
      <c r="T2150" s="92"/>
      <c r="U2150" s="93">
        <v>190.64</v>
      </c>
      <c r="V2150" s="92"/>
      <c r="W2150" s="92"/>
      <c r="X2150" s="92"/>
      <c r="Y2150" s="92"/>
      <c r="Z2150" s="92"/>
      <c r="AA2150" s="92"/>
      <c r="AB2150" s="92"/>
      <c r="AC2150" s="92"/>
      <c r="AD2150" s="93">
        <v>11.44</v>
      </c>
      <c r="AE2150" s="92"/>
      <c r="AF2150" s="92"/>
      <c r="AG2150" s="93">
        <v>202.08</v>
      </c>
      <c r="AH2150" s="93">
        <v>0</v>
      </c>
    </row>
    <row r="2151" spans="1:34" ht="15.75" thickBot="1" x14ac:dyDescent="0.3">
      <c r="A2151" s="90" t="s">
        <v>1056</v>
      </c>
      <c r="B2151" s="90" t="s">
        <v>933</v>
      </c>
      <c r="C2151" s="90" t="s">
        <v>1005</v>
      </c>
      <c r="D2151" s="90" t="s">
        <v>663</v>
      </c>
      <c r="E2151" s="90" t="s">
        <v>677</v>
      </c>
      <c r="F2151" s="90" t="s">
        <v>522</v>
      </c>
      <c r="G2151" s="95">
        <v>210.27</v>
      </c>
      <c r="H2151" s="94"/>
      <c r="I2151" s="94"/>
      <c r="J2151" s="94"/>
      <c r="K2151" s="94"/>
      <c r="L2151" s="94"/>
      <c r="M2151" s="94"/>
      <c r="N2151" s="94"/>
      <c r="O2151" s="94"/>
      <c r="P2151" s="94"/>
      <c r="Q2151" s="94"/>
      <c r="R2151" s="94"/>
      <c r="S2151" s="94"/>
      <c r="T2151" s="94"/>
      <c r="U2151" s="94"/>
      <c r="V2151" s="95">
        <v>210.27</v>
      </c>
      <c r="W2151" s="94"/>
      <c r="X2151" s="94"/>
      <c r="Y2151" s="94"/>
      <c r="Z2151" s="94"/>
      <c r="AA2151" s="94"/>
      <c r="AB2151" s="94"/>
      <c r="AC2151" s="94"/>
      <c r="AD2151" s="95">
        <v>12.61</v>
      </c>
      <c r="AE2151" s="94"/>
      <c r="AF2151" s="94"/>
      <c r="AG2151" s="95">
        <v>222.88</v>
      </c>
      <c r="AH2151" s="95">
        <v>0</v>
      </c>
    </row>
    <row r="2152" spans="1:34" ht="15.75" thickBot="1" x14ac:dyDescent="0.3">
      <c r="A2152" s="90" t="s">
        <v>1056</v>
      </c>
      <c r="B2152" s="90" t="s">
        <v>933</v>
      </c>
      <c r="C2152" s="90" t="s">
        <v>1005</v>
      </c>
      <c r="D2152" s="90" t="s">
        <v>663</v>
      </c>
      <c r="E2152" s="90" t="s">
        <v>677</v>
      </c>
      <c r="F2152" s="90" t="s">
        <v>697</v>
      </c>
      <c r="G2152" s="93">
        <v>210.27</v>
      </c>
      <c r="H2152" s="92"/>
      <c r="I2152" s="92"/>
      <c r="J2152" s="92"/>
      <c r="K2152" s="92"/>
      <c r="L2152" s="92"/>
      <c r="M2152" s="92"/>
      <c r="N2152" s="92"/>
      <c r="O2152" s="92"/>
      <c r="P2152" s="92"/>
      <c r="Q2152" s="92"/>
      <c r="R2152" s="92"/>
      <c r="S2152" s="92"/>
      <c r="T2152" s="92"/>
      <c r="U2152" s="92"/>
      <c r="V2152" s="93">
        <v>210.27</v>
      </c>
      <c r="W2152" s="92"/>
      <c r="X2152" s="92"/>
      <c r="Y2152" s="92"/>
      <c r="Z2152" s="92"/>
      <c r="AA2152" s="92"/>
      <c r="AB2152" s="92"/>
      <c r="AC2152" s="92"/>
      <c r="AD2152" s="93">
        <v>12.61</v>
      </c>
      <c r="AE2152" s="92"/>
      <c r="AF2152" s="92"/>
      <c r="AG2152" s="93">
        <v>222.88</v>
      </c>
      <c r="AH2152" s="93">
        <v>0</v>
      </c>
    </row>
    <row r="2153" spans="1:34" ht="15.75" thickBot="1" x14ac:dyDescent="0.3">
      <c r="A2153" s="90" t="s">
        <v>1056</v>
      </c>
      <c r="B2153" s="90" t="s">
        <v>933</v>
      </c>
      <c r="C2153" s="90" t="s">
        <v>1005</v>
      </c>
      <c r="D2153" s="90" t="s">
        <v>662</v>
      </c>
      <c r="E2153" s="90" t="s">
        <v>518</v>
      </c>
      <c r="F2153" s="90" t="s">
        <v>522</v>
      </c>
      <c r="G2153" s="95">
        <v>8471.76</v>
      </c>
      <c r="H2153" s="95">
        <v>196926</v>
      </c>
      <c r="I2153" s="94"/>
      <c r="J2153" s="94"/>
      <c r="K2153" s="95">
        <v>8471.76</v>
      </c>
      <c r="L2153" s="94"/>
      <c r="M2153" s="94"/>
      <c r="N2153" s="94"/>
      <c r="O2153" s="94"/>
      <c r="P2153" s="94"/>
      <c r="Q2153" s="94"/>
      <c r="R2153" s="94"/>
      <c r="S2153" s="94"/>
      <c r="T2153" s="94"/>
      <c r="U2153" s="94"/>
      <c r="V2153" s="94"/>
      <c r="W2153" s="94"/>
      <c r="X2153" s="94"/>
      <c r="Y2153" s="94"/>
      <c r="Z2153" s="94"/>
      <c r="AA2153" s="94"/>
      <c r="AB2153" s="94"/>
      <c r="AC2153" s="94"/>
      <c r="AD2153" s="95">
        <v>0</v>
      </c>
      <c r="AE2153" s="94"/>
      <c r="AF2153" s="94"/>
      <c r="AG2153" s="95">
        <v>8471.76</v>
      </c>
      <c r="AH2153" s="95">
        <v>0</v>
      </c>
    </row>
    <row r="2154" spans="1:34" ht="15.75" thickBot="1" x14ac:dyDescent="0.3">
      <c r="A2154" s="90" t="s">
        <v>1056</v>
      </c>
      <c r="B2154" s="90" t="s">
        <v>933</v>
      </c>
      <c r="C2154" s="90" t="s">
        <v>1005</v>
      </c>
      <c r="D2154" s="90" t="s">
        <v>662</v>
      </c>
      <c r="E2154" s="90" t="s">
        <v>518</v>
      </c>
      <c r="F2154" s="90" t="s">
        <v>697</v>
      </c>
      <c r="G2154" s="93">
        <v>8471.76</v>
      </c>
      <c r="H2154" s="304">
        <v>196926</v>
      </c>
      <c r="I2154" s="92"/>
      <c r="J2154" s="92"/>
      <c r="K2154" s="93">
        <v>8471.76</v>
      </c>
      <c r="L2154" s="92"/>
      <c r="M2154" s="92"/>
      <c r="N2154" s="92"/>
      <c r="O2154" s="92"/>
      <c r="P2154" s="92"/>
      <c r="Q2154" s="92"/>
      <c r="R2154" s="92"/>
      <c r="S2154" s="92"/>
      <c r="T2154" s="92"/>
      <c r="U2154" s="92"/>
      <c r="V2154" s="92"/>
      <c r="W2154" s="92"/>
      <c r="X2154" s="92"/>
      <c r="Y2154" s="92"/>
      <c r="Z2154" s="92"/>
      <c r="AA2154" s="92"/>
      <c r="AB2154" s="92"/>
      <c r="AC2154" s="92"/>
      <c r="AD2154" s="93">
        <v>0</v>
      </c>
      <c r="AE2154" s="92"/>
      <c r="AF2154" s="92"/>
      <c r="AG2154" s="93">
        <v>8471.76</v>
      </c>
      <c r="AH2154" s="93">
        <v>0</v>
      </c>
    </row>
    <row r="2155" spans="1:34" ht="15.75" thickBot="1" x14ac:dyDescent="0.3">
      <c r="A2155" s="90" t="s">
        <v>1056</v>
      </c>
      <c r="B2155" s="90" t="s">
        <v>933</v>
      </c>
      <c r="C2155" s="90" t="s">
        <v>1005</v>
      </c>
      <c r="D2155" s="90" t="s">
        <v>662</v>
      </c>
      <c r="E2155" s="90" t="s">
        <v>524</v>
      </c>
      <c r="F2155" s="90" t="s">
        <v>522</v>
      </c>
      <c r="G2155" s="95">
        <v>550</v>
      </c>
      <c r="H2155" s="94"/>
      <c r="I2155" s="95">
        <v>550</v>
      </c>
      <c r="J2155" s="94"/>
      <c r="K2155" s="94"/>
      <c r="L2155" s="94"/>
      <c r="M2155" s="94"/>
      <c r="N2155" s="94"/>
      <c r="O2155" s="94"/>
      <c r="P2155" s="94"/>
      <c r="Q2155" s="94"/>
      <c r="R2155" s="94"/>
      <c r="S2155" s="94"/>
      <c r="T2155" s="94"/>
      <c r="U2155" s="94"/>
      <c r="V2155" s="94"/>
      <c r="W2155" s="94"/>
      <c r="X2155" s="94"/>
      <c r="Y2155" s="94"/>
      <c r="Z2155" s="94"/>
      <c r="AA2155" s="94"/>
      <c r="AB2155" s="94"/>
      <c r="AC2155" s="94"/>
      <c r="AD2155" s="95">
        <v>0</v>
      </c>
      <c r="AE2155" s="94"/>
      <c r="AF2155" s="94"/>
      <c r="AG2155" s="95">
        <v>550</v>
      </c>
      <c r="AH2155" s="95">
        <v>0</v>
      </c>
    </row>
    <row r="2156" spans="1:34" ht="15.75" thickBot="1" x14ac:dyDescent="0.3">
      <c r="A2156" s="90" t="s">
        <v>1056</v>
      </c>
      <c r="B2156" s="90" t="s">
        <v>933</v>
      </c>
      <c r="C2156" s="90" t="s">
        <v>1005</v>
      </c>
      <c r="D2156" s="90" t="s">
        <v>662</v>
      </c>
      <c r="E2156" s="90" t="s">
        <v>524</v>
      </c>
      <c r="F2156" s="90" t="s">
        <v>697</v>
      </c>
      <c r="G2156" s="93">
        <v>550</v>
      </c>
      <c r="H2156" s="92"/>
      <c r="I2156" s="93">
        <v>550</v>
      </c>
      <c r="J2156" s="92"/>
      <c r="K2156" s="92"/>
      <c r="L2156" s="92"/>
      <c r="M2156" s="92"/>
      <c r="N2156" s="92"/>
      <c r="O2156" s="92"/>
      <c r="P2156" s="92"/>
      <c r="Q2156" s="92"/>
      <c r="R2156" s="92"/>
      <c r="S2156" s="92"/>
      <c r="T2156" s="92"/>
      <c r="U2156" s="92"/>
      <c r="V2156" s="92"/>
      <c r="W2156" s="92"/>
      <c r="X2156" s="92"/>
      <c r="Y2156" s="92"/>
      <c r="Z2156" s="92"/>
      <c r="AA2156" s="92"/>
      <c r="AB2156" s="92"/>
      <c r="AC2156" s="92"/>
      <c r="AD2156" s="93">
        <v>0</v>
      </c>
      <c r="AE2156" s="92"/>
      <c r="AF2156" s="92"/>
      <c r="AG2156" s="93">
        <v>550</v>
      </c>
      <c r="AH2156" s="93">
        <v>0</v>
      </c>
    </row>
    <row r="2157" spans="1:34" ht="15.75" thickBot="1" x14ac:dyDescent="0.3">
      <c r="A2157" s="90" t="s">
        <v>1056</v>
      </c>
      <c r="B2157" s="90" t="s">
        <v>54</v>
      </c>
      <c r="C2157" s="90" t="s">
        <v>55</v>
      </c>
      <c r="D2157" s="90" t="s">
        <v>663</v>
      </c>
      <c r="E2157" s="90" t="s">
        <v>525</v>
      </c>
      <c r="F2157" s="90" t="s">
        <v>690</v>
      </c>
      <c r="G2157" s="93">
        <v>-16130.09</v>
      </c>
      <c r="H2157" s="92"/>
      <c r="I2157" s="92"/>
      <c r="J2157" s="92"/>
      <c r="K2157" s="92"/>
      <c r="L2157" s="92"/>
      <c r="M2157" s="92"/>
      <c r="N2157" s="92"/>
      <c r="O2157" s="92"/>
      <c r="P2157" s="92"/>
      <c r="Q2157" s="92"/>
      <c r="R2157" s="93">
        <v>-16130.09</v>
      </c>
      <c r="S2157" s="92"/>
      <c r="T2157" s="92"/>
      <c r="U2157" s="92"/>
      <c r="V2157" s="92"/>
      <c r="W2157" s="92"/>
      <c r="X2157" s="92"/>
      <c r="Y2157" s="92"/>
      <c r="Z2157" s="92"/>
      <c r="AA2157" s="92"/>
      <c r="AB2157" s="92"/>
      <c r="AC2157" s="92"/>
      <c r="AD2157" s="93">
        <v>12</v>
      </c>
      <c r="AE2157" s="92"/>
      <c r="AF2157" s="92"/>
      <c r="AG2157" s="93">
        <v>-16118.09</v>
      </c>
      <c r="AH2157" s="93">
        <v>0</v>
      </c>
    </row>
    <row r="2158" spans="1:34" ht="15.75" thickBot="1" x14ac:dyDescent="0.3">
      <c r="A2158" s="90" t="s">
        <v>1056</v>
      </c>
      <c r="B2158" s="90" t="s">
        <v>54</v>
      </c>
      <c r="C2158" s="90" t="s">
        <v>55</v>
      </c>
      <c r="D2158" s="90" t="s">
        <v>663</v>
      </c>
      <c r="E2158" s="90" t="s">
        <v>525</v>
      </c>
      <c r="F2158" s="90" t="s">
        <v>697</v>
      </c>
      <c r="G2158" s="95">
        <v>-16130.09</v>
      </c>
      <c r="H2158" s="94"/>
      <c r="I2158" s="94"/>
      <c r="J2158" s="94"/>
      <c r="K2158" s="94"/>
      <c r="L2158" s="94"/>
      <c r="M2158" s="94"/>
      <c r="N2158" s="94"/>
      <c r="O2158" s="94"/>
      <c r="P2158" s="94"/>
      <c r="Q2158" s="94"/>
      <c r="R2158" s="95">
        <v>-16130.09</v>
      </c>
      <c r="S2158" s="94"/>
      <c r="T2158" s="94"/>
      <c r="U2158" s="94"/>
      <c r="V2158" s="94"/>
      <c r="W2158" s="94"/>
      <c r="X2158" s="94"/>
      <c r="Y2158" s="94"/>
      <c r="Z2158" s="94"/>
      <c r="AA2158" s="94"/>
      <c r="AB2158" s="94"/>
      <c r="AC2158" s="94"/>
      <c r="AD2158" s="95">
        <v>12</v>
      </c>
      <c r="AE2158" s="94"/>
      <c r="AF2158" s="94"/>
      <c r="AG2158" s="95">
        <v>-16118.09</v>
      </c>
      <c r="AH2158" s="95">
        <v>0</v>
      </c>
    </row>
    <row r="2159" spans="1:34" ht="15.75" thickBot="1" x14ac:dyDescent="0.3">
      <c r="A2159" s="90" t="s">
        <v>1056</v>
      </c>
      <c r="B2159" s="90" t="s">
        <v>54</v>
      </c>
      <c r="C2159" s="90" t="s">
        <v>55</v>
      </c>
      <c r="D2159" s="90" t="s">
        <v>663</v>
      </c>
      <c r="E2159" s="90" t="s">
        <v>527</v>
      </c>
      <c r="F2159" s="90" t="s">
        <v>690</v>
      </c>
      <c r="G2159" s="93">
        <v>30311.1</v>
      </c>
      <c r="H2159" s="92"/>
      <c r="I2159" s="92"/>
      <c r="J2159" s="92"/>
      <c r="K2159" s="92"/>
      <c r="L2159" s="92"/>
      <c r="M2159" s="92"/>
      <c r="N2159" s="92"/>
      <c r="O2159" s="92"/>
      <c r="P2159" s="92"/>
      <c r="Q2159" s="92"/>
      <c r="R2159" s="92"/>
      <c r="S2159" s="93">
        <v>30311.1</v>
      </c>
      <c r="T2159" s="92"/>
      <c r="U2159" s="92"/>
      <c r="V2159" s="92"/>
      <c r="W2159" s="92"/>
      <c r="X2159" s="92"/>
      <c r="Y2159" s="92"/>
      <c r="Z2159" s="92"/>
      <c r="AA2159" s="92"/>
      <c r="AB2159" s="92"/>
      <c r="AC2159" s="92"/>
      <c r="AD2159" s="93">
        <v>238.89</v>
      </c>
      <c r="AE2159" s="92"/>
      <c r="AF2159" s="92"/>
      <c r="AG2159" s="93">
        <v>30549.99</v>
      </c>
      <c r="AH2159" s="93">
        <v>0</v>
      </c>
    </row>
    <row r="2160" spans="1:34" ht="15.75" thickBot="1" x14ac:dyDescent="0.3">
      <c r="A2160" s="90" t="s">
        <v>1056</v>
      </c>
      <c r="B2160" s="90" t="s">
        <v>54</v>
      </c>
      <c r="C2160" s="90" t="s">
        <v>55</v>
      </c>
      <c r="D2160" s="90" t="s">
        <v>663</v>
      </c>
      <c r="E2160" s="90" t="s">
        <v>527</v>
      </c>
      <c r="F2160" s="90" t="s">
        <v>697</v>
      </c>
      <c r="G2160" s="95">
        <v>30311.1</v>
      </c>
      <c r="H2160" s="94"/>
      <c r="I2160" s="94"/>
      <c r="J2160" s="94"/>
      <c r="K2160" s="94"/>
      <c r="L2160" s="94"/>
      <c r="M2160" s="94"/>
      <c r="N2160" s="94"/>
      <c r="O2160" s="94"/>
      <c r="P2160" s="94"/>
      <c r="Q2160" s="94"/>
      <c r="R2160" s="94"/>
      <c r="S2160" s="95">
        <v>30311.1</v>
      </c>
      <c r="T2160" s="94"/>
      <c r="U2160" s="94"/>
      <c r="V2160" s="94"/>
      <c r="W2160" s="94"/>
      <c r="X2160" s="94"/>
      <c r="Y2160" s="94"/>
      <c r="Z2160" s="94"/>
      <c r="AA2160" s="94"/>
      <c r="AB2160" s="94"/>
      <c r="AC2160" s="94"/>
      <c r="AD2160" s="95">
        <v>238.89</v>
      </c>
      <c r="AE2160" s="94"/>
      <c r="AF2160" s="94"/>
      <c r="AG2160" s="95">
        <v>30549.99</v>
      </c>
      <c r="AH2160" s="95">
        <v>0</v>
      </c>
    </row>
    <row r="2161" spans="1:34" ht="15.75" thickBot="1" x14ac:dyDescent="0.3">
      <c r="A2161" s="90" t="s">
        <v>1056</v>
      </c>
      <c r="B2161" s="90" t="s">
        <v>54</v>
      </c>
      <c r="C2161" s="90" t="s">
        <v>55</v>
      </c>
      <c r="D2161" s="90" t="s">
        <v>663</v>
      </c>
      <c r="E2161" s="90" t="s">
        <v>524</v>
      </c>
      <c r="F2161" s="90" t="s">
        <v>522</v>
      </c>
      <c r="G2161" s="93">
        <v>5250</v>
      </c>
      <c r="H2161" s="92"/>
      <c r="I2161" s="93">
        <v>5250</v>
      </c>
      <c r="J2161" s="92"/>
      <c r="K2161" s="92"/>
      <c r="L2161" s="92"/>
      <c r="M2161" s="92"/>
      <c r="N2161" s="92"/>
      <c r="O2161" s="92"/>
      <c r="P2161" s="92"/>
      <c r="Q2161" s="92"/>
      <c r="R2161" s="92"/>
      <c r="S2161" s="92"/>
      <c r="T2161" s="92"/>
      <c r="U2161" s="92"/>
      <c r="V2161" s="92"/>
      <c r="W2161" s="92"/>
      <c r="X2161" s="92"/>
      <c r="Y2161" s="92"/>
      <c r="Z2161" s="92"/>
      <c r="AA2161" s="92"/>
      <c r="AB2161" s="92"/>
      <c r="AC2161" s="92"/>
      <c r="AD2161" s="93">
        <v>8.99</v>
      </c>
      <c r="AE2161" s="92"/>
      <c r="AF2161" s="92"/>
      <c r="AG2161" s="93">
        <v>5258.99</v>
      </c>
      <c r="AH2161" s="93">
        <v>0</v>
      </c>
    </row>
    <row r="2162" spans="1:34" ht="15.75" thickBot="1" x14ac:dyDescent="0.3">
      <c r="A2162" s="90" t="s">
        <v>1056</v>
      </c>
      <c r="B2162" s="90" t="s">
        <v>54</v>
      </c>
      <c r="C2162" s="90" t="s">
        <v>55</v>
      </c>
      <c r="D2162" s="90" t="s">
        <v>663</v>
      </c>
      <c r="E2162" s="90" t="s">
        <v>524</v>
      </c>
      <c r="F2162" s="90" t="s">
        <v>697</v>
      </c>
      <c r="G2162" s="95">
        <v>5250</v>
      </c>
      <c r="H2162" s="94"/>
      <c r="I2162" s="95">
        <v>5250</v>
      </c>
      <c r="J2162" s="94"/>
      <c r="K2162" s="94"/>
      <c r="L2162" s="94"/>
      <c r="M2162" s="94"/>
      <c r="N2162" s="94"/>
      <c r="O2162" s="94"/>
      <c r="P2162" s="94"/>
      <c r="Q2162" s="94"/>
      <c r="R2162" s="94"/>
      <c r="S2162" s="94"/>
      <c r="T2162" s="94"/>
      <c r="U2162" s="94"/>
      <c r="V2162" s="94"/>
      <c r="W2162" s="94"/>
      <c r="X2162" s="94"/>
      <c r="Y2162" s="94"/>
      <c r="Z2162" s="94"/>
      <c r="AA2162" s="94"/>
      <c r="AB2162" s="94"/>
      <c r="AC2162" s="94"/>
      <c r="AD2162" s="95">
        <v>8.99</v>
      </c>
      <c r="AE2162" s="94"/>
      <c r="AF2162" s="94"/>
      <c r="AG2162" s="95">
        <v>5258.99</v>
      </c>
      <c r="AH2162" s="95">
        <v>0</v>
      </c>
    </row>
    <row r="2163" spans="1:34" ht="15.75" thickBot="1" x14ac:dyDescent="0.3">
      <c r="A2163" s="90" t="s">
        <v>1056</v>
      </c>
      <c r="B2163" s="90" t="s">
        <v>54</v>
      </c>
      <c r="C2163" s="90" t="s">
        <v>55</v>
      </c>
      <c r="D2163" s="90" t="s">
        <v>663</v>
      </c>
      <c r="E2163" s="90" t="s">
        <v>676</v>
      </c>
      <c r="F2163" s="90" t="s">
        <v>522</v>
      </c>
      <c r="G2163" s="93">
        <v>5132.8100000000004</v>
      </c>
      <c r="H2163" s="92"/>
      <c r="I2163" s="92"/>
      <c r="J2163" s="92"/>
      <c r="K2163" s="92"/>
      <c r="L2163" s="92"/>
      <c r="M2163" s="92"/>
      <c r="N2163" s="92"/>
      <c r="O2163" s="92"/>
      <c r="P2163" s="92"/>
      <c r="Q2163" s="92"/>
      <c r="R2163" s="92"/>
      <c r="S2163" s="92"/>
      <c r="T2163" s="92"/>
      <c r="U2163" s="93">
        <v>5132.8100000000004</v>
      </c>
      <c r="V2163" s="92"/>
      <c r="W2163" s="92"/>
      <c r="X2163" s="92"/>
      <c r="Y2163" s="92"/>
      <c r="Z2163" s="92"/>
      <c r="AA2163" s="92"/>
      <c r="AB2163" s="92"/>
      <c r="AC2163" s="92"/>
      <c r="AD2163" s="93">
        <v>33.5</v>
      </c>
      <c r="AE2163" s="92"/>
      <c r="AF2163" s="92"/>
      <c r="AG2163" s="93">
        <v>5166.3100000000004</v>
      </c>
      <c r="AH2163" s="93">
        <v>0</v>
      </c>
    </row>
    <row r="2164" spans="1:34" ht="15.75" thickBot="1" x14ac:dyDescent="0.3">
      <c r="A2164" s="90" t="s">
        <v>1056</v>
      </c>
      <c r="B2164" s="90" t="s">
        <v>54</v>
      </c>
      <c r="C2164" s="90" t="s">
        <v>55</v>
      </c>
      <c r="D2164" s="90" t="s">
        <v>663</v>
      </c>
      <c r="E2164" s="90" t="s">
        <v>676</v>
      </c>
      <c r="F2164" s="90" t="s">
        <v>697</v>
      </c>
      <c r="G2164" s="95">
        <v>5132.8100000000004</v>
      </c>
      <c r="H2164" s="94"/>
      <c r="I2164" s="94"/>
      <c r="J2164" s="94"/>
      <c r="K2164" s="94"/>
      <c r="L2164" s="94"/>
      <c r="M2164" s="94"/>
      <c r="N2164" s="94"/>
      <c r="O2164" s="94"/>
      <c r="P2164" s="94"/>
      <c r="Q2164" s="94"/>
      <c r="R2164" s="94"/>
      <c r="S2164" s="94"/>
      <c r="T2164" s="94"/>
      <c r="U2164" s="95">
        <v>5132.8100000000004</v>
      </c>
      <c r="V2164" s="94"/>
      <c r="W2164" s="94"/>
      <c r="X2164" s="94"/>
      <c r="Y2164" s="94"/>
      <c r="Z2164" s="94"/>
      <c r="AA2164" s="94"/>
      <c r="AB2164" s="94"/>
      <c r="AC2164" s="94"/>
      <c r="AD2164" s="95">
        <v>33.5</v>
      </c>
      <c r="AE2164" s="94"/>
      <c r="AF2164" s="94"/>
      <c r="AG2164" s="95">
        <v>5166.3100000000004</v>
      </c>
      <c r="AH2164" s="95">
        <v>0</v>
      </c>
    </row>
    <row r="2165" spans="1:34" ht="15.75" thickBot="1" x14ac:dyDescent="0.3">
      <c r="A2165" s="90" t="s">
        <v>1056</v>
      </c>
      <c r="B2165" s="90" t="s">
        <v>54</v>
      </c>
      <c r="C2165" s="90" t="s">
        <v>55</v>
      </c>
      <c r="D2165" s="90" t="s">
        <v>663</v>
      </c>
      <c r="E2165" s="90" t="s">
        <v>677</v>
      </c>
      <c r="F2165" s="90" t="s">
        <v>522</v>
      </c>
      <c r="G2165" s="93">
        <v>5660.9</v>
      </c>
      <c r="H2165" s="92"/>
      <c r="I2165" s="92"/>
      <c r="J2165" s="92"/>
      <c r="K2165" s="92"/>
      <c r="L2165" s="92"/>
      <c r="M2165" s="92"/>
      <c r="N2165" s="92"/>
      <c r="O2165" s="92"/>
      <c r="P2165" s="92"/>
      <c r="Q2165" s="92"/>
      <c r="R2165" s="92"/>
      <c r="S2165" s="92"/>
      <c r="T2165" s="92"/>
      <c r="U2165" s="92"/>
      <c r="V2165" s="93">
        <v>5660.9</v>
      </c>
      <c r="W2165" s="92"/>
      <c r="X2165" s="92"/>
      <c r="Y2165" s="92"/>
      <c r="Z2165" s="92"/>
      <c r="AA2165" s="92"/>
      <c r="AB2165" s="92"/>
      <c r="AC2165" s="92"/>
      <c r="AD2165" s="93">
        <v>36.950000000000003</v>
      </c>
      <c r="AE2165" s="92"/>
      <c r="AF2165" s="92"/>
      <c r="AG2165" s="93">
        <v>5697.85</v>
      </c>
      <c r="AH2165" s="93">
        <v>0</v>
      </c>
    </row>
    <row r="2166" spans="1:34" ht="15.75" thickBot="1" x14ac:dyDescent="0.3">
      <c r="A2166" s="90" t="s">
        <v>1056</v>
      </c>
      <c r="B2166" s="90" t="s">
        <v>54</v>
      </c>
      <c r="C2166" s="90" t="s">
        <v>55</v>
      </c>
      <c r="D2166" s="90" t="s">
        <v>663</v>
      </c>
      <c r="E2166" s="90" t="s">
        <v>677</v>
      </c>
      <c r="F2166" s="90" t="s">
        <v>697</v>
      </c>
      <c r="G2166" s="95">
        <v>5660.9</v>
      </c>
      <c r="H2166" s="94"/>
      <c r="I2166" s="94"/>
      <c r="J2166" s="94"/>
      <c r="K2166" s="94"/>
      <c r="L2166" s="94"/>
      <c r="M2166" s="94"/>
      <c r="N2166" s="94"/>
      <c r="O2166" s="94"/>
      <c r="P2166" s="94"/>
      <c r="Q2166" s="94"/>
      <c r="R2166" s="94"/>
      <c r="S2166" s="94"/>
      <c r="T2166" s="94"/>
      <c r="U2166" s="94"/>
      <c r="V2166" s="95">
        <v>5660.9</v>
      </c>
      <c r="W2166" s="94"/>
      <c r="X2166" s="94"/>
      <c r="Y2166" s="94"/>
      <c r="Z2166" s="94"/>
      <c r="AA2166" s="94"/>
      <c r="AB2166" s="94"/>
      <c r="AC2166" s="94"/>
      <c r="AD2166" s="95">
        <v>36.950000000000003</v>
      </c>
      <c r="AE2166" s="94"/>
      <c r="AF2166" s="94"/>
      <c r="AG2166" s="95">
        <v>5697.85</v>
      </c>
      <c r="AH2166" s="95">
        <v>0</v>
      </c>
    </row>
    <row r="2167" spans="1:34" ht="15.75" thickBot="1" x14ac:dyDescent="0.3">
      <c r="A2167" s="90" t="s">
        <v>1056</v>
      </c>
      <c r="B2167" s="90" t="s">
        <v>104</v>
      </c>
      <c r="C2167" s="90" t="s">
        <v>86</v>
      </c>
      <c r="D2167" s="90" t="s">
        <v>1170</v>
      </c>
      <c r="E2167" s="90" t="s">
        <v>1171</v>
      </c>
      <c r="F2167" s="90" t="s">
        <v>158</v>
      </c>
      <c r="G2167" s="93">
        <v>183900</v>
      </c>
      <c r="H2167" s="92"/>
      <c r="I2167" s="92"/>
      <c r="J2167" s="92"/>
      <c r="K2167" s="92"/>
      <c r="L2167" s="92"/>
      <c r="M2167" s="92"/>
      <c r="N2167" s="92"/>
      <c r="O2167" s="92"/>
      <c r="P2167" s="92"/>
      <c r="Q2167" s="92"/>
      <c r="R2167" s="92"/>
      <c r="S2167" s="92"/>
      <c r="T2167" s="92"/>
      <c r="U2167" s="92"/>
      <c r="V2167" s="92"/>
      <c r="W2167" s="92"/>
      <c r="X2167" s="92"/>
      <c r="Y2167" s="92"/>
      <c r="Z2167" s="92"/>
      <c r="AA2167" s="92"/>
      <c r="AB2167" s="92"/>
      <c r="AC2167" s="92"/>
      <c r="AD2167" s="93">
        <v>0</v>
      </c>
      <c r="AE2167" s="92"/>
      <c r="AF2167" s="93">
        <v>183900</v>
      </c>
      <c r="AG2167" s="93">
        <v>183900</v>
      </c>
      <c r="AH2167" s="93">
        <v>0</v>
      </c>
    </row>
    <row r="2168" spans="1:34" ht="15.75" thickBot="1" x14ac:dyDescent="0.3">
      <c r="A2168" s="90" t="s">
        <v>1056</v>
      </c>
      <c r="B2168" s="90" t="s">
        <v>104</v>
      </c>
      <c r="C2168" s="90" t="s">
        <v>86</v>
      </c>
      <c r="D2168" s="90" t="s">
        <v>1170</v>
      </c>
      <c r="E2168" s="90" t="s">
        <v>1171</v>
      </c>
      <c r="F2168" s="90" t="s">
        <v>697</v>
      </c>
      <c r="G2168" s="95">
        <v>183900</v>
      </c>
      <c r="H2168" s="94"/>
      <c r="I2168" s="94"/>
      <c r="J2168" s="94"/>
      <c r="K2168" s="94"/>
      <c r="L2168" s="94"/>
      <c r="M2168" s="94"/>
      <c r="N2168" s="94"/>
      <c r="O2168" s="94"/>
      <c r="P2168" s="94"/>
      <c r="Q2168" s="94"/>
      <c r="R2168" s="94"/>
      <c r="S2168" s="94"/>
      <c r="T2168" s="94"/>
      <c r="U2168" s="94"/>
      <c r="V2168" s="94"/>
      <c r="W2168" s="94"/>
      <c r="X2168" s="94"/>
      <c r="Y2168" s="94"/>
      <c r="Z2168" s="94"/>
      <c r="AA2168" s="94"/>
      <c r="AB2168" s="94"/>
      <c r="AC2168" s="94"/>
      <c r="AD2168" s="95">
        <v>0</v>
      </c>
      <c r="AE2168" s="94"/>
      <c r="AF2168" s="95">
        <v>183900</v>
      </c>
      <c r="AG2168" s="95">
        <v>183900</v>
      </c>
      <c r="AH2168" s="95">
        <v>0</v>
      </c>
    </row>
    <row r="2169" spans="1:34" ht="15.75" thickBot="1" x14ac:dyDescent="0.3">
      <c r="A2169" s="90" t="s">
        <v>1056</v>
      </c>
      <c r="B2169" s="90" t="s">
        <v>45</v>
      </c>
      <c r="C2169" s="90" t="s">
        <v>46</v>
      </c>
      <c r="D2169" s="90" t="s">
        <v>165</v>
      </c>
      <c r="E2169" s="90" t="s">
        <v>528</v>
      </c>
      <c r="F2169" s="90" t="s">
        <v>698</v>
      </c>
      <c r="G2169" s="93">
        <v>180</v>
      </c>
      <c r="H2169" s="92"/>
      <c r="I2169" s="93">
        <v>180</v>
      </c>
      <c r="J2169" s="92"/>
      <c r="K2169" s="92"/>
      <c r="L2169" s="92"/>
      <c r="M2169" s="92"/>
      <c r="N2169" s="92"/>
      <c r="O2169" s="92"/>
      <c r="P2169" s="92"/>
      <c r="Q2169" s="92"/>
      <c r="R2169" s="92"/>
      <c r="S2169" s="92"/>
      <c r="T2169" s="92"/>
      <c r="U2169" s="92"/>
      <c r="V2169" s="92"/>
      <c r="W2169" s="92"/>
      <c r="X2169" s="92"/>
      <c r="Y2169" s="92"/>
      <c r="Z2169" s="92"/>
      <c r="AA2169" s="92"/>
      <c r="AB2169" s="92"/>
      <c r="AC2169" s="92"/>
      <c r="AD2169" s="93">
        <v>0</v>
      </c>
      <c r="AE2169" s="92"/>
      <c r="AF2169" s="92"/>
      <c r="AG2169" s="93">
        <v>180</v>
      </c>
      <c r="AH2169" s="93">
        <v>0</v>
      </c>
    </row>
    <row r="2170" spans="1:34" ht="15.75" thickBot="1" x14ac:dyDescent="0.3">
      <c r="A2170" s="90" t="s">
        <v>1056</v>
      </c>
      <c r="B2170" s="90" t="s">
        <v>45</v>
      </c>
      <c r="C2170" s="90" t="s">
        <v>46</v>
      </c>
      <c r="D2170" s="90" t="s">
        <v>165</v>
      </c>
      <c r="E2170" s="90" t="s">
        <v>528</v>
      </c>
      <c r="F2170" s="90" t="s">
        <v>697</v>
      </c>
      <c r="G2170" s="95">
        <v>180</v>
      </c>
      <c r="H2170" s="94"/>
      <c r="I2170" s="95">
        <v>180</v>
      </c>
      <c r="J2170" s="94"/>
      <c r="K2170" s="94"/>
      <c r="L2170" s="94"/>
      <c r="M2170" s="94"/>
      <c r="N2170" s="94"/>
      <c r="O2170" s="94"/>
      <c r="P2170" s="94"/>
      <c r="Q2170" s="94"/>
      <c r="R2170" s="94"/>
      <c r="S2170" s="94"/>
      <c r="T2170" s="94"/>
      <c r="U2170" s="94"/>
      <c r="V2170" s="94"/>
      <c r="W2170" s="94"/>
      <c r="X2170" s="94"/>
      <c r="Y2170" s="94"/>
      <c r="Z2170" s="94"/>
      <c r="AA2170" s="94"/>
      <c r="AB2170" s="94"/>
      <c r="AC2170" s="94"/>
      <c r="AD2170" s="95">
        <v>0</v>
      </c>
      <c r="AE2170" s="94"/>
      <c r="AF2170" s="94"/>
      <c r="AG2170" s="95">
        <v>180</v>
      </c>
      <c r="AH2170" s="95">
        <v>0</v>
      </c>
    </row>
    <row r="2171" spans="1:34" ht="15.75" thickBot="1" x14ac:dyDescent="0.3">
      <c r="A2171" s="90" t="s">
        <v>1056</v>
      </c>
      <c r="B2171" s="90" t="s">
        <v>45</v>
      </c>
      <c r="C2171" s="90" t="s">
        <v>46</v>
      </c>
      <c r="D2171" s="90" t="s">
        <v>165</v>
      </c>
      <c r="E2171" s="90" t="s">
        <v>547</v>
      </c>
      <c r="F2171" s="90" t="s">
        <v>698</v>
      </c>
      <c r="G2171" s="93">
        <v>186513.62</v>
      </c>
      <c r="H2171" s="92"/>
      <c r="I2171" s="92"/>
      <c r="J2171" s="93">
        <v>186513.62</v>
      </c>
      <c r="K2171" s="92"/>
      <c r="L2171" s="92"/>
      <c r="M2171" s="92"/>
      <c r="N2171" s="92"/>
      <c r="O2171" s="92"/>
      <c r="P2171" s="92"/>
      <c r="Q2171" s="92"/>
      <c r="R2171" s="92"/>
      <c r="S2171" s="92"/>
      <c r="T2171" s="92"/>
      <c r="U2171" s="92"/>
      <c r="V2171" s="92"/>
      <c r="W2171" s="92"/>
      <c r="X2171" s="92"/>
      <c r="Y2171" s="92"/>
      <c r="Z2171" s="92"/>
      <c r="AA2171" s="92"/>
      <c r="AB2171" s="92"/>
      <c r="AC2171" s="92"/>
      <c r="AD2171" s="93">
        <v>0</v>
      </c>
      <c r="AE2171" s="92"/>
      <c r="AF2171" s="92"/>
      <c r="AG2171" s="93">
        <v>186513.62</v>
      </c>
      <c r="AH2171" s="93">
        <v>0</v>
      </c>
    </row>
    <row r="2172" spans="1:34" ht="15.75" thickBot="1" x14ac:dyDescent="0.3">
      <c r="A2172" s="90" t="s">
        <v>1056</v>
      </c>
      <c r="B2172" s="90" t="s">
        <v>45</v>
      </c>
      <c r="C2172" s="90" t="s">
        <v>46</v>
      </c>
      <c r="D2172" s="90" t="s">
        <v>165</v>
      </c>
      <c r="E2172" s="90" t="s">
        <v>547</v>
      </c>
      <c r="F2172" s="90" t="s">
        <v>697</v>
      </c>
      <c r="G2172" s="95">
        <v>186513.62</v>
      </c>
      <c r="H2172" s="94"/>
      <c r="I2172" s="94"/>
      <c r="J2172" s="95">
        <v>186513.62</v>
      </c>
      <c r="K2172" s="94"/>
      <c r="L2172" s="94"/>
      <c r="M2172" s="94"/>
      <c r="N2172" s="94"/>
      <c r="O2172" s="94"/>
      <c r="P2172" s="94"/>
      <c r="Q2172" s="94"/>
      <c r="R2172" s="94"/>
      <c r="S2172" s="94"/>
      <c r="T2172" s="94"/>
      <c r="U2172" s="94"/>
      <c r="V2172" s="94"/>
      <c r="W2172" s="94"/>
      <c r="X2172" s="94"/>
      <c r="Y2172" s="94"/>
      <c r="Z2172" s="94"/>
      <c r="AA2172" s="94"/>
      <c r="AB2172" s="94"/>
      <c r="AC2172" s="94"/>
      <c r="AD2172" s="95">
        <v>0</v>
      </c>
      <c r="AE2172" s="94"/>
      <c r="AF2172" s="94"/>
      <c r="AG2172" s="95">
        <v>186513.62</v>
      </c>
      <c r="AH2172" s="95">
        <v>0</v>
      </c>
    </row>
    <row r="2173" spans="1:34" ht="15.75" thickBot="1" x14ac:dyDescent="0.3">
      <c r="A2173" s="90" t="s">
        <v>1056</v>
      </c>
      <c r="B2173" s="90" t="s">
        <v>45</v>
      </c>
      <c r="C2173" s="90" t="s">
        <v>46</v>
      </c>
      <c r="D2173" s="90" t="s">
        <v>165</v>
      </c>
      <c r="E2173" s="90" t="s">
        <v>518</v>
      </c>
      <c r="F2173" s="90" t="s">
        <v>698</v>
      </c>
      <c r="G2173" s="93">
        <v>16966.349999999999</v>
      </c>
      <c r="H2173" s="93">
        <v>509653</v>
      </c>
      <c r="I2173" s="92"/>
      <c r="J2173" s="92"/>
      <c r="K2173" s="93">
        <v>16966.349999999999</v>
      </c>
      <c r="L2173" s="92"/>
      <c r="M2173" s="92"/>
      <c r="N2173" s="92"/>
      <c r="O2173" s="92"/>
      <c r="P2173" s="92"/>
      <c r="Q2173" s="92"/>
      <c r="R2173" s="92"/>
      <c r="S2173" s="92"/>
      <c r="T2173" s="92"/>
      <c r="U2173" s="92"/>
      <c r="V2173" s="92"/>
      <c r="W2173" s="92"/>
      <c r="X2173" s="92"/>
      <c r="Y2173" s="92"/>
      <c r="Z2173" s="92"/>
      <c r="AA2173" s="92"/>
      <c r="AB2173" s="92"/>
      <c r="AC2173" s="92"/>
      <c r="AD2173" s="93">
        <v>0</v>
      </c>
      <c r="AE2173" s="92"/>
      <c r="AF2173" s="92"/>
      <c r="AG2173" s="93">
        <v>16966.349999999999</v>
      </c>
      <c r="AH2173" s="93">
        <v>0</v>
      </c>
    </row>
    <row r="2174" spans="1:34" ht="15.75" thickBot="1" x14ac:dyDescent="0.3">
      <c r="A2174" s="90" t="s">
        <v>1056</v>
      </c>
      <c r="B2174" s="90" t="s">
        <v>45</v>
      </c>
      <c r="C2174" s="90" t="s">
        <v>46</v>
      </c>
      <c r="D2174" s="90" t="s">
        <v>165</v>
      </c>
      <c r="E2174" s="90" t="s">
        <v>518</v>
      </c>
      <c r="F2174" s="90" t="s">
        <v>697</v>
      </c>
      <c r="G2174" s="95">
        <v>16966.349999999999</v>
      </c>
      <c r="H2174" s="305">
        <v>509653</v>
      </c>
      <c r="I2174" s="94"/>
      <c r="J2174" s="94"/>
      <c r="K2174" s="95">
        <v>16966.349999999999</v>
      </c>
      <c r="L2174" s="94"/>
      <c r="M2174" s="94"/>
      <c r="N2174" s="94"/>
      <c r="O2174" s="94"/>
      <c r="P2174" s="94"/>
      <c r="Q2174" s="94"/>
      <c r="R2174" s="94"/>
      <c r="S2174" s="94"/>
      <c r="T2174" s="94"/>
      <c r="U2174" s="94"/>
      <c r="V2174" s="94"/>
      <c r="W2174" s="94"/>
      <c r="X2174" s="94"/>
      <c r="Y2174" s="94"/>
      <c r="Z2174" s="94"/>
      <c r="AA2174" s="94"/>
      <c r="AB2174" s="94"/>
      <c r="AC2174" s="94"/>
      <c r="AD2174" s="95">
        <v>0</v>
      </c>
      <c r="AE2174" s="94"/>
      <c r="AF2174" s="94"/>
      <c r="AG2174" s="95">
        <v>16966.349999999999</v>
      </c>
      <c r="AH2174" s="95">
        <v>0</v>
      </c>
    </row>
    <row r="2175" spans="1:34" ht="15.75" thickBot="1" x14ac:dyDescent="0.3">
      <c r="A2175" s="90" t="s">
        <v>1056</v>
      </c>
      <c r="B2175" s="90" t="s">
        <v>45</v>
      </c>
      <c r="C2175" s="90" t="s">
        <v>46</v>
      </c>
      <c r="D2175" s="90" t="s">
        <v>165</v>
      </c>
      <c r="E2175" s="90" t="s">
        <v>673</v>
      </c>
      <c r="F2175" s="90" t="s">
        <v>511</v>
      </c>
      <c r="G2175" s="93">
        <v>259.54000000000002</v>
      </c>
      <c r="H2175" s="92"/>
      <c r="I2175" s="92"/>
      <c r="J2175" s="92"/>
      <c r="K2175" s="92"/>
      <c r="L2175" s="92"/>
      <c r="M2175" s="92"/>
      <c r="N2175" s="92"/>
      <c r="O2175" s="92"/>
      <c r="P2175" s="92"/>
      <c r="Q2175" s="92"/>
      <c r="R2175" s="92"/>
      <c r="S2175" s="92"/>
      <c r="T2175" s="92"/>
      <c r="U2175" s="92"/>
      <c r="V2175" s="92"/>
      <c r="W2175" s="92"/>
      <c r="X2175" s="93">
        <v>259.54000000000002</v>
      </c>
      <c r="Y2175" s="92"/>
      <c r="Z2175" s="92"/>
      <c r="AA2175" s="92"/>
      <c r="AB2175" s="92"/>
      <c r="AC2175" s="92"/>
      <c r="AD2175" s="93">
        <v>0</v>
      </c>
      <c r="AE2175" s="92"/>
      <c r="AF2175" s="92"/>
      <c r="AG2175" s="93">
        <v>259.54000000000002</v>
      </c>
      <c r="AH2175" s="93">
        <v>0</v>
      </c>
    </row>
    <row r="2176" spans="1:34" ht="15.75" thickBot="1" x14ac:dyDescent="0.3">
      <c r="A2176" s="90" t="s">
        <v>1056</v>
      </c>
      <c r="B2176" s="90" t="s">
        <v>45</v>
      </c>
      <c r="C2176" s="90" t="s">
        <v>46</v>
      </c>
      <c r="D2176" s="90" t="s">
        <v>165</v>
      </c>
      <c r="E2176" s="90" t="s">
        <v>673</v>
      </c>
      <c r="F2176" s="90" t="s">
        <v>697</v>
      </c>
      <c r="G2176" s="95">
        <v>259.54000000000002</v>
      </c>
      <c r="H2176" s="94"/>
      <c r="I2176" s="94"/>
      <c r="J2176" s="94"/>
      <c r="K2176" s="94"/>
      <c r="L2176" s="94"/>
      <c r="M2176" s="94"/>
      <c r="N2176" s="94"/>
      <c r="O2176" s="94"/>
      <c r="P2176" s="94"/>
      <c r="Q2176" s="94"/>
      <c r="R2176" s="94"/>
      <c r="S2176" s="94"/>
      <c r="T2176" s="94"/>
      <c r="U2176" s="94"/>
      <c r="V2176" s="94"/>
      <c r="W2176" s="94"/>
      <c r="X2176" s="95">
        <v>259.54000000000002</v>
      </c>
      <c r="Y2176" s="94"/>
      <c r="Z2176" s="94"/>
      <c r="AA2176" s="94"/>
      <c r="AB2176" s="94"/>
      <c r="AC2176" s="94"/>
      <c r="AD2176" s="95">
        <v>0</v>
      </c>
      <c r="AE2176" s="94"/>
      <c r="AF2176" s="94"/>
      <c r="AG2176" s="95">
        <v>259.54000000000002</v>
      </c>
      <c r="AH2176" s="95">
        <v>0</v>
      </c>
    </row>
    <row r="2177" spans="1:34" ht="15.75" thickBot="1" x14ac:dyDescent="0.3">
      <c r="A2177" s="90" t="s">
        <v>1056</v>
      </c>
      <c r="B2177" s="90" t="s">
        <v>45</v>
      </c>
      <c r="C2177" s="90" t="s">
        <v>46</v>
      </c>
      <c r="D2177" s="90" t="s">
        <v>165</v>
      </c>
      <c r="E2177" s="90" t="s">
        <v>196</v>
      </c>
      <c r="F2177" s="90" t="s">
        <v>511</v>
      </c>
      <c r="G2177" s="93">
        <v>194768.99</v>
      </c>
      <c r="H2177" s="92"/>
      <c r="I2177" s="92"/>
      <c r="J2177" s="92"/>
      <c r="K2177" s="92"/>
      <c r="L2177" s="92"/>
      <c r="M2177" s="92"/>
      <c r="N2177" s="92"/>
      <c r="O2177" s="92"/>
      <c r="P2177" s="93">
        <v>194768.99</v>
      </c>
      <c r="Q2177" s="92"/>
      <c r="R2177" s="92"/>
      <c r="S2177" s="92"/>
      <c r="T2177" s="92"/>
      <c r="U2177" s="92"/>
      <c r="V2177" s="92"/>
      <c r="W2177" s="92"/>
      <c r="X2177" s="92"/>
      <c r="Y2177" s="92"/>
      <c r="Z2177" s="92"/>
      <c r="AA2177" s="92"/>
      <c r="AB2177" s="92"/>
      <c r="AC2177" s="92"/>
      <c r="AD2177" s="93">
        <v>0</v>
      </c>
      <c r="AE2177" s="92"/>
      <c r="AF2177" s="92"/>
      <c r="AG2177" s="93">
        <v>194768.99</v>
      </c>
      <c r="AH2177" s="93">
        <v>0</v>
      </c>
    </row>
    <row r="2178" spans="1:34" ht="15.75" thickBot="1" x14ac:dyDescent="0.3">
      <c r="A2178" s="90" t="s">
        <v>1056</v>
      </c>
      <c r="B2178" s="90" t="s">
        <v>45</v>
      </c>
      <c r="C2178" s="90" t="s">
        <v>46</v>
      </c>
      <c r="D2178" s="90" t="s">
        <v>165</v>
      </c>
      <c r="E2178" s="90" t="s">
        <v>196</v>
      </c>
      <c r="F2178" s="90" t="s">
        <v>697</v>
      </c>
      <c r="G2178" s="95">
        <v>194768.99</v>
      </c>
      <c r="H2178" s="94"/>
      <c r="I2178" s="94"/>
      <c r="J2178" s="94"/>
      <c r="K2178" s="94"/>
      <c r="L2178" s="94"/>
      <c r="M2178" s="94"/>
      <c r="N2178" s="94"/>
      <c r="O2178" s="94"/>
      <c r="P2178" s="95">
        <v>194768.99</v>
      </c>
      <c r="Q2178" s="94"/>
      <c r="R2178" s="94"/>
      <c r="S2178" s="94"/>
      <c r="T2178" s="94"/>
      <c r="U2178" s="94"/>
      <c r="V2178" s="94"/>
      <c r="W2178" s="94"/>
      <c r="X2178" s="94"/>
      <c r="Y2178" s="94"/>
      <c r="Z2178" s="94"/>
      <c r="AA2178" s="94"/>
      <c r="AB2178" s="94"/>
      <c r="AC2178" s="94"/>
      <c r="AD2178" s="95">
        <v>0</v>
      </c>
      <c r="AE2178" s="94"/>
      <c r="AF2178" s="94"/>
      <c r="AG2178" s="95">
        <v>194768.99</v>
      </c>
      <c r="AH2178" s="95">
        <v>0</v>
      </c>
    </row>
    <row r="2179" spans="1:34" ht="15.75" thickBot="1" x14ac:dyDescent="0.3">
      <c r="A2179" s="90" t="s">
        <v>1056</v>
      </c>
      <c r="B2179" s="90" t="s">
        <v>57</v>
      </c>
      <c r="C2179" s="90" t="s">
        <v>58</v>
      </c>
      <c r="D2179" s="90" t="s">
        <v>664</v>
      </c>
      <c r="E2179" s="90" t="s">
        <v>525</v>
      </c>
      <c r="F2179" s="90" t="s">
        <v>698</v>
      </c>
      <c r="G2179" s="93">
        <v>-102.35</v>
      </c>
      <c r="H2179" s="92"/>
      <c r="I2179" s="92"/>
      <c r="J2179" s="92"/>
      <c r="K2179" s="92"/>
      <c r="L2179" s="92"/>
      <c r="M2179" s="92"/>
      <c r="N2179" s="92"/>
      <c r="O2179" s="92"/>
      <c r="P2179" s="92"/>
      <c r="Q2179" s="92"/>
      <c r="R2179" s="93">
        <v>-102.35</v>
      </c>
      <c r="S2179" s="92"/>
      <c r="T2179" s="92"/>
      <c r="U2179" s="92"/>
      <c r="V2179" s="92"/>
      <c r="W2179" s="92"/>
      <c r="X2179" s="92"/>
      <c r="Y2179" s="92"/>
      <c r="Z2179" s="92"/>
      <c r="AA2179" s="92"/>
      <c r="AB2179" s="92"/>
      <c r="AC2179" s="92"/>
      <c r="AD2179" s="93">
        <v>0</v>
      </c>
      <c r="AE2179" s="92"/>
      <c r="AF2179" s="92"/>
      <c r="AG2179" s="93">
        <v>-102.35</v>
      </c>
      <c r="AH2179" s="93">
        <v>0</v>
      </c>
    </row>
    <row r="2180" spans="1:34" ht="15.75" thickBot="1" x14ac:dyDescent="0.3">
      <c r="A2180" s="90" t="s">
        <v>1056</v>
      </c>
      <c r="B2180" s="90" t="s">
        <v>57</v>
      </c>
      <c r="C2180" s="90" t="s">
        <v>58</v>
      </c>
      <c r="D2180" s="90" t="s">
        <v>664</v>
      </c>
      <c r="E2180" s="90" t="s">
        <v>525</v>
      </c>
      <c r="F2180" s="90" t="s">
        <v>697</v>
      </c>
      <c r="G2180" s="95">
        <v>-102.35</v>
      </c>
      <c r="H2180" s="94"/>
      <c r="I2180" s="94"/>
      <c r="J2180" s="94"/>
      <c r="K2180" s="94"/>
      <c r="L2180" s="94"/>
      <c r="M2180" s="94"/>
      <c r="N2180" s="94"/>
      <c r="O2180" s="94"/>
      <c r="P2180" s="94"/>
      <c r="Q2180" s="94"/>
      <c r="R2180" s="95">
        <v>-102.35</v>
      </c>
      <c r="S2180" s="94"/>
      <c r="T2180" s="94"/>
      <c r="U2180" s="94"/>
      <c r="V2180" s="94"/>
      <c r="W2180" s="94"/>
      <c r="X2180" s="94"/>
      <c r="Y2180" s="94"/>
      <c r="Z2180" s="94"/>
      <c r="AA2180" s="94"/>
      <c r="AB2180" s="94"/>
      <c r="AC2180" s="94"/>
      <c r="AD2180" s="95">
        <v>0</v>
      </c>
      <c r="AE2180" s="94"/>
      <c r="AF2180" s="94"/>
      <c r="AG2180" s="95">
        <v>-102.35</v>
      </c>
      <c r="AH2180" s="95">
        <v>0</v>
      </c>
    </row>
    <row r="2181" spans="1:34" ht="15.75" thickBot="1" x14ac:dyDescent="0.3">
      <c r="A2181" s="90" t="s">
        <v>1056</v>
      </c>
      <c r="B2181" s="90" t="s">
        <v>57</v>
      </c>
      <c r="C2181" s="90" t="s">
        <v>58</v>
      </c>
      <c r="D2181" s="90" t="s">
        <v>664</v>
      </c>
      <c r="E2181" s="90" t="s">
        <v>528</v>
      </c>
      <c r="F2181" s="90" t="s">
        <v>698</v>
      </c>
      <c r="G2181" s="93">
        <v>800</v>
      </c>
      <c r="H2181" s="92"/>
      <c r="I2181" s="93">
        <v>800</v>
      </c>
      <c r="J2181" s="92"/>
      <c r="K2181" s="92"/>
      <c r="L2181" s="92"/>
      <c r="M2181" s="92"/>
      <c r="N2181" s="92"/>
      <c r="O2181" s="92"/>
      <c r="P2181" s="92"/>
      <c r="Q2181" s="92"/>
      <c r="R2181" s="92"/>
      <c r="S2181" s="92"/>
      <c r="T2181" s="92"/>
      <c r="U2181" s="92"/>
      <c r="V2181" s="92"/>
      <c r="W2181" s="92"/>
      <c r="X2181" s="92"/>
      <c r="Y2181" s="92"/>
      <c r="Z2181" s="92"/>
      <c r="AA2181" s="92"/>
      <c r="AB2181" s="92"/>
      <c r="AC2181" s="92"/>
      <c r="AD2181" s="93">
        <v>0</v>
      </c>
      <c r="AE2181" s="92"/>
      <c r="AF2181" s="92"/>
      <c r="AG2181" s="93">
        <v>800</v>
      </c>
      <c r="AH2181" s="93">
        <v>0</v>
      </c>
    </row>
    <row r="2182" spans="1:34" ht="15.75" thickBot="1" x14ac:dyDescent="0.3">
      <c r="A2182" s="90" t="s">
        <v>1056</v>
      </c>
      <c r="B2182" s="90" t="s">
        <v>57</v>
      </c>
      <c r="C2182" s="90" t="s">
        <v>58</v>
      </c>
      <c r="D2182" s="90" t="s">
        <v>664</v>
      </c>
      <c r="E2182" s="90" t="s">
        <v>528</v>
      </c>
      <c r="F2182" s="90" t="s">
        <v>697</v>
      </c>
      <c r="G2182" s="95">
        <v>800</v>
      </c>
      <c r="H2182" s="94"/>
      <c r="I2182" s="95">
        <v>800</v>
      </c>
      <c r="J2182" s="94"/>
      <c r="K2182" s="94"/>
      <c r="L2182" s="94"/>
      <c r="M2182" s="94"/>
      <c r="N2182" s="94"/>
      <c r="O2182" s="94"/>
      <c r="P2182" s="94"/>
      <c r="Q2182" s="94"/>
      <c r="R2182" s="94"/>
      <c r="S2182" s="94"/>
      <c r="T2182" s="94"/>
      <c r="U2182" s="94"/>
      <c r="V2182" s="94"/>
      <c r="W2182" s="94"/>
      <c r="X2182" s="94"/>
      <c r="Y2182" s="94"/>
      <c r="Z2182" s="94"/>
      <c r="AA2182" s="94"/>
      <c r="AB2182" s="94"/>
      <c r="AC2182" s="94"/>
      <c r="AD2182" s="95">
        <v>0</v>
      </c>
      <c r="AE2182" s="94"/>
      <c r="AF2182" s="94"/>
      <c r="AG2182" s="95">
        <v>800</v>
      </c>
      <c r="AH2182" s="95">
        <v>0</v>
      </c>
    </row>
    <row r="2183" spans="1:34" ht="15.75" thickBot="1" x14ac:dyDescent="0.3">
      <c r="A2183" s="90" t="s">
        <v>1056</v>
      </c>
      <c r="B2183" s="90" t="s">
        <v>57</v>
      </c>
      <c r="C2183" s="90" t="s">
        <v>58</v>
      </c>
      <c r="D2183" s="90" t="s">
        <v>664</v>
      </c>
      <c r="E2183" s="90" t="s">
        <v>518</v>
      </c>
      <c r="F2183" s="90" t="s">
        <v>511</v>
      </c>
      <c r="G2183" s="93">
        <v>6442.85</v>
      </c>
      <c r="H2183" s="93">
        <v>1296348</v>
      </c>
      <c r="I2183" s="92"/>
      <c r="J2183" s="92"/>
      <c r="K2183" s="93">
        <v>6442.85</v>
      </c>
      <c r="L2183" s="92"/>
      <c r="M2183" s="92"/>
      <c r="N2183" s="92"/>
      <c r="O2183" s="92"/>
      <c r="P2183" s="92"/>
      <c r="Q2183" s="92"/>
      <c r="R2183" s="92"/>
      <c r="S2183" s="92"/>
      <c r="T2183" s="92"/>
      <c r="U2183" s="92"/>
      <c r="V2183" s="92"/>
      <c r="W2183" s="92"/>
      <c r="X2183" s="92"/>
      <c r="Y2183" s="92"/>
      <c r="Z2183" s="92"/>
      <c r="AA2183" s="92"/>
      <c r="AB2183" s="92"/>
      <c r="AC2183" s="92"/>
      <c r="AD2183" s="93">
        <v>0</v>
      </c>
      <c r="AE2183" s="92"/>
      <c r="AF2183" s="92"/>
      <c r="AG2183" s="93">
        <v>6442.85</v>
      </c>
      <c r="AH2183" s="93">
        <v>0</v>
      </c>
    </row>
    <row r="2184" spans="1:34" ht="15.75" thickBot="1" x14ac:dyDescent="0.3">
      <c r="A2184" s="90" t="s">
        <v>1056</v>
      </c>
      <c r="B2184" s="90" t="s">
        <v>57</v>
      </c>
      <c r="C2184" s="90" t="s">
        <v>58</v>
      </c>
      <c r="D2184" s="90" t="s">
        <v>664</v>
      </c>
      <c r="E2184" s="90" t="s">
        <v>518</v>
      </c>
      <c r="F2184" s="90" t="s">
        <v>697</v>
      </c>
      <c r="G2184" s="95">
        <v>6442.85</v>
      </c>
      <c r="H2184" s="305">
        <v>1296348</v>
      </c>
      <c r="I2184" s="94"/>
      <c r="J2184" s="94"/>
      <c r="K2184" s="95">
        <v>6442.85</v>
      </c>
      <c r="L2184" s="94"/>
      <c r="M2184" s="94"/>
      <c r="N2184" s="94"/>
      <c r="O2184" s="94"/>
      <c r="P2184" s="94"/>
      <c r="Q2184" s="94"/>
      <c r="R2184" s="94"/>
      <c r="S2184" s="94"/>
      <c r="T2184" s="94"/>
      <c r="U2184" s="94"/>
      <c r="V2184" s="94"/>
      <c r="W2184" s="94"/>
      <c r="X2184" s="94"/>
      <c r="Y2184" s="94"/>
      <c r="Z2184" s="94"/>
      <c r="AA2184" s="94"/>
      <c r="AB2184" s="94"/>
      <c r="AC2184" s="94"/>
      <c r="AD2184" s="95">
        <v>0</v>
      </c>
      <c r="AE2184" s="94"/>
      <c r="AF2184" s="94"/>
      <c r="AG2184" s="95">
        <v>6442.85</v>
      </c>
      <c r="AH2184" s="95">
        <v>0</v>
      </c>
    </row>
    <row r="2185" spans="1:34" ht="15.75" thickBot="1" x14ac:dyDescent="0.3">
      <c r="A2185" s="90" t="s">
        <v>1056</v>
      </c>
      <c r="B2185" s="90" t="s">
        <v>57</v>
      </c>
      <c r="C2185" s="90" t="s">
        <v>58</v>
      </c>
      <c r="D2185" s="90" t="s">
        <v>664</v>
      </c>
      <c r="E2185" s="90" t="s">
        <v>527</v>
      </c>
      <c r="F2185" s="90" t="s">
        <v>698</v>
      </c>
      <c r="G2185" s="93">
        <v>12051.49</v>
      </c>
      <c r="H2185" s="92"/>
      <c r="I2185" s="92"/>
      <c r="J2185" s="92"/>
      <c r="K2185" s="92"/>
      <c r="L2185" s="92"/>
      <c r="M2185" s="92"/>
      <c r="N2185" s="92"/>
      <c r="O2185" s="92"/>
      <c r="P2185" s="92"/>
      <c r="Q2185" s="92"/>
      <c r="R2185" s="92"/>
      <c r="S2185" s="93">
        <v>12051.49</v>
      </c>
      <c r="T2185" s="92"/>
      <c r="U2185" s="92"/>
      <c r="V2185" s="92"/>
      <c r="W2185" s="92"/>
      <c r="X2185" s="92"/>
      <c r="Y2185" s="92"/>
      <c r="Z2185" s="92"/>
      <c r="AA2185" s="92"/>
      <c r="AB2185" s="92"/>
      <c r="AC2185" s="92"/>
      <c r="AD2185" s="93">
        <v>0</v>
      </c>
      <c r="AE2185" s="92"/>
      <c r="AF2185" s="92"/>
      <c r="AG2185" s="93">
        <v>12051.49</v>
      </c>
      <c r="AH2185" s="93">
        <v>0</v>
      </c>
    </row>
    <row r="2186" spans="1:34" ht="15.75" thickBot="1" x14ac:dyDescent="0.3">
      <c r="A2186" s="90" t="s">
        <v>1056</v>
      </c>
      <c r="B2186" s="90" t="s">
        <v>57</v>
      </c>
      <c r="C2186" s="90" t="s">
        <v>58</v>
      </c>
      <c r="D2186" s="90" t="s">
        <v>664</v>
      </c>
      <c r="E2186" s="90" t="s">
        <v>527</v>
      </c>
      <c r="F2186" s="90" t="s">
        <v>697</v>
      </c>
      <c r="G2186" s="95">
        <v>12051.49</v>
      </c>
      <c r="H2186" s="94"/>
      <c r="I2186" s="94"/>
      <c r="J2186" s="94"/>
      <c r="K2186" s="94"/>
      <c r="L2186" s="94"/>
      <c r="M2186" s="94"/>
      <c r="N2186" s="94"/>
      <c r="O2186" s="94"/>
      <c r="P2186" s="94"/>
      <c r="Q2186" s="94"/>
      <c r="R2186" s="94"/>
      <c r="S2186" s="95">
        <v>12051.49</v>
      </c>
      <c r="T2186" s="94"/>
      <c r="U2186" s="94"/>
      <c r="V2186" s="94"/>
      <c r="W2186" s="94"/>
      <c r="X2186" s="94"/>
      <c r="Y2186" s="94"/>
      <c r="Z2186" s="94"/>
      <c r="AA2186" s="94"/>
      <c r="AB2186" s="94"/>
      <c r="AC2186" s="94"/>
      <c r="AD2186" s="95">
        <v>0</v>
      </c>
      <c r="AE2186" s="94"/>
      <c r="AF2186" s="94"/>
      <c r="AG2186" s="95">
        <v>12051.49</v>
      </c>
      <c r="AH2186" s="95">
        <v>0</v>
      </c>
    </row>
    <row r="2187" spans="1:34" ht="15.75" thickBot="1" x14ac:dyDescent="0.3">
      <c r="A2187" s="90" t="s">
        <v>1056</v>
      </c>
      <c r="B2187" s="90" t="s">
        <v>57</v>
      </c>
      <c r="C2187" s="90" t="s">
        <v>58</v>
      </c>
      <c r="D2187" s="90" t="s">
        <v>664</v>
      </c>
      <c r="E2187" s="90" t="s">
        <v>529</v>
      </c>
      <c r="F2187" s="90" t="s">
        <v>511</v>
      </c>
      <c r="G2187" s="93">
        <v>107140.32</v>
      </c>
      <c r="H2187" s="92"/>
      <c r="I2187" s="92"/>
      <c r="J2187" s="93">
        <v>107140.32</v>
      </c>
      <c r="K2187" s="92"/>
      <c r="L2187" s="92"/>
      <c r="M2187" s="92"/>
      <c r="N2187" s="92"/>
      <c r="O2187" s="92"/>
      <c r="P2187" s="92"/>
      <c r="Q2187" s="92"/>
      <c r="R2187" s="92"/>
      <c r="S2187" s="92"/>
      <c r="T2187" s="92"/>
      <c r="U2187" s="92"/>
      <c r="V2187" s="92"/>
      <c r="W2187" s="92"/>
      <c r="X2187" s="92"/>
      <c r="Y2187" s="92"/>
      <c r="Z2187" s="92"/>
      <c r="AA2187" s="92"/>
      <c r="AB2187" s="92"/>
      <c r="AC2187" s="92"/>
      <c r="AD2187" s="93">
        <v>0</v>
      </c>
      <c r="AE2187" s="92"/>
      <c r="AF2187" s="92"/>
      <c r="AG2187" s="93">
        <v>107140.32</v>
      </c>
      <c r="AH2187" s="93">
        <v>0</v>
      </c>
    </row>
    <row r="2188" spans="1:34" ht="15.75" thickBot="1" x14ac:dyDescent="0.3">
      <c r="A2188" s="90" t="s">
        <v>1056</v>
      </c>
      <c r="B2188" s="90" t="s">
        <v>57</v>
      </c>
      <c r="C2188" s="90" t="s">
        <v>58</v>
      </c>
      <c r="D2188" s="90" t="s">
        <v>664</v>
      </c>
      <c r="E2188" s="90" t="s">
        <v>529</v>
      </c>
      <c r="F2188" s="90" t="s">
        <v>697</v>
      </c>
      <c r="G2188" s="95">
        <v>107140.32</v>
      </c>
      <c r="H2188" s="94"/>
      <c r="I2188" s="94"/>
      <c r="J2188" s="95">
        <v>107140.32</v>
      </c>
      <c r="K2188" s="94"/>
      <c r="L2188" s="94"/>
      <c r="M2188" s="94"/>
      <c r="N2188" s="94"/>
      <c r="O2188" s="94"/>
      <c r="P2188" s="94"/>
      <c r="Q2188" s="94"/>
      <c r="R2188" s="94"/>
      <c r="S2188" s="94"/>
      <c r="T2188" s="94"/>
      <c r="U2188" s="94"/>
      <c r="V2188" s="94"/>
      <c r="W2188" s="94"/>
      <c r="X2188" s="94"/>
      <c r="Y2188" s="94"/>
      <c r="Z2188" s="94"/>
      <c r="AA2188" s="94"/>
      <c r="AB2188" s="94"/>
      <c r="AC2188" s="94"/>
      <c r="AD2188" s="95">
        <v>0</v>
      </c>
      <c r="AE2188" s="94"/>
      <c r="AF2188" s="94"/>
      <c r="AG2188" s="95">
        <v>107140.32</v>
      </c>
      <c r="AH2188" s="95">
        <v>0</v>
      </c>
    </row>
    <row r="2189" spans="1:34" ht="15.75" thickBot="1" x14ac:dyDescent="0.3">
      <c r="A2189" s="90" t="s">
        <v>1056</v>
      </c>
      <c r="B2189" s="90" t="s">
        <v>57</v>
      </c>
      <c r="C2189" s="90" t="s">
        <v>58</v>
      </c>
      <c r="D2189" s="90" t="s">
        <v>664</v>
      </c>
      <c r="E2189" s="90" t="s">
        <v>676</v>
      </c>
      <c r="F2189" s="90" t="s">
        <v>511</v>
      </c>
      <c r="G2189" s="93">
        <v>158.97</v>
      </c>
      <c r="H2189" s="92"/>
      <c r="I2189" s="92"/>
      <c r="J2189" s="92"/>
      <c r="K2189" s="92"/>
      <c r="L2189" s="92"/>
      <c r="M2189" s="92"/>
      <c r="N2189" s="92"/>
      <c r="O2189" s="92"/>
      <c r="P2189" s="92"/>
      <c r="Q2189" s="92"/>
      <c r="R2189" s="92"/>
      <c r="S2189" s="92"/>
      <c r="T2189" s="92"/>
      <c r="U2189" s="93">
        <v>158.97</v>
      </c>
      <c r="V2189" s="92"/>
      <c r="W2189" s="92"/>
      <c r="X2189" s="92"/>
      <c r="Y2189" s="92"/>
      <c r="Z2189" s="92"/>
      <c r="AA2189" s="92"/>
      <c r="AB2189" s="92"/>
      <c r="AC2189" s="92"/>
      <c r="AD2189" s="93">
        <v>0</v>
      </c>
      <c r="AE2189" s="92"/>
      <c r="AF2189" s="92"/>
      <c r="AG2189" s="93">
        <v>158.97</v>
      </c>
      <c r="AH2189" s="93">
        <v>0</v>
      </c>
    </row>
    <row r="2190" spans="1:34" ht="15.75" thickBot="1" x14ac:dyDescent="0.3">
      <c r="A2190" s="90" t="s">
        <v>1056</v>
      </c>
      <c r="B2190" s="90" t="s">
        <v>57</v>
      </c>
      <c r="C2190" s="90" t="s">
        <v>58</v>
      </c>
      <c r="D2190" s="90" t="s">
        <v>664</v>
      </c>
      <c r="E2190" s="90" t="s">
        <v>676</v>
      </c>
      <c r="F2190" s="90" t="s">
        <v>697</v>
      </c>
      <c r="G2190" s="95">
        <v>158.97</v>
      </c>
      <c r="H2190" s="94"/>
      <c r="I2190" s="94"/>
      <c r="J2190" s="94"/>
      <c r="K2190" s="94"/>
      <c r="L2190" s="94"/>
      <c r="M2190" s="94"/>
      <c r="N2190" s="94"/>
      <c r="O2190" s="94"/>
      <c r="P2190" s="94"/>
      <c r="Q2190" s="94"/>
      <c r="R2190" s="94"/>
      <c r="S2190" s="94"/>
      <c r="T2190" s="94"/>
      <c r="U2190" s="95">
        <v>158.97</v>
      </c>
      <c r="V2190" s="94"/>
      <c r="W2190" s="94"/>
      <c r="X2190" s="94"/>
      <c r="Y2190" s="94"/>
      <c r="Z2190" s="94"/>
      <c r="AA2190" s="94"/>
      <c r="AB2190" s="94"/>
      <c r="AC2190" s="94"/>
      <c r="AD2190" s="95">
        <v>0</v>
      </c>
      <c r="AE2190" s="94"/>
      <c r="AF2190" s="94"/>
      <c r="AG2190" s="95">
        <v>158.97</v>
      </c>
      <c r="AH2190" s="95">
        <v>0</v>
      </c>
    </row>
    <row r="2191" spans="1:34" ht="15.75" thickBot="1" x14ac:dyDescent="0.3">
      <c r="A2191" s="90" t="s">
        <v>1056</v>
      </c>
      <c r="B2191" s="90" t="s">
        <v>57</v>
      </c>
      <c r="C2191" s="90" t="s">
        <v>58</v>
      </c>
      <c r="D2191" s="90" t="s">
        <v>664</v>
      </c>
      <c r="E2191" s="90" t="s">
        <v>677</v>
      </c>
      <c r="F2191" s="90" t="s">
        <v>511</v>
      </c>
      <c r="G2191" s="93">
        <v>175.33</v>
      </c>
      <c r="H2191" s="92"/>
      <c r="I2191" s="92"/>
      <c r="J2191" s="92"/>
      <c r="K2191" s="92"/>
      <c r="L2191" s="92"/>
      <c r="M2191" s="92"/>
      <c r="N2191" s="92"/>
      <c r="O2191" s="92"/>
      <c r="P2191" s="92"/>
      <c r="Q2191" s="92"/>
      <c r="R2191" s="92"/>
      <c r="S2191" s="92"/>
      <c r="T2191" s="92"/>
      <c r="U2191" s="92"/>
      <c r="V2191" s="93">
        <v>175.33</v>
      </c>
      <c r="W2191" s="92"/>
      <c r="X2191" s="92"/>
      <c r="Y2191" s="92"/>
      <c r="Z2191" s="92"/>
      <c r="AA2191" s="92"/>
      <c r="AB2191" s="92"/>
      <c r="AC2191" s="92"/>
      <c r="AD2191" s="93">
        <v>0</v>
      </c>
      <c r="AE2191" s="92"/>
      <c r="AF2191" s="92"/>
      <c r="AG2191" s="93">
        <v>175.33</v>
      </c>
      <c r="AH2191" s="93">
        <v>0</v>
      </c>
    </row>
    <row r="2192" spans="1:34" ht="15.75" thickBot="1" x14ac:dyDescent="0.3">
      <c r="A2192" s="90" t="s">
        <v>1056</v>
      </c>
      <c r="B2192" s="90" t="s">
        <v>57</v>
      </c>
      <c r="C2192" s="90" t="s">
        <v>58</v>
      </c>
      <c r="D2192" s="90" t="s">
        <v>664</v>
      </c>
      <c r="E2192" s="90" t="s">
        <v>677</v>
      </c>
      <c r="F2192" s="90" t="s">
        <v>697</v>
      </c>
      <c r="G2192" s="95">
        <v>175.33</v>
      </c>
      <c r="H2192" s="94"/>
      <c r="I2192" s="94"/>
      <c r="J2192" s="94"/>
      <c r="K2192" s="94"/>
      <c r="L2192" s="94"/>
      <c r="M2192" s="94"/>
      <c r="N2192" s="94"/>
      <c r="O2192" s="94"/>
      <c r="P2192" s="94"/>
      <c r="Q2192" s="94"/>
      <c r="R2192" s="94"/>
      <c r="S2192" s="94"/>
      <c r="T2192" s="94"/>
      <c r="U2192" s="94"/>
      <c r="V2192" s="95">
        <v>175.33</v>
      </c>
      <c r="W2192" s="94"/>
      <c r="X2192" s="94"/>
      <c r="Y2192" s="94"/>
      <c r="Z2192" s="94"/>
      <c r="AA2192" s="94"/>
      <c r="AB2192" s="94"/>
      <c r="AC2192" s="94"/>
      <c r="AD2192" s="95">
        <v>0</v>
      </c>
      <c r="AE2192" s="94"/>
      <c r="AF2192" s="94"/>
      <c r="AG2192" s="95">
        <v>175.33</v>
      </c>
      <c r="AH2192" s="95">
        <v>0</v>
      </c>
    </row>
    <row r="2193" spans="1:34" ht="15.75" thickBot="1" x14ac:dyDescent="0.3">
      <c r="A2193" s="90" t="s">
        <v>1056</v>
      </c>
      <c r="B2193" s="90" t="s">
        <v>35</v>
      </c>
      <c r="C2193" s="90" t="s">
        <v>36</v>
      </c>
      <c r="D2193" s="90" t="s">
        <v>17</v>
      </c>
      <c r="E2193" s="90" t="s">
        <v>528</v>
      </c>
      <c r="F2193" s="90" t="s">
        <v>686</v>
      </c>
      <c r="G2193" s="93">
        <v>148.5</v>
      </c>
      <c r="H2193" s="92"/>
      <c r="I2193" s="93">
        <v>148.5</v>
      </c>
      <c r="J2193" s="92"/>
      <c r="K2193" s="92"/>
      <c r="L2193" s="92"/>
      <c r="M2193" s="92"/>
      <c r="N2193" s="92"/>
      <c r="O2193" s="92"/>
      <c r="P2193" s="92"/>
      <c r="Q2193" s="92"/>
      <c r="R2193" s="92"/>
      <c r="S2193" s="92"/>
      <c r="T2193" s="92"/>
      <c r="U2193" s="92"/>
      <c r="V2193" s="92"/>
      <c r="W2193" s="92"/>
      <c r="X2193" s="92"/>
      <c r="Y2193" s="92"/>
      <c r="Z2193" s="92"/>
      <c r="AA2193" s="92"/>
      <c r="AB2193" s="92"/>
      <c r="AC2193" s="92"/>
      <c r="AD2193" s="93">
        <v>8.1199999999999992</v>
      </c>
      <c r="AE2193" s="92"/>
      <c r="AF2193" s="92"/>
      <c r="AG2193" s="93">
        <v>156.62</v>
      </c>
      <c r="AH2193" s="93">
        <v>0</v>
      </c>
    </row>
    <row r="2194" spans="1:34" ht="15.75" thickBot="1" x14ac:dyDescent="0.3">
      <c r="A2194" s="90" t="s">
        <v>1056</v>
      </c>
      <c r="B2194" s="90" t="s">
        <v>35</v>
      </c>
      <c r="C2194" s="90" t="s">
        <v>36</v>
      </c>
      <c r="D2194" s="90" t="s">
        <v>17</v>
      </c>
      <c r="E2194" s="90" t="s">
        <v>528</v>
      </c>
      <c r="F2194" s="90" t="s">
        <v>697</v>
      </c>
      <c r="G2194" s="95">
        <v>148.5</v>
      </c>
      <c r="H2194" s="94"/>
      <c r="I2194" s="95">
        <v>148.5</v>
      </c>
      <c r="J2194" s="94"/>
      <c r="K2194" s="94"/>
      <c r="L2194" s="94"/>
      <c r="M2194" s="94"/>
      <c r="N2194" s="94"/>
      <c r="O2194" s="94"/>
      <c r="P2194" s="94"/>
      <c r="Q2194" s="94"/>
      <c r="R2194" s="94"/>
      <c r="S2194" s="94"/>
      <c r="T2194" s="94"/>
      <c r="U2194" s="94"/>
      <c r="V2194" s="94"/>
      <c r="W2194" s="94"/>
      <c r="X2194" s="94"/>
      <c r="Y2194" s="94"/>
      <c r="Z2194" s="94"/>
      <c r="AA2194" s="94"/>
      <c r="AB2194" s="94"/>
      <c r="AC2194" s="94"/>
      <c r="AD2194" s="95">
        <v>8.1199999999999992</v>
      </c>
      <c r="AE2194" s="94"/>
      <c r="AF2194" s="94"/>
      <c r="AG2194" s="95">
        <v>156.62</v>
      </c>
      <c r="AH2194" s="95">
        <v>0</v>
      </c>
    </row>
    <row r="2195" spans="1:34" ht="15.75" thickBot="1" x14ac:dyDescent="0.3">
      <c r="A2195" s="90" t="s">
        <v>1056</v>
      </c>
      <c r="B2195" s="90" t="s">
        <v>35</v>
      </c>
      <c r="C2195" s="90" t="s">
        <v>36</v>
      </c>
      <c r="D2195" s="90" t="s">
        <v>17</v>
      </c>
      <c r="E2195" s="90" t="s">
        <v>518</v>
      </c>
      <c r="F2195" s="90" t="s">
        <v>686</v>
      </c>
      <c r="G2195" s="93">
        <v>18.079999999999998</v>
      </c>
      <c r="H2195" s="93">
        <v>63</v>
      </c>
      <c r="I2195" s="92"/>
      <c r="J2195" s="92"/>
      <c r="K2195" s="93">
        <v>18.079999999999998</v>
      </c>
      <c r="L2195" s="92"/>
      <c r="M2195" s="92"/>
      <c r="N2195" s="92"/>
      <c r="O2195" s="92"/>
      <c r="P2195" s="92"/>
      <c r="Q2195" s="92"/>
      <c r="R2195" s="92"/>
      <c r="S2195" s="92"/>
      <c r="T2195" s="92"/>
      <c r="U2195" s="92"/>
      <c r="V2195" s="92"/>
      <c r="W2195" s="92"/>
      <c r="X2195" s="92"/>
      <c r="Y2195" s="92"/>
      <c r="Z2195" s="92"/>
      <c r="AA2195" s="92"/>
      <c r="AB2195" s="92"/>
      <c r="AC2195" s="92"/>
      <c r="AD2195" s="93">
        <v>0.84</v>
      </c>
      <c r="AE2195" s="92"/>
      <c r="AF2195" s="92"/>
      <c r="AG2195" s="93">
        <v>18.920000000000002</v>
      </c>
      <c r="AH2195" s="93">
        <v>0</v>
      </c>
    </row>
    <row r="2196" spans="1:34" ht="15.75" thickBot="1" x14ac:dyDescent="0.3">
      <c r="A2196" s="90" t="s">
        <v>1056</v>
      </c>
      <c r="B2196" s="90" t="s">
        <v>35</v>
      </c>
      <c r="C2196" s="90" t="s">
        <v>36</v>
      </c>
      <c r="D2196" s="90" t="s">
        <v>17</v>
      </c>
      <c r="E2196" s="90" t="s">
        <v>518</v>
      </c>
      <c r="F2196" s="90" t="s">
        <v>697</v>
      </c>
      <c r="G2196" s="95">
        <v>18.079999999999998</v>
      </c>
      <c r="H2196" s="305">
        <v>63</v>
      </c>
      <c r="I2196" s="94"/>
      <c r="J2196" s="94"/>
      <c r="K2196" s="95">
        <v>18.079999999999998</v>
      </c>
      <c r="L2196" s="94"/>
      <c r="M2196" s="94"/>
      <c r="N2196" s="94"/>
      <c r="O2196" s="94"/>
      <c r="P2196" s="94"/>
      <c r="Q2196" s="94"/>
      <c r="R2196" s="94"/>
      <c r="S2196" s="94"/>
      <c r="T2196" s="94"/>
      <c r="U2196" s="94"/>
      <c r="V2196" s="94"/>
      <c r="W2196" s="94"/>
      <c r="X2196" s="94"/>
      <c r="Y2196" s="94"/>
      <c r="Z2196" s="94"/>
      <c r="AA2196" s="94"/>
      <c r="AB2196" s="94"/>
      <c r="AC2196" s="94"/>
      <c r="AD2196" s="95">
        <v>0.84</v>
      </c>
      <c r="AE2196" s="94"/>
      <c r="AF2196" s="94"/>
      <c r="AG2196" s="95">
        <v>18.920000000000002</v>
      </c>
      <c r="AH2196" s="95">
        <v>0</v>
      </c>
    </row>
    <row r="2197" spans="1:34" ht="15.75" thickBot="1" x14ac:dyDescent="0.3">
      <c r="A2197" s="90" t="s">
        <v>1056</v>
      </c>
      <c r="B2197" s="90" t="s">
        <v>35</v>
      </c>
      <c r="C2197" s="90" t="s">
        <v>36</v>
      </c>
      <c r="D2197" s="90" t="s">
        <v>17</v>
      </c>
      <c r="E2197" s="90" t="s">
        <v>727</v>
      </c>
      <c r="F2197" s="90" t="s">
        <v>686</v>
      </c>
      <c r="G2197" s="93">
        <v>0.68</v>
      </c>
      <c r="H2197" s="92"/>
      <c r="I2197" s="92"/>
      <c r="J2197" s="92"/>
      <c r="K2197" s="92"/>
      <c r="L2197" s="92"/>
      <c r="M2197" s="92"/>
      <c r="N2197" s="92"/>
      <c r="O2197" s="93">
        <v>0.68</v>
      </c>
      <c r="P2197" s="92"/>
      <c r="Q2197" s="92"/>
      <c r="R2197" s="92"/>
      <c r="S2197" s="92"/>
      <c r="T2197" s="92"/>
      <c r="U2197" s="92"/>
      <c r="V2197" s="92"/>
      <c r="W2197" s="92"/>
      <c r="X2197" s="92"/>
      <c r="Y2197" s="92"/>
      <c r="Z2197" s="92"/>
      <c r="AA2197" s="92"/>
      <c r="AB2197" s="92"/>
      <c r="AC2197" s="92"/>
      <c r="AD2197" s="93">
        <v>0.02</v>
      </c>
      <c r="AE2197" s="92"/>
      <c r="AF2197" s="92"/>
      <c r="AG2197" s="93">
        <v>0.7</v>
      </c>
      <c r="AH2197" s="93">
        <v>0</v>
      </c>
    </row>
    <row r="2198" spans="1:34" ht="15.75" thickBot="1" x14ac:dyDescent="0.3">
      <c r="A2198" s="90" t="s">
        <v>1056</v>
      </c>
      <c r="B2198" s="90" t="s">
        <v>35</v>
      </c>
      <c r="C2198" s="90" t="s">
        <v>36</v>
      </c>
      <c r="D2198" s="90" t="s">
        <v>17</v>
      </c>
      <c r="E2198" s="90" t="s">
        <v>727</v>
      </c>
      <c r="F2198" s="90" t="s">
        <v>697</v>
      </c>
      <c r="G2198" s="95">
        <v>0.68</v>
      </c>
      <c r="H2198" s="94"/>
      <c r="I2198" s="94"/>
      <c r="J2198" s="94"/>
      <c r="K2198" s="94"/>
      <c r="L2198" s="94"/>
      <c r="M2198" s="94"/>
      <c r="N2198" s="94"/>
      <c r="O2198" s="95">
        <v>0.68</v>
      </c>
      <c r="P2198" s="94"/>
      <c r="Q2198" s="94"/>
      <c r="R2198" s="94"/>
      <c r="S2198" s="94"/>
      <c r="T2198" s="94"/>
      <c r="U2198" s="94"/>
      <c r="V2198" s="94"/>
      <c r="W2198" s="94"/>
      <c r="X2198" s="94"/>
      <c r="Y2198" s="94"/>
      <c r="Z2198" s="94"/>
      <c r="AA2198" s="94"/>
      <c r="AB2198" s="94"/>
      <c r="AC2198" s="94"/>
      <c r="AD2198" s="95">
        <v>0.02</v>
      </c>
      <c r="AE2198" s="94"/>
      <c r="AF2198" s="94"/>
      <c r="AG2198" s="95">
        <v>0.7</v>
      </c>
      <c r="AH2198" s="95">
        <v>0</v>
      </c>
    </row>
    <row r="2199" spans="1:34" ht="15.75" thickBot="1" x14ac:dyDescent="0.3">
      <c r="A2199" s="90" t="s">
        <v>1056</v>
      </c>
      <c r="B2199" s="90" t="s">
        <v>35</v>
      </c>
      <c r="C2199" s="90" t="s">
        <v>36</v>
      </c>
      <c r="D2199" s="90" t="s">
        <v>17</v>
      </c>
      <c r="E2199" s="90" t="s">
        <v>728</v>
      </c>
      <c r="F2199" s="90" t="s">
        <v>686</v>
      </c>
      <c r="G2199" s="92"/>
      <c r="H2199" s="92"/>
      <c r="I2199" s="92"/>
      <c r="J2199" s="92"/>
      <c r="K2199" s="92"/>
      <c r="L2199" s="92"/>
      <c r="M2199" s="92"/>
      <c r="N2199" s="92"/>
      <c r="O2199" s="92"/>
      <c r="P2199" s="92"/>
      <c r="Q2199" s="92"/>
      <c r="R2199" s="92"/>
      <c r="S2199" s="92"/>
      <c r="T2199" s="92"/>
      <c r="U2199" s="92"/>
      <c r="V2199" s="92"/>
      <c r="W2199" s="92"/>
      <c r="X2199" s="92"/>
      <c r="Y2199" s="92"/>
      <c r="Z2199" s="92"/>
      <c r="AA2199" s="92"/>
      <c r="AB2199" s="93">
        <v>2.75</v>
      </c>
      <c r="AC2199" s="92"/>
      <c r="AD2199" s="93">
        <v>0</v>
      </c>
      <c r="AE2199" s="92"/>
      <c r="AF2199" s="92"/>
      <c r="AG2199" s="93">
        <v>2.75</v>
      </c>
      <c r="AH2199" s="93">
        <v>0</v>
      </c>
    </row>
    <row r="2200" spans="1:34" ht="15.75" thickBot="1" x14ac:dyDescent="0.3">
      <c r="A2200" s="90" t="s">
        <v>1056</v>
      </c>
      <c r="B2200" s="90" t="s">
        <v>35</v>
      </c>
      <c r="C2200" s="90" t="s">
        <v>36</v>
      </c>
      <c r="D2200" s="90" t="s">
        <v>17</v>
      </c>
      <c r="E2200" s="90" t="s">
        <v>728</v>
      </c>
      <c r="F2200" s="90" t="s">
        <v>697</v>
      </c>
      <c r="G2200" s="94"/>
      <c r="H2200" s="94"/>
      <c r="I2200" s="94"/>
      <c r="J2200" s="94"/>
      <c r="K2200" s="94"/>
      <c r="L2200" s="94"/>
      <c r="M2200" s="94"/>
      <c r="N2200" s="94"/>
      <c r="O2200" s="94"/>
      <c r="P2200" s="94"/>
      <c r="Q2200" s="94"/>
      <c r="R2200" s="94"/>
      <c r="S2200" s="94"/>
      <c r="T2200" s="94"/>
      <c r="U2200" s="94"/>
      <c r="V2200" s="94"/>
      <c r="W2200" s="94"/>
      <c r="X2200" s="94"/>
      <c r="Y2200" s="94"/>
      <c r="Z2200" s="94"/>
      <c r="AA2200" s="94"/>
      <c r="AB2200" s="95">
        <v>2.75</v>
      </c>
      <c r="AC2200" s="94"/>
      <c r="AD2200" s="95">
        <v>0</v>
      </c>
      <c r="AE2200" s="94"/>
      <c r="AF2200" s="94"/>
      <c r="AG2200" s="95">
        <v>2.75</v>
      </c>
      <c r="AH2200" s="95">
        <v>0</v>
      </c>
    </row>
    <row r="2201" spans="1:34" ht="15.75" thickBot="1" x14ac:dyDescent="0.3">
      <c r="A2201" s="90" t="s">
        <v>1056</v>
      </c>
      <c r="B2201" s="90" t="s">
        <v>35</v>
      </c>
      <c r="C2201" s="90" t="s">
        <v>36</v>
      </c>
      <c r="D2201" s="90" t="s">
        <v>17</v>
      </c>
      <c r="E2201" s="90" t="s">
        <v>673</v>
      </c>
      <c r="F2201" s="90" t="s">
        <v>686</v>
      </c>
      <c r="G2201" s="93">
        <v>56.54</v>
      </c>
      <c r="H2201" s="92"/>
      <c r="I2201" s="92"/>
      <c r="J2201" s="92"/>
      <c r="K2201" s="92"/>
      <c r="L2201" s="92"/>
      <c r="M2201" s="92"/>
      <c r="N2201" s="92"/>
      <c r="O2201" s="92"/>
      <c r="P2201" s="92"/>
      <c r="Q2201" s="92"/>
      <c r="R2201" s="92"/>
      <c r="S2201" s="92"/>
      <c r="T2201" s="92"/>
      <c r="U2201" s="92"/>
      <c r="V2201" s="92"/>
      <c r="W2201" s="92"/>
      <c r="X2201" s="93">
        <v>56.54</v>
      </c>
      <c r="Y2201" s="92"/>
      <c r="Z2201" s="92"/>
      <c r="AA2201" s="92"/>
      <c r="AB2201" s="92"/>
      <c r="AC2201" s="92"/>
      <c r="AD2201" s="93">
        <v>3.1</v>
      </c>
      <c r="AE2201" s="92"/>
      <c r="AF2201" s="92"/>
      <c r="AG2201" s="93">
        <v>59.64</v>
      </c>
      <c r="AH2201" s="93">
        <v>0</v>
      </c>
    </row>
    <row r="2202" spans="1:34" ht="15.75" thickBot="1" x14ac:dyDescent="0.3">
      <c r="A2202" s="90" t="s">
        <v>1056</v>
      </c>
      <c r="B2202" s="90" t="s">
        <v>35</v>
      </c>
      <c r="C2202" s="90" t="s">
        <v>36</v>
      </c>
      <c r="D2202" s="90" t="s">
        <v>17</v>
      </c>
      <c r="E2202" s="90" t="s">
        <v>673</v>
      </c>
      <c r="F2202" s="90" t="s">
        <v>697</v>
      </c>
      <c r="G2202" s="95">
        <v>56.54</v>
      </c>
      <c r="H2202" s="94"/>
      <c r="I2202" s="94"/>
      <c r="J2202" s="94"/>
      <c r="K2202" s="94"/>
      <c r="L2202" s="94"/>
      <c r="M2202" s="94"/>
      <c r="N2202" s="94"/>
      <c r="O2202" s="94"/>
      <c r="P2202" s="94"/>
      <c r="Q2202" s="94"/>
      <c r="R2202" s="94"/>
      <c r="S2202" s="94"/>
      <c r="T2202" s="94"/>
      <c r="U2202" s="94"/>
      <c r="V2202" s="94"/>
      <c r="W2202" s="94"/>
      <c r="X2202" s="95">
        <v>56.54</v>
      </c>
      <c r="Y2202" s="94"/>
      <c r="Z2202" s="94"/>
      <c r="AA2202" s="94"/>
      <c r="AB2202" s="94"/>
      <c r="AC2202" s="94"/>
      <c r="AD2202" s="95">
        <v>3.1</v>
      </c>
      <c r="AE2202" s="94"/>
      <c r="AF2202" s="94"/>
      <c r="AG2202" s="95">
        <v>59.64</v>
      </c>
      <c r="AH2202" s="95">
        <v>0</v>
      </c>
    </row>
    <row r="2203" spans="1:34" ht="15.75" thickBot="1" x14ac:dyDescent="0.3">
      <c r="A2203" s="90" t="s">
        <v>1056</v>
      </c>
      <c r="B2203" s="90" t="s">
        <v>35</v>
      </c>
      <c r="C2203" s="90" t="s">
        <v>36</v>
      </c>
      <c r="D2203" s="90" t="s">
        <v>17</v>
      </c>
      <c r="E2203" s="90" t="s">
        <v>196</v>
      </c>
      <c r="F2203" s="90" t="s">
        <v>686</v>
      </c>
      <c r="G2203" s="93">
        <v>24.08</v>
      </c>
      <c r="H2203" s="92"/>
      <c r="I2203" s="92"/>
      <c r="J2203" s="92"/>
      <c r="K2203" s="92"/>
      <c r="L2203" s="92"/>
      <c r="M2203" s="92"/>
      <c r="N2203" s="92"/>
      <c r="O2203" s="92"/>
      <c r="P2203" s="93">
        <v>24.08</v>
      </c>
      <c r="Q2203" s="92"/>
      <c r="R2203" s="92"/>
      <c r="S2203" s="92"/>
      <c r="T2203" s="92"/>
      <c r="U2203" s="92"/>
      <c r="V2203" s="92"/>
      <c r="W2203" s="92"/>
      <c r="X2203" s="92"/>
      <c r="Y2203" s="92"/>
      <c r="Z2203" s="92"/>
      <c r="AA2203" s="92"/>
      <c r="AB2203" s="92"/>
      <c r="AC2203" s="92"/>
      <c r="AD2203" s="93">
        <v>1.0900000000000001</v>
      </c>
      <c r="AE2203" s="92"/>
      <c r="AF2203" s="92"/>
      <c r="AG2203" s="93">
        <v>25.17</v>
      </c>
      <c r="AH2203" s="93">
        <v>0</v>
      </c>
    </row>
    <row r="2204" spans="1:34" ht="15.75" thickBot="1" x14ac:dyDescent="0.3">
      <c r="A2204" s="90" t="s">
        <v>1056</v>
      </c>
      <c r="B2204" s="90" t="s">
        <v>35</v>
      </c>
      <c r="C2204" s="90" t="s">
        <v>36</v>
      </c>
      <c r="D2204" s="90" t="s">
        <v>17</v>
      </c>
      <c r="E2204" s="90" t="s">
        <v>196</v>
      </c>
      <c r="F2204" s="90" t="s">
        <v>697</v>
      </c>
      <c r="G2204" s="95">
        <v>24.08</v>
      </c>
      <c r="H2204" s="94"/>
      <c r="I2204" s="94"/>
      <c r="J2204" s="94"/>
      <c r="K2204" s="94"/>
      <c r="L2204" s="94"/>
      <c r="M2204" s="94"/>
      <c r="N2204" s="94"/>
      <c r="O2204" s="94"/>
      <c r="P2204" s="95">
        <v>24.08</v>
      </c>
      <c r="Q2204" s="94"/>
      <c r="R2204" s="94"/>
      <c r="S2204" s="94"/>
      <c r="T2204" s="94"/>
      <c r="U2204" s="94"/>
      <c r="V2204" s="94"/>
      <c r="W2204" s="94"/>
      <c r="X2204" s="94"/>
      <c r="Y2204" s="94"/>
      <c r="Z2204" s="94"/>
      <c r="AA2204" s="94"/>
      <c r="AB2204" s="94"/>
      <c r="AC2204" s="94"/>
      <c r="AD2204" s="95">
        <v>1.0900000000000001</v>
      </c>
      <c r="AE2204" s="94"/>
      <c r="AF2204" s="94"/>
      <c r="AG2204" s="95">
        <v>25.17</v>
      </c>
      <c r="AH2204" s="95">
        <v>0</v>
      </c>
    </row>
    <row r="2205" spans="1:34" ht="15.75" thickBot="1" x14ac:dyDescent="0.3">
      <c r="A2205" s="90" t="s">
        <v>1056</v>
      </c>
      <c r="B2205" s="90" t="s">
        <v>35</v>
      </c>
      <c r="C2205" s="90" t="s">
        <v>36</v>
      </c>
      <c r="D2205" s="90" t="s">
        <v>20</v>
      </c>
      <c r="E2205" s="90" t="s">
        <v>528</v>
      </c>
      <c r="F2205" s="90" t="s">
        <v>686</v>
      </c>
      <c r="G2205" s="93">
        <v>864</v>
      </c>
      <c r="H2205" s="92"/>
      <c r="I2205" s="93">
        <v>864</v>
      </c>
      <c r="J2205" s="92"/>
      <c r="K2205" s="92"/>
      <c r="L2205" s="92"/>
      <c r="M2205" s="92"/>
      <c r="N2205" s="92"/>
      <c r="O2205" s="92"/>
      <c r="P2205" s="92"/>
      <c r="Q2205" s="92"/>
      <c r="R2205" s="92"/>
      <c r="S2205" s="92"/>
      <c r="T2205" s="92"/>
      <c r="U2205" s="92"/>
      <c r="V2205" s="92"/>
      <c r="W2205" s="92"/>
      <c r="X2205" s="92"/>
      <c r="Y2205" s="92"/>
      <c r="Z2205" s="92"/>
      <c r="AA2205" s="92"/>
      <c r="AB2205" s="92"/>
      <c r="AC2205" s="92"/>
      <c r="AD2205" s="93">
        <v>1.22</v>
      </c>
      <c r="AE2205" s="92"/>
      <c r="AF2205" s="92"/>
      <c r="AG2205" s="93">
        <v>865.22</v>
      </c>
      <c r="AH2205" s="93">
        <v>0</v>
      </c>
    </row>
    <row r="2206" spans="1:34" ht="15.75" thickBot="1" x14ac:dyDescent="0.3">
      <c r="A2206" s="90" t="s">
        <v>1056</v>
      </c>
      <c r="B2206" s="90" t="s">
        <v>35</v>
      </c>
      <c r="C2206" s="90" t="s">
        <v>36</v>
      </c>
      <c r="D2206" s="90" t="s">
        <v>20</v>
      </c>
      <c r="E2206" s="90" t="s">
        <v>528</v>
      </c>
      <c r="F2206" s="90" t="s">
        <v>697</v>
      </c>
      <c r="G2206" s="95">
        <v>864</v>
      </c>
      <c r="H2206" s="94"/>
      <c r="I2206" s="95">
        <v>864</v>
      </c>
      <c r="J2206" s="94"/>
      <c r="K2206" s="94"/>
      <c r="L2206" s="94"/>
      <c r="M2206" s="94"/>
      <c r="N2206" s="94"/>
      <c r="O2206" s="94"/>
      <c r="P2206" s="94"/>
      <c r="Q2206" s="94"/>
      <c r="R2206" s="94"/>
      <c r="S2206" s="94"/>
      <c r="T2206" s="94"/>
      <c r="U2206" s="94"/>
      <c r="V2206" s="94"/>
      <c r="W2206" s="94"/>
      <c r="X2206" s="94"/>
      <c r="Y2206" s="94"/>
      <c r="Z2206" s="94"/>
      <c r="AA2206" s="94"/>
      <c r="AB2206" s="94"/>
      <c r="AC2206" s="94"/>
      <c r="AD2206" s="95">
        <v>1.22</v>
      </c>
      <c r="AE2206" s="94"/>
      <c r="AF2206" s="94"/>
      <c r="AG2206" s="95">
        <v>865.22</v>
      </c>
      <c r="AH2206" s="95">
        <v>0</v>
      </c>
    </row>
    <row r="2207" spans="1:34" ht="15.75" thickBot="1" x14ac:dyDescent="0.3">
      <c r="A2207" s="90" t="s">
        <v>1056</v>
      </c>
      <c r="B2207" s="90" t="s">
        <v>35</v>
      </c>
      <c r="C2207" s="90" t="s">
        <v>36</v>
      </c>
      <c r="D2207" s="90" t="s">
        <v>20</v>
      </c>
      <c r="E2207" s="90" t="s">
        <v>518</v>
      </c>
      <c r="F2207" s="90" t="s">
        <v>686</v>
      </c>
      <c r="G2207" s="93">
        <v>198.3</v>
      </c>
      <c r="H2207" s="93">
        <v>691</v>
      </c>
      <c r="I2207" s="92"/>
      <c r="J2207" s="92"/>
      <c r="K2207" s="93">
        <v>198.3</v>
      </c>
      <c r="L2207" s="92"/>
      <c r="M2207" s="92"/>
      <c r="N2207" s="92"/>
      <c r="O2207" s="92"/>
      <c r="P2207" s="92"/>
      <c r="Q2207" s="92"/>
      <c r="R2207" s="92"/>
      <c r="S2207" s="92"/>
      <c r="T2207" s="92"/>
      <c r="U2207" s="92"/>
      <c r="V2207" s="92"/>
      <c r="W2207" s="92"/>
      <c r="X2207" s="92"/>
      <c r="Y2207" s="92"/>
      <c r="Z2207" s="92"/>
      <c r="AA2207" s="92"/>
      <c r="AB2207" s="92"/>
      <c r="AC2207" s="92"/>
      <c r="AD2207" s="93">
        <v>0.38</v>
      </c>
      <c r="AE2207" s="92"/>
      <c r="AF2207" s="92"/>
      <c r="AG2207" s="93">
        <v>198.68</v>
      </c>
      <c r="AH2207" s="93">
        <v>0</v>
      </c>
    </row>
    <row r="2208" spans="1:34" ht="15.75" thickBot="1" x14ac:dyDescent="0.3">
      <c r="A2208" s="90" t="s">
        <v>1056</v>
      </c>
      <c r="B2208" s="90" t="s">
        <v>35</v>
      </c>
      <c r="C2208" s="90" t="s">
        <v>36</v>
      </c>
      <c r="D2208" s="90" t="s">
        <v>20</v>
      </c>
      <c r="E2208" s="90" t="s">
        <v>518</v>
      </c>
      <c r="F2208" s="90" t="s">
        <v>697</v>
      </c>
      <c r="G2208" s="95">
        <v>198.3</v>
      </c>
      <c r="H2208" s="305">
        <v>691</v>
      </c>
      <c r="I2208" s="94"/>
      <c r="J2208" s="94"/>
      <c r="K2208" s="95">
        <v>198.3</v>
      </c>
      <c r="L2208" s="94"/>
      <c r="M2208" s="94"/>
      <c r="N2208" s="94"/>
      <c r="O2208" s="94"/>
      <c r="P2208" s="94"/>
      <c r="Q2208" s="94"/>
      <c r="R2208" s="94"/>
      <c r="S2208" s="94"/>
      <c r="T2208" s="94"/>
      <c r="U2208" s="94"/>
      <c r="V2208" s="94"/>
      <c r="W2208" s="94"/>
      <c r="X2208" s="94"/>
      <c r="Y2208" s="94"/>
      <c r="Z2208" s="94"/>
      <c r="AA2208" s="94"/>
      <c r="AB2208" s="94"/>
      <c r="AC2208" s="94"/>
      <c r="AD2208" s="95">
        <v>0.38</v>
      </c>
      <c r="AE2208" s="94"/>
      <c r="AF2208" s="94"/>
      <c r="AG2208" s="95">
        <v>198.68</v>
      </c>
      <c r="AH2208" s="95">
        <v>0</v>
      </c>
    </row>
    <row r="2209" spans="1:34" ht="15.75" thickBot="1" x14ac:dyDescent="0.3">
      <c r="A2209" s="90" t="s">
        <v>1056</v>
      </c>
      <c r="B2209" s="90" t="s">
        <v>35</v>
      </c>
      <c r="C2209" s="90" t="s">
        <v>36</v>
      </c>
      <c r="D2209" s="90" t="s">
        <v>20</v>
      </c>
      <c r="E2209" s="90" t="s">
        <v>727</v>
      </c>
      <c r="F2209" s="90" t="s">
        <v>686</v>
      </c>
      <c r="G2209" s="93">
        <v>7.49</v>
      </c>
      <c r="H2209" s="92"/>
      <c r="I2209" s="92"/>
      <c r="J2209" s="92"/>
      <c r="K2209" s="92"/>
      <c r="L2209" s="92"/>
      <c r="M2209" s="92"/>
      <c r="N2209" s="92"/>
      <c r="O2209" s="93">
        <v>7.49</v>
      </c>
      <c r="P2209" s="92"/>
      <c r="Q2209" s="92"/>
      <c r="R2209" s="92"/>
      <c r="S2209" s="92"/>
      <c r="T2209" s="92"/>
      <c r="U2209" s="92"/>
      <c r="V2209" s="92"/>
      <c r="W2209" s="92"/>
      <c r="X2209" s="92"/>
      <c r="Y2209" s="92"/>
      <c r="Z2209" s="92"/>
      <c r="AA2209" s="92"/>
      <c r="AB2209" s="92"/>
      <c r="AC2209" s="92"/>
      <c r="AD2209" s="93">
        <v>0.02</v>
      </c>
      <c r="AE2209" s="92"/>
      <c r="AF2209" s="92"/>
      <c r="AG2209" s="93">
        <v>7.51</v>
      </c>
      <c r="AH2209" s="93">
        <v>0</v>
      </c>
    </row>
    <row r="2210" spans="1:34" ht="15.75" thickBot="1" x14ac:dyDescent="0.3">
      <c r="A2210" s="90" t="s">
        <v>1056</v>
      </c>
      <c r="B2210" s="90" t="s">
        <v>35</v>
      </c>
      <c r="C2210" s="90" t="s">
        <v>36</v>
      </c>
      <c r="D2210" s="90" t="s">
        <v>20</v>
      </c>
      <c r="E2210" s="90" t="s">
        <v>727</v>
      </c>
      <c r="F2210" s="90" t="s">
        <v>697</v>
      </c>
      <c r="G2210" s="95">
        <v>7.49</v>
      </c>
      <c r="H2210" s="94"/>
      <c r="I2210" s="94"/>
      <c r="J2210" s="94"/>
      <c r="K2210" s="94"/>
      <c r="L2210" s="94"/>
      <c r="M2210" s="94"/>
      <c r="N2210" s="94"/>
      <c r="O2210" s="95">
        <v>7.49</v>
      </c>
      <c r="P2210" s="94"/>
      <c r="Q2210" s="94"/>
      <c r="R2210" s="94"/>
      <c r="S2210" s="94"/>
      <c r="T2210" s="94"/>
      <c r="U2210" s="94"/>
      <c r="V2210" s="94"/>
      <c r="W2210" s="94"/>
      <c r="X2210" s="94"/>
      <c r="Y2210" s="94"/>
      <c r="Z2210" s="94"/>
      <c r="AA2210" s="94"/>
      <c r="AB2210" s="94"/>
      <c r="AC2210" s="94"/>
      <c r="AD2210" s="95">
        <v>0.02</v>
      </c>
      <c r="AE2210" s="94"/>
      <c r="AF2210" s="94"/>
      <c r="AG2210" s="95">
        <v>7.51</v>
      </c>
      <c r="AH2210" s="95">
        <v>0</v>
      </c>
    </row>
    <row r="2211" spans="1:34" ht="15.75" thickBot="1" x14ac:dyDescent="0.3">
      <c r="A2211" s="90" t="s">
        <v>1056</v>
      </c>
      <c r="B2211" s="90" t="s">
        <v>35</v>
      </c>
      <c r="C2211" s="90" t="s">
        <v>36</v>
      </c>
      <c r="D2211" s="90" t="s">
        <v>20</v>
      </c>
      <c r="E2211" s="90" t="s">
        <v>728</v>
      </c>
      <c r="F2211" s="90" t="s">
        <v>686</v>
      </c>
      <c r="G2211" s="92"/>
      <c r="H2211" s="92"/>
      <c r="I2211" s="92"/>
      <c r="J2211" s="92"/>
      <c r="K2211" s="92"/>
      <c r="L2211" s="92"/>
      <c r="M2211" s="92"/>
      <c r="N2211" s="92"/>
      <c r="O2211" s="92"/>
      <c r="P2211" s="92"/>
      <c r="Q2211" s="92"/>
      <c r="R2211" s="92"/>
      <c r="S2211" s="92"/>
      <c r="T2211" s="92"/>
      <c r="U2211" s="92"/>
      <c r="V2211" s="92"/>
      <c r="W2211" s="92"/>
      <c r="X2211" s="92"/>
      <c r="Y2211" s="92"/>
      <c r="Z2211" s="92"/>
      <c r="AA2211" s="92"/>
      <c r="AB2211" s="93">
        <v>16</v>
      </c>
      <c r="AC2211" s="92"/>
      <c r="AD2211" s="93">
        <v>0</v>
      </c>
      <c r="AE2211" s="92"/>
      <c r="AF2211" s="92"/>
      <c r="AG2211" s="93">
        <v>16</v>
      </c>
      <c r="AH2211" s="93">
        <v>0</v>
      </c>
    </row>
    <row r="2212" spans="1:34" ht="15.75" thickBot="1" x14ac:dyDescent="0.3">
      <c r="A2212" s="90" t="s">
        <v>1056</v>
      </c>
      <c r="B2212" s="90" t="s">
        <v>35</v>
      </c>
      <c r="C2212" s="90" t="s">
        <v>36</v>
      </c>
      <c r="D2212" s="90" t="s">
        <v>20</v>
      </c>
      <c r="E2212" s="90" t="s">
        <v>728</v>
      </c>
      <c r="F2212" s="90" t="s">
        <v>697</v>
      </c>
      <c r="G2212" s="94"/>
      <c r="H2212" s="94"/>
      <c r="I2212" s="94"/>
      <c r="J2212" s="94"/>
      <c r="K2212" s="94"/>
      <c r="L2212" s="94"/>
      <c r="M2212" s="94"/>
      <c r="N2212" s="94"/>
      <c r="O2212" s="94"/>
      <c r="P2212" s="94"/>
      <c r="Q2212" s="94"/>
      <c r="R2212" s="94"/>
      <c r="S2212" s="94"/>
      <c r="T2212" s="94"/>
      <c r="U2212" s="94"/>
      <c r="V2212" s="94"/>
      <c r="W2212" s="94"/>
      <c r="X2212" s="94"/>
      <c r="Y2212" s="94"/>
      <c r="Z2212" s="94"/>
      <c r="AA2212" s="94"/>
      <c r="AB2212" s="95">
        <v>16</v>
      </c>
      <c r="AC2212" s="94"/>
      <c r="AD2212" s="95">
        <v>0</v>
      </c>
      <c r="AE2212" s="94"/>
      <c r="AF2212" s="94"/>
      <c r="AG2212" s="95">
        <v>16</v>
      </c>
      <c r="AH2212" s="95">
        <v>0</v>
      </c>
    </row>
    <row r="2213" spans="1:34" ht="15.75" thickBot="1" x14ac:dyDescent="0.3">
      <c r="A2213" s="90" t="s">
        <v>1056</v>
      </c>
      <c r="B2213" s="90" t="s">
        <v>35</v>
      </c>
      <c r="C2213" s="90" t="s">
        <v>36</v>
      </c>
      <c r="D2213" s="90" t="s">
        <v>20</v>
      </c>
      <c r="E2213" s="90" t="s">
        <v>673</v>
      </c>
      <c r="F2213" s="90" t="s">
        <v>686</v>
      </c>
      <c r="G2213" s="93">
        <v>328.96</v>
      </c>
      <c r="H2213" s="92"/>
      <c r="I2213" s="92"/>
      <c r="J2213" s="92"/>
      <c r="K2213" s="92"/>
      <c r="L2213" s="92"/>
      <c r="M2213" s="92"/>
      <c r="N2213" s="92"/>
      <c r="O2213" s="92"/>
      <c r="P2213" s="92"/>
      <c r="Q2213" s="92"/>
      <c r="R2213" s="92"/>
      <c r="S2213" s="92"/>
      <c r="T2213" s="92"/>
      <c r="U2213" s="92"/>
      <c r="V2213" s="92"/>
      <c r="W2213" s="92"/>
      <c r="X2213" s="93">
        <v>328.96</v>
      </c>
      <c r="Y2213" s="92"/>
      <c r="Z2213" s="92"/>
      <c r="AA2213" s="92"/>
      <c r="AB2213" s="92"/>
      <c r="AC2213" s="92"/>
      <c r="AD2213" s="93">
        <v>0.46</v>
      </c>
      <c r="AE2213" s="92"/>
      <c r="AF2213" s="92"/>
      <c r="AG2213" s="93">
        <v>329.42</v>
      </c>
      <c r="AH2213" s="93">
        <v>0</v>
      </c>
    </row>
    <row r="2214" spans="1:34" ht="15.75" thickBot="1" x14ac:dyDescent="0.3">
      <c r="A2214" s="90" t="s">
        <v>1056</v>
      </c>
      <c r="B2214" s="90" t="s">
        <v>35</v>
      </c>
      <c r="C2214" s="90" t="s">
        <v>36</v>
      </c>
      <c r="D2214" s="90" t="s">
        <v>20</v>
      </c>
      <c r="E2214" s="90" t="s">
        <v>673</v>
      </c>
      <c r="F2214" s="90" t="s">
        <v>697</v>
      </c>
      <c r="G2214" s="95">
        <v>328.96</v>
      </c>
      <c r="H2214" s="94"/>
      <c r="I2214" s="94"/>
      <c r="J2214" s="94"/>
      <c r="K2214" s="94"/>
      <c r="L2214" s="94"/>
      <c r="M2214" s="94"/>
      <c r="N2214" s="94"/>
      <c r="O2214" s="94"/>
      <c r="P2214" s="94"/>
      <c r="Q2214" s="94"/>
      <c r="R2214" s="94"/>
      <c r="S2214" s="94"/>
      <c r="T2214" s="94"/>
      <c r="U2214" s="94"/>
      <c r="V2214" s="94"/>
      <c r="W2214" s="94"/>
      <c r="X2214" s="95">
        <v>328.96</v>
      </c>
      <c r="Y2214" s="94"/>
      <c r="Z2214" s="94"/>
      <c r="AA2214" s="94"/>
      <c r="AB2214" s="94"/>
      <c r="AC2214" s="94"/>
      <c r="AD2214" s="95">
        <v>0.46</v>
      </c>
      <c r="AE2214" s="94"/>
      <c r="AF2214" s="94"/>
      <c r="AG2214" s="95">
        <v>329.42</v>
      </c>
      <c r="AH2214" s="95">
        <v>0</v>
      </c>
    </row>
    <row r="2215" spans="1:34" ht="15.75" thickBot="1" x14ac:dyDescent="0.3">
      <c r="A2215" s="90" t="s">
        <v>1056</v>
      </c>
      <c r="B2215" s="90" t="s">
        <v>35</v>
      </c>
      <c r="C2215" s="90" t="s">
        <v>36</v>
      </c>
      <c r="D2215" s="90" t="s">
        <v>20</v>
      </c>
      <c r="E2215" s="90" t="s">
        <v>196</v>
      </c>
      <c r="F2215" s="90" t="s">
        <v>686</v>
      </c>
      <c r="G2215" s="93">
        <v>263.97000000000003</v>
      </c>
      <c r="H2215" s="92"/>
      <c r="I2215" s="92"/>
      <c r="J2215" s="92"/>
      <c r="K2215" s="92"/>
      <c r="L2215" s="92"/>
      <c r="M2215" s="92"/>
      <c r="N2215" s="92"/>
      <c r="O2215" s="92"/>
      <c r="P2215" s="93">
        <v>263.97000000000003</v>
      </c>
      <c r="Q2215" s="92"/>
      <c r="R2215" s="92"/>
      <c r="S2215" s="92"/>
      <c r="T2215" s="92"/>
      <c r="U2215" s="92"/>
      <c r="V2215" s="92"/>
      <c r="W2215" s="92"/>
      <c r="X2215" s="92"/>
      <c r="Y2215" s="92"/>
      <c r="Z2215" s="92"/>
      <c r="AA2215" s="92"/>
      <c r="AB2215" s="92"/>
      <c r="AC2215" s="92"/>
      <c r="AD2215" s="93">
        <v>0.5</v>
      </c>
      <c r="AE2215" s="92"/>
      <c r="AF2215" s="92"/>
      <c r="AG2215" s="93">
        <v>264.47000000000003</v>
      </c>
      <c r="AH2215" s="93">
        <v>0</v>
      </c>
    </row>
    <row r="2216" spans="1:34" ht="15.75" thickBot="1" x14ac:dyDescent="0.3">
      <c r="A2216" s="90" t="s">
        <v>1056</v>
      </c>
      <c r="B2216" s="90" t="s">
        <v>35</v>
      </c>
      <c r="C2216" s="90" t="s">
        <v>36</v>
      </c>
      <c r="D2216" s="90" t="s">
        <v>20</v>
      </c>
      <c r="E2216" s="90" t="s">
        <v>196</v>
      </c>
      <c r="F2216" s="90" t="s">
        <v>697</v>
      </c>
      <c r="G2216" s="95">
        <v>263.97000000000003</v>
      </c>
      <c r="H2216" s="94"/>
      <c r="I2216" s="94"/>
      <c r="J2216" s="94"/>
      <c r="K2216" s="94"/>
      <c r="L2216" s="94"/>
      <c r="M2216" s="94"/>
      <c r="N2216" s="94"/>
      <c r="O2216" s="94"/>
      <c r="P2216" s="95">
        <v>263.97000000000003</v>
      </c>
      <c r="Q2216" s="94"/>
      <c r="R2216" s="94"/>
      <c r="S2216" s="94"/>
      <c r="T2216" s="94"/>
      <c r="U2216" s="94"/>
      <c r="V2216" s="94"/>
      <c r="W2216" s="94"/>
      <c r="X2216" s="94"/>
      <c r="Y2216" s="94"/>
      <c r="Z2216" s="94"/>
      <c r="AA2216" s="94"/>
      <c r="AB2216" s="94"/>
      <c r="AC2216" s="94"/>
      <c r="AD2216" s="95">
        <v>0.5</v>
      </c>
      <c r="AE2216" s="94"/>
      <c r="AF2216" s="94"/>
      <c r="AG2216" s="95">
        <v>264.47000000000003</v>
      </c>
      <c r="AH2216" s="95">
        <v>0</v>
      </c>
    </row>
    <row r="2217" spans="1:34" ht="15.75" thickBot="1" x14ac:dyDescent="0.3">
      <c r="A2217" s="90" t="s">
        <v>1056</v>
      </c>
      <c r="B2217" s="90" t="s">
        <v>35</v>
      </c>
      <c r="C2217" s="90" t="s">
        <v>36</v>
      </c>
      <c r="D2217" s="90" t="s">
        <v>28</v>
      </c>
      <c r="E2217" s="90" t="s">
        <v>726</v>
      </c>
      <c r="F2217" s="90" t="s">
        <v>686</v>
      </c>
      <c r="G2217" s="92"/>
      <c r="H2217" s="92"/>
      <c r="I2217" s="92"/>
      <c r="J2217" s="92"/>
      <c r="K2217" s="92"/>
      <c r="L2217" s="92"/>
      <c r="M2217" s="92"/>
      <c r="N2217" s="92"/>
      <c r="O2217" s="92"/>
      <c r="P2217" s="92"/>
      <c r="Q2217" s="92"/>
      <c r="R2217" s="92"/>
      <c r="S2217" s="92"/>
      <c r="T2217" s="92"/>
      <c r="U2217" s="92"/>
      <c r="V2217" s="92"/>
      <c r="W2217" s="92"/>
      <c r="X2217" s="92"/>
      <c r="Y2217" s="92"/>
      <c r="Z2217" s="92"/>
      <c r="AA2217" s="92"/>
      <c r="AB2217" s="92"/>
      <c r="AC2217" s="93">
        <v>1707.74</v>
      </c>
      <c r="AD2217" s="93">
        <v>0</v>
      </c>
      <c r="AE2217" s="92"/>
      <c r="AF2217" s="92"/>
      <c r="AG2217" s="93">
        <v>1707.74</v>
      </c>
      <c r="AH2217" s="93">
        <v>0</v>
      </c>
    </row>
    <row r="2218" spans="1:34" ht="15.75" thickBot="1" x14ac:dyDescent="0.3">
      <c r="A2218" s="90" t="s">
        <v>1056</v>
      </c>
      <c r="B2218" s="90" t="s">
        <v>35</v>
      </c>
      <c r="C2218" s="90" t="s">
        <v>36</v>
      </c>
      <c r="D2218" s="90" t="s">
        <v>28</v>
      </c>
      <c r="E2218" s="90" t="s">
        <v>726</v>
      </c>
      <c r="F2218" s="90" t="s">
        <v>697</v>
      </c>
      <c r="G2218" s="94"/>
      <c r="H2218" s="94"/>
      <c r="I2218" s="94"/>
      <c r="J2218" s="94"/>
      <c r="K2218" s="94"/>
      <c r="L2218" s="94"/>
      <c r="M2218" s="94"/>
      <c r="N2218" s="94"/>
      <c r="O2218" s="94"/>
      <c r="P2218" s="94"/>
      <c r="Q2218" s="94"/>
      <c r="R2218" s="94"/>
      <c r="S2218" s="94"/>
      <c r="T2218" s="94"/>
      <c r="U2218" s="94"/>
      <c r="V2218" s="94"/>
      <c r="W2218" s="94"/>
      <c r="X2218" s="94"/>
      <c r="Y2218" s="94"/>
      <c r="Z2218" s="94"/>
      <c r="AA2218" s="94"/>
      <c r="AB2218" s="94"/>
      <c r="AC2218" s="95">
        <v>1707.74</v>
      </c>
      <c r="AD2218" s="95">
        <v>0</v>
      </c>
      <c r="AE2218" s="94"/>
      <c r="AF2218" s="94"/>
      <c r="AG2218" s="95">
        <v>1707.74</v>
      </c>
      <c r="AH2218" s="95">
        <v>0</v>
      </c>
    </row>
    <row r="2219" spans="1:34" ht="15.75" thickBot="1" x14ac:dyDescent="0.3">
      <c r="A2219" s="90" t="s">
        <v>1056</v>
      </c>
      <c r="B2219" s="90" t="s">
        <v>35</v>
      </c>
      <c r="C2219" s="90" t="s">
        <v>36</v>
      </c>
      <c r="D2219" s="90" t="s">
        <v>28</v>
      </c>
      <c r="E2219" s="90" t="s">
        <v>528</v>
      </c>
      <c r="F2219" s="90" t="s">
        <v>686</v>
      </c>
      <c r="G2219" s="93">
        <v>3967206.1</v>
      </c>
      <c r="H2219" s="92"/>
      <c r="I2219" s="93">
        <v>3967206.1</v>
      </c>
      <c r="J2219" s="92"/>
      <c r="K2219" s="92"/>
      <c r="L2219" s="92"/>
      <c r="M2219" s="92"/>
      <c r="N2219" s="92"/>
      <c r="O2219" s="92"/>
      <c r="P2219" s="92"/>
      <c r="Q2219" s="92"/>
      <c r="R2219" s="92"/>
      <c r="S2219" s="92"/>
      <c r="T2219" s="92"/>
      <c r="U2219" s="92"/>
      <c r="V2219" s="92"/>
      <c r="W2219" s="92"/>
      <c r="X2219" s="92"/>
      <c r="Y2219" s="92"/>
      <c r="Z2219" s="92"/>
      <c r="AA2219" s="92"/>
      <c r="AB2219" s="92"/>
      <c r="AC2219" s="92"/>
      <c r="AD2219" s="93">
        <v>16835.38</v>
      </c>
      <c r="AE2219" s="92"/>
      <c r="AF2219" s="92"/>
      <c r="AG2219" s="93">
        <v>3984041.48</v>
      </c>
      <c r="AH2219" s="93">
        <v>0</v>
      </c>
    </row>
    <row r="2220" spans="1:34" ht="15.75" thickBot="1" x14ac:dyDescent="0.3">
      <c r="A2220" s="90" t="s">
        <v>1056</v>
      </c>
      <c r="B2220" s="90" t="s">
        <v>35</v>
      </c>
      <c r="C2220" s="90" t="s">
        <v>36</v>
      </c>
      <c r="D2220" s="90" t="s">
        <v>28</v>
      </c>
      <c r="E2220" s="90" t="s">
        <v>528</v>
      </c>
      <c r="F2220" s="90" t="s">
        <v>697</v>
      </c>
      <c r="G2220" s="95">
        <v>3967206.1</v>
      </c>
      <c r="H2220" s="94"/>
      <c r="I2220" s="95">
        <v>3967206.1</v>
      </c>
      <c r="J2220" s="94"/>
      <c r="K2220" s="94"/>
      <c r="L2220" s="94"/>
      <c r="M2220" s="94"/>
      <c r="N2220" s="94"/>
      <c r="O2220" s="94"/>
      <c r="P2220" s="94"/>
      <c r="Q2220" s="94"/>
      <c r="R2220" s="94"/>
      <c r="S2220" s="94"/>
      <c r="T2220" s="94"/>
      <c r="U2220" s="94"/>
      <c r="V2220" s="94"/>
      <c r="W2220" s="94"/>
      <c r="X2220" s="94"/>
      <c r="Y2220" s="94"/>
      <c r="Z2220" s="94"/>
      <c r="AA2220" s="94"/>
      <c r="AB2220" s="94"/>
      <c r="AC2220" s="94"/>
      <c r="AD2220" s="95">
        <v>16835.38</v>
      </c>
      <c r="AE2220" s="94"/>
      <c r="AF2220" s="94"/>
      <c r="AG2220" s="95">
        <v>3984041.48</v>
      </c>
      <c r="AH2220" s="95">
        <v>0</v>
      </c>
    </row>
    <row r="2221" spans="1:34" ht="15.75" thickBot="1" x14ac:dyDescent="0.3">
      <c r="A2221" s="90" t="s">
        <v>1056</v>
      </c>
      <c r="B2221" s="90" t="s">
        <v>35</v>
      </c>
      <c r="C2221" s="90" t="s">
        <v>36</v>
      </c>
      <c r="D2221" s="90" t="s">
        <v>28</v>
      </c>
      <c r="E2221" s="90" t="s">
        <v>518</v>
      </c>
      <c r="F2221" s="90" t="s">
        <v>686</v>
      </c>
      <c r="G2221" s="93">
        <v>977480</v>
      </c>
      <c r="H2221" s="93">
        <v>3406639</v>
      </c>
      <c r="I2221" s="92"/>
      <c r="J2221" s="92"/>
      <c r="K2221" s="93">
        <v>977480</v>
      </c>
      <c r="L2221" s="92"/>
      <c r="M2221" s="92"/>
      <c r="N2221" s="92"/>
      <c r="O2221" s="92"/>
      <c r="P2221" s="92"/>
      <c r="Q2221" s="92"/>
      <c r="R2221" s="92"/>
      <c r="S2221" s="92"/>
      <c r="T2221" s="92"/>
      <c r="U2221" s="92"/>
      <c r="V2221" s="92"/>
      <c r="W2221" s="92"/>
      <c r="X2221" s="92"/>
      <c r="Y2221" s="92"/>
      <c r="Z2221" s="92"/>
      <c r="AA2221" s="92"/>
      <c r="AB2221" s="92"/>
      <c r="AC2221" s="92"/>
      <c r="AD2221" s="93">
        <v>3749.33</v>
      </c>
      <c r="AE2221" s="92"/>
      <c r="AF2221" s="92"/>
      <c r="AG2221" s="93">
        <v>981229.33</v>
      </c>
      <c r="AH2221" s="93">
        <v>0</v>
      </c>
    </row>
    <row r="2222" spans="1:34" ht="15.75" thickBot="1" x14ac:dyDescent="0.3">
      <c r="A2222" s="90" t="s">
        <v>1056</v>
      </c>
      <c r="B2222" s="90" t="s">
        <v>35</v>
      </c>
      <c r="C2222" s="90" t="s">
        <v>36</v>
      </c>
      <c r="D2222" s="90" t="s">
        <v>28</v>
      </c>
      <c r="E2222" s="90" t="s">
        <v>518</v>
      </c>
      <c r="F2222" s="90" t="s">
        <v>697</v>
      </c>
      <c r="G2222" s="95">
        <v>977480</v>
      </c>
      <c r="H2222" s="305">
        <v>3406639</v>
      </c>
      <c r="I2222" s="94"/>
      <c r="J2222" s="94"/>
      <c r="K2222" s="95">
        <v>977480</v>
      </c>
      <c r="L2222" s="94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4"/>
      <c r="X2222" s="94"/>
      <c r="Y2222" s="94"/>
      <c r="Z2222" s="94"/>
      <c r="AA2222" s="94"/>
      <c r="AB2222" s="94"/>
      <c r="AC2222" s="94"/>
      <c r="AD2222" s="95">
        <v>3749.33</v>
      </c>
      <c r="AE2222" s="94"/>
      <c r="AF2222" s="94"/>
      <c r="AG2222" s="95">
        <v>981229.33</v>
      </c>
      <c r="AH2222" s="95">
        <v>0</v>
      </c>
    </row>
    <row r="2223" spans="1:34" ht="15.75" thickBot="1" x14ac:dyDescent="0.3">
      <c r="A2223" s="90" t="s">
        <v>1056</v>
      </c>
      <c r="B2223" s="90" t="s">
        <v>35</v>
      </c>
      <c r="C2223" s="90" t="s">
        <v>36</v>
      </c>
      <c r="D2223" s="90" t="s">
        <v>28</v>
      </c>
      <c r="E2223" s="90" t="s">
        <v>727</v>
      </c>
      <c r="F2223" s="90" t="s">
        <v>686</v>
      </c>
      <c r="G2223" s="93">
        <v>37065.800000000003</v>
      </c>
      <c r="H2223" s="92"/>
      <c r="I2223" s="92"/>
      <c r="J2223" s="92"/>
      <c r="K2223" s="92"/>
      <c r="L2223" s="92"/>
      <c r="M2223" s="92"/>
      <c r="N2223" s="92"/>
      <c r="O2223" s="93">
        <v>37065.800000000003</v>
      </c>
      <c r="P2223" s="92"/>
      <c r="Q2223" s="92"/>
      <c r="R2223" s="92"/>
      <c r="S2223" s="92"/>
      <c r="T2223" s="92"/>
      <c r="U2223" s="92"/>
      <c r="V2223" s="92"/>
      <c r="W2223" s="92"/>
      <c r="X2223" s="92"/>
      <c r="Y2223" s="92"/>
      <c r="Z2223" s="92"/>
      <c r="AA2223" s="92"/>
      <c r="AB2223" s="92"/>
      <c r="AC2223" s="92"/>
      <c r="AD2223" s="93">
        <v>103.82</v>
      </c>
      <c r="AE2223" s="92"/>
      <c r="AF2223" s="92"/>
      <c r="AG2223" s="93">
        <v>37169.620000000003</v>
      </c>
      <c r="AH2223" s="93">
        <v>0</v>
      </c>
    </row>
    <row r="2224" spans="1:34" ht="15.75" thickBot="1" x14ac:dyDescent="0.3">
      <c r="A2224" s="90" t="s">
        <v>1056</v>
      </c>
      <c r="B2224" s="90" t="s">
        <v>35</v>
      </c>
      <c r="C2224" s="90" t="s">
        <v>36</v>
      </c>
      <c r="D2224" s="90" t="s">
        <v>28</v>
      </c>
      <c r="E2224" s="90" t="s">
        <v>727</v>
      </c>
      <c r="F2224" s="90" t="s">
        <v>697</v>
      </c>
      <c r="G2224" s="95">
        <v>37065.800000000003</v>
      </c>
      <c r="H2224" s="94"/>
      <c r="I2224" s="94"/>
      <c r="J2224" s="94"/>
      <c r="K2224" s="94"/>
      <c r="L2224" s="94"/>
      <c r="M2224" s="94"/>
      <c r="N2224" s="94"/>
      <c r="O2224" s="95">
        <v>37065.800000000003</v>
      </c>
      <c r="P2224" s="94"/>
      <c r="Q2224" s="94"/>
      <c r="R2224" s="94"/>
      <c r="S2224" s="94"/>
      <c r="T2224" s="94"/>
      <c r="U2224" s="94"/>
      <c r="V2224" s="94"/>
      <c r="W2224" s="94"/>
      <c r="X2224" s="94"/>
      <c r="Y2224" s="94"/>
      <c r="Z2224" s="94"/>
      <c r="AA2224" s="94"/>
      <c r="AB2224" s="94"/>
      <c r="AC2224" s="94"/>
      <c r="AD2224" s="95">
        <v>103.82</v>
      </c>
      <c r="AE2224" s="94"/>
      <c r="AF2224" s="94"/>
      <c r="AG2224" s="95">
        <v>37169.620000000003</v>
      </c>
      <c r="AH2224" s="95">
        <v>0</v>
      </c>
    </row>
    <row r="2225" spans="1:34" ht="15.75" thickBot="1" x14ac:dyDescent="0.3">
      <c r="A2225" s="90" t="s">
        <v>1056</v>
      </c>
      <c r="B2225" s="90" t="s">
        <v>35</v>
      </c>
      <c r="C2225" s="90" t="s">
        <v>36</v>
      </c>
      <c r="D2225" s="90" t="s">
        <v>28</v>
      </c>
      <c r="E2225" s="90" t="s">
        <v>728</v>
      </c>
      <c r="F2225" s="90" t="s">
        <v>686</v>
      </c>
      <c r="G2225" s="92"/>
      <c r="H2225" s="92"/>
      <c r="I2225" s="92"/>
      <c r="J2225" s="92"/>
      <c r="K2225" s="92"/>
      <c r="L2225" s="92"/>
      <c r="M2225" s="92"/>
      <c r="N2225" s="92"/>
      <c r="O2225" s="92"/>
      <c r="P2225" s="92"/>
      <c r="Q2225" s="92"/>
      <c r="R2225" s="92"/>
      <c r="S2225" s="92"/>
      <c r="T2225" s="92"/>
      <c r="U2225" s="92"/>
      <c r="V2225" s="92"/>
      <c r="W2225" s="92"/>
      <c r="X2225" s="92"/>
      <c r="Y2225" s="92"/>
      <c r="Z2225" s="92"/>
      <c r="AA2225" s="92"/>
      <c r="AB2225" s="93">
        <v>74103.5</v>
      </c>
      <c r="AC2225" s="92"/>
      <c r="AD2225" s="93">
        <v>0</v>
      </c>
      <c r="AE2225" s="92"/>
      <c r="AF2225" s="92"/>
      <c r="AG2225" s="93">
        <v>74103.5</v>
      </c>
      <c r="AH2225" s="93">
        <v>0</v>
      </c>
    </row>
    <row r="2226" spans="1:34" ht="15.75" thickBot="1" x14ac:dyDescent="0.3">
      <c r="A2226" s="90" t="s">
        <v>1056</v>
      </c>
      <c r="B2226" s="90" t="s">
        <v>35</v>
      </c>
      <c r="C2226" s="90" t="s">
        <v>36</v>
      </c>
      <c r="D2226" s="90" t="s">
        <v>28</v>
      </c>
      <c r="E2226" s="90" t="s">
        <v>728</v>
      </c>
      <c r="F2226" s="90" t="s">
        <v>697</v>
      </c>
      <c r="G2226" s="94"/>
      <c r="H2226" s="94"/>
      <c r="I2226" s="94"/>
      <c r="J2226" s="94"/>
      <c r="K2226" s="94"/>
      <c r="L2226" s="94"/>
      <c r="M2226" s="94"/>
      <c r="N2226" s="94"/>
      <c r="O2226" s="94"/>
      <c r="P2226" s="94"/>
      <c r="Q2226" s="94"/>
      <c r="R2226" s="94"/>
      <c r="S2226" s="94"/>
      <c r="T2226" s="94"/>
      <c r="U2226" s="94"/>
      <c r="V2226" s="94"/>
      <c r="W2226" s="94"/>
      <c r="X2226" s="94"/>
      <c r="Y2226" s="94"/>
      <c r="Z2226" s="94"/>
      <c r="AA2226" s="94"/>
      <c r="AB2226" s="95">
        <v>74103.5</v>
      </c>
      <c r="AC2226" s="94"/>
      <c r="AD2226" s="95">
        <v>0</v>
      </c>
      <c r="AE2226" s="94"/>
      <c r="AF2226" s="94"/>
      <c r="AG2226" s="95">
        <v>74103.5</v>
      </c>
      <c r="AH2226" s="95">
        <v>0</v>
      </c>
    </row>
    <row r="2227" spans="1:34" ht="15.75" thickBot="1" x14ac:dyDescent="0.3">
      <c r="A2227" s="90" t="s">
        <v>1056</v>
      </c>
      <c r="B2227" s="90" t="s">
        <v>35</v>
      </c>
      <c r="C2227" s="90" t="s">
        <v>36</v>
      </c>
      <c r="D2227" s="90" t="s">
        <v>28</v>
      </c>
      <c r="E2227" s="90" t="s">
        <v>673</v>
      </c>
      <c r="F2227" s="90" t="s">
        <v>686</v>
      </c>
      <c r="G2227" s="93">
        <v>1510478.89</v>
      </c>
      <c r="H2227" s="92"/>
      <c r="I2227" s="92"/>
      <c r="J2227" s="92"/>
      <c r="K2227" s="92"/>
      <c r="L2227" s="92"/>
      <c r="M2227" s="92"/>
      <c r="N2227" s="92"/>
      <c r="O2227" s="92"/>
      <c r="P2227" s="92"/>
      <c r="Q2227" s="92"/>
      <c r="R2227" s="92"/>
      <c r="S2227" s="92"/>
      <c r="T2227" s="92"/>
      <c r="U2227" s="92"/>
      <c r="V2227" s="92"/>
      <c r="W2227" s="92"/>
      <c r="X2227" s="93">
        <v>1510478.89</v>
      </c>
      <c r="Y2227" s="92"/>
      <c r="Z2227" s="92"/>
      <c r="AA2227" s="92"/>
      <c r="AB2227" s="92"/>
      <c r="AC2227" s="92"/>
      <c r="AD2227" s="93">
        <v>6187.31</v>
      </c>
      <c r="AE2227" s="92"/>
      <c r="AF2227" s="92"/>
      <c r="AG2227" s="93">
        <v>1516666.2</v>
      </c>
      <c r="AH2227" s="93">
        <v>0</v>
      </c>
    </row>
    <row r="2228" spans="1:34" ht="15.75" thickBot="1" x14ac:dyDescent="0.3">
      <c r="A2228" s="90" t="s">
        <v>1056</v>
      </c>
      <c r="B2228" s="90" t="s">
        <v>35</v>
      </c>
      <c r="C2228" s="90" t="s">
        <v>36</v>
      </c>
      <c r="D2228" s="90" t="s">
        <v>28</v>
      </c>
      <c r="E2228" s="90" t="s">
        <v>673</v>
      </c>
      <c r="F2228" s="90" t="s">
        <v>697</v>
      </c>
      <c r="G2228" s="95">
        <v>1510478.89</v>
      </c>
      <c r="H2228" s="94"/>
      <c r="I2228" s="94"/>
      <c r="J2228" s="94"/>
      <c r="K2228" s="94"/>
      <c r="L2228" s="94"/>
      <c r="M2228" s="94"/>
      <c r="N2228" s="94"/>
      <c r="O2228" s="94"/>
      <c r="P2228" s="94"/>
      <c r="Q2228" s="94"/>
      <c r="R2228" s="94"/>
      <c r="S2228" s="94"/>
      <c r="T2228" s="94"/>
      <c r="U2228" s="94"/>
      <c r="V2228" s="94"/>
      <c r="W2228" s="94"/>
      <c r="X2228" s="95">
        <v>1510478.89</v>
      </c>
      <c r="Y2228" s="94"/>
      <c r="Z2228" s="94"/>
      <c r="AA2228" s="94"/>
      <c r="AB2228" s="94"/>
      <c r="AC2228" s="94"/>
      <c r="AD2228" s="95">
        <v>6187.31</v>
      </c>
      <c r="AE2228" s="94"/>
      <c r="AF2228" s="94"/>
      <c r="AG2228" s="95">
        <v>1516666.2</v>
      </c>
      <c r="AH2228" s="95">
        <v>0</v>
      </c>
    </row>
    <row r="2229" spans="1:34" ht="15.75" thickBot="1" x14ac:dyDescent="0.3">
      <c r="A2229" s="90" t="s">
        <v>1056</v>
      </c>
      <c r="B2229" s="90" t="s">
        <v>35</v>
      </c>
      <c r="C2229" s="90" t="s">
        <v>36</v>
      </c>
      <c r="D2229" s="90" t="s">
        <v>28</v>
      </c>
      <c r="E2229" s="90" t="s">
        <v>196</v>
      </c>
      <c r="F2229" s="90" t="s">
        <v>686</v>
      </c>
      <c r="G2229" s="93">
        <v>1302231.95</v>
      </c>
      <c r="H2229" s="92"/>
      <c r="I2229" s="92"/>
      <c r="J2229" s="92"/>
      <c r="K2229" s="92"/>
      <c r="L2229" s="92"/>
      <c r="M2229" s="92"/>
      <c r="N2229" s="92"/>
      <c r="O2229" s="92"/>
      <c r="P2229" s="93">
        <v>1302231.95</v>
      </c>
      <c r="Q2229" s="92"/>
      <c r="R2229" s="92"/>
      <c r="S2229" s="92"/>
      <c r="T2229" s="92"/>
      <c r="U2229" s="92"/>
      <c r="V2229" s="92"/>
      <c r="W2229" s="92"/>
      <c r="X2229" s="92"/>
      <c r="Y2229" s="92"/>
      <c r="Z2229" s="92"/>
      <c r="AA2229" s="92"/>
      <c r="AB2229" s="92"/>
      <c r="AC2229" s="92"/>
      <c r="AD2229" s="93">
        <v>4991.72</v>
      </c>
      <c r="AE2229" s="92"/>
      <c r="AF2229" s="92"/>
      <c r="AG2229" s="93">
        <v>1307223.67</v>
      </c>
      <c r="AH2229" s="93">
        <v>0</v>
      </c>
    </row>
    <row r="2230" spans="1:34" ht="15.75" thickBot="1" x14ac:dyDescent="0.3">
      <c r="A2230" s="90" t="s">
        <v>1056</v>
      </c>
      <c r="B2230" s="90" t="s">
        <v>35</v>
      </c>
      <c r="C2230" s="90" t="s">
        <v>36</v>
      </c>
      <c r="D2230" s="90" t="s">
        <v>28</v>
      </c>
      <c r="E2230" s="90" t="s">
        <v>196</v>
      </c>
      <c r="F2230" s="90" t="s">
        <v>697</v>
      </c>
      <c r="G2230" s="95">
        <v>1302231.95</v>
      </c>
      <c r="H2230" s="94"/>
      <c r="I2230" s="94"/>
      <c r="J2230" s="94"/>
      <c r="K2230" s="94"/>
      <c r="L2230" s="94"/>
      <c r="M2230" s="94"/>
      <c r="N2230" s="94"/>
      <c r="O2230" s="94"/>
      <c r="P2230" s="95">
        <v>1302231.95</v>
      </c>
      <c r="Q2230" s="94"/>
      <c r="R2230" s="94"/>
      <c r="S2230" s="94"/>
      <c r="T2230" s="94"/>
      <c r="U2230" s="94"/>
      <c r="V2230" s="94"/>
      <c r="W2230" s="94"/>
      <c r="X2230" s="94"/>
      <c r="Y2230" s="94"/>
      <c r="Z2230" s="94"/>
      <c r="AA2230" s="94"/>
      <c r="AB2230" s="94"/>
      <c r="AC2230" s="94"/>
      <c r="AD2230" s="95">
        <v>4991.72</v>
      </c>
      <c r="AE2230" s="94"/>
      <c r="AF2230" s="94"/>
      <c r="AG2230" s="95">
        <v>1307223.67</v>
      </c>
      <c r="AH2230" s="95">
        <v>0</v>
      </c>
    </row>
    <row r="2231" spans="1:34" ht="15.75" thickBot="1" x14ac:dyDescent="0.3">
      <c r="A2231" s="90" t="s">
        <v>1056</v>
      </c>
      <c r="B2231" s="90" t="s">
        <v>35</v>
      </c>
      <c r="C2231" s="90" t="s">
        <v>36</v>
      </c>
      <c r="D2231" s="90" t="s">
        <v>28</v>
      </c>
      <c r="E2231" s="90" t="s">
        <v>674</v>
      </c>
      <c r="F2231" s="90" t="s">
        <v>686</v>
      </c>
      <c r="G2231" s="93">
        <v>-99.4</v>
      </c>
      <c r="H2231" s="92"/>
      <c r="I2231" s="92"/>
      <c r="J2231" s="92"/>
      <c r="K2231" s="92"/>
      <c r="L2231" s="92"/>
      <c r="M2231" s="92"/>
      <c r="N2231" s="92"/>
      <c r="O2231" s="92"/>
      <c r="P2231" s="92"/>
      <c r="Q2231" s="92"/>
      <c r="R2231" s="92"/>
      <c r="S2231" s="92"/>
      <c r="T2231" s="92"/>
      <c r="U2231" s="92"/>
      <c r="V2231" s="92"/>
      <c r="W2231" s="92"/>
      <c r="X2231" s="92"/>
      <c r="Y2231" s="93">
        <v>-99.4</v>
      </c>
      <c r="Z2231" s="92"/>
      <c r="AA2231" s="92"/>
      <c r="AB2231" s="92"/>
      <c r="AC2231" s="92"/>
      <c r="AD2231" s="93">
        <v>-0.14000000000000001</v>
      </c>
      <c r="AE2231" s="92"/>
      <c r="AF2231" s="92"/>
      <c r="AG2231" s="93">
        <v>-99.54</v>
      </c>
      <c r="AH2231" s="93">
        <v>0</v>
      </c>
    </row>
    <row r="2232" spans="1:34" ht="15.75" thickBot="1" x14ac:dyDescent="0.3">
      <c r="A2232" s="90" t="s">
        <v>1056</v>
      </c>
      <c r="B2232" s="90" t="s">
        <v>35</v>
      </c>
      <c r="C2232" s="90" t="s">
        <v>36</v>
      </c>
      <c r="D2232" s="90" t="s">
        <v>28</v>
      </c>
      <c r="E2232" s="90" t="s">
        <v>674</v>
      </c>
      <c r="F2232" s="90" t="s">
        <v>697</v>
      </c>
      <c r="G2232" s="95">
        <v>-99.4</v>
      </c>
      <c r="H2232" s="94"/>
      <c r="I2232" s="94"/>
      <c r="J2232" s="94"/>
      <c r="K2232" s="94"/>
      <c r="L2232" s="94"/>
      <c r="M2232" s="94"/>
      <c r="N2232" s="94"/>
      <c r="O2232" s="94"/>
      <c r="P2232" s="94"/>
      <c r="Q2232" s="94"/>
      <c r="R2232" s="94"/>
      <c r="S2232" s="94"/>
      <c r="T2232" s="94"/>
      <c r="U2232" s="94"/>
      <c r="V2232" s="94"/>
      <c r="W2232" s="94"/>
      <c r="X2232" s="94"/>
      <c r="Y2232" s="95">
        <v>-99.4</v>
      </c>
      <c r="Z2232" s="94"/>
      <c r="AA2232" s="94"/>
      <c r="AB2232" s="94"/>
      <c r="AC2232" s="94"/>
      <c r="AD2232" s="95">
        <v>-0.14000000000000001</v>
      </c>
      <c r="AE2232" s="94"/>
      <c r="AF2232" s="94"/>
      <c r="AG2232" s="95">
        <v>-99.54</v>
      </c>
      <c r="AH2232" s="95">
        <v>0</v>
      </c>
    </row>
    <row r="2233" spans="1:34" ht="15.75" thickBot="1" x14ac:dyDescent="0.3">
      <c r="A2233" s="90" t="s">
        <v>1056</v>
      </c>
      <c r="B2233" s="90" t="s">
        <v>37</v>
      </c>
      <c r="C2233" s="90" t="s">
        <v>38</v>
      </c>
      <c r="D2233" s="90" t="s">
        <v>20</v>
      </c>
      <c r="E2233" s="90" t="s">
        <v>528</v>
      </c>
      <c r="F2233" s="90" t="s">
        <v>686</v>
      </c>
      <c r="G2233" s="93">
        <v>13.5</v>
      </c>
      <c r="H2233" s="92"/>
      <c r="I2233" s="93">
        <v>13.5</v>
      </c>
      <c r="J2233" s="92"/>
      <c r="K2233" s="92"/>
      <c r="L2233" s="92"/>
      <c r="M2233" s="92"/>
      <c r="N2233" s="92"/>
      <c r="O2233" s="92"/>
      <c r="P2233" s="92"/>
      <c r="Q2233" s="92"/>
      <c r="R2233" s="92"/>
      <c r="S2233" s="92"/>
      <c r="T2233" s="92"/>
      <c r="U2233" s="92"/>
      <c r="V2233" s="92"/>
      <c r="W2233" s="92"/>
      <c r="X2233" s="92"/>
      <c r="Y2233" s="92"/>
      <c r="Z2233" s="92"/>
      <c r="AA2233" s="92"/>
      <c r="AB2233" s="92"/>
      <c r="AC2233" s="92"/>
      <c r="AD2233" s="93">
        <v>0</v>
      </c>
      <c r="AE2233" s="92"/>
      <c r="AF2233" s="92"/>
      <c r="AG2233" s="93">
        <v>13.5</v>
      </c>
      <c r="AH2233" s="93">
        <v>0</v>
      </c>
    </row>
    <row r="2234" spans="1:34" ht="15.75" thickBot="1" x14ac:dyDescent="0.3">
      <c r="A2234" s="90" t="s">
        <v>1056</v>
      </c>
      <c r="B2234" s="90" t="s">
        <v>37</v>
      </c>
      <c r="C2234" s="90" t="s">
        <v>38</v>
      </c>
      <c r="D2234" s="90" t="s">
        <v>20</v>
      </c>
      <c r="E2234" s="90" t="s">
        <v>528</v>
      </c>
      <c r="F2234" s="90" t="s">
        <v>697</v>
      </c>
      <c r="G2234" s="95">
        <v>13.5</v>
      </c>
      <c r="H2234" s="94"/>
      <c r="I2234" s="95">
        <v>13.5</v>
      </c>
      <c r="J2234" s="94"/>
      <c r="K2234" s="94"/>
      <c r="L2234" s="94"/>
      <c r="M2234" s="94"/>
      <c r="N2234" s="94"/>
      <c r="O2234" s="94"/>
      <c r="P2234" s="94"/>
      <c r="Q2234" s="94"/>
      <c r="R2234" s="94"/>
      <c r="S2234" s="94"/>
      <c r="T2234" s="94"/>
      <c r="U2234" s="94"/>
      <c r="V2234" s="94"/>
      <c r="W2234" s="94"/>
      <c r="X2234" s="94"/>
      <c r="Y2234" s="94"/>
      <c r="Z2234" s="94"/>
      <c r="AA2234" s="94"/>
      <c r="AB2234" s="94"/>
      <c r="AC2234" s="94"/>
      <c r="AD2234" s="95">
        <v>0</v>
      </c>
      <c r="AE2234" s="94"/>
      <c r="AF2234" s="94"/>
      <c r="AG2234" s="95">
        <v>13.5</v>
      </c>
      <c r="AH2234" s="95">
        <v>0</v>
      </c>
    </row>
    <row r="2235" spans="1:34" ht="15.75" thickBot="1" x14ac:dyDescent="0.3">
      <c r="A2235" s="90" t="s">
        <v>1056</v>
      </c>
      <c r="B2235" s="90" t="s">
        <v>37</v>
      </c>
      <c r="C2235" s="90" t="s">
        <v>38</v>
      </c>
      <c r="D2235" s="90" t="s">
        <v>20</v>
      </c>
      <c r="E2235" s="90" t="s">
        <v>518</v>
      </c>
      <c r="F2235" s="90" t="s">
        <v>686</v>
      </c>
      <c r="G2235" s="93">
        <v>31.28</v>
      </c>
      <c r="H2235" s="93">
        <v>109</v>
      </c>
      <c r="I2235" s="92"/>
      <c r="J2235" s="92"/>
      <c r="K2235" s="93">
        <v>31.28</v>
      </c>
      <c r="L2235" s="92"/>
      <c r="M2235" s="92"/>
      <c r="N2235" s="92"/>
      <c r="O2235" s="92"/>
      <c r="P2235" s="92"/>
      <c r="Q2235" s="92"/>
      <c r="R2235" s="92"/>
      <c r="S2235" s="92"/>
      <c r="T2235" s="92"/>
      <c r="U2235" s="92"/>
      <c r="V2235" s="92"/>
      <c r="W2235" s="92"/>
      <c r="X2235" s="92"/>
      <c r="Y2235" s="92"/>
      <c r="Z2235" s="92"/>
      <c r="AA2235" s="92"/>
      <c r="AB2235" s="92"/>
      <c r="AC2235" s="92"/>
      <c r="AD2235" s="93">
        <v>0</v>
      </c>
      <c r="AE2235" s="92"/>
      <c r="AF2235" s="92"/>
      <c r="AG2235" s="93">
        <v>31.28</v>
      </c>
      <c r="AH2235" s="93">
        <v>0</v>
      </c>
    </row>
    <row r="2236" spans="1:34" ht="15.75" thickBot="1" x14ac:dyDescent="0.3">
      <c r="A2236" s="90" t="s">
        <v>1056</v>
      </c>
      <c r="B2236" s="90" t="s">
        <v>37</v>
      </c>
      <c r="C2236" s="90" t="s">
        <v>38</v>
      </c>
      <c r="D2236" s="90" t="s">
        <v>20</v>
      </c>
      <c r="E2236" s="90" t="s">
        <v>518</v>
      </c>
      <c r="F2236" s="90" t="s">
        <v>697</v>
      </c>
      <c r="G2236" s="95">
        <v>31.28</v>
      </c>
      <c r="H2236" s="305">
        <v>109</v>
      </c>
      <c r="I2236" s="94"/>
      <c r="J2236" s="94"/>
      <c r="K2236" s="95">
        <v>31.28</v>
      </c>
      <c r="L2236" s="94"/>
      <c r="M2236" s="94"/>
      <c r="N2236" s="94"/>
      <c r="O2236" s="94"/>
      <c r="P2236" s="94"/>
      <c r="Q2236" s="94"/>
      <c r="R2236" s="94"/>
      <c r="S2236" s="94"/>
      <c r="T2236" s="94"/>
      <c r="U2236" s="94"/>
      <c r="V2236" s="94"/>
      <c r="W2236" s="94"/>
      <c r="X2236" s="94"/>
      <c r="Y2236" s="94"/>
      <c r="Z2236" s="94"/>
      <c r="AA2236" s="94"/>
      <c r="AB2236" s="94"/>
      <c r="AC2236" s="94"/>
      <c r="AD2236" s="95">
        <v>0</v>
      </c>
      <c r="AE2236" s="94"/>
      <c r="AF2236" s="94"/>
      <c r="AG2236" s="95">
        <v>31.28</v>
      </c>
      <c r="AH2236" s="95">
        <v>0</v>
      </c>
    </row>
    <row r="2237" spans="1:34" ht="15.75" thickBot="1" x14ac:dyDescent="0.3">
      <c r="A2237" s="90" t="s">
        <v>1056</v>
      </c>
      <c r="B2237" s="90" t="s">
        <v>37</v>
      </c>
      <c r="C2237" s="90" t="s">
        <v>38</v>
      </c>
      <c r="D2237" s="90" t="s">
        <v>20</v>
      </c>
      <c r="E2237" s="90" t="s">
        <v>727</v>
      </c>
      <c r="F2237" s="90" t="s">
        <v>686</v>
      </c>
      <c r="G2237" s="93">
        <v>1.18</v>
      </c>
      <c r="H2237" s="92"/>
      <c r="I2237" s="92"/>
      <c r="J2237" s="92"/>
      <c r="K2237" s="92"/>
      <c r="L2237" s="92"/>
      <c r="M2237" s="92"/>
      <c r="N2237" s="92"/>
      <c r="O2237" s="93">
        <v>1.18</v>
      </c>
      <c r="P2237" s="92"/>
      <c r="Q2237" s="92"/>
      <c r="R2237" s="92"/>
      <c r="S2237" s="92"/>
      <c r="T2237" s="92"/>
      <c r="U2237" s="92"/>
      <c r="V2237" s="92"/>
      <c r="W2237" s="92"/>
      <c r="X2237" s="92"/>
      <c r="Y2237" s="92"/>
      <c r="Z2237" s="92"/>
      <c r="AA2237" s="92"/>
      <c r="AB2237" s="92"/>
      <c r="AC2237" s="92"/>
      <c r="AD2237" s="93">
        <v>0</v>
      </c>
      <c r="AE2237" s="92"/>
      <c r="AF2237" s="92"/>
      <c r="AG2237" s="93">
        <v>1.18</v>
      </c>
      <c r="AH2237" s="93">
        <v>0</v>
      </c>
    </row>
    <row r="2238" spans="1:34" ht="15.75" thickBot="1" x14ac:dyDescent="0.3">
      <c r="A2238" s="90" t="s">
        <v>1056</v>
      </c>
      <c r="B2238" s="90" t="s">
        <v>37</v>
      </c>
      <c r="C2238" s="90" t="s">
        <v>38</v>
      </c>
      <c r="D2238" s="90" t="s">
        <v>20</v>
      </c>
      <c r="E2238" s="90" t="s">
        <v>727</v>
      </c>
      <c r="F2238" s="90" t="s">
        <v>697</v>
      </c>
      <c r="G2238" s="95">
        <v>1.18</v>
      </c>
      <c r="H2238" s="94"/>
      <c r="I2238" s="94"/>
      <c r="J2238" s="94"/>
      <c r="K2238" s="94"/>
      <c r="L2238" s="94"/>
      <c r="M2238" s="94"/>
      <c r="N2238" s="94"/>
      <c r="O2238" s="95">
        <v>1.18</v>
      </c>
      <c r="P2238" s="94"/>
      <c r="Q2238" s="94"/>
      <c r="R2238" s="94"/>
      <c r="S2238" s="94"/>
      <c r="T2238" s="94"/>
      <c r="U2238" s="94"/>
      <c r="V2238" s="94"/>
      <c r="W2238" s="94"/>
      <c r="X2238" s="94"/>
      <c r="Y2238" s="94"/>
      <c r="Z2238" s="94"/>
      <c r="AA2238" s="94"/>
      <c r="AB2238" s="94"/>
      <c r="AC2238" s="94"/>
      <c r="AD2238" s="95">
        <v>0</v>
      </c>
      <c r="AE2238" s="94"/>
      <c r="AF2238" s="94"/>
      <c r="AG2238" s="95">
        <v>1.18</v>
      </c>
      <c r="AH2238" s="95">
        <v>0</v>
      </c>
    </row>
    <row r="2239" spans="1:34" ht="15.75" thickBot="1" x14ac:dyDescent="0.3">
      <c r="A2239" s="90" t="s">
        <v>1056</v>
      </c>
      <c r="B2239" s="90" t="s">
        <v>37</v>
      </c>
      <c r="C2239" s="90" t="s">
        <v>38</v>
      </c>
      <c r="D2239" s="90" t="s">
        <v>20</v>
      </c>
      <c r="E2239" s="90" t="s">
        <v>673</v>
      </c>
      <c r="F2239" s="90" t="s">
        <v>686</v>
      </c>
      <c r="G2239" s="93">
        <v>5.14</v>
      </c>
      <c r="H2239" s="92"/>
      <c r="I2239" s="92"/>
      <c r="J2239" s="92"/>
      <c r="K2239" s="92"/>
      <c r="L2239" s="92"/>
      <c r="M2239" s="92"/>
      <c r="N2239" s="92"/>
      <c r="O2239" s="92"/>
      <c r="P2239" s="92"/>
      <c r="Q2239" s="92"/>
      <c r="R2239" s="92"/>
      <c r="S2239" s="92"/>
      <c r="T2239" s="92"/>
      <c r="U2239" s="92"/>
      <c r="V2239" s="92"/>
      <c r="W2239" s="92"/>
      <c r="X2239" s="93">
        <v>5.14</v>
      </c>
      <c r="Y2239" s="92"/>
      <c r="Z2239" s="92"/>
      <c r="AA2239" s="92"/>
      <c r="AB2239" s="92"/>
      <c r="AC2239" s="92"/>
      <c r="AD2239" s="93">
        <v>0</v>
      </c>
      <c r="AE2239" s="92"/>
      <c r="AF2239" s="92"/>
      <c r="AG2239" s="93">
        <v>5.14</v>
      </c>
      <c r="AH2239" s="93">
        <v>0</v>
      </c>
    </row>
    <row r="2240" spans="1:34" ht="15.75" thickBot="1" x14ac:dyDescent="0.3">
      <c r="A2240" s="90" t="s">
        <v>1056</v>
      </c>
      <c r="B2240" s="90" t="s">
        <v>37</v>
      </c>
      <c r="C2240" s="90" t="s">
        <v>38</v>
      </c>
      <c r="D2240" s="90" t="s">
        <v>20</v>
      </c>
      <c r="E2240" s="90" t="s">
        <v>673</v>
      </c>
      <c r="F2240" s="90" t="s">
        <v>697</v>
      </c>
      <c r="G2240" s="95">
        <v>5.14</v>
      </c>
      <c r="H2240" s="94"/>
      <c r="I2240" s="94"/>
      <c r="J2240" s="94"/>
      <c r="K2240" s="94"/>
      <c r="L2240" s="94"/>
      <c r="M2240" s="94"/>
      <c r="N2240" s="94"/>
      <c r="O2240" s="94"/>
      <c r="P2240" s="94"/>
      <c r="Q2240" s="94"/>
      <c r="R2240" s="94"/>
      <c r="S2240" s="94"/>
      <c r="T2240" s="94"/>
      <c r="U2240" s="94"/>
      <c r="V2240" s="94"/>
      <c r="W2240" s="94"/>
      <c r="X2240" s="95">
        <v>5.14</v>
      </c>
      <c r="Y2240" s="94"/>
      <c r="Z2240" s="94"/>
      <c r="AA2240" s="94"/>
      <c r="AB2240" s="94"/>
      <c r="AC2240" s="94"/>
      <c r="AD2240" s="95">
        <v>0</v>
      </c>
      <c r="AE2240" s="94"/>
      <c r="AF2240" s="94"/>
      <c r="AG2240" s="95">
        <v>5.14</v>
      </c>
      <c r="AH2240" s="95">
        <v>0</v>
      </c>
    </row>
    <row r="2241" spans="1:34" ht="15.75" thickBot="1" x14ac:dyDescent="0.3">
      <c r="A2241" s="90" t="s">
        <v>1056</v>
      </c>
      <c r="B2241" s="90" t="s">
        <v>37</v>
      </c>
      <c r="C2241" s="90" t="s">
        <v>38</v>
      </c>
      <c r="D2241" s="90" t="s">
        <v>20</v>
      </c>
      <c r="E2241" s="90" t="s">
        <v>196</v>
      </c>
      <c r="F2241" s="90" t="s">
        <v>686</v>
      </c>
      <c r="G2241" s="93">
        <v>41.66</v>
      </c>
      <c r="H2241" s="92"/>
      <c r="I2241" s="92"/>
      <c r="J2241" s="92"/>
      <c r="K2241" s="92"/>
      <c r="L2241" s="92"/>
      <c r="M2241" s="92"/>
      <c r="N2241" s="92"/>
      <c r="O2241" s="92"/>
      <c r="P2241" s="93">
        <v>41.66</v>
      </c>
      <c r="Q2241" s="92"/>
      <c r="R2241" s="92"/>
      <c r="S2241" s="92"/>
      <c r="T2241" s="92"/>
      <c r="U2241" s="92"/>
      <c r="V2241" s="92"/>
      <c r="W2241" s="92"/>
      <c r="X2241" s="92"/>
      <c r="Y2241" s="92"/>
      <c r="Z2241" s="92"/>
      <c r="AA2241" s="92"/>
      <c r="AB2241" s="92"/>
      <c r="AC2241" s="92"/>
      <c r="AD2241" s="93">
        <v>0</v>
      </c>
      <c r="AE2241" s="92"/>
      <c r="AF2241" s="92"/>
      <c r="AG2241" s="93">
        <v>41.66</v>
      </c>
      <c r="AH2241" s="93">
        <v>0</v>
      </c>
    </row>
    <row r="2242" spans="1:34" ht="15.75" thickBot="1" x14ac:dyDescent="0.3">
      <c r="A2242" s="90" t="s">
        <v>1056</v>
      </c>
      <c r="B2242" s="90" t="s">
        <v>37</v>
      </c>
      <c r="C2242" s="90" t="s">
        <v>38</v>
      </c>
      <c r="D2242" s="90" t="s">
        <v>20</v>
      </c>
      <c r="E2242" s="90" t="s">
        <v>196</v>
      </c>
      <c r="F2242" s="90" t="s">
        <v>697</v>
      </c>
      <c r="G2242" s="95">
        <v>41.66</v>
      </c>
      <c r="H2242" s="94"/>
      <c r="I2242" s="94"/>
      <c r="J2242" s="94"/>
      <c r="K2242" s="94"/>
      <c r="L2242" s="94"/>
      <c r="M2242" s="94"/>
      <c r="N2242" s="94"/>
      <c r="O2242" s="94"/>
      <c r="P2242" s="95">
        <v>41.66</v>
      </c>
      <c r="Q2242" s="94"/>
      <c r="R2242" s="94"/>
      <c r="S2242" s="94"/>
      <c r="T2242" s="94"/>
      <c r="U2242" s="94"/>
      <c r="V2242" s="94"/>
      <c r="W2242" s="94"/>
      <c r="X2242" s="94"/>
      <c r="Y2242" s="94"/>
      <c r="Z2242" s="94"/>
      <c r="AA2242" s="94"/>
      <c r="AB2242" s="94"/>
      <c r="AC2242" s="94"/>
      <c r="AD2242" s="95">
        <v>0</v>
      </c>
      <c r="AE2242" s="94"/>
      <c r="AF2242" s="94"/>
      <c r="AG2242" s="95">
        <v>41.66</v>
      </c>
      <c r="AH2242" s="95">
        <v>0</v>
      </c>
    </row>
    <row r="2243" spans="1:34" ht="15.75" thickBot="1" x14ac:dyDescent="0.3">
      <c r="A2243" s="90" t="s">
        <v>1056</v>
      </c>
      <c r="B2243" s="90" t="s">
        <v>37</v>
      </c>
      <c r="C2243" s="90" t="s">
        <v>38</v>
      </c>
      <c r="D2243" s="90" t="s">
        <v>28</v>
      </c>
      <c r="E2243" s="90" t="s">
        <v>528</v>
      </c>
      <c r="F2243" s="90" t="s">
        <v>686</v>
      </c>
      <c r="G2243" s="93">
        <v>27</v>
      </c>
      <c r="H2243" s="92"/>
      <c r="I2243" s="93">
        <v>27</v>
      </c>
      <c r="J2243" s="92"/>
      <c r="K2243" s="92"/>
      <c r="L2243" s="92"/>
      <c r="M2243" s="92"/>
      <c r="N2243" s="92"/>
      <c r="O2243" s="92"/>
      <c r="P2243" s="92"/>
      <c r="Q2243" s="92"/>
      <c r="R2243" s="92"/>
      <c r="S2243" s="92"/>
      <c r="T2243" s="92"/>
      <c r="U2243" s="92"/>
      <c r="V2243" s="92"/>
      <c r="W2243" s="92"/>
      <c r="X2243" s="92"/>
      <c r="Y2243" s="92"/>
      <c r="Z2243" s="92"/>
      <c r="AA2243" s="92"/>
      <c r="AB2243" s="92"/>
      <c r="AC2243" s="92"/>
      <c r="AD2243" s="93">
        <v>0</v>
      </c>
      <c r="AE2243" s="92"/>
      <c r="AF2243" s="92"/>
      <c r="AG2243" s="93">
        <v>27</v>
      </c>
      <c r="AH2243" s="93">
        <v>0</v>
      </c>
    </row>
    <row r="2244" spans="1:34" ht="15.75" thickBot="1" x14ac:dyDescent="0.3">
      <c r="A2244" s="90" t="s">
        <v>1056</v>
      </c>
      <c r="B2244" s="90" t="s">
        <v>37</v>
      </c>
      <c r="C2244" s="90" t="s">
        <v>38</v>
      </c>
      <c r="D2244" s="90" t="s">
        <v>28</v>
      </c>
      <c r="E2244" s="90" t="s">
        <v>528</v>
      </c>
      <c r="F2244" s="90" t="s">
        <v>697</v>
      </c>
      <c r="G2244" s="95">
        <v>27</v>
      </c>
      <c r="H2244" s="94"/>
      <c r="I2244" s="95">
        <v>27</v>
      </c>
      <c r="J2244" s="94"/>
      <c r="K2244" s="94"/>
      <c r="L2244" s="94"/>
      <c r="M2244" s="94"/>
      <c r="N2244" s="94"/>
      <c r="O2244" s="94"/>
      <c r="P2244" s="94"/>
      <c r="Q2244" s="94"/>
      <c r="R2244" s="94"/>
      <c r="S2244" s="94"/>
      <c r="T2244" s="94"/>
      <c r="U2244" s="94"/>
      <c r="V2244" s="94"/>
      <c r="W2244" s="94"/>
      <c r="X2244" s="94"/>
      <c r="Y2244" s="94"/>
      <c r="Z2244" s="94"/>
      <c r="AA2244" s="94"/>
      <c r="AB2244" s="94"/>
      <c r="AC2244" s="94"/>
      <c r="AD2244" s="95">
        <v>0</v>
      </c>
      <c r="AE2244" s="94"/>
      <c r="AF2244" s="94"/>
      <c r="AG2244" s="95">
        <v>27</v>
      </c>
      <c r="AH2244" s="95">
        <v>0</v>
      </c>
    </row>
    <row r="2245" spans="1:34" ht="15.75" thickBot="1" x14ac:dyDescent="0.3">
      <c r="A2245" s="90" t="s">
        <v>1056</v>
      </c>
      <c r="B2245" s="90" t="s">
        <v>37</v>
      </c>
      <c r="C2245" s="90" t="s">
        <v>38</v>
      </c>
      <c r="D2245" s="90" t="s">
        <v>28</v>
      </c>
      <c r="E2245" s="90" t="s">
        <v>518</v>
      </c>
      <c r="F2245" s="90" t="s">
        <v>686</v>
      </c>
      <c r="G2245" s="93">
        <v>46.77</v>
      </c>
      <c r="H2245" s="93">
        <v>163</v>
      </c>
      <c r="I2245" s="92"/>
      <c r="J2245" s="92"/>
      <c r="K2245" s="93">
        <v>46.77</v>
      </c>
      <c r="L2245" s="92"/>
      <c r="M2245" s="92"/>
      <c r="N2245" s="92"/>
      <c r="O2245" s="92"/>
      <c r="P2245" s="92"/>
      <c r="Q2245" s="92"/>
      <c r="R2245" s="92"/>
      <c r="S2245" s="92"/>
      <c r="T2245" s="92"/>
      <c r="U2245" s="92"/>
      <c r="V2245" s="92"/>
      <c r="W2245" s="92"/>
      <c r="X2245" s="92"/>
      <c r="Y2245" s="92"/>
      <c r="Z2245" s="92"/>
      <c r="AA2245" s="92"/>
      <c r="AB2245" s="92"/>
      <c r="AC2245" s="92"/>
      <c r="AD2245" s="93">
        <v>0</v>
      </c>
      <c r="AE2245" s="92"/>
      <c r="AF2245" s="92"/>
      <c r="AG2245" s="93">
        <v>46.77</v>
      </c>
      <c r="AH2245" s="93">
        <v>0</v>
      </c>
    </row>
    <row r="2246" spans="1:34" ht="15.75" thickBot="1" x14ac:dyDescent="0.3">
      <c r="A2246" s="90" t="s">
        <v>1056</v>
      </c>
      <c r="B2246" s="90" t="s">
        <v>37</v>
      </c>
      <c r="C2246" s="90" t="s">
        <v>38</v>
      </c>
      <c r="D2246" s="90" t="s">
        <v>28</v>
      </c>
      <c r="E2246" s="90" t="s">
        <v>518</v>
      </c>
      <c r="F2246" s="90" t="s">
        <v>697</v>
      </c>
      <c r="G2246" s="95">
        <v>46.77</v>
      </c>
      <c r="H2246" s="305">
        <v>163</v>
      </c>
      <c r="I2246" s="94"/>
      <c r="J2246" s="94"/>
      <c r="K2246" s="95">
        <v>46.77</v>
      </c>
      <c r="L2246" s="94"/>
      <c r="M2246" s="94"/>
      <c r="N2246" s="94"/>
      <c r="O2246" s="94"/>
      <c r="P2246" s="94"/>
      <c r="Q2246" s="94"/>
      <c r="R2246" s="94"/>
      <c r="S2246" s="94"/>
      <c r="T2246" s="94"/>
      <c r="U2246" s="94"/>
      <c r="V2246" s="94"/>
      <c r="W2246" s="94"/>
      <c r="X2246" s="94"/>
      <c r="Y2246" s="94"/>
      <c r="Z2246" s="94"/>
      <c r="AA2246" s="94"/>
      <c r="AB2246" s="94"/>
      <c r="AC2246" s="94"/>
      <c r="AD2246" s="95">
        <v>0</v>
      </c>
      <c r="AE2246" s="94"/>
      <c r="AF2246" s="94"/>
      <c r="AG2246" s="95">
        <v>46.77</v>
      </c>
      <c r="AH2246" s="95">
        <v>0</v>
      </c>
    </row>
    <row r="2247" spans="1:34" ht="15.75" thickBot="1" x14ac:dyDescent="0.3">
      <c r="A2247" s="90" t="s">
        <v>1056</v>
      </c>
      <c r="B2247" s="90" t="s">
        <v>37</v>
      </c>
      <c r="C2247" s="90" t="s">
        <v>38</v>
      </c>
      <c r="D2247" s="90" t="s">
        <v>28</v>
      </c>
      <c r="E2247" s="90" t="s">
        <v>727</v>
      </c>
      <c r="F2247" s="90" t="s">
        <v>686</v>
      </c>
      <c r="G2247" s="93">
        <v>1.77</v>
      </c>
      <c r="H2247" s="92"/>
      <c r="I2247" s="92"/>
      <c r="J2247" s="92"/>
      <c r="K2247" s="92"/>
      <c r="L2247" s="92"/>
      <c r="M2247" s="92"/>
      <c r="N2247" s="92"/>
      <c r="O2247" s="93">
        <v>1.77</v>
      </c>
      <c r="P2247" s="92"/>
      <c r="Q2247" s="92"/>
      <c r="R2247" s="92"/>
      <c r="S2247" s="92"/>
      <c r="T2247" s="92"/>
      <c r="U2247" s="92"/>
      <c r="V2247" s="92"/>
      <c r="W2247" s="92"/>
      <c r="X2247" s="92"/>
      <c r="Y2247" s="92"/>
      <c r="Z2247" s="92"/>
      <c r="AA2247" s="92"/>
      <c r="AB2247" s="92"/>
      <c r="AC2247" s="92"/>
      <c r="AD2247" s="93">
        <v>0</v>
      </c>
      <c r="AE2247" s="92"/>
      <c r="AF2247" s="92"/>
      <c r="AG2247" s="93">
        <v>1.77</v>
      </c>
      <c r="AH2247" s="93">
        <v>0</v>
      </c>
    </row>
    <row r="2248" spans="1:34" ht="15.75" thickBot="1" x14ac:dyDescent="0.3">
      <c r="A2248" s="90" t="s">
        <v>1056</v>
      </c>
      <c r="B2248" s="90" t="s">
        <v>37</v>
      </c>
      <c r="C2248" s="90" t="s">
        <v>38</v>
      </c>
      <c r="D2248" s="90" t="s">
        <v>28</v>
      </c>
      <c r="E2248" s="90" t="s">
        <v>727</v>
      </c>
      <c r="F2248" s="90" t="s">
        <v>697</v>
      </c>
      <c r="G2248" s="95">
        <v>1.77</v>
      </c>
      <c r="H2248" s="94"/>
      <c r="I2248" s="94"/>
      <c r="J2248" s="94"/>
      <c r="K2248" s="94"/>
      <c r="L2248" s="94"/>
      <c r="M2248" s="94"/>
      <c r="N2248" s="94"/>
      <c r="O2248" s="95">
        <v>1.77</v>
      </c>
      <c r="P2248" s="94"/>
      <c r="Q2248" s="94"/>
      <c r="R2248" s="94"/>
      <c r="S2248" s="94"/>
      <c r="T2248" s="94"/>
      <c r="U2248" s="94"/>
      <c r="V2248" s="94"/>
      <c r="W2248" s="94"/>
      <c r="X2248" s="94"/>
      <c r="Y2248" s="94"/>
      <c r="Z2248" s="94"/>
      <c r="AA2248" s="94"/>
      <c r="AB2248" s="94"/>
      <c r="AC2248" s="94"/>
      <c r="AD2248" s="95">
        <v>0</v>
      </c>
      <c r="AE2248" s="94"/>
      <c r="AF2248" s="94"/>
      <c r="AG2248" s="95">
        <v>1.77</v>
      </c>
      <c r="AH2248" s="95">
        <v>0</v>
      </c>
    </row>
    <row r="2249" spans="1:34" ht="15.75" thickBot="1" x14ac:dyDescent="0.3">
      <c r="A2249" s="90" t="s">
        <v>1056</v>
      </c>
      <c r="B2249" s="90" t="s">
        <v>37</v>
      </c>
      <c r="C2249" s="90" t="s">
        <v>38</v>
      </c>
      <c r="D2249" s="90" t="s">
        <v>28</v>
      </c>
      <c r="E2249" s="90" t="s">
        <v>673</v>
      </c>
      <c r="F2249" s="90" t="s">
        <v>686</v>
      </c>
      <c r="G2249" s="93">
        <v>10.28</v>
      </c>
      <c r="H2249" s="92"/>
      <c r="I2249" s="92"/>
      <c r="J2249" s="92"/>
      <c r="K2249" s="92"/>
      <c r="L2249" s="92"/>
      <c r="M2249" s="92"/>
      <c r="N2249" s="92"/>
      <c r="O2249" s="92"/>
      <c r="P2249" s="92"/>
      <c r="Q2249" s="92"/>
      <c r="R2249" s="92"/>
      <c r="S2249" s="92"/>
      <c r="T2249" s="92"/>
      <c r="U2249" s="92"/>
      <c r="V2249" s="92"/>
      <c r="W2249" s="92"/>
      <c r="X2249" s="93">
        <v>10.28</v>
      </c>
      <c r="Y2249" s="92"/>
      <c r="Z2249" s="92"/>
      <c r="AA2249" s="92"/>
      <c r="AB2249" s="92"/>
      <c r="AC2249" s="92"/>
      <c r="AD2249" s="93">
        <v>0</v>
      </c>
      <c r="AE2249" s="92"/>
      <c r="AF2249" s="92"/>
      <c r="AG2249" s="93">
        <v>10.28</v>
      </c>
      <c r="AH2249" s="93">
        <v>0</v>
      </c>
    </row>
    <row r="2250" spans="1:34" ht="15.75" thickBot="1" x14ac:dyDescent="0.3">
      <c r="A2250" s="90" t="s">
        <v>1056</v>
      </c>
      <c r="B2250" s="90" t="s">
        <v>37</v>
      </c>
      <c r="C2250" s="90" t="s">
        <v>38</v>
      </c>
      <c r="D2250" s="90" t="s">
        <v>28</v>
      </c>
      <c r="E2250" s="90" t="s">
        <v>673</v>
      </c>
      <c r="F2250" s="90" t="s">
        <v>697</v>
      </c>
      <c r="G2250" s="95">
        <v>10.28</v>
      </c>
      <c r="H2250" s="94"/>
      <c r="I2250" s="94"/>
      <c r="J2250" s="94"/>
      <c r="K2250" s="94"/>
      <c r="L2250" s="94"/>
      <c r="M2250" s="94"/>
      <c r="N2250" s="94"/>
      <c r="O2250" s="94"/>
      <c r="P2250" s="94"/>
      <c r="Q2250" s="94"/>
      <c r="R2250" s="94"/>
      <c r="S2250" s="94"/>
      <c r="T2250" s="94"/>
      <c r="U2250" s="94"/>
      <c r="V2250" s="94"/>
      <c r="W2250" s="94"/>
      <c r="X2250" s="95">
        <v>10.28</v>
      </c>
      <c r="Y2250" s="94"/>
      <c r="Z2250" s="94"/>
      <c r="AA2250" s="94"/>
      <c r="AB2250" s="94"/>
      <c r="AC2250" s="94"/>
      <c r="AD2250" s="95">
        <v>0</v>
      </c>
      <c r="AE2250" s="94"/>
      <c r="AF2250" s="94"/>
      <c r="AG2250" s="95">
        <v>10.28</v>
      </c>
      <c r="AH2250" s="95">
        <v>0</v>
      </c>
    </row>
    <row r="2251" spans="1:34" ht="15.75" thickBot="1" x14ac:dyDescent="0.3">
      <c r="A2251" s="90" t="s">
        <v>1056</v>
      </c>
      <c r="B2251" s="90" t="s">
        <v>37</v>
      </c>
      <c r="C2251" s="90" t="s">
        <v>38</v>
      </c>
      <c r="D2251" s="90" t="s">
        <v>28</v>
      </c>
      <c r="E2251" s="90" t="s">
        <v>196</v>
      </c>
      <c r="F2251" s="90" t="s">
        <v>686</v>
      </c>
      <c r="G2251" s="93">
        <v>62.29</v>
      </c>
      <c r="H2251" s="92"/>
      <c r="I2251" s="92"/>
      <c r="J2251" s="92"/>
      <c r="K2251" s="92"/>
      <c r="L2251" s="92"/>
      <c r="M2251" s="92"/>
      <c r="N2251" s="92"/>
      <c r="O2251" s="92"/>
      <c r="P2251" s="93">
        <v>62.29</v>
      </c>
      <c r="Q2251" s="92"/>
      <c r="R2251" s="92"/>
      <c r="S2251" s="92"/>
      <c r="T2251" s="92"/>
      <c r="U2251" s="92"/>
      <c r="V2251" s="92"/>
      <c r="W2251" s="92"/>
      <c r="X2251" s="92"/>
      <c r="Y2251" s="92"/>
      <c r="Z2251" s="92"/>
      <c r="AA2251" s="92"/>
      <c r="AB2251" s="92"/>
      <c r="AC2251" s="92"/>
      <c r="AD2251" s="93">
        <v>0</v>
      </c>
      <c r="AE2251" s="92"/>
      <c r="AF2251" s="92"/>
      <c r="AG2251" s="93">
        <v>62.29</v>
      </c>
      <c r="AH2251" s="93">
        <v>0</v>
      </c>
    </row>
    <row r="2252" spans="1:34" ht="15.75" thickBot="1" x14ac:dyDescent="0.3">
      <c r="A2252" s="90" t="s">
        <v>1056</v>
      </c>
      <c r="B2252" s="90" t="s">
        <v>37</v>
      </c>
      <c r="C2252" s="90" t="s">
        <v>38</v>
      </c>
      <c r="D2252" s="90" t="s">
        <v>28</v>
      </c>
      <c r="E2252" s="90" t="s">
        <v>196</v>
      </c>
      <c r="F2252" s="90" t="s">
        <v>697</v>
      </c>
      <c r="G2252" s="95">
        <v>62.29</v>
      </c>
      <c r="H2252" s="94"/>
      <c r="I2252" s="94"/>
      <c r="J2252" s="94"/>
      <c r="K2252" s="94"/>
      <c r="L2252" s="94"/>
      <c r="M2252" s="94"/>
      <c r="N2252" s="94"/>
      <c r="O2252" s="94"/>
      <c r="P2252" s="95">
        <v>62.29</v>
      </c>
      <c r="Q2252" s="94"/>
      <c r="R2252" s="94"/>
      <c r="S2252" s="94"/>
      <c r="T2252" s="94"/>
      <c r="U2252" s="94"/>
      <c r="V2252" s="94"/>
      <c r="W2252" s="94"/>
      <c r="X2252" s="94"/>
      <c r="Y2252" s="94"/>
      <c r="Z2252" s="94"/>
      <c r="AA2252" s="94"/>
      <c r="AB2252" s="94"/>
      <c r="AC2252" s="94"/>
      <c r="AD2252" s="95">
        <v>0</v>
      </c>
      <c r="AE2252" s="94"/>
      <c r="AF2252" s="94"/>
      <c r="AG2252" s="95">
        <v>62.29</v>
      </c>
      <c r="AH2252" s="95">
        <v>0</v>
      </c>
    </row>
    <row r="2253" spans="1:34" ht="15.75" thickBot="1" x14ac:dyDescent="0.3">
      <c r="A2253" s="90" t="s">
        <v>1056</v>
      </c>
      <c r="B2253" s="90" t="s">
        <v>29</v>
      </c>
      <c r="C2253" s="90" t="s">
        <v>30</v>
      </c>
      <c r="D2253" s="90" t="s">
        <v>17</v>
      </c>
      <c r="E2253" s="90" t="s">
        <v>726</v>
      </c>
      <c r="F2253" s="90" t="s">
        <v>686</v>
      </c>
      <c r="G2253" s="92"/>
      <c r="H2253" s="92"/>
      <c r="I2253" s="92"/>
      <c r="J2253" s="92"/>
      <c r="K2253" s="92"/>
      <c r="L2253" s="92"/>
      <c r="M2253" s="92"/>
      <c r="N2253" s="92"/>
      <c r="O2253" s="92"/>
      <c r="P2253" s="92"/>
      <c r="Q2253" s="92"/>
      <c r="R2253" s="92"/>
      <c r="S2253" s="92"/>
      <c r="T2253" s="92"/>
      <c r="U2253" s="92"/>
      <c r="V2253" s="92"/>
      <c r="W2253" s="92"/>
      <c r="X2253" s="92"/>
      <c r="Y2253" s="92"/>
      <c r="Z2253" s="92"/>
      <c r="AA2253" s="92"/>
      <c r="AB2253" s="92"/>
      <c r="AC2253" s="93">
        <v>2.44</v>
      </c>
      <c r="AD2253" s="93">
        <v>0.14000000000000001</v>
      </c>
      <c r="AE2253" s="92"/>
      <c r="AF2253" s="92"/>
      <c r="AG2253" s="93">
        <v>2.58</v>
      </c>
      <c r="AH2253" s="93">
        <v>0</v>
      </c>
    </row>
    <row r="2254" spans="1:34" ht="15.75" thickBot="1" x14ac:dyDescent="0.3">
      <c r="A2254" s="90" t="s">
        <v>1056</v>
      </c>
      <c r="B2254" s="90" t="s">
        <v>29</v>
      </c>
      <c r="C2254" s="90" t="s">
        <v>30</v>
      </c>
      <c r="D2254" s="90" t="s">
        <v>17</v>
      </c>
      <c r="E2254" s="90" t="s">
        <v>726</v>
      </c>
      <c r="F2254" s="90" t="s">
        <v>697</v>
      </c>
      <c r="G2254" s="94"/>
      <c r="H2254" s="94"/>
      <c r="I2254" s="94"/>
      <c r="J2254" s="94"/>
      <c r="K2254" s="94"/>
      <c r="L2254" s="94"/>
      <c r="M2254" s="94"/>
      <c r="N2254" s="94"/>
      <c r="O2254" s="94"/>
      <c r="P2254" s="94"/>
      <c r="Q2254" s="94"/>
      <c r="R2254" s="94"/>
      <c r="S2254" s="94"/>
      <c r="T2254" s="94"/>
      <c r="U2254" s="94"/>
      <c r="V2254" s="94"/>
      <c r="W2254" s="94"/>
      <c r="X2254" s="94"/>
      <c r="Y2254" s="94"/>
      <c r="Z2254" s="94"/>
      <c r="AA2254" s="94"/>
      <c r="AB2254" s="94"/>
      <c r="AC2254" s="95">
        <v>2.44</v>
      </c>
      <c r="AD2254" s="95">
        <v>0.14000000000000001</v>
      </c>
      <c r="AE2254" s="94"/>
      <c r="AF2254" s="94"/>
      <c r="AG2254" s="95">
        <v>2.58</v>
      </c>
      <c r="AH2254" s="95">
        <v>0</v>
      </c>
    </row>
    <row r="2255" spans="1:34" ht="15.75" thickBot="1" x14ac:dyDescent="0.3">
      <c r="A2255" s="90" t="s">
        <v>1056</v>
      </c>
      <c r="B2255" s="90" t="s">
        <v>29</v>
      </c>
      <c r="C2255" s="90" t="s">
        <v>30</v>
      </c>
      <c r="D2255" s="90" t="s">
        <v>17</v>
      </c>
      <c r="E2255" s="90" t="s">
        <v>528</v>
      </c>
      <c r="F2255" s="90" t="s">
        <v>686</v>
      </c>
      <c r="G2255" s="93">
        <v>24760</v>
      </c>
      <c r="H2255" s="92"/>
      <c r="I2255" s="93">
        <v>24760</v>
      </c>
      <c r="J2255" s="92"/>
      <c r="K2255" s="92"/>
      <c r="L2255" s="92"/>
      <c r="M2255" s="92"/>
      <c r="N2255" s="92"/>
      <c r="O2255" s="92"/>
      <c r="P2255" s="92"/>
      <c r="Q2255" s="92"/>
      <c r="R2255" s="92"/>
      <c r="S2255" s="92"/>
      <c r="T2255" s="92"/>
      <c r="U2255" s="92"/>
      <c r="V2255" s="92"/>
      <c r="W2255" s="92"/>
      <c r="X2255" s="92"/>
      <c r="Y2255" s="92"/>
      <c r="Z2255" s="92"/>
      <c r="AA2255" s="92"/>
      <c r="AB2255" s="92"/>
      <c r="AC2255" s="92"/>
      <c r="AD2255" s="93">
        <v>1574</v>
      </c>
      <c r="AE2255" s="92"/>
      <c r="AF2255" s="92"/>
      <c r="AG2255" s="93">
        <v>26334</v>
      </c>
      <c r="AH2255" s="93">
        <v>0</v>
      </c>
    </row>
    <row r="2256" spans="1:34" ht="15.75" thickBot="1" x14ac:dyDescent="0.3">
      <c r="A2256" s="90" t="s">
        <v>1056</v>
      </c>
      <c r="B2256" s="90" t="s">
        <v>29</v>
      </c>
      <c r="C2256" s="90" t="s">
        <v>30</v>
      </c>
      <c r="D2256" s="90" t="s">
        <v>17</v>
      </c>
      <c r="E2256" s="90" t="s">
        <v>528</v>
      </c>
      <c r="F2256" s="90" t="s">
        <v>697</v>
      </c>
      <c r="G2256" s="95">
        <v>24760</v>
      </c>
      <c r="H2256" s="94"/>
      <c r="I2256" s="95">
        <v>24760</v>
      </c>
      <c r="J2256" s="94"/>
      <c r="K2256" s="94"/>
      <c r="L2256" s="94"/>
      <c r="M2256" s="94"/>
      <c r="N2256" s="94"/>
      <c r="O2256" s="94"/>
      <c r="P2256" s="94"/>
      <c r="Q2256" s="94"/>
      <c r="R2256" s="94"/>
      <c r="S2256" s="94"/>
      <c r="T2256" s="94"/>
      <c r="U2256" s="94"/>
      <c r="V2256" s="94"/>
      <c r="W2256" s="94"/>
      <c r="X2256" s="94"/>
      <c r="Y2256" s="94"/>
      <c r="Z2256" s="94"/>
      <c r="AA2256" s="94"/>
      <c r="AB2256" s="94"/>
      <c r="AC2256" s="94"/>
      <c r="AD2256" s="95">
        <v>1574</v>
      </c>
      <c r="AE2256" s="94"/>
      <c r="AF2256" s="94"/>
      <c r="AG2256" s="95">
        <v>26334</v>
      </c>
      <c r="AH2256" s="95">
        <v>0</v>
      </c>
    </row>
    <row r="2257" spans="1:34" ht="15.75" thickBot="1" x14ac:dyDescent="0.3">
      <c r="A2257" s="90" t="s">
        <v>1056</v>
      </c>
      <c r="B2257" s="90" t="s">
        <v>29</v>
      </c>
      <c r="C2257" s="90" t="s">
        <v>30</v>
      </c>
      <c r="D2257" s="90" t="s">
        <v>17</v>
      </c>
      <c r="E2257" s="90" t="s">
        <v>518</v>
      </c>
      <c r="F2257" s="90" t="s">
        <v>686</v>
      </c>
      <c r="G2257" s="93">
        <v>134.55000000000001</v>
      </c>
      <c r="H2257" s="93">
        <v>612</v>
      </c>
      <c r="I2257" s="92"/>
      <c r="J2257" s="92"/>
      <c r="K2257" s="93">
        <v>134.55000000000001</v>
      </c>
      <c r="L2257" s="92"/>
      <c r="M2257" s="92"/>
      <c r="N2257" s="92"/>
      <c r="O2257" s="92"/>
      <c r="P2257" s="92"/>
      <c r="Q2257" s="92"/>
      <c r="R2257" s="92"/>
      <c r="S2257" s="92"/>
      <c r="T2257" s="92"/>
      <c r="U2257" s="92"/>
      <c r="V2257" s="92"/>
      <c r="W2257" s="92"/>
      <c r="X2257" s="92"/>
      <c r="Y2257" s="92"/>
      <c r="Z2257" s="92"/>
      <c r="AA2257" s="92"/>
      <c r="AB2257" s="92"/>
      <c r="AC2257" s="92"/>
      <c r="AD2257" s="93">
        <v>6.84</v>
      </c>
      <c r="AE2257" s="92"/>
      <c r="AF2257" s="92"/>
      <c r="AG2257" s="93">
        <v>141.38999999999999</v>
      </c>
      <c r="AH2257" s="93">
        <v>0</v>
      </c>
    </row>
    <row r="2258" spans="1:34" ht="15.75" thickBot="1" x14ac:dyDescent="0.3">
      <c r="A2258" s="90" t="s">
        <v>1056</v>
      </c>
      <c r="B2258" s="90" t="s">
        <v>29</v>
      </c>
      <c r="C2258" s="90" t="s">
        <v>30</v>
      </c>
      <c r="D2258" s="90" t="s">
        <v>17</v>
      </c>
      <c r="E2258" s="90" t="s">
        <v>518</v>
      </c>
      <c r="F2258" s="90" t="s">
        <v>697</v>
      </c>
      <c r="G2258" s="95">
        <v>134.55000000000001</v>
      </c>
      <c r="H2258" s="305">
        <v>612</v>
      </c>
      <c r="I2258" s="94"/>
      <c r="J2258" s="94"/>
      <c r="K2258" s="95">
        <v>134.55000000000001</v>
      </c>
      <c r="L2258" s="94"/>
      <c r="M2258" s="94"/>
      <c r="N2258" s="94"/>
      <c r="O2258" s="94"/>
      <c r="P2258" s="94"/>
      <c r="Q2258" s="94"/>
      <c r="R2258" s="94"/>
      <c r="S2258" s="94"/>
      <c r="T2258" s="94"/>
      <c r="U2258" s="94"/>
      <c r="V2258" s="94"/>
      <c r="W2258" s="94"/>
      <c r="X2258" s="94"/>
      <c r="Y2258" s="94"/>
      <c r="Z2258" s="94"/>
      <c r="AA2258" s="94"/>
      <c r="AB2258" s="94"/>
      <c r="AC2258" s="94"/>
      <c r="AD2258" s="95">
        <v>6.84</v>
      </c>
      <c r="AE2258" s="94"/>
      <c r="AF2258" s="94"/>
      <c r="AG2258" s="95">
        <v>141.38999999999999</v>
      </c>
      <c r="AH2258" s="95">
        <v>0</v>
      </c>
    </row>
    <row r="2259" spans="1:34" ht="15.75" thickBot="1" x14ac:dyDescent="0.3">
      <c r="A2259" s="90" t="s">
        <v>1056</v>
      </c>
      <c r="B2259" s="90" t="s">
        <v>29</v>
      </c>
      <c r="C2259" s="90" t="s">
        <v>30</v>
      </c>
      <c r="D2259" s="90" t="s">
        <v>17</v>
      </c>
      <c r="E2259" s="90" t="s">
        <v>196</v>
      </c>
      <c r="F2259" s="90" t="s">
        <v>686</v>
      </c>
      <c r="G2259" s="93">
        <v>232.57</v>
      </c>
      <c r="H2259" s="92"/>
      <c r="I2259" s="92"/>
      <c r="J2259" s="92"/>
      <c r="K2259" s="92"/>
      <c r="L2259" s="92"/>
      <c r="M2259" s="92"/>
      <c r="N2259" s="92"/>
      <c r="O2259" s="92"/>
      <c r="P2259" s="93">
        <v>232.57</v>
      </c>
      <c r="Q2259" s="92"/>
      <c r="R2259" s="92"/>
      <c r="S2259" s="92"/>
      <c r="T2259" s="92"/>
      <c r="U2259" s="92"/>
      <c r="V2259" s="92"/>
      <c r="W2259" s="92"/>
      <c r="X2259" s="92"/>
      <c r="Y2259" s="92"/>
      <c r="Z2259" s="92"/>
      <c r="AA2259" s="92"/>
      <c r="AB2259" s="92"/>
      <c r="AC2259" s="92"/>
      <c r="AD2259" s="93">
        <v>12.96</v>
      </c>
      <c r="AE2259" s="92"/>
      <c r="AF2259" s="92"/>
      <c r="AG2259" s="93">
        <v>245.53</v>
      </c>
      <c r="AH2259" s="93">
        <v>0</v>
      </c>
    </row>
    <row r="2260" spans="1:34" ht="15.75" thickBot="1" x14ac:dyDescent="0.3">
      <c r="A2260" s="90" t="s">
        <v>1056</v>
      </c>
      <c r="B2260" s="90" t="s">
        <v>29</v>
      </c>
      <c r="C2260" s="90" t="s">
        <v>30</v>
      </c>
      <c r="D2260" s="90" t="s">
        <v>17</v>
      </c>
      <c r="E2260" s="90" t="s">
        <v>196</v>
      </c>
      <c r="F2260" s="90" t="s">
        <v>697</v>
      </c>
      <c r="G2260" s="95">
        <v>232.57</v>
      </c>
      <c r="H2260" s="94"/>
      <c r="I2260" s="94"/>
      <c r="J2260" s="94"/>
      <c r="K2260" s="94"/>
      <c r="L2260" s="94"/>
      <c r="M2260" s="94"/>
      <c r="N2260" s="94"/>
      <c r="O2260" s="94"/>
      <c r="P2260" s="95">
        <v>232.57</v>
      </c>
      <c r="Q2260" s="94"/>
      <c r="R2260" s="94"/>
      <c r="S2260" s="94"/>
      <c r="T2260" s="94"/>
      <c r="U2260" s="94"/>
      <c r="V2260" s="94"/>
      <c r="W2260" s="94"/>
      <c r="X2260" s="94"/>
      <c r="Y2260" s="94"/>
      <c r="Z2260" s="94"/>
      <c r="AA2260" s="94"/>
      <c r="AB2260" s="94"/>
      <c r="AC2260" s="94"/>
      <c r="AD2260" s="95">
        <v>12.96</v>
      </c>
      <c r="AE2260" s="94"/>
      <c r="AF2260" s="94"/>
      <c r="AG2260" s="95">
        <v>245.53</v>
      </c>
      <c r="AH2260" s="95">
        <v>0</v>
      </c>
    </row>
    <row r="2261" spans="1:34" ht="15" x14ac:dyDescent="0.25"/>
    <row r="2262" spans="1:34" ht="15" x14ac:dyDescent="0.25"/>
    <row r="2263" spans="1:34" ht="15" x14ac:dyDescent="0.25"/>
    <row r="2264" spans="1:34" ht="15" x14ac:dyDescent="0.25"/>
    <row r="2265" spans="1:34" ht="15" x14ac:dyDescent="0.25"/>
    <row r="2266" spans="1:34" ht="15" x14ac:dyDescent="0.25"/>
    <row r="2267" spans="1:34" ht="15" x14ac:dyDescent="0.25"/>
    <row r="2268" spans="1:34" ht="15" x14ac:dyDescent="0.25"/>
    <row r="2269" spans="1:34" ht="15" x14ac:dyDescent="0.25"/>
    <row r="2270" spans="1:34" ht="15" x14ac:dyDescent="0.25"/>
    <row r="2271" spans="1:34" ht="15" x14ac:dyDescent="0.25"/>
    <row r="2272" spans="1:34" ht="15" x14ac:dyDescent="0.25"/>
    <row r="2273" ht="15" x14ac:dyDescent="0.25"/>
    <row r="2274" ht="15" x14ac:dyDescent="0.25"/>
    <row r="2275" ht="15" x14ac:dyDescent="0.25"/>
    <row r="2276" ht="15" x14ac:dyDescent="0.25"/>
    <row r="2277" ht="15" x14ac:dyDescent="0.25"/>
    <row r="2278" ht="15" x14ac:dyDescent="0.25"/>
    <row r="2279" ht="15" x14ac:dyDescent="0.25"/>
    <row r="2280" ht="15" x14ac:dyDescent="0.25"/>
    <row r="2281" ht="15" x14ac:dyDescent="0.25"/>
    <row r="2282" ht="15" x14ac:dyDescent="0.25"/>
    <row r="2283" ht="15" x14ac:dyDescent="0.25"/>
    <row r="2284" ht="15" x14ac:dyDescent="0.25"/>
    <row r="2285" ht="15" x14ac:dyDescent="0.25"/>
    <row r="2286" ht="15" x14ac:dyDescent="0.25"/>
    <row r="2287" ht="15" x14ac:dyDescent="0.25"/>
    <row r="2288" ht="15" x14ac:dyDescent="0.25"/>
    <row r="2289" ht="15" x14ac:dyDescent="0.25"/>
    <row r="2290" ht="15" x14ac:dyDescent="0.25"/>
    <row r="2291" ht="15" x14ac:dyDescent="0.25"/>
    <row r="2292" ht="15" x14ac:dyDescent="0.25"/>
    <row r="2293" ht="15" x14ac:dyDescent="0.25"/>
    <row r="2294" ht="15" x14ac:dyDescent="0.25"/>
    <row r="2295" ht="15" x14ac:dyDescent="0.25"/>
    <row r="2296" ht="15" x14ac:dyDescent="0.25"/>
    <row r="2297" ht="15" x14ac:dyDescent="0.25"/>
    <row r="2298" ht="15" x14ac:dyDescent="0.25"/>
    <row r="2299" ht="15" x14ac:dyDescent="0.25"/>
    <row r="2300" ht="15" x14ac:dyDescent="0.25"/>
    <row r="2301" ht="15" x14ac:dyDescent="0.25"/>
    <row r="2302" ht="15" x14ac:dyDescent="0.25"/>
    <row r="2303" ht="15" x14ac:dyDescent="0.25"/>
    <row r="2304" ht="15" x14ac:dyDescent="0.25"/>
    <row r="2305" ht="15" x14ac:dyDescent="0.25"/>
    <row r="2306" ht="15" x14ac:dyDescent="0.25"/>
    <row r="2307" ht="15" x14ac:dyDescent="0.25"/>
    <row r="2308" ht="15" x14ac:dyDescent="0.25"/>
    <row r="2309" ht="15" x14ac:dyDescent="0.25"/>
    <row r="2310" ht="15" x14ac:dyDescent="0.25"/>
    <row r="2311" ht="15" x14ac:dyDescent="0.25"/>
    <row r="2312" ht="15" x14ac:dyDescent="0.25"/>
    <row r="2313" ht="15" x14ac:dyDescent="0.25"/>
    <row r="2314" ht="15" x14ac:dyDescent="0.25"/>
    <row r="2315" ht="15" x14ac:dyDescent="0.25"/>
    <row r="2316" ht="15" x14ac:dyDescent="0.25"/>
    <row r="2317" ht="15" x14ac:dyDescent="0.25"/>
    <row r="2318" ht="15" x14ac:dyDescent="0.25"/>
    <row r="2319" ht="15" x14ac:dyDescent="0.25"/>
    <row r="2320" ht="15" x14ac:dyDescent="0.25"/>
    <row r="2321" ht="15" x14ac:dyDescent="0.25"/>
    <row r="2322" ht="15" x14ac:dyDescent="0.25"/>
    <row r="2323" ht="15" x14ac:dyDescent="0.25"/>
    <row r="2324" ht="15" x14ac:dyDescent="0.25"/>
    <row r="2325" ht="15" x14ac:dyDescent="0.25"/>
    <row r="2326" ht="15" x14ac:dyDescent="0.25"/>
    <row r="2327" ht="15" x14ac:dyDescent="0.25"/>
    <row r="2328" ht="15" x14ac:dyDescent="0.25"/>
    <row r="2329" ht="15" x14ac:dyDescent="0.25"/>
    <row r="2330" ht="15" x14ac:dyDescent="0.25"/>
    <row r="2331" ht="15" x14ac:dyDescent="0.25"/>
    <row r="2332" ht="15" x14ac:dyDescent="0.25"/>
    <row r="2333" ht="15" x14ac:dyDescent="0.25"/>
    <row r="2334" ht="15" x14ac:dyDescent="0.25"/>
    <row r="2335" ht="15" x14ac:dyDescent="0.25"/>
    <row r="2336" ht="15" x14ac:dyDescent="0.25"/>
    <row r="2337" ht="15" x14ac:dyDescent="0.25"/>
    <row r="2338" ht="15" x14ac:dyDescent="0.25"/>
    <row r="2339" ht="15" x14ac:dyDescent="0.25"/>
    <row r="2340" ht="15" x14ac:dyDescent="0.25"/>
    <row r="2341" ht="15" x14ac:dyDescent="0.25"/>
    <row r="2342" ht="15" x14ac:dyDescent="0.25"/>
    <row r="2343" ht="15" x14ac:dyDescent="0.25"/>
    <row r="2344" ht="15" x14ac:dyDescent="0.25"/>
    <row r="2345" ht="15" x14ac:dyDescent="0.25"/>
    <row r="2346" ht="15" x14ac:dyDescent="0.25"/>
    <row r="2347" ht="15" x14ac:dyDescent="0.25"/>
    <row r="2348" ht="15" x14ac:dyDescent="0.25"/>
    <row r="2349" ht="15" x14ac:dyDescent="0.25"/>
    <row r="2350" ht="15" x14ac:dyDescent="0.25"/>
    <row r="2351" ht="15" x14ac:dyDescent="0.25"/>
    <row r="2352" ht="15" x14ac:dyDescent="0.25"/>
    <row r="2353" ht="15" x14ac:dyDescent="0.25"/>
    <row r="2354" ht="15" x14ac:dyDescent="0.25"/>
    <row r="2355" ht="15" x14ac:dyDescent="0.25"/>
    <row r="2356" ht="15" x14ac:dyDescent="0.25"/>
    <row r="2357" ht="15" x14ac:dyDescent="0.25"/>
    <row r="2358" ht="15" x14ac:dyDescent="0.25"/>
    <row r="2359" ht="15" x14ac:dyDescent="0.25"/>
    <row r="2360" ht="15" x14ac:dyDescent="0.25"/>
    <row r="2361" ht="15" x14ac:dyDescent="0.25"/>
    <row r="2362" ht="15" x14ac:dyDescent="0.25"/>
    <row r="2363" ht="15" x14ac:dyDescent="0.25"/>
    <row r="2364" ht="15" x14ac:dyDescent="0.25"/>
    <row r="2365" ht="15" x14ac:dyDescent="0.25"/>
    <row r="2366" ht="15" x14ac:dyDescent="0.25"/>
    <row r="2367" ht="15" x14ac:dyDescent="0.25"/>
    <row r="2368" ht="15" x14ac:dyDescent="0.25"/>
    <row r="2369" ht="15" x14ac:dyDescent="0.25"/>
    <row r="2370" ht="15" x14ac:dyDescent="0.25"/>
    <row r="2371" ht="15" x14ac:dyDescent="0.25"/>
    <row r="2372" ht="15" x14ac:dyDescent="0.25"/>
    <row r="2373" ht="15" x14ac:dyDescent="0.25"/>
    <row r="2374" ht="15" x14ac:dyDescent="0.25"/>
    <row r="2375" ht="15" x14ac:dyDescent="0.25"/>
    <row r="2376" ht="15" x14ac:dyDescent="0.25"/>
    <row r="2377" ht="15" x14ac:dyDescent="0.25"/>
    <row r="2378" ht="15" x14ac:dyDescent="0.25"/>
    <row r="2379" ht="15" x14ac:dyDescent="0.25"/>
    <row r="2380" ht="15" x14ac:dyDescent="0.25"/>
    <row r="2381" ht="15" x14ac:dyDescent="0.25"/>
    <row r="2382" ht="15" x14ac:dyDescent="0.25"/>
    <row r="2383" ht="15" x14ac:dyDescent="0.25"/>
    <row r="2384" ht="15" x14ac:dyDescent="0.25"/>
    <row r="2385" ht="15" x14ac:dyDescent="0.25"/>
    <row r="2386" ht="15" x14ac:dyDescent="0.25"/>
    <row r="2387" ht="15" x14ac:dyDescent="0.25"/>
    <row r="2388" ht="15" x14ac:dyDescent="0.25"/>
    <row r="2389" ht="15" x14ac:dyDescent="0.25"/>
    <row r="2390" ht="15" x14ac:dyDescent="0.25"/>
    <row r="2391" ht="15" x14ac:dyDescent="0.25"/>
    <row r="2392" ht="15" x14ac:dyDescent="0.25"/>
    <row r="2393" ht="15" x14ac:dyDescent="0.25"/>
    <row r="2394" ht="15" x14ac:dyDescent="0.25"/>
    <row r="2395" ht="15" x14ac:dyDescent="0.25"/>
    <row r="2396" ht="15" x14ac:dyDescent="0.25"/>
    <row r="2397" ht="15" x14ac:dyDescent="0.25"/>
    <row r="2398" ht="15" x14ac:dyDescent="0.25"/>
    <row r="2399" ht="15" x14ac:dyDescent="0.25"/>
    <row r="2400" ht="15" x14ac:dyDescent="0.25"/>
    <row r="2401" ht="15" x14ac:dyDescent="0.25"/>
    <row r="2402" ht="15" x14ac:dyDescent="0.25"/>
    <row r="2403" ht="15" x14ac:dyDescent="0.25"/>
    <row r="2404" ht="15" x14ac:dyDescent="0.25"/>
    <row r="2405" ht="15" x14ac:dyDescent="0.25"/>
    <row r="2406" ht="15" x14ac:dyDescent="0.25"/>
    <row r="2407" ht="15" x14ac:dyDescent="0.25"/>
    <row r="2408" ht="15" x14ac:dyDescent="0.25"/>
    <row r="2409" ht="15" x14ac:dyDescent="0.25"/>
    <row r="2410" ht="15" x14ac:dyDescent="0.25"/>
    <row r="2411" ht="15" x14ac:dyDescent="0.25"/>
    <row r="2412" ht="15" x14ac:dyDescent="0.25"/>
    <row r="2413" ht="15" x14ac:dyDescent="0.25"/>
    <row r="2414" ht="15" x14ac:dyDescent="0.25"/>
    <row r="2415" ht="15" x14ac:dyDescent="0.25"/>
    <row r="2416" ht="15" x14ac:dyDescent="0.25"/>
    <row r="2417" ht="15" x14ac:dyDescent="0.25"/>
    <row r="2418" ht="15" x14ac:dyDescent="0.25"/>
    <row r="2419" ht="15" x14ac:dyDescent="0.25"/>
    <row r="2420" ht="15" x14ac:dyDescent="0.25"/>
    <row r="2421" ht="15" x14ac:dyDescent="0.25"/>
    <row r="2422" ht="15" x14ac:dyDescent="0.25"/>
    <row r="2423" ht="15" x14ac:dyDescent="0.25"/>
    <row r="2424" ht="15" x14ac:dyDescent="0.25"/>
    <row r="2425" ht="15" x14ac:dyDescent="0.25"/>
    <row r="2426" ht="15" x14ac:dyDescent="0.25"/>
    <row r="2427" ht="15" x14ac:dyDescent="0.25"/>
    <row r="2428" ht="15" x14ac:dyDescent="0.25"/>
    <row r="2429" ht="15" x14ac:dyDescent="0.25"/>
    <row r="2430" ht="15" x14ac:dyDescent="0.25"/>
    <row r="2431" ht="15" x14ac:dyDescent="0.25"/>
    <row r="2432" ht="15" x14ac:dyDescent="0.25"/>
    <row r="2433" ht="15" x14ac:dyDescent="0.25"/>
    <row r="2434" ht="15" x14ac:dyDescent="0.25"/>
    <row r="2435" ht="15" x14ac:dyDescent="0.25"/>
    <row r="2436" ht="15" x14ac:dyDescent="0.25"/>
    <row r="2437" ht="15" x14ac:dyDescent="0.25"/>
    <row r="2438" ht="15" x14ac:dyDescent="0.25"/>
    <row r="2439" ht="15" x14ac:dyDescent="0.25"/>
    <row r="2440" ht="15" x14ac:dyDescent="0.25"/>
    <row r="2441" ht="15" x14ac:dyDescent="0.25"/>
    <row r="2442" ht="15" x14ac:dyDescent="0.25"/>
    <row r="2443" ht="15" x14ac:dyDescent="0.25"/>
    <row r="2444" ht="15" x14ac:dyDescent="0.25"/>
    <row r="2445" ht="15" x14ac:dyDescent="0.25"/>
    <row r="2446" ht="15" x14ac:dyDescent="0.25"/>
    <row r="2447" ht="15" x14ac:dyDescent="0.25"/>
    <row r="2448" ht="15" x14ac:dyDescent="0.25"/>
    <row r="2449" ht="15" x14ac:dyDescent="0.25"/>
    <row r="2450" ht="15" x14ac:dyDescent="0.25"/>
    <row r="2451" ht="15" x14ac:dyDescent="0.25"/>
    <row r="2452" ht="15" x14ac:dyDescent="0.25"/>
    <row r="2453" ht="15" x14ac:dyDescent="0.25"/>
    <row r="2454" ht="15" x14ac:dyDescent="0.25"/>
    <row r="2455" ht="15" x14ac:dyDescent="0.25"/>
    <row r="2456" ht="15" x14ac:dyDescent="0.25"/>
    <row r="2457" ht="15" x14ac:dyDescent="0.25"/>
    <row r="2458" ht="15" x14ac:dyDescent="0.25"/>
    <row r="2459" ht="15" x14ac:dyDescent="0.25"/>
    <row r="2460" ht="15" x14ac:dyDescent="0.25"/>
    <row r="2461" ht="15" x14ac:dyDescent="0.25"/>
    <row r="2462" ht="15" x14ac:dyDescent="0.25"/>
    <row r="2463" ht="15" x14ac:dyDescent="0.25"/>
    <row r="2464" ht="15" x14ac:dyDescent="0.25"/>
    <row r="2465" ht="15" x14ac:dyDescent="0.25"/>
    <row r="2466" ht="15" x14ac:dyDescent="0.25"/>
    <row r="2467" ht="15" x14ac:dyDescent="0.25"/>
    <row r="2468" ht="15" x14ac:dyDescent="0.25"/>
    <row r="2469" ht="15" x14ac:dyDescent="0.25"/>
    <row r="2470" ht="15" x14ac:dyDescent="0.25"/>
    <row r="2471" ht="15" x14ac:dyDescent="0.25"/>
    <row r="2472" ht="15" x14ac:dyDescent="0.25"/>
    <row r="2473" ht="15" x14ac:dyDescent="0.25"/>
    <row r="2474" ht="15" x14ac:dyDescent="0.25"/>
    <row r="2475" ht="15" x14ac:dyDescent="0.25"/>
    <row r="2476" ht="15" x14ac:dyDescent="0.25"/>
    <row r="2477" ht="15" x14ac:dyDescent="0.25"/>
    <row r="2478" ht="15" x14ac:dyDescent="0.25"/>
    <row r="2479" ht="15" x14ac:dyDescent="0.25"/>
    <row r="2480" ht="15" x14ac:dyDescent="0.25"/>
    <row r="2481" ht="15" x14ac:dyDescent="0.25"/>
    <row r="2482" ht="15" x14ac:dyDescent="0.25"/>
    <row r="2483" ht="15" x14ac:dyDescent="0.25"/>
    <row r="2484" ht="15" x14ac:dyDescent="0.25"/>
    <row r="2485" ht="15" x14ac:dyDescent="0.25"/>
    <row r="2486" ht="15" x14ac:dyDescent="0.25"/>
    <row r="2487" ht="15" x14ac:dyDescent="0.25"/>
    <row r="2488" ht="15" x14ac:dyDescent="0.25"/>
    <row r="2489" ht="15" x14ac:dyDescent="0.25"/>
    <row r="2490" ht="15" x14ac:dyDescent="0.25"/>
    <row r="2491" ht="15" x14ac:dyDescent="0.25"/>
    <row r="2492" ht="15" x14ac:dyDescent="0.25"/>
    <row r="2493" ht="15" x14ac:dyDescent="0.25"/>
    <row r="2494" ht="15" x14ac:dyDescent="0.25"/>
    <row r="2495" ht="15" x14ac:dyDescent="0.25"/>
    <row r="2496" ht="15" x14ac:dyDescent="0.25"/>
    <row r="2497" ht="15" x14ac:dyDescent="0.25"/>
    <row r="2498" ht="15" x14ac:dyDescent="0.25"/>
    <row r="2499" ht="15" x14ac:dyDescent="0.25"/>
    <row r="2500" ht="15" x14ac:dyDescent="0.25"/>
    <row r="2501" ht="15" x14ac:dyDescent="0.25"/>
    <row r="2502" ht="15" x14ac:dyDescent="0.25"/>
    <row r="2503" ht="15" x14ac:dyDescent="0.25"/>
    <row r="2504" ht="15" x14ac:dyDescent="0.25"/>
    <row r="2505" ht="15" x14ac:dyDescent="0.25"/>
    <row r="2506" ht="15" x14ac:dyDescent="0.25"/>
    <row r="2507" ht="15" x14ac:dyDescent="0.25"/>
    <row r="2508" ht="15" x14ac:dyDescent="0.25"/>
    <row r="2509" ht="15" x14ac:dyDescent="0.25"/>
    <row r="2510" ht="15" x14ac:dyDescent="0.25"/>
    <row r="2511" ht="15" x14ac:dyDescent="0.25"/>
    <row r="2512" ht="15" x14ac:dyDescent="0.25"/>
    <row r="2513" ht="15" x14ac:dyDescent="0.25"/>
    <row r="2514" ht="15" x14ac:dyDescent="0.25"/>
    <row r="2515" ht="15" x14ac:dyDescent="0.25"/>
    <row r="2516" ht="15" x14ac:dyDescent="0.25"/>
    <row r="2517" ht="15" x14ac:dyDescent="0.25"/>
    <row r="2518" ht="15" x14ac:dyDescent="0.25"/>
    <row r="2519" ht="15" x14ac:dyDescent="0.25"/>
    <row r="2520" ht="15" x14ac:dyDescent="0.25"/>
    <row r="2521" ht="15" x14ac:dyDescent="0.25"/>
    <row r="2522" ht="15" x14ac:dyDescent="0.25"/>
    <row r="2523" ht="15" x14ac:dyDescent="0.25"/>
    <row r="2524" ht="15" x14ac:dyDescent="0.25"/>
    <row r="2525" ht="15" x14ac:dyDescent="0.25"/>
    <row r="2526" ht="15" x14ac:dyDescent="0.25"/>
    <row r="2527" ht="15" x14ac:dyDescent="0.25"/>
    <row r="2528" ht="15" x14ac:dyDescent="0.25"/>
    <row r="2529" ht="15" x14ac:dyDescent="0.25"/>
    <row r="2530" ht="15" x14ac:dyDescent="0.25"/>
    <row r="2531" ht="15" x14ac:dyDescent="0.25"/>
    <row r="2532" ht="15" x14ac:dyDescent="0.25"/>
    <row r="2533" ht="15" x14ac:dyDescent="0.25"/>
    <row r="2534" ht="15" x14ac:dyDescent="0.25"/>
    <row r="2535" ht="15" x14ac:dyDescent="0.25"/>
    <row r="2536" ht="15" x14ac:dyDescent="0.25"/>
    <row r="2537" ht="15" x14ac:dyDescent="0.25"/>
    <row r="2538" ht="15" x14ac:dyDescent="0.25"/>
    <row r="2539" ht="15" x14ac:dyDescent="0.25"/>
    <row r="2540" ht="15" x14ac:dyDescent="0.25"/>
    <row r="2541" ht="15" x14ac:dyDescent="0.25"/>
    <row r="2542" ht="15" x14ac:dyDescent="0.25"/>
    <row r="2543" ht="15" x14ac:dyDescent="0.25"/>
    <row r="2544" ht="15" x14ac:dyDescent="0.25"/>
    <row r="2545" ht="15" x14ac:dyDescent="0.25"/>
    <row r="2546" ht="15" x14ac:dyDescent="0.25"/>
    <row r="2547" ht="15" x14ac:dyDescent="0.25"/>
    <row r="2548" ht="15" x14ac:dyDescent="0.25"/>
    <row r="2549" ht="15" x14ac:dyDescent="0.25"/>
    <row r="2550" ht="15" x14ac:dyDescent="0.25"/>
    <row r="2551" ht="15" x14ac:dyDescent="0.25"/>
    <row r="2552" ht="15" x14ac:dyDescent="0.25"/>
    <row r="2553" ht="15" x14ac:dyDescent="0.25"/>
    <row r="2554" ht="15" x14ac:dyDescent="0.25"/>
    <row r="2555" ht="15" x14ac:dyDescent="0.25"/>
    <row r="2556" ht="15" x14ac:dyDescent="0.25"/>
    <row r="2557" ht="15" x14ac:dyDescent="0.25"/>
    <row r="2558" ht="15" x14ac:dyDescent="0.25"/>
    <row r="2559" ht="15" x14ac:dyDescent="0.25"/>
    <row r="2560" ht="15" x14ac:dyDescent="0.25"/>
    <row r="2561" ht="15" x14ac:dyDescent="0.25"/>
    <row r="2562" ht="15" x14ac:dyDescent="0.25"/>
    <row r="2563" ht="15" x14ac:dyDescent="0.25"/>
    <row r="2564" ht="15" x14ac:dyDescent="0.25"/>
    <row r="2565" ht="15" x14ac:dyDescent="0.25"/>
    <row r="2566" ht="15" x14ac:dyDescent="0.25"/>
    <row r="2567" ht="15" x14ac:dyDescent="0.25"/>
    <row r="2568" ht="15" x14ac:dyDescent="0.25"/>
    <row r="2569" ht="15" x14ac:dyDescent="0.25"/>
    <row r="2570" ht="15" x14ac:dyDescent="0.25"/>
    <row r="2571" ht="15" x14ac:dyDescent="0.25"/>
    <row r="2572" ht="15" x14ac:dyDescent="0.25"/>
    <row r="2573" ht="15" x14ac:dyDescent="0.25"/>
    <row r="2574" ht="15" x14ac:dyDescent="0.25"/>
    <row r="2575" ht="15" x14ac:dyDescent="0.25"/>
    <row r="2576" ht="15" x14ac:dyDescent="0.25"/>
    <row r="2577" ht="15" x14ac:dyDescent="0.25"/>
    <row r="2578" ht="15" x14ac:dyDescent="0.25"/>
    <row r="2579" ht="15" x14ac:dyDescent="0.25"/>
    <row r="2580" ht="15" x14ac:dyDescent="0.25"/>
    <row r="2581" ht="15" x14ac:dyDescent="0.25"/>
    <row r="2582" ht="15" x14ac:dyDescent="0.25"/>
    <row r="2583" ht="15" x14ac:dyDescent="0.25"/>
    <row r="2584" ht="15" x14ac:dyDescent="0.25"/>
    <row r="2585" ht="15" x14ac:dyDescent="0.25"/>
    <row r="2586" ht="15" x14ac:dyDescent="0.25"/>
    <row r="2587" ht="15" x14ac:dyDescent="0.25"/>
    <row r="2588" ht="15" x14ac:dyDescent="0.25"/>
    <row r="2589" ht="15" x14ac:dyDescent="0.25"/>
    <row r="2590" ht="15" x14ac:dyDescent="0.25"/>
    <row r="2591" ht="15" x14ac:dyDescent="0.25"/>
    <row r="2592" ht="15" x14ac:dyDescent="0.25"/>
    <row r="2593" ht="15" x14ac:dyDescent="0.25"/>
    <row r="2594" ht="15" x14ac:dyDescent="0.25"/>
    <row r="2595" ht="15" x14ac:dyDescent="0.25"/>
    <row r="2596" ht="15" x14ac:dyDescent="0.25"/>
    <row r="2597" ht="15" x14ac:dyDescent="0.25"/>
    <row r="2598" ht="15" x14ac:dyDescent="0.25"/>
    <row r="2599" ht="15" x14ac:dyDescent="0.25"/>
    <row r="2600" ht="15" x14ac:dyDescent="0.25"/>
    <row r="2601" ht="15" x14ac:dyDescent="0.25"/>
    <row r="2602" ht="15" x14ac:dyDescent="0.25"/>
    <row r="2603" ht="15" x14ac:dyDescent="0.25"/>
    <row r="2604" ht="15" x14ac:dyDescent="0.25"/>
    <row r="2605" ht="15" x14ac:dyDescent="0.25"/>
    <row r="2606" ht="15" x14ac:dyDescent="0.25"/>
    <row r="2607" ht="15" x14ac:dyDescent="0.25"/>
    <row r="2608" ht="15" x14ac:dyDescent="0.25"/>
    <row r="2609" ht="15" x14ac:dyDescent="0.25"/>
    <row r="2610" ht="15" x14ac:dyDescent="0.25"/>
    <row r="2611" ht="15" x14ac:dyDescent="0.25"/>
    <row r="2612" ht="15" x14ac:dyDescent="0.25"/>
    <row r="2613" ht="15" x14ac:dyDescent="0.25"/>
    <row r="2614" ht="15" x14ac:dyDescent="0.25"/>
    <row r="2615" ht="15" x14ac:dyDescent="0.25"/>
    <row r="2616" ht="15" x14ac:dyDescent="0.25"/>
    <row r="2617" ht="15" x14ac:dyDescent="0.25"/>
    <row r="2618" ht="15" x14ac:dyDescent="0.25"/>
    <row r="2619" ht="15" x14ac:dyDescent="0.25"/>
    <row r="2620" ht="15" x14ac:dyDescent="0.25"/>
    <row r="2621" ht="15" x14ac:dyDescent="0.25"/>
    <row r="2622" ht="15" x14ac:dyDescent="0.25"/>
    <row r="2623" ht="15" x14ac:dyDescent="0.25"/>
    <row r="2624" ht="15" x14ac:dyDescent="0.25"/>
    <row r="2625" ht="15" x14ac:dyDescent="0.25"/>
    <row r="2626" ht="15" x14ac:dyDescent="0.25"/>
    <row r="2627" ht="15" x14ac:dyDescent="0.25"/>
    <row r="2628" ht="15" x14ac:dyDescent="0.25"/>
    <row r="2629" ht="15" x14ac:dyDescent="0.25"/>
    <row r="2630" ht="15" x14ac:dyDescent="0.25"/>
    <row r="2631" ht="15" x14ac:dyDescent="0.25"/>
    <row r="2632" ht="15" x14ac:dyDescent="0.25"/>
    <row r="2633" ht="15" x14ac:dyDescent="0.25"/>
    <row r="2634" ht="15" x14ac:dyDescent="0.25"/>
    <row r="2635" ht="15" x14ac:dyDescent="0.25"/>
    <row r="2636" ht="15" x14ac:dyDescent="0.25"/>
    <row r="2637" ht="15" x14ac:dyDescent="0.25"/>
    <row r="2638" ht="15" x14ac:dyDescent="0.25"/>
    <row r="2639" ht="15" x14ac:dyDescent="0.25"/>
    <row r="2640" ht="15" x14ac:dyDescent="0.25"/>
    <row r="2641" ht="15" x14ac:dyDescent="0.25"/>
    <row r="2642" ht="15" x14ac:dyDescent="0.25"/>
    <row r="2643" ht="15" x14ac:dyDescent="0.25"/>
    <row r="2644" ht="15" x14ac:dyDescent="0.25"/>
    <row r="2645" ht="15" x14ac:dyDescent="0.25"/>
    <row r="2646" ht="15" x14ac:dyDescent="0.25"/>
    <row r="2647" ht="15" x14ac:dyDescent="0.25"/>
    <row r="2648" ht="15" x14ac:dyDescent="0.25"/>
    <row r="2649" ht="15" x14ac:dyDescent="0.25"/>
    <row r="2650" ht="15" x14ac:dyDescent="0.25"/>
    <row r="2651" ht="15" x14ac:dyDescent="0.25"/>
    <row r="2652" ht="15" x14ac:dyDescent="0.25"/>
    <row r="2653" ht="15" x14ac:dyDescent="0.25"/>
    <row r="2654" ht="15" x14ac:dyDescent="0.25"/>
    <row r="2655" ht="15" x14ac:dyDescent="0.25"/>
    <row r="2656" ht="15" x14ac:dyDescent="0.25"/>
    <row r="2657" ht="15" x14ac:dyDescent="0.25"/>
    <row r="2658" ht="15" x14ac:dyDescent="0.25"/>
    <row r="2659" ht="15" x14ac:dyDescent="0.25"/>
    <row r="2660" ht="15" x14ac:dyDescent="0.25"/>
    <row r="2661" ht="15" x14ac:dyDescent="0.25"/>
    <row r="2662" ht="15" x14ac:dyDescent="0.25"/>
    <row r="2663" ht="15" x14ac:dyDescent="0.25"/>
    <row r="2664" ht="15" x14ac:dyDescent="0.25"/>
    <row r="2665" ht="15" x14ac:dyDescent="0.25"/>
    <row r="2666" ht="15" x14ac:dyDescent="0.25"/>
    <row r="2667" ht="15" x14ac:dyDescent="0.25"/>
    <row r="2668" ht="15" x14ac:dyDescent="0.25"/>
    <row r="2669" ht="15" x14ac:dyDescent="0.25"/>
    <row r="2670" ht="15" x14ac:dyDescent="0.25"/>
    <row r="2671" ht="15" x14ac:dyDescent="0.25"/>
    <row r="2672" ht="15" x14ac:dyDescent="0.25"/>
    <row r="2673" ht="15" x14ac:dyDescent="0.25"/>
    <row r="2674" ht="15" x14ac:dyDescent="0.25"/>
    <row r="2675" ht="15" x14ac:dyDescent="0.25"/>
    <row r="2676" ht="15" x14ac:dyDescent="0.25"/>
    <row r="2677" ht="15" x14ac:dyDescent="0.25"/>
    <row r="2678" ht="15" x14ac:dyDescent="0.25"/>
    <row r="2679" ht="15" x14ac:dyDescent="0.25"/>
    <row r="2680" ht="15" x14ac:dyDescent="0.25"/>
    <row r="2681" ht="15" x14ac:dyDescent="0.25"/>
    <row r="2682" ht="15" x14ac:dyDescent="0.25"/>
    <row r="2683" ht="15" x14ac:dyDescent="0.25"/>
    <row r="2684" ht="15" x14ac:dyDescent="0.25"/>
    <row r="2685" ht="15" x14ac:dyDescent="0.25"/>
    <row r="2686" ht="15" x14ac:dyDescent="0.25"/>
    <row r="2687" ht="15" x14ac:dyDescent="0.25"/>
    <row r="2688" ht="15" x14ac:dyDescent="0.25"/>
    <row r="2689" ht="15" x14ac:dyDescent="0.25"/>
    <row r="2690" ht="15" x14ac:dyDescent="0.25"/>
    <row r="2691" ht="15" x14ac:dyDescent="0.25"/>
    <row r="2692" ht="15" x14ac:dyDescent="0.25"/>
    <row r="2693" ht="15" x14ac:dyDescent="0.25"/>
    <row r="2694" ht="15" x14ac:dyDescent="0.25"/>
    <row r="2695" ht="15" x14ac:dyDescent="0.25"/>
    <row r="2696" ht="15" x14ac:dyDescent="0.25"/>
    <row r="2697" ht="15" x14ac:dyDescent="0.25"/>
    <row r="2698" ht="15" x14ac:dyDescent="0.25"/>
    <row r="2699" ht="15" x14ac:dyDescent="0.25"/>
    <row r="2700" ht="15" x14ac:dyDescent="0.25"/>
    <row r="2701" ht="15" x14ac:dyDescent="0.25"/>
    <row r="2702" ht="15" x14ac:dyDescent="0.25"/>
    <row r="2703" ht="15" x14ac:dyDescent="0.25"/>
    <row r="2704" ht="15" x14ac:dyDescent="0.25"/>
    <row r="2705" ht="15" x14ac:dyDescent="0.25"/>
    <row r="2706" ht="15" x14ac:dyDescent="0.25"/>
    <row r="2707" ht="15" x14ac:dyDescent="0.25"/>
    <row r="2708" ht="15" x14ac:dyDescent="0.25"/>
    <row r="2709" ht="15" x14ac:dyDescent="0.25"/>
    <row r="2710" ht="15" x14ac:dyDescent="0.25"/>
    <row r="2711" ht="15" x14ac:dyDescent="0.25"/>
    <row r="2712" ht="15" x14ac:dyDescent="0.25"/>
    <row r="2713" ht="15" x14ac:dyDescent="0.25"/>
    <row r="2714" ht="15" x14ac:dyDescent="0.25"/>
    <row r="2715" ht="15" x14ac:dyDescent="0.25"/>
    <row r="2716" ht="15" x14ac:dyDescent="0.25"/>
    <row r="2717" ht="15" x14ac:dyDescent="0.25"/>
    <row r="2718" ht="15" x14ac:dyDescent="0.25"/>
    <row r="2719" ht="15" x14ac:dyDescent="0.25"/>
    <row r="2720" ht="15" x14ac:dyDescent="0.25"/>
    <row r="2721" ht="15" x14ac:dyDescent="0.25"/>
    <row r="2722" ht="15" x14ac:dyDescent="0.25"/>
    <row r="2723" ht="15" x14ac:dyDescent="0.25"/>
    <row r="2724" ht="15" x14ac:dyDescent="0.25"/>
    <row r="2725" ht="15" x14ac:dyDescent="0.25"/>
    <row r="2726" ht="15" x14ac:dyDescent="0.25"/>
    <row r="2727" ht="15" x14ac:dyDescent="0.25"/>
    <row r="2728" ht="15" x14ac:dyDescent="0.25"/>
    <row r="2729" ht="15" x14ac:dyDescent="0.25"/>
    <row r="2730" ht="15" x14ac:dyDescent="0.25"/>
    <row r="2731" ht="15" x14ac:dyDescent="0.25"/>
    <row r="2732" ht="15" x14ac:dyDescent="0.25"/>
    <row r="2733" ht="15" x14ac:dyDescent="0.25"/>
    <row r="2734" ht="15" x14ac:dyDescent="0.25"/>
    <row r="2735" ht="15" x14ac:dyDescent="0.25"/>
    <row r="2736" ht="15" x14ac:dyDescent="0.25"/>
    <row r="2737" ht="15" x14ac:dyDescent="0.25"/>
    <row r="2738" ht="15" x14ac:dyDescent="0.25"/>
    <row r="2739" ht="15" x14ac:dyDescent="0.25"/>
    <row r="2740" ht="15" x14ac:dyDescent="0.25"/>
    <row r="2741" ht="15" x14ac:dyDescent="0.25"/>
    <row r="2742" ht="15" x14ac:dyDescent="0.25"/>
    <row r="2743" ht="15" x14ac:dyDescent="0.25"/>
    <row r="2744" ht="15" x14ac:dyDescent="0.25"/>
    <row r="2745" ht="15" x14ac:dyDescent="0.25"/>
    <row r="2746" ht="15" x14ac:dyDescent="0.25"/>
    <row r="2747" ht="15" x14ac:dyDescent="0.25"/>
    <row r="2748" ht="15" x14ac:dyDescent="0.25"/>
    <row r="2749" ht="15" x14ac:dyDescent="0.25"/>
    <row r="2750" ht="15" x14ac:dyDescent="0.25"/>
    <row r="2751" ht="15" x14ac:dyDescent="0.25"/>
    <row r="2752" ht="15" x14ac:dyDescent="0.25"/>
    <row r="2753" ht="15" x14ac:dyDescent="0.25"/>
    <row r="2754" ht="15" x14ac:dyDescent="0.25"/>
    <row r="2755" ht="15" x14ac:dyDescent="0.25"/>
    <row r="2756" ht="15" x14ac:dyDescent="0.25"/>
    <row r="2757" ht="15" x14ac:dyDescent="0.25"/>
    <row r="2758" ht="15" x14ac:dyDescent="0.25"/>
    <row r="2759" ht="15" x14ac:dyDescent="0.25"/>
    <row r="2760" ht="15" x14ac:dyDescent="0.25"/>
    <row r="2761" ht="15" x14ac:dyDescent="0.25"/>
    <row r="2762" ht="15" x14ac:dyDescent="0.25"/>
    <row r="2763" ht="15" x14ac:dyDescent="0.25"/>
    <row r="2764" ht="15" x14ac:dyDescent="0.25"/>
    <row r="2765" ht="15" x14ac:dyDescent="0.25"/>
    <row r="2766" ht="15" x14ac:dyDescent="0.25"/>
    <row r="2767" ht="15" x14ac:dyDescent="0.25"/>
    <row r="2768" ht="15" x14ac:dyDescent="0.25"/>
    <row r="2769" ht="15" x14ac:dyDescent="0.25"/>
    <row r="2770" ht="15" x14ac:dyDescent="0.25"/>
    <row r="2771" ht="15" x14ac:dyDescent="0.25"/>
    <row r="2772" ht="15" x14ac:dyDescent="0.25"/>
    <row r="2773" ht="15" x14ac:dyDescent="0.25"/>
    <row r="2774" ht="15" x14ac:dyDescent="0.25"/>
    <row r="2775" ht="15" x14ac:dyDescent="0.25"/>
    <row r="2776" ht="15" x14ac:dyDescent="0.25"/>
    <row r="2777" ht="15" x14ac:dyDescent="0.25"/>
    <row r="2778" ht="15" x14ac:dyDescent="0.25"/>
    <row r="2779" ht="15" x14ac:dyDescent="0.25"/>
    <row r="2780" ht="15" x14ac:dyDescent="0.25"/>
    <row r="2781" ht="15" x14ac:dyDescent="0.25"/>
    <row r="2782" ht="15" x14ac:dyDescent="0.25"/>
    <row r="2783" ht="15" x14ac:dyDescent="0.25"/>
    <row r="2784" ht="15" x14ac:dyDescent="0.25"/>
    <row r="2785" ht="15" x14ac:dyDescent="0.25"/>
    <row r="2786" ht="15" x14ac:dyDescent="0.25"/>
    <row r="2787" ht="15" x14ac:dyDescent="0.25"/>
    <row r="2788" ht="15" x14ac:dyDescent="0.25"/>
    <row r="2789" ht="15" x14ac:dyDescent="0.25"/>
    <row r="2790" ht="15" x14ac:dyDescent="0.25"/>
    <row r="2791" ht="15" x14ac:dyDescent="0.25"/>
    <row r="2792" ht="15" x14ac:dyDescent="0.25"/>
    <row r="2793" ht="15" x14ac:dyDescent="0.25"/>
    <row r="2794" ht="15" x14ac:dyDescent="0.25"/>
    <row r="2795" ht="15" x14ac:dyDescent="0.25"/>
    <row r="2796" ht="15" x14ac:dyDescent="0.25"/>
    <row r="2797" ht="15" x14ac:dyDescent="0.25"/>
    <row r="2798" ht="15" x14ac:dyDescent="0.25"/>
    <row r="2799" ht="15" x14ac:dyDescent="0.25"/>
    <row r="2800" ht="15" x14ac:dyDescent="0.25"/>
    <row r="2801" ht="15" x14ac:dyDescent="0.25"/>
    <row r="2802" ht="15" x14ac:dyDescent="0.25"/>
    <row r="2803" ht="15" x14ac:dyDescent="0.25"/>
    <row r="2804" ht="15" x14ac:dyDescent="0.25"/>
    <row r="2805" ht="15" x14ac:dyDescent="0.25"/>
    <row r="2806" ht="15" x14ac:dyDescent="0.25"/>
    <row r="2807" ht="15" x14ac:dyDescent="0.25"/>
    <row r="2808" ht="15" x14ac:dyDescent="0.25"/>
    <row r="2809" ht="15" x14ac:dyDescent="0.25"/>
    <row r="2810" ht="15" x14ac:dyDescent="0.25"/>
    <row r="2811" ht="15" x14ac:dyDescent="0.25"/>
    <row r="2812" ht="15" x14ac:dyDescent="0.25"/>
    <row r="2813" ht="15" x14ac:dyDescent="0.25"/>
    <row r="2814" ht="15" x14ac:dyDescent="0.25"/>
    <row r="2815" ht="15" x14ac:dyDescent="0.25"/>
    <row r="2816" ht="15" x14ac:dyDescent="0.25"/>
    <row r="2817" ht="15" x14ac:dyDescent="0.25"/>
    <row r="2818" ht="15" x14ac:dyDescent="0.25"/>
    <row r="2819" ht="15" x14ac:dyDescent="0.25"/>
    <row r="2820" ht="15" x14ac:dyDescent="0.25"/>
    <row r="2821" ht="15" x14ac:dyDescent="0.25"/>
    <row r="2822" ht="15" x14ac:dyDescent="0.25"/>
    <row r="2823" ht="15" x14ac:dyDescent="0.25"/>
    <row r="2824" ht="15" x14ac:dyDescent="0.25"/>
    <row r="2825" ht="15" x14ac:dyDescent="0.25"/>
    <row r="2826" ht="15" x14ac:dyDescent="0.25"/>
    <row r="2827" ht="15" x14ac:dyDescent="0.25"/>
    <row r="2828" ht="15" x14ac:dyDescent="0.25"/>
    <row r="2829" ht="15" x14ac:dyDescent="0.25"/>
    <row r="2830" ht="15" x14ac:dyDescent="0.25"/>
    <row r="2831" ht="15" x14ac:dyDescent="0.25"/>
    <row r="2832" ht="15" x14ac:dyDescent="0.25"/>
    <row r="2833" ht="15" x14ac:dyDescent="0.25"/>
    <row r="2834" ht="15" x14ac:dyDescent="0.25"/>
    <row r="2835" ht="15" x14ac:dyDescent="0.25"/>
    <row r="2836" ht="15" x14ac:dyDescent="0.25"/>
    <row r="2837" ht="15" x14ac:dyDescent="0.25"/>
    <row r="2838" ht="15" x14ac:dyDescent="0.25"/>
    <row r="2839" ht="15" x14ac:dyDescent="0.25"/>
    <row r="2840" ht="15" x14ac:dyDescent="0.25"/>
    <row r="2841" ht="15" x14ac:dyDescent="0.25"/>
    <row r="2842" ht="15" x14ac:dyDescent="0.25"/>
    <row r="2843" ht="15" x14ac:dyDescent="0.25"/>
    <row r="2844" ht="15" x14ac:dyDescent="0.25"/>
    <row r="2845" ht="15" x14ac:dyDescent="0.25"/>
    <row r="2846" ht="15" x14ac:dyDescent="0.25"/>
    <row r="2847" ht="15" x14ac:dyDescent="0.25"/>
    <row r="2848" ht="15" x14ac:dyDescent="0.25"/>
    <row r="2849" ht="15" x14ac:dyDescent="0.25"/>
    <row r="2850" ht="15" x14ac:dyDescent="0.25"/>
    <row r="2851" ht="15" x14ac:dyDescent="0.25"/>
    <row r="2852" ht="15" x14ac:dyDescent="0.25"/>
    <row r="2853" ht="15" x14ac:dyDescent="0.25"/>
    <row r="2854" ht="15" x14ac:dyDescent="0.25"/>
    <row r="2855" ht="15" x14ac:dyDescent="0.25"/>
    <row r="2856" ht="15" x14ac:dyDescent="0.25"/>
    <row r="2857" ht="15" x14ac:dyDescent="0.25"/>
    <row r="2858" ht="15" x14ac:dyDescent="0.25"/>
    <row r="2859" ht="15" x14ac:dyDescent="0.25"/>
    <row r="2860" ht="15" x14ac:dyDescent="0.25"/>
    <row r="2861" ht="15" x14ac:dyDescent="0.25"/>
    <row r="2862" ht="15" x14ac:dyDescent="0.25"/>
    <row r="2863" ht="15" x14ac:dyDescent="0.25"/>
    <row r="2864" ht="15" x14ac:dyDescent="0.25"/>
    <row r="2865" ht="15" x14ac:dyDescent="0.25"/>
    <row r="2866" ht="15" x14ac:dyDescent="0.25"/>
    <row r="2867" ht="15" x14ac:dyDescent="0.25"/>
    <row r="2868" ht="15" x14ac:dyDescent="0.25"/>
    <row r="2869" ht="15" x14ac:dyDescent="0.25"/>
    <row r="2870" ht="15" x14ac:dyDescent="0.25"/>
    <row r="2871" ht="15" x14ac:dyDescent="0.25"/>
    <row r="2872" ht="15" x14ac:dyDescent="0.25"/>
    <row r="2873" ht="15" x14ac:dyDescent="0.25"/>
    <row r="2874" ht="15" x14ac:dyDescent="0.25"/>
    <row r="2875" ht="15" x14ac:dyDescent="0.25"/>
    <row r="2876" ht="15" x14ac:dyDescent="0.25"/>
    <row r="2877" ht="15" x14ac:dyDescent="0.25"/>
    <row r="2878" ht="15" x14ac:dyDescent="0.25"/>
    <row r="2879" ht="15" x14ac:dyDescent="0.25"/>
    <row r="2880" ht="15" x14ac:dyDescent="0.25"/>
    <row r="2881" ht="15" x14ac:dyDescent="0.25"/>
    <row r="2882" ht="15" x14ac:dyDescent="0.25"/>
    <row r="2883" ht="15" x14ac:dyDescent="0.25"/>
    <row r="2884" ht="15" x14ac:dyDescent="0.25"/>
    <row r="2885" ht="15" x14ac:dyDescent="0.25"/>
    <row r="2886" ht="15" x14ac:dyDescent="0.25"/>
    <row r="2887" ht="15" x14ac:dyDescent="0.25"/>
    <row r="2888" ht="15" x14ac:dyDescent="0.25"/>
    <row r="2889" ht="15" x14ac:dyDescent="0.25"/>
    <row r="2890" ht="15" x14ac:dyDescent="0.25"/>
    <row r="2891" ht="15" x14ac:dyDescent="0.25"/>
    <row r="2892" ht="15" x14ac:dyDescent="0.25"/>
    <row r="2893" ht="15" x14ac:dyDescent="0.25"/>
    <row r="2894" ht="15" x14ac:dyDescent="0.25"/>
    <row r="2895" ht="15" x14ac:dyDescent="0.25"/>
    <row r="2896" ht="15" x14ac:dyDescent="0.25"/>
    <row r="2897" ht="15" x14ac:dyDescent="0.25"/>
    <row r="2898" ht="15" x14ac:dyDescent="0.25"/>
    <row r="2899" ht="15" x14ac:dyDescent="0.25"/>
    <row r="2900" ht="15" x14ac:dyDescent="0.25"/>
    <row r="2901" ht="15" x14ac:dyDescent="0.25"/>
    <row r="2902" ht="15" x14ac:dyDescent="0.25"/>
    <row r="2903" ht="15" x14ac:dyDescent="0.25"/>
    <row r="2904" ht="15" x14ac:dyDescent="0.25"/>
    <row r="2905" ht="15" x14ac:dyDescent="0.25"/>
    <row r="2906" ht="15" x14ac:dyDescent="0.25"/>
    <row r="2907" ht="15" x14ac:dyDescent="0.25"/>
    <row r="2908" ht="15" x14ac:dyDescent="0.25"/>
    <row r="2909" ht="15" x14ac:dyDescent="0.25"/>
    <row r="2910" ht="15" x14ac:dyDescent="0.25"/>
    <row r="2911" ht="15" x14ac:dyDescent="0.25"/>
    <row r="2912" ht="15" x14ac:dyDescent="0.25"/>
    <row r="2913" ht="15" x14ac:dyDescent="0.25"/>
    <row r="2914" ht="15" x14ac:dyDescent="0.25"/>
    <row r="2915" ht="15" x14ac:dyDescent="0.25"/>
    <row r="2916" ht="15" x14ac:dyDescent="0.25"/>
    <row r="2917" ht="15" x14ac:dyDescent="0.25"/>
    <row r="2918" ht="15" x14ac:dyDescent="0.25"/>
    <row r="2919" ht="15" x14ac:dyDescent="0.25"/>
    <row r="2920" ht="15" x14ac:dyDescent="0.25"/>
    <row r="2921" ht="15" x14ac:dyDescent="0.25"/>
    <row r="2922" ht="15" x14ac:dyDescent="0.25"/>
    <row r="2923" ht="15" x14ac:dyDescent="0.25"/>
    <row r="2924" ht="15" x14ac:dyDescent="0.25"/>
    <row r="2925" ht="15" x14ac:dyDescent="0.25"/>
    <row r="2926" ht="15" x14ac:dyDescent="0.25"/>
    <row r="2927" ht="15" x14ac:dyDescent="0.25"/>
    <row r="2928" ht="15" x14ac:dyDescent="0.25"/>
    <row r="2929" ht="15" x14ac:dyDescent="0.25"/>
    <row r="2930" ht="15" x14ac:dyDescent="0.25"/>
    <row r="2931" ht="15" x14ac:dyDescent="0.25"/>
    <row r="2932" ht="15" x14ac:dyDescent="0.25"/>
    <row r="2933" ht="15" x14ac:dyDescent="0.25"/>
    <row r="2934" ht="15" x14ac:dyDescent="0.25"/>
    <row r="2935" ht="15" x14ac:dyDescent="0.25"/>
    <row r="2936" ht="15" x14ac:dyDescent="0.25"/>
    <row r="2937" ht="15" x14ac:dyDescent="0.25"/>
    <row r="2938" ht="15" x14ac:dyDescent="0.25"/>
    <row r="2939" ht="15" x14ac:dyDescent="0.25"/>
    <row r="2940" ht="15" x14ac:dyDescent="0.25"/>
    <row r="2941" ht="15" x14ac:dyDescent="0.25"/>
    <row r="2942" ht="15" x14ac:dyDescent="0.25"/>
    <row r="2943" ht="15" x14ac:dyDescent="0.25"/>
    <row r="2944" ht="15" x14ac:dyDescent="0.25"/>
    <row r="2945" ht="15" x14ac:dyDescent="0.25"/>
    <row r="2946" ht="15" x14ac:dyDescent="0.25"/>
    <row r="2947" ht="15" x14ac:dyDescent="0.25"/>
    <row r="2948" ht="15" x14ac:dyDescent="0.25"/>
    <row r="2949" ht="15" x14ac:dyDescent="0.25"/>
    <row r="2950" ht="15" x14ac:dyDescent="0.25"/>
    <row r="2951" ht="15" x14ac:dyDescent="0.25"/>
    <row r="2952" ht="15" x14ac:dyDescent="0.25"/>
    <row r="2953" ht="15" x14ac:dyDescent="0.25"/>
    <row r="2954" ht="15" x14ac:dyDescent="0.25"/>
    <row r="2955" ht="15" x14ac:dyDescent="0.25"/>
    <row r="2956" ht="15" x14ac:dyDescent="0.25"/>
    <row r="2957" ht="15" x14ac:dyDescent="0.25"/>
    <row r="2958" ht="15" x14ac:dyDescent="0.25"/>
    <row r="2959" ht="15" x14ac:dyDescent="0.25"/>
    <row r="2960" ht="15" x14ac:dyDescent="0.25"/>
    <row r="2961" ht="15" x14ac:dyDescent="0.25"/>
    <row r="2962" ht="15" x14ac:dyDescent="0.25"/>
    <row r="2963" ht="15" x14ac:dyDescent="0.25"/>
    <row r="2964" ht="15" x14ac:dyDescent="0.25"/>
    <row r="2965" ht="15" x14ac:dyDescent="0.25"/>
    <row r="2966" ht="15" x14ac:dyDescent="0.25"/>
    <row r="2967" ht="15" x14ac:dyDescent="0.25"/>
    <row r="2968" ht="15" x14ac:dyDescent="0.25"/>
    <row r="2969" ht="15" x14ac:dyDescent="0.25"/>
    <row r="2970" ht="15" x14ac:dyDescent="0.25"/>
    <row r="2971" ht="15" x14ac:dyDescent="0.25"/>
    <row r="2972" ht="15" x14ac:dyDescent="0.25"/>
    <row r="2973" ht="15" x14ac:dyDescent="0.25"/>
    <row r="2974" ht="15" x14ac:dyDescent="0.25"/>
    <row r="2975" ht="15" x14ac:dyDescent="0.25"/>
    <row r="2976" ht="15" x14ac:dyDescent="0.25"/>
    <row r="2977" ht="15" x14ac:dyDescent="0.25"/>
    <row r="2978" ht="15" x14ac:dyDescent="0.25"/>
    <row r="2979" ht="15" x14ac:dyDescent="0.25"/>
    <row r="2980" ht="15" x14ac:dyDescent="0.25"/>
    <row r="2981" ht="15" x14ac:dyDescent="0.25"/>
    <row r="2982" ht="15" x14ac:dyDescent="0.25"/>
    <row r="2983" ht="15" x14ac:dyDescent="0.25"/>
    <row r="2984" ht="15" x14ac:dyDescent="0.25"/>
    <row r="2985" ht="15" x14ac:dyDescent="0.25"/>
    <row r="2986" ht="15" x14ac:dyDescent="0.25"/>
    <row r="2987" ht="15" x14ac:dyDescent="0.25"/>
    <row r="2988" ht="15" x14ac:dyDescent="0.25"/>
    <row r="2989" ht="15" x14ac:dyDescent="0.25"/>
    <row r="2990" ht="15" x14ac:dyDescent="0.25"/>
    <row r="2991" ht="15" x14ac:dyDescent="0.25"/>
    <row r="2992" ht="15" x14ac:dyDescent="0.25"/>
    <row r="2993" ht="15" x14ac:dyDescent="0.25"/>
    <row r="2994" ht="15" x14ac:dyDescent="0.25"/>
    <row r="2995" ht="15" x14ac:dyDescent="0.25"/>
    <row r="2996" ht="15" x14ac:dyDescent="0.25"/>
    <row r="2997" ht="15" x14ac:dyDescent="0.25"/>
    <row r="2998" ht="15" x14ac:dyDescent="0.25"/>
    <row r="2999" ht="15" x14ac:dyDescent="0.25"/>
    <row r="3000" ht="15" x14ac:dyDescent="0.25"/>
    <row r="3001" ht="15" x14ac:dyDescent="0.25"/>
    <row r="3002" ht="15" x14ac:dyDescent="0.25"/>
    <row r="3003" ht="15" x14ac:dyDescent="0.25"/>
    <row r="3004" ht="15" x14ac:dyDescent="0.25"/>
    <row r="3005" ht="15" x14ac:dyDescent="0.25"/>
    <row r="3006" ht="15" x14ac:dyDescent="0.25"/>
    <row r="3007" ht="15" x14ac:dyDescent="0.25"/>
    <row r="3008" ht="15" x14ac:dyDescent="0.25"/>
    <row r="3009" ht="15" x14ac:dyDescent="0.25"/>
    <row r="3010" ht="15" x14ac:dyDescent="0.25"/>
    <row r="3011" ht="15" x14ac:dyDescent="0.25"/>
    <row r="3012" ht="15" x14ac:dyDescent="0.25"/>
    <row r="3013" ht="15" x14ac:dyDescent="0.25"/>
    <row r="3014" ht="15" x14ac:dyDescent="0.25"/>
    <row r="3015" ht="15" x14ac:dyDescent="0.25"/>
    <row r="3016" ht="15" x14ac:dyDescent="0.25"/>
    <row r="3017" ht="15" x14ac:dyDescent="0.25"/>
    <row r="3018" ht="15" x14ac:dyDescent="0.25"/>
    <row r="3019" ht="15" x14ac:dyDescent="0.25"/>
    <row r="3020" ht="15" x14ac:dyDescent="0.25"/>
    <row r="3021" ht="15" x14ac:dyDescent="0.25"/>
    <row r="3022" ht="15" x14ac:dyDescent="0.25"/>
    <row r="3023" ht="15" x14ac:dyDescent="0.25"/>
    <row r="3024" ht="15" x14ac:dyDescent="0.25"/>
    <row r="3025" ht="15" x14ac:dyDescent="0.25"/>
    <row r="3026" ht="15" x14ac:dyDescent="0.25"/>
    <row r="3027" ht="15" x14ac:dyDescent="0.25"/>
    <row r="3028" ht="15" x14ac:dyDescent="0.25"/>
    <row r="3029" ht="15" x14ac:dyDescent="0.25"/>
    <row r="3030" ht="15" x14ac:dyDescent="0.25"/>
    <row r="3031" ht="15" x14ac:dyDescent="0.25"/>
    <row r="3032" ht="15" x14ac:dyDescent="0.25"/>
    <row r="3033" ht="15" x14ac:dyDescent="0.25"/>
    <row r="3034" ht="15" x14ac:dyDescent="0.25"/>
    <row r="3035" ht="15" x14ac:dyDescent="0.25"/>
    <row r="3036" ht="15" x14ac:dyDescent="0.25"/>
    <row r="3037" ht="15" x14ac:dyDescent="0.25"/>
    <row r="3038" ht="15" x14ac:dyDescent="0.25"/>
    <row r="3039" ht="15" x14ac:dyDescent="0.25"/>
    <row r="3040" ht="15" x14ac:dyDescent="0.25"/>
    <row r="3041" ht="15" x14ac:dyDescent="0.25"/>
    <row r="3042" ht="15" x14ac:dyDescent="0.25"/>
    <row r="3043" ht="15" x14ac:dyDescent="0.25"/>
    <row r="3044" ht="15" x14ac:dyDescent="0.25"/>
    <row r="3045" ht="15" x14ac:dyDescent="0.25"/>
    <row r="3046" ht="15" x14ac:dyDescent="0.25"/>
    <row r="3047" ht="15" x14ac:dyDescent="0.25"/>
    <row r="3048" ht="15" x14ac:dyDescent="0.25"/>
    <row r="3049" ht="15" x14ac:dyDescent="0.25"/>
    <row r="3050" ht="15" x14ac:dyDescent="0.25"/>
    <row r="3051" ht="15" x14ac:dyDescent="0.25"/>
    <row r="3052" ht="15" x14ac:dyDescent="0.25"/>
    <row r="3053" ht="15" x14ac:dyDescent="0.25"/>
    <row r="3054" ht="15" x14ac:dyDescent="0.25"/>
    <row r="3055" ht="15" x14ac:dyDescent="0.25"/>
    <row r="3056" ht="15" x14ac:dyDescent="0.25"/>
    <row r="3057" ht="15" x14ac:dyDescent="0.25"/>
    <row r="3058" ht="15" x14ac:dyDescent="0.25"/>
    <row r="3059" ht="15" x14ac:dyDescent="0.25"/>
    <row r="3060" ht="15" x14ac:dyDescent="0.25"/>
    <row r="3061" ht="15" x14ac:dyDescent="0.25"/>
    <row r="3062" ht="15" x14ac:dyDescent="0.25"/>
    <row r="3063" ht="15" x14ac:dyDescent="0.25"/>
    <row r="3064" ht="15" x14ac:dyDescent="0.25"/>
    <row r="3065" ht="15" x14ac:dyDescent="0.25"/>
    <row r="3066" ht="15" x14ac:dyDescent="0.25"/>
    <row r="3067" ht="15" x14ac:dyDescent="0.25"/>
    <row r="3068" ht="15" x14ac:dyDescent="0.25"/>
    <row r="3069" ht="15" x14ac:dyDescent="0.25"/>
    <row r="3070" ht="15" x14ac:dyDescent="0.25"/>
    <row r="3071" ht="15" x14ac:dyDescent="0.25"/>
    <row r="3072" ht="15" x14ac:dyDescent="0.25"/>
    <row r="3073" ht="15" x14ac:dyDescent="0.25"/>
    <row r="3074" ht="15" x14ac:dyDescent="0.25"/>
    <row r="3075" ht="15" x14ac:dyDescent="0.25"/>
    <row r="3076" ht="15" x14ac:dyDescent="0.25"/>
    <row r="3077" ht="15" x14ac:dyDescent="0.25"/>
    <row r="3078" ht="15" x14ac:dyDescent="0.25"/>
    <row r="3079" ht="15" x14ac:dyDescent="0.25"/>
    <row r="3080" ht="15" x14ac:dyDescent="0.25"/>
    <row r="3081" ht="15" x14ac:dyDescent="0.25"/>
    <row r="3082" ht="15" x14ac:dyDescent="0.25"/>
    <row r="3083" ht="15" x14ac:dyDescent="0.25"/>
    <row r="3084" ht="15" x14ac:dyDescent="0.25"/>
    <row r="3085" ht="15" x14ac:dyDescent="0.25"/>
    <row r="3086" ht="15" x14ac:dyDescent="0.25"/>
    <row r="3087" ht="15" x14ac:dyDescent="0.25"/>
    <row r="3088" ht="15" x14ac:dyDescent="0.25"/>
    <row r="3089" ht="15" x14ac:dyDescent="0.25"/>
    <row r="3090" ht="15" x14ac:dyDescent="0.25"/>
    <row r="3091" ht="15" x14ac:dyDescent="0.25"/>
    <row r="3092" ht="15" x14ac:dyDescent="0.25"/>
    <row r="3093" ht="15" x14ac:dyDescent="0.25"/>
    <row r="3094" ht="15" x14ac:dyDescent="0.25"/>
    <row r="3095" ht="15" x14ac:dyDescent="0.25"/>
    <row r="3096" ht="15" x14ac:dyDescent="0.25"/>
    <row r="3097" ht="15" x14ac:dyDescent="0.25"/>
    <row r="3098" ht="15" x14ac:dyDescent="0.25"/>
    <row r="3099" ht="15" x14ac:dyDescent="0.25"/>
    <row r="3100" ht="15" x14ac:dyDescent="0.25"/>
    <row r="3101" ht="15" x14ac:dyDescent="0.25"/>
    <row r="3102" ht="15" x14ac:dyDescent="0.25"/>
    <row r="3103" ht="15" x14ac:dyDescent="0.25"/>
    <row r="3104" ht="15" x14ac:dyDescent="0.25"/>
    <row r="3105" ht="15" x14ac:dyDescent="0.25"/>
    <row r="3106" ht="15" x14ac:dyDescent="0.25"/>
    <row r="3107" ht="15" x14ac:dyDescent="0.25"/>
    <row r="3108" ht="15" x14ac:dyDescent="0.25"/>
    <row r="3109" ht="15" x14ac:dyDescent="0.25"/>
    <row r="3110" ht="15" x14ac:dyDescent="0.25"/>
    <row r="3111" ht="15" x14ac:dyDescent="0.25"/>
    <row r="3112" ht="15" x14ac:dyDescent="0.25"/>
    <row r="3113" ht="15" x14ac:dyDescent="0.25"/>
    <row r="3114" ht="15" x14ac:dyDescent="0.25"/>
    <row r="3115" ht="15" x14ac:dyDescent="0.25"/>
    <row r="3116" ht="15" x14ac:dyDescent="0.25"/>
    <row r="3117" ht="15" x14ac:dyDescent="0.25"/>
    <row r="3118" ht="15" x14ac:dyDescent="0.25"/>
    <row r="3119" ht="15" x14ac:dyDescent="0.25"/>
    <row r="3120" ht="15" x14ac:dyDescent="0.25"/>
    <row r="3121" ht="15" x14ac:dyDescent="0.25"/>
    <row r="3122" ht="15" x14ac:dyDescent="0.25"/>
    <row r="3123" ht="15" x14ac:dyDescent="0.25"/>
    <row r="3124" ht="15" x14ac:dyDescent="0.25"/>
    <row r="3125" ht="15" x14ac:dyDescent="0.25"/>
    <row r="3126" ht="15" x14ac:dyDescent="0.25"/>
    <row r="3127" ht="15" x14ac:dyDescent="0.25"/>
    <row r="3128" ht="15" x14ac:dyDescent="0.25"/>
    <row r="3129" ht="15" x14ac:dyDescent="0.25"/>
    <row r="3130" ht="15" x14ac:dyDescent="0.25"/>
    <row r="3131" ht="15" x14ac:dyDescent="0.25"/>
    <row r="3132" ht="15" x14ac:dyDescent="0.25"/>
    <row r="3133" ht="15" x14ac:dyDescent="0.25"/>
    <row r="3134" ht="15" x14ac:dyDescent="0.25"/>
    <row r="3135" ht="15" x14ac:dyDescent="0.25"/>
    <row r="3136" ht="15" x14ac:dyDescent="0.25"/>
    <row r="3137" ht="15" x14ac:dyDescent="0.25"/>
    <row r="3138" ht="15" x14ac:dyDescent="0.25"/>
    <row r="3139" ht="15" x14ac:dyDescent="0.25"/>
    <row r="3140" ht="15" x14ac:dyDescent="0.25"/>
    <row r="3141" ht="15" x14ac:dyDescent="0.25"/>
    <row r="3142" ht="15" x14ac:dyDescent="0.25"/>
    <row r="3143" ht="15" x14ac:dyDescent="0.25"/>
    <row r="3144" ht="15" x14ac:dyDescent="0.25"/>
    <row r="3145" ht="15" x14ac:dyDescent="0.25"/>
    <row r="3146" ht="15" x14ac:dyDescent="0.25"/>
    <row r="3147" ht="15" x14ac:dyDescent="0.25"/>
    <row r="3148" ht="15" x14ac:dyDescent="0.25"/>
    <row r="3149" ht="15" x14ac:dyDescent="0.25"/>
    <row r="3150" ht="15" x14ac:dyDescent="0.25"/>
    <row r="3151" ht="15" x14ac:dyDescent="0.25"/>
    <row r="3152" ht="15" x14ac:dyDescent="0.25"/>
    <row r="3153" ht="15" x14ac:dyDescent="0.25"/>
    <row r="3154" ht="15" x14ac:dyDescent="0.25"/>
    <row r="3155" ht="15" x14ac:dyDescent="0.25"/>
    <row r="3156" ht="15" x14ac:dyDescent="0.25"/>
    <row r="3157" ht="15" x14ac:dyDescent="0.25"/>
    <row r="3158" ht="15" x14ac:dyDescent="0.25"/>
    <row r="3159" ht="15" x14ac:dyDescent="0.25"/>
    <row r="3160" ht="15" x14ac:dyDescent="0.25"/>
    <row r="3161" ht="15" x14ac:dyDescent="0.25"/>
    <row r="3162" ht="15" x14ac:dyDescent="0.25"/>
    <row r="3163" ht="15" x14ac:dyDescent="0.25"/>
    <row r="3164" ht="15" x14ac:dyDescent="0.25"/>
    <row r="3165" ht="15" x14ac:dyDescent="0.25"/>
    <row r="3166" ht="15" x14ac:dyDescent="0.25"/>
    <row r="3167" ht="15" x14ac:dyDescent="0.25"/>
    <row r="3168" ht="15" x14ac:dyDescent="0.25"/>
    <row r="3169" ht="15" x14ac:dyDescent="0.25"/>
    <row r="3170" ht="15" x14ac:dyDescent="0.25"/>
    <row r="3171" ht="15" x14ac:dyDescent="0.25"/>
    <row r="3172" ht="15" x14ac:dyDescent="0.25"/>
    <row r="3173" ht="15" x14ac:dyDescent="0.25"/>
    <row r="3174" ht="15" x14ac:dyDescent="0.25"/>
    <row r="3175" ht="15" x14ac:dyDescent="0.25"/>
    <row r="3176" ht="15" x14ac:dyDescent="0.25"/>
    <row r="3177" ht="15" x14ac:dyDescent="0.25"/>
    <row r="3178" ht="15" x14ac:dyDescent="0.25"/>
    <row r="3179" ht="15" x14ac:dyDescent="0.25"/>
    <row r="3180" ht="15" x14ac:dyDescent="0.25"/>
    <row r="3181" ht="15" x14ac:dyDescent="0.25"/>
    <row r="3182" ht="15" x14ac:dyDescent="0.25"/>
    <row r="3183" ht="15" x14ac:dyDescent="0.25"/>
    <row r="3184" ht="15" x14ac:dyDescent="0.25"/>
    <row r="3185" ht="15" x14ac:dyDescent="0.25"/>
    <row r="3186" ht="15" x14ac:dyDescent="0.25"/>
    <row r="3187" ht="15" x14ac:dyDescent="0.25"/>
    <row r="3188" ht="15" x14ac:dyDescent="0.25"/>
    <row r="3189" ht="15" x14ac:dyDescent="0.25"/>
    <row r="3190" ht="15" x14ac:dyDescent="0.25"/>
    <row r="3191" ht="15" x14ac:dyDescent="0.25"/>
    <row r="3192" ht="15" x14ac:dyDescent="0.25"/>
    <row r="3193" ht="15" x14ac:dyDescent="0.25"/>
    <row r="3194" ht="15" x14ac:dyDescent="0.25"/>
    <row r="3195" ht="15" x14ac:dyDescent="0.25"/>
    <row r="3196" ht="15" x14ac:dyDescent="0.25"/>
    <row r="3197" ht="15" x14ac:dyDescent="0.25"/>
    <row r="3198" ht="15" x14ac:dyDescent="0.25"/>
    <row r="3199" ht="15" x14ac:dyDescent="0.25"/>
    <row r="3200" ht="15" x14ac:dyDescent="0.25"/>
    <row r="3201" ht="15" x14ac:dyDescent="0.25"/>
    <row r="3202" ht="15" x14ac:dyDescent="0.25"/>
    <row r="3203" ht="15" x14ac:dyDescent="0.25"/>
    <row r="3204" ht="15" x14ac:dyDescent="0.25"/>
    <row r="3205" ht="15" x14ac:dyDescent="0.25"/>
    <row r="3206" ht="15" x14ac:dyDescent="0.25"/>
    <row r="3207" ht="15" x14ac:dyDescent="0.25"/>
    <row r="3208" ht="15" x14ac:dyDescent="0.25"/>
    <row r="3209" ht="15" x14ac:dyDescent="0.25"/>
    <row r="3210" ht="15" x14ac:dyDescent="0.25"/>
    <row r="3211" ht="15" x14ac:dyDescent="0.25"/>
    <row r="3212" ht="15" x14ac:dyDescent="0.25"/>
    <row r="3213" ht="15" x14ac:dyDescent="0.25"/>
    <row r="3214" ht="15" x14ac:dyDescent="0.25"/>
    <row r="3215" ht="15" x14ac:dyDescent="0.25"/>
    <row r="3216" ht="15" x14ac:dyDescent="0.25"/>
    <row r="3217" ht="15" x14ac:dyDescent="0.25"/>
    <row r="3218" ht="15" x14ac:dyDescent="0.25"/>
    <row r="3219" ht="15" x14ac:dyDescent="0.25"/>
    <row r="3220" ht="15" x14ac:dyDescent="0.25"/>
    <row r="3221" ht="15" x14ac:dyDescent="0.25"/>
    <row r="3222" ht="15" x14ac:dyDescent="0.25"/>
    <row r="3223" ht="15" x14ac:dyDescent="0.25"/>
    <row r="3224" ht="15" x14ac:dyDescent="0.25"/>
    <row r="3225" ht="15" x14ac:dyDescent="0.25"/>
    <row r="3226" ht="15" x14ac:dyDescent="0.25"/>
    <row r="3227" ht="15" x14ac:dyDescent="0.25"/>
    <row r="3228" ht="15" x14ac:dyDescent="0.25"/>
    <row r="3229" ht="15" x14ac:dyDescent="0.25"/>
    <row r="3230" ht="15" x14ac:dyDescent="0.25"/>
    <row r="3231" ht="15" x14ac:dyDescent="0.25"/>
    <row r="3232" ht="15" x14ac:dyDescent="0.25"/>
    <row r="3233" ht="15" x14ac:dyDescent="0.25"/>
    <row r="3234" ht="15" x14ac:dyDescent="0.25"/>
    <row r="3235" ht="15" x14ac:dyDescent="0.25"/>
    <row r="3236" ht="15" x14ac:dyDescent="0.25"/>
    <row r="3237" ht="15" x14ac:dyDescent="0.25"/>
    <row r="3238" ht="15" x14ac:dyDescent="0.25"/>
    <row r="3239" ht="15" x14ac:dyDescent="0.25"/>
    <row r="3240" ht="15" x14ac:dyDescent="0.25"/>
    <row r="3241" ht="15" x14ac:dyDescent="0.25"/>
    <row r="3242" ht="15" x14ac:dyDescent="0.25"/>
    <row r="3243" ht="15" x14ac:dyDescent="0.25"/>
    <row r="3244" ht="15" x14ac:dyDescent="0.25"/>
    <row r="3245" ht="15" x14ac:dyDescent="0.25"/>
    <row r="3246" ht="15" x14ac:dyDescent="0.25"/>
    <row r="3247" ht="15" x14ac:dyDescent="0.25"/>
    <row r="3248" ht="15" x14ac:dyDescent="0.25"/>
    <row r="3249" ht="15" x14ac:dyDescent="0.25"/>
    <row r="3250" ht="15" x14ac:dyDescent="0.25"/>
    <row r="3251" ht="15" x14ac:dyDescent="0.25"/>
    <row r="3252" ht="15" x14ac:dyDescent="0.25"/>
    <row r="3253" ht="15" x14ac:dyDescent="0.25"/>
    <row r="3254" ht="15" x14ac:dyDescent="0.25"/>
    <row r="3255" ht="15" x14ac:dyDescent="0.25"/>
    <row r="3256" ht="15" x14ac:dyDescent="0.25"/>
    <row r="3257" ht="15" x14ac:dyDescent="0.25"/>
    <row r="3258" ht="15" x14ac:dyDescent="0.25"/>
    <row r="3259" ht="15" x14ac:dyDescent="0.25"/>
    <row r="3260" ht="15" x14ac:dyDescent="0.25"/>
    <row r="3261" ht="15" x14ac:dyDescent="0.25"/>
    <row r="3262" ht="15" x14ac:dyDescent="0.25"/>
    <row r="3263" ht="15" x14ac:dyDescent="0.25"/>
    <row r="3264" ht="15" x14ac:dyDescent="0.25"/>
    <row r="3265" ht="15" x14ac:dyDescent="0.25"/>
    <row r="3266" ht="15" x14ac:dyDescent="0.25"/>
    <row r="3267" ht="15" x14ac:dyDescent="0.25"/>
    <row r="3268" ht="15" x14ac:dyDescent="0.25"/>
    <row r="3269" ht="15" x14ac:dyDescent="0.25"/>
    <row r="3270" ht="15" x14ac:dyDescent="0.25"/>
    <row r="3271" ht="15" x14ac:dyDescent="0.25"/>
    <row r="3272" ht="15" x14ac:dyDescent="0.25"/>
    <row r="3273" ht="15" x14ac:dyDescent="0.25"/>
    <row r="3274" ht="15" x14ac:dyDescent="0.25"/>
    <row r="3275" ht="15" x14ac:dyDescent="0.25"/>
    <row r="3276" ht="15" x14ac:dyDescent="0.25"/>
    <row r="3277" ht="15" x14ac:dyDescent="0.25"/>
    <row r="3278" ht="15" x14ac:dyDescent="0.25"/>
    <row r="3279" ht="15" x14ac:dyDescent="0.25"/>
    <row r="3280" ht="15" x14ac:dyDescent="0.25"/>
    <row r="3281" ht="15" x14ac:dyDescent="0.25"/>
    <row r="3282" ht="15" x14ac:dyDescent="0.25"/>
    <row r="3283" ht="15" x14ac:dyDescent="0.25"/>
    <row r="3284" ht="15" x14ac:dyDescent="0.25"/>
    <row r="3285" ht="15" x14ac:dyDescent="0.25"/>
    <row r="3286" ht="15" x14ac:dyDescent="0.25"/>
    <row r="3287" ht="15" x14ac:dyDescent="0.25"/>
    <row r="3288" ht="15" x14ac:dyDescent="0.25"/>
    <row r="3289" ht="15" x14ac:dyDescent="0.25"/>
    <row r="3290" ht="15" x14ac:dyDescent="0.25"/>
    <row r="3291" ht="15" x14ac:dyDescent="0.25"/>
    <row r="3292" ht="15" x14ac:dyDescent="0.25"/>
    <row r="3293" ht="15" x14ac:dyDescent="0.25"/>
    <row r="3294" ht="15" x14ac:dyDescent="0.25"/>
    <row r="3295" ht="15" x14ac:dyDescent="0.25"/>
    <row r="3296" ht="15" x14ac:dyDescent="0.25"/>
    <row r="3297" ht="15" x14ac:dyDescent="0.25"/>
    <row r="3298" ht="15" x14ac:dyDescent="0.25"/>
    <row r="3299" ht="15" x14ac:dyDescent="0.25"/>
    <row r="3300" ht="15" x14ac:dyDescent="0.25"/>
    <row r="3301" ht="15" x14ac:dyDescent="0.25"/>
    <row r="3302" ht="15" x14ac:dyDescent="0.25"/>
    <row r="3303" ht="15" x14ac:dyDescent="0.25"/>
    <row r="3304" ht="15" x14ac:dyDescent="0.25"/>
    <row r="3305" ht="15" x14ac:dyDescent="0.25"/>
    <row r="3306" ht="15" x14ac:dyDescent="0.25"/>
    <row r="3307" ht="15" x14ac:dyDescent="0.25"/>
    <row r="3308" ht="15" x14ac:dyDescent="0.25"/>
    <row r="3309" ht="15" x14ac:dyDescent="0.25"/>
    <row r="3310" ht="15" x14ac:dyDescent="0.25"/>
    <row r="3311" ht="15" x14ac:dyDescent="0.25"/>
    <row r="3312" ht="15" x14ac:dyDescent="0.25"/>
    <row r="3313" ht="15" x14ac:dyDescent="0.25"/>
    <row r="3314" ht="15" x14ac:dyDescent="0.25"/>
    <row r="3315" ht="15" x14ac:dyDescent="0.25"/>
    <row r="3316" ht="15" x14ac:dyDescent="0.25"/>
    <row r="3317" ht="15" x14ac:dyDescent="0.25"/>
    <row r="3318" ht="15" x14ac:dyDescent="0.25"/>
    <row r="3319" ht="15" x14ac:dyDescent="0.25"/>
    <row r="3320" ht="15" x14ac:dyDescent="0.25"/>
    <row r="3321" ht="15" x14ac:dyDescent="0.25"/>
    <row r="3322" ht="15" x14ac:dyDescent="0.25"/>
    <row r="3323" ht="15" x14ac:dyDescent="0.25"/>
    <row r="3324" ht="15" x14ac:dyDescent="0.25"/>
    <row r="3325" ht="15" x14ac:dyDescent="0.25"/>
    <row r="3326" ht="15" x14ac:dyDescent="0.25"/>
    <row r="3327" ht="15" x14ac:dyDescent="0.25"/>
    <row r="3328" ht="15" x14ac:dyDescent="0.25"/>
    <row r="3329" ht="15" x14ac:dyDescent="0.25"/>
    <row r="3330" ht="15" x14ac:dyDescent="0.25"/>
    <row r="3331" ht="15" x14ac:dyDescent="0.25"/>
    <row r="3332" ht="15" x14ac:dyDescent="0.25"/>
    <row r="3333" ht="15" x14ac:dyDescent="0.25"/>
    <row r="3334" ht="15" x14ac:dyDescent="0.25"/>
    <row r="3335" ht="15" x14ac:dyDescent="0.25"/>
    <row r="3336" ht="15" x14ac:dyDescent="0.25"/>
    <row r="3337" ht="15" x14ac:dyDescent="0.25"/>
    <row r="3338" ht="15" x14ac:dyDescent="0.25"/>
    <row r="3339" ht="15" x14ac:dyDescent="0.25"/>
    <row r="3340" ht="15" x14ac:dyDescent="0.25"/>
    <row r="3341" ht="15" x14ac:dyDescent="0.25"/>
    <row r="3342" ht="15" x14ac:dyDescent="0.25"/>
    <row r="3343" ht="15" x14ac:dyDescent="0.25"/>
    <row r="3344" ht="15" x14ac:dyDescent="0.25"/>
    <row r="3345" ht="15" x14ac:dyDescent="0.25"/>
    <row r="3346" ht="15" x14ac:dyDescent="0.25"/>
    <row r="3347" ht="15" x14ac:dyDescent="0.25"/>
    <row r="3348" ht="15" x14ac:dyDescent="0.25"/>
    <row r="3349" ht="15" x14ac:dyDescent="0.25"/>
    <row r="3350" ht="15" x14ac:dyDescent="0.25"/>
    <row r="3351" ht="15" x14ac:dyDescent="0.25"/>
    <row r="3352" ht="15" x14ac:dyDescent="0.25"/>
    <row r="3353" ht="15" x14ac:dyDescent="0.25"/>
    <row r="3354" ht="15" x14ac:dyDescent="0.25"/>
    <row r="3355" ht="15" x14ac:dyDescent="0.25"/>
    <row r="3356" ht="15" x14ac:dyDescent="0.25"/>
    <row r="3357" ht="15" x14ac:dyDescent="0.25"/>
    <row r="3358" ht="15" x14ac:dyDescent="0.25"/>
    <row r="3359" ht="15" x14ac:dyDescent="0.25"/>
    <row r="3360" ht="15" x14ac:dyDescent="0.25"/>
    <row r="3361" ht="15" x14ac:dyDescent="0.25"/>
    <row r="3362" ht="15" x14ac:dyDescent="0.25"/>
    <row r="3363" ht="15" x14ac:dyDescent="0.25"/>
    <row r="3364" ht="15" x14ac:dyDescent="0.25"/>
    <row r="3365" ht="15" x14ac:dyDescent="0.25"/>
    <row r="3366" ht="15" x14ac:dyDescent="0.25"/>
    <row r="3367" ht="15" x14ac:dyDescent="0.25"/>
    <row r="3368" ht="15" x14ac:dyDescent="0.25"/>
    <row r="3369" ht="15" x14ac:dyDescent="0.25"/>
    <row r="3370" ht="15" x14ac:dyDescent="0.25"/>
    <row r="3371" ht="15" x14ac:dyDescent="0.25"/>
    <row r="3372" ht="15" x14ac:dyDescent="0.25"/>
    <row r="3373" ht="15" x14ac:dyDescent="0.25"/>
    <row r="3374" ht="15" x14ac:dyDescent="0.25"/>
    <row r="3375" ht="15" x14ac:dyDescent="0.25"/>
    <row r="3376" ht="15" x14ac:dyDescent="0.25"/>
    <row r="3377" ht="15" x14ac:dyDescent="0.25"/>
    <row r="3378" ht="15" x14ac:dyDescent="0.25"/>
    <row r="3379" ht="15" x14ac:dyDescent="0.25"/>
    <row r="3380" ht="15" x14ac:dyDescent="0.25"/>
    <row r="3381" ht="15" x14ac:dyDescent="0.25"/>
    <row r="3382" ht="15" x14ac:dyDescent="0.25"/>
    <row r="3383" ht="15" x14ac:dyDescent="0.25"/>
    <row r="3384" ht="15" x14ac:dyDescent="0.25"/>
    <row r="3385" ht="15" x14ac:dyDescent="0.25"/>
    <row r="3386" ht="15" x14ac:dyDescent="0.25"/>
    <row r="3387" ht="15" x14ac:dyDescent="0.25"/>
    <row r="3388" ht="15" x14ac:dyDescent="0.25"/>
    <row r="3389" ht="15" x14ac:dyDescent="0.25"/>
    <row r="3390" ht="15" x14ac:dyDescent="0.25"/>
    <row r="3391" ht="15" x14ac:dyDescent="0.25"/>
    <row r="3392" ht="15" x14ac:dyDescent="0.25"/>
    <row r="3393" ht="15" x14ac:dyDescent="0.25"/>
    <row r="3394" ht="15" x14ac:dyDescent="0.25"/>
    <row r="3395" ht="15" x14ac:dyDescent="0.25"/>
    <row r="3396" ht="15" x14ac:dyDescent="0.25"/>
    <row r="3397" ht="15" x14ac:dyDescent="0.25"/>
    <row r="3398" ht="15" x14ac:dyDescent="0.25"/>
    <row r="3399" ht="15" x14ac:dyDescent="0.25"/>
    <row r="3400" ht="15" x14ac:dyDescent="0.25"/>
    <row r="3401" ht="15" x14ac:dyDescent="0.25"/>
    <row r="3402" ht="15" x14ac:dyDescent="0.25"/>
    <row r="3403" ht="15" x14ac:dyDescent="0.25"/>
    <row r="3404" ht="15" x14ac:dyDescent="0.25"/>
    <row r="3405" ht="15" x14ac:dyDescent="0.25"/>
    <row r="3406" ht="15" x14ac:dyDescent="0.25"/>
    <row r="3407" ht="15" x14ac:dyDescent="0.25"/>
    <row r="3408" ht="15" x14ac:dyDescent="0.25"/>
    <row r="3409" ht="15" x14ac:dyDescent="0.25"/>
    <row r="3410" ht="15" x14ac:dyDescent="0.25"/>
    <row r="3411" ht="15" x14ac:dyDescent="0.25"/>
    <row r="3412" ht="15" x14ac:dyDescent="0.25"/>
    <row r="3413" ht="15" x14ac:dyDescent="0.25"/>
    <row r="3414" ht="15" x14ac:dyDescent="0.25"/>
    <row r="3415" ht="15" x14ac:dyDescent="0.25"/>
    <row r="3416" ht="15" x14ac:dyDescent="0.25"/>
    <row r="3417" ht="15" x14ac:dyDescent="0.25"/>
    <row r="3418" ht="15" x14ac:dyDescent="0.25"/>
    <row r="3419" ht="15" x14ac:dyDescent="0.25"/>
    <row r="3420" ht="15" x14ac:dyDescent="0.25"/>
    <row r="3421" ht="15" x14ac:dyDescent="0.25"/>
    <row r="3422" ht="15" x14ac:dyDescent="0.25"/>
    <row r="3423" ht="15" x14ac:dyDescent="0.25"/>
    <row r="3424" ht="15" x14ac:dyDescent="0.25"/>
    <row r="3425" ht="15" x14ac:dyDescent="0.25"/>
    <row r="3426" ht="15" x14ac:dyDescent="0.25"/>
    <row r="3427" ht="15" x14ac:dyDescent="0.25"/>
    <row r="3428" ht="15" x14ac:dyDescent="0.25"/>
    <row r="3429" ht="15" x14ac:dyDescent="0.25"/>
    <row r="3430" ht="15" x14ac:dyDescent="0.25"/>
    <row r="3431" ht="15" x14ac:dyDescent="0.25"/>
    <row r="3432" ht="15" x14ac:dyDescent="0.25"/>
    <row r="3433" ht="15" x14ac:dyDescent="0.25"/>
    <row r="3434" ht="15" x14ac:dyDescent="0.25"/>
    <row r="3435" ht="15" x14ac:dyDescent="0.25"/>
    <row r="3436" ht="15" x14ac:dyDescent="0.25"/>
    <row r="3437" ht="15" x14ac:dyDescent="0.25"/>
    <row r="3438" ht="15" x14ac:dyDescent="0.25"/>
    <row r="3439" ht="15" x14ac:dyDescent="0.25"/>
    <row r="3440" ht="15" x14ac:dyDescent="0.25"/>
    <row r="3441" ht="15" x14ac:dyDescent="0.25"/>
    <row r="3442" ht="15" x14ac:dyDescent="0.25"/>
    <row r="3443" ht="15" x14ac:dyDescent="0.25"/>
    <row r="3444" ht="15" x14ac:dyDescent="0.25"/>
    <row r="3445" ht="15" x14ac:dyDescent="0.25"/>
    <row r="3446" ht="15" x14ac:dyDescent="0.25"/>
    <row r="3447" ht="15" x14ac:dyDescent="0.25"/>
    <row r="3448" ht="15" x14ac:dyDescent="0.25"/>
    <row r="3449" ht="15" x14ac:dyDescent="0.25"/>
    <row r="3450" ht="15" x14ac:dyDescent="0.25"/>
    <row r="3451" ht="15" x14ac:dyDescent="0.25"/>
    <row r="3452" ht="15" x14ac:dyDescent="0.25"/>
    <row r="3453" ht="15" x14ac:dyDescent="0.25"/>
    <row r="3454" ht="15" x14ac:dyDescent="0.25"/>
    <row r="3455" ht="15" x14ac:dyDescent="0.25"/>
    <row r="3456" ht="15" x14ac:dyDescent="0.25"/>
    <row r="3457" ht="15" x14ac:dyDescent="0.25"/>
    <row r="3458" ht="15" x14ac:dyDescent="0.25"/>
    <row r="3459" ht="15" x14ac:dyDescent="0.25"/>
    <row r="3460" ht="15" x14ac:dyDescent="0.25"/>
    <row r="3461" ht="15" x14ac:dyDescent="0.25"/>
    <row r="3462" ht="15" x14ac:dyDescent="0.25"/>
    <row r="3463" ht="15" x14ac:dyDescent="0.25"/>
    <row r="3464" ht="15" x14ac:dyDescent="0.25"/>
    <row r="3465" ht="15" x14ac:dyDescent="0.25"/>
    <row r="3466" ht="15" x14ac:dyDescent="0.25"/>
    <row r="3467" ht="15" x14ac:dyDescent="0.25"/>
    <row r="3468" ht="15" x14ac:dyDescent="0.25"/>
    <row r="3469" ht="15" x14ac:dyDescent="0.25"/>
    <row r="3470" ht="15" x14ac:dyDescent="0.25"/>
    <row r="3471" ht="15" x14ac:dyDescent="0.25"/>
    <row r="3472" ht="15" x14ac:dyDescent="0.25"/>
    <row r="3473" ht="15" x14ac:dyDescent="0.25"/>
    <row r="3474" ht="15" x14ac:dyDescent="0.25"/>
    <row r="3475" ht="15" x14ac:dyDescent="0.25"/>
    <row r="3476" ht="15" x14ac:dyDescent="0.25"/>
    <row r="3477" ht="15" x14ac:dyDescent="0.25"/>
    <row r="3478" ht="15" x14ac:dyDescent="0.25"/>
    <row r="3479" ht="15" x14ac:dyDescent="0.25"/>
    <row r="3480" ht="15" x14ac:dyDescent="0.25"/>
    <row r="3481" ht="15" x14ac:dyDescent="0.25"/>
    <row r="3482" ht="15" x14ac:dyDescent="0.25"/>
    <row r="3483" ht="15" x14ac:dyDescent="0.25"/>
    <row r="3484" ht="15" x14ac:dyDescent="0.25"/>
    <row r="3485" ht="15" x14ac:dyDescent="0.25"/>
    <row r="3486" ht="15" x14ac:dyDescent="0.25"/>
    <row r="3487" ht="15" x14ac:dyDescent="0.25"/>
    <row r="3488" ht="15" x14ac:dyDescent="0.25"/>
    <row r="3489" ht="15" x14ac:dyDescent="0.25"/>
    <row r="3490" ht="15" x14ac:dyDescent="0.25"/>
    <row r="3491" ht="15" x14ac:dyDescent="0.25"/>
    <row r="3492" ht="15" x14ac:dyDescent="0.25"/>
    <row r="3493" ht="15" x14ac:dyDescent="0.25"/>
    <row r="3494" ht="15" x14ac:dyDescent="0.25"/>
    <row r="3495" ht="15" x14ac:dyDescent="0.25"/>
    <row r="3496" ht="15" x14ac:dyDescent="0.25"/>
    <row r="3497" ht="15" x14ac:dyDescent="0.25"/>
    <row r="3498" ht="15" x14ac:dyDescent="0.25"/>
    <row r="3499" ht="15" x14ac:dyDescent="0.25"/>
    <row r="3500" ht="15" x14ac:dyDescent="0.25"/>
    <row r="3501" ht="15" x14ac:dyDescent="0.25"/>
    <row r="3502" ht="15" x14ac:dyDescent="0.25"/>
    <row r="3503" ht="15" x14ac:dyDescent="0.25"/>
    <row r="3504" ht="15" x14ac:dyDescent="0.25"/>
    <row r="3505" ht="15" x14ac:dyDescent="0.25"/>
    <row r="3506" ht="15" x14ac:dyDescent="0.25"/>
    <row r="3507" ht="15" x14ac:dyDescent="0.25"/>
    <row r="3508" ht="15" x14ac:dyDescent="0.25"/>
    <row r="3509" ht="15" x14ac:dyDescent="0.25"/>
    <row r="3510" ht="15" x14ac:dyDescent="0.25"/>
    <row r="3511" ht="15" x14ac:dyDescent="0.25"/>
    <row r="3512" ht="15" x14ac:dyDescent="0.25"/>
    <row r="3513" ht="15" x14ac:dyDescent="0.25"/>
    <row r="3514" ht="15" x14ac:dyDescent="0.25"/>
    <row r="3515" ht="15" x14ac:dyDescent="0.25"/>
    <row r="3516" ht="15" x14ac:dyDescent="0.25"/>
    <row r="3517" ht="15" x14ac:dyDescent="0.25"/>
    <row r="3518" ht="15" x14ac:dyDescent="0.25"/>
    <row r="3519" ht="15" x14ac:dyDescent="0.25"/>
    <row r="3520" ht="15" x14ac:dyDescent="0.25"/>
    <row r="3521" ht="15" x14ac:dyDescent="0.25"/>
    <row r="3522" ht="15" x14ac:dyDescent="0.25"/>
    <row r="3523" ht="15" x14ac:dyDescent="0.25"/>
    <row r="3524" ht="15" x14ac:dyDescent="0.25"/>
    <row r="3525" ht="15" x14ac:dyDescent="0.25"/>
    <row r="3526" ht="15" x14ac:dyDescent="0.25"/>
    <row r="3527" ht="15" x14ac:dyDescent="0.25"/>
    <row r="3528" ht="15" x14ac:dyDescent="0.25"/>
    <row r="3529" ht="15" x14ac:dyDescent="0.25"/>
    <row r="3530" ht="15" x14ac:dyDescent="0.25"/>
    <row r="3531" ht="15" x14ac:dyDescent="0.25"/>
    <row r="3532" ht="15" x14ac:dyDescent="0.25"/>
    <row r="3533" ht="15" x14ac:dyDescent="0.25"/>
    <row r="3534" ht="15" x14ac:dyDescent="0.25"/>
    <row r="3535" ht="15" x14ac:dyDescent="0.25"/>
    <row r="3536" ht="15" x14ac:dyDescent="0.25"/>
    <row r="3537" ht="15" x14ac:dyDescent="0.25"/>
    <row r="3538" ht="15" x14ac:dyDescent="0.25"/>
    <row r="3539" ht="15" x14ac:dyDescent="0.25"/>
    <row r="3540" ht="15" x14ac:dyDescent="0.25"/>
    <row r="3541" ht="15" x14ac:dyDescent="0.25"/>
    <row r="3542" ht="15" x14ac:dyDescent="0.25"/>
    <row r="3543" ht="15" x14ac:dyDescent="0.25"/>
    <row r="3544" ht="15" x14ac:dyDescent="0.25"/>
    <row r="3545" ht="15" x14ac:dyDescent="0.25"/>
    <row r="3546" ht="15" x14ac:dyDescent="0.25"/>
    <row r="3547" ht="15" x14ac:dyDescent="0.25"/>
    <row r="3548" ht="15" x14ac:dyDescent="0.25"/>
    <row r="3549" ht="15" x14ac:dyDescent="0.25"/>
    <row r="3550" ht="15" x14ac:dyDescent="0.25"/>
    <row r="3551" ht="15" x14ac:dyDescent="0.25"/>
    <row r="3552" ht="15" x14ac:dyDescent="0.25"/>
    <row r="3553" ht="15" x14ac:dyDescent="0.25"/>
    <row r="3554" ht="15" x14ac:dyDescent="0.25"/>
    <row r="3555" ht="15" x14ac:dyDescent="0.25"/>
    <row r="3556" ht="15" x14ac:dyDescent="0.25"/>
    <row r="3557" ht="15" x14ac:dyDescent="0.25"/>
    <row r="3558" ht="15" x14ac:dyDescent="0.25"/>
    <row r="3559" ht="15" x14ac:dyDescent="0.25"/>
    <row r="3560" ht="15" x14ac:dyDescent="0.25"/>
    <row r="3561" ht="15" x14ac:dyDescent="0.25"/>
    <row r="3562" ht="15" x14ac:dyDescent="0.25"/>
    <row r="3563" ht="15" x14ac:dyDescent="0.25"/>
    <row r="3564" ht="15" x14ac:dyDescent="0.25"/>
    <row r="3565" ht="15" x14ac:dyDescent="0.25"/>
    <row r="3566" ht="15" x14ac:dyDescent="0.25"/>
    <row r="3567" ht="15" x14ac:dyDescent="0.25"/>
    <row r="3568" ht="15" x14ac:dyDescent="0.25"/>
    <row r="3569" ht="15" x14ac:dyDescent="0.25"/>
    <row r="3570" ht="15" x14ac:dyDescent="0.25"/>
    <row r="3571" ht="15" x14ac:dyDescent="0.25"/>
    <row r="3572" ht="15" x14ac:dyDescent="0.25"/>
    <row r="3573" ht="15" x14ac:dyDescent="0.25"/>
    <row r="3574" ht="15" x14ac:dyDescent="0.25"/>
    <row r="3575" ht="15" x14ac:dyDescent="0.25"/>
    <row r="3576" ht="15" x14ac:dyDescent="0.25"/>
    <row r="3577" ht="15" x14ac:dyDescent="0.25"/>
    <row r="3578" ht="15" x14ac:dyDescent="0.25"/>
    <row r="3579" ht="15" x14ac:dyDescent="0.25"/>
    <row r="3580" ht="15" x14ac:dyDescent="0.25"/>
    <row r="3581" ht="15" x14ac:dyDescent="0.25"/>
    <row r="3582" ht="15" x14ac:dyDescent="0.25"/>
    <row r="3583" ht="15" x14ac:dyDescent="0.25"/>
    <row r="3584" ht="15" x14ac:dyDescent="0.25"/>
    <row r="3585" ht="15" x14ac:dyDescent="0.25"/>
    <row r="3586" ht="15" x14ac:dyDescent="0.25"/>
    <row r="3587" ht="15" x14ac:dyDescent="0.25"/>
    <row r="3588" ht="15" x14ac:dyDescent="0.25"/>
    <row r="3589" ht="15" x14ac:dyDescent="0.25"/>
    <row r="3590" ht="15" x14ac:dyDescent="0.25"/>
    <row r="3591" ht="15" x14ac:dyDescent="0.25"/>
    <row r="3592" ht="15" x14ac:dyDescent="0.25"/>
    <row r="3593" ht="15" x14ac:dyDescent="0.25"/>
    <row r="3594" ht="15" x14ac:dyDescent="0.25"/>
    <row r="3595" ht="15" x14ac:dyDescent="0.25"/>
    <row r="3596" ht="15" x14ac:dyDescent="0.25"/>
    <row r="3597" ht="15" x14ac:dyDescent="0.25"/>
    <row r="3598" ht="15" x14ac:dyDescent="0.25"/>
    <row r="3599" ht="15" x14ac:dyDescent="0.25"/>
    <row r="3600" ht="15" x14ac:dyDescent="0.25"/>
    <row r="3601" ht="15" x14ac:dyDescent="0.25"/>
    <row r="3602" ht="15" x14ac:dyDescent="0.25"/>
    <row r="3603" ht="15" x14ac:dyDescent="0.25"/>
    <row r="3604" ht="15" x14ac:dyDescent="0.25"/>
    <row r="3605" ht="15" x14ac:dyDescent="0.25"/>
    <row r="3606" ht="15" x14ac:dyDescent="0.25"/>
    <row r="3607" ht="15" x14ac:dyDescent="0.25"/>
    <row r="3608" ht="15" x14ac:dyDescent="0.25"/>
    <row r="3609" ht="15" x14ac:dyDescent="0.25"/>
    <row r="3610" ht="15" x14ac:dyDescent="0.25"/>
    <row r="3611" ht="15" x14ac:dyDescent="0.25"/>
    <row r="3612" ht="15" x14ac:dyDescent="0.25"/>
    <row r="3613" ht="15" x14ac:dyDescent="0.25"/>
    <row r="3614" ht="15" x14ac:dyDescent="0.25"/>
    <row r="3615" ht="15" x14ac:dyDescent="0.25"/>
    <row r="3616" ht="15" x14ac:dyDescent="0.25"/>
    <row r="3617" ht="15" x14ac:dyDescent="0.25"/>
    <row r="3618" ht="15" x14ac:dyDescent="0.25"/>
    <row r="3619" ht="15" x14ac:dyDescent="0.25"/>
    <row r="3620" ht="15" x14ac:dyDescent="0.25"/>
    <row r="3621" ht="15" x14ac:dyDescent="0.25"/>
    <row r="3622" ht="15" x14ac:dyDescent="0.25"/>
    <row r="3623" ht="15" x14ac:dyDescent="0.25"/>
    <row r="3624" ht="15" x14ac:dyDescent="0.25"/>
    <row r="3625" ht="15" x14ac:dyDescent="0.25"/>
    <row r="3626" ht="15" x14ac:dyDescent="0.25"/>
    <row r="3627" ht="15" x14ac:dyDescent="0.25"/>
    <row r="3628" ht="15" x14ac:dyDescent="0.25"/>
    <row r="3629" ht="15" x14ac:dyDescent="0.25"/>
    <row r="3630" ht="15" x14ac:dyDescent="0.25"/>
    <row r="3631" ht="15" x14ac:dyDescent="0.25"/>
    <row r="3632" ht="15" x14ac:dyDescent="0.25"/>
    <row r="3633" ht="15" x14ac:dyDescent="0.25"/>
    <row r="3634" ht="15" x14ac:dyDescent="0.25"/>
    <row r="3635" ht="15" x14ac:dyDescent="0.25"/>
    <row r="3636" ht="15" x14ac:dyDescent="0.25"/>
    <row r="3637" ht="15" x14ac:dyDescent="0.25"/>
    <row r="3638" ht="15" x14ac:dyDescent="0.25"/>
    <row r="3639" ht="15" x14ac:dyDescent="0.25"/>
    <row r="3640" ht="15" x14ac:dyDescent="0.25"/>
    <row r="3641" ht="15" x14ac:dyDescent="0.25"/>
    <row r="3642" ht="15" x14ac:dyDescent="0.25"/>
    <row r="3643" ht="15" x14ac:dyDescent="0.25"/>
    <row r="3644" ht="15" x14ac:dyDescent="0.25"/>
    <row r="3645" ht="15" x14ac:dyDescent="0.25"/>
    <row r="3646" ht="15" x14ac:dyDescent="0.25"/>
    <row r="3647" ht="15" x14ac:dyDescent="0.25"/>
    <row r="3648" ht="15" x14ac:dyDescent="0.25"/>
    <row r="3649" ht="15" x14ac:dyDescent="0.25"/>
    <row r="3650" ht="15" x14ac:dyDescent="0.25"/>
    <row r="3651" ht="15" x14ac:dyDescent="0.25"/>
    <row r="3652" ht="15" x14ac:dyDescent="0.25"/>
    <row r="3653" ht="15" x14ac:dyDescent="0.25"/>
    <row r="3654" ht="15" x14ac:dyDescent="0.25"/>
    <row r="3655" ht="15" x14ac:dyDescent="0.25"/>
    <row r="3656" ht="15" x14ac:dyDescent="0.25"/>
    <row r="3657" ht="15" x14ac:dyDescent="0.25"/>
    <row r="3658" ht="15" x14ac:dyDescent="0.25"/>
    <row r="3659" ht="15" x14ac:dyDescent="0.25"/>
    <row r="3660" ht="15" x14ac:dyDescent="0.25"/>
    <row r="3661" ht="15" x14ac:dyDescent="0.25"/>
    <row r="3662" ht="15" x14ac:dyDescent="0.25"/>
    <row r="3663" ht="15" x14ac:dyDescent="0.25"/>
    <row r="3664" ht="15" x14ac:dyDescent="0.25"/>
    <row r="3665" ht="15" x14ac:dyDescent="0.25"/>
    <row r="3666" ht="15" x14ac:dyDescent="0.25"/>
    <row r="3667" ht="15" x14ac:dyDescent="0.25"/>
    <row r="3668" ht="15" x14ac:dyDescent="0.25"/>
    <row r="3669" ht="15" x14ac:dyDescent="0.25"/>
    <row r="3670" ht="15" x14ac:dyDescent="0.25"/>
    <row r="3671" ht="15" x14ac:dyDescent="0.25"/>
    <row r="3672" ht="15" x14ac:dyDescent="0.25"/>
    <row r="3673" ht="15" x14ac:dyDescent="0.25"/>
    <row r="3674" ht="15" x14ac:dyDescent="0.25"/>
    <row r="3675" ht="15" x14ac:dyDescent="0.25"/>
    <row r="3676" ht="15" x14ac:dyDescent="0.25"/>
    <row r="3677" ht="15" x14ac:dyDescent="0.25"/>
    <row r="3678" ht="15" x14ac:dyDescent="0.25"/>
    <row r="3679" ht="15" x14ac:dyDescent="0.25"/>
    <row r="3680" ht="15" x14ac:dyDescent="0.25"/>
    <row r="3681" ht="15" x14ac:dyDescent="0.25"/>
    <row r="3682" ht="15" x14ac:dyDescent="0.25"/>
    <row r="3683" ht="15" x14ac:dyDescent="0.25"/>
    <row r="3684" ht="15" x14ac:dyDescent="0.25"/>
    <row r="3685" ht="15" x14ac:dyDescent="0.25"/>
    <row r="3686" ht="15" x14ac:dyDescent="0.25"/>
    <row r="3687" ht="15" x14ac:dyDescent="0.25"/>
    <row r="3688" ht="15" x14ac:dyDescent="0.25"/>
    <row r="3689" ht="15" x14ac:dyDescent="0.25"/>
    <row r="3690" ht="15" x14ac:dyDescent="0.25"/>
    <row r="3691" ht="15" x14ac:dyDescent="0.25"/>
    <row r="3692" ht="15" x14ac:dyDescent="0.25"/>
    <row r="3693" ht="15" x14ac:dyDescent="0.25"/>
    <row r="3694" ht="15" x14ac:dyDescent="0.25"/>
    <row r="3695" ht="15" x14ac:dyDescent="0.25"/>
    <row r="3696" ht="15" x14ac:dyDescent="0.25"/>
    <row r="3697" ht="15" x14ac:dyDescent="0.25"/>
    <row r="3698" ht="15" x14ac:dyDescent="0.25"/>
    <row r="3699" ht="15" x14ac:dyDescent="0.25"/>
    <row r="3700" ht="15" x14ac:dyDescent="0.25"/>
    <row r="3701" ht="15" x14ac:dyDescent="0.25"/>
    <row r="3702" ht="15" x14ac:dyDescent="0.25"/>
    <row r="3703" ht="15" x14ac:dyDescent="0.25"/>
    <row r="3704" ht="15" x14ac:dyDescent="0.25"/>
    <row r="3705" ht="15" x14ac:dyDescent="0.25"/>
    <row r="3706" ht="15" x14ac:dyDescent="0.25"/>
    <row r="3707" ht="15" x14ac:dyDescent="0.25"/>
    <row r="3708" ht="15" x14ac:dyDescent="0.25"/>
    <row r="3709" ht="15" x14ac:dyDescent="0.25"/>
    <row r="3710" ht="15" x14ac:dyDescent="0.25"/>
    <row r="3711" ht="15" x14ac:dyDescent="0.25"/>
    <row r="3712" ht="15" x14ac:dyDescent="0.25"/>
    <row r="3713" ht="15" x14ac:dyDescent="0.25"/>
    <row r="3714" ht="15" x14ac:dyDescent="0.25"/>
    <row r="3715" ht="15" x14ac:dyDescent="0.25"/>
    <row r="3716" ht="15" x14ac:dyDescent="0.25"/>
    <row r="3717" ht="15" x14ac:dyDescent="0.25"/>
    <row r="3718" ht="15" x14ac:dyDescent="0.25"/>
    <row r="3719" ht="15" x14ac:dyDescent="0.25"/>
    <row r="3720" ht="15" x14ac:dyDescent="0.25"/>
    <row r="3721" ht="15" x14ac:dyDescent="0.25"/>
    <row r="3722" ht="15" x14ac:dyDescent="0.25"/>
    <row r="3723" ht="15" x14ac:dyDescent="0.25"/>
    <row r="3724" ht="15" x14ac:dyDescent="0.25"/>
    <row r="3725" ht="15" x14ac:dyDescent="0.25"/>
    <row r="3726" ht="15" x14ac:dyDescent="0.25"/>
    <row r="3727" ht="15" x14ac:dyDescent="0.25"/>
    <row r="3728" ht="15" x14ac:dyDescent="0.25"/>
    <row r="3729" ht="15" x14ac:dyDescent="0.25"/>
    <row r="3730" ht="15" x14ac:dyDescent="0.25"/>
    <row r="3731" ht="15" x14ac:dyDescent="0.25"/>
    <row r="3732" ht="15" x14ac:dyDescent="0.25"/>
    <row r="3733" ht="15" x14ac:dyDescent="0.25"/>
    <row r="3734" ht="15" x14ac:dyDescent="0.25"/>
    <row r="3735" ht="15" x14ac:dyDescent="0.25"/>
    <row r="3736" ht="15" x14ac:dyDescent="0.25"/>
    <row r="3737" ht="15" x14ac:dyDescent="0.25"/>
    <row r="3738" ht="15" x14ac:dyDescent="0.25"/>
    <row r="3739" ht="15" x14ac:dyDescent="0.25"/>
    <row r="3740" ht="15" x14ac:dyDescent="0.25"/>
    <row r="3741" ht="15" x14ac:dyDescent="0.25"/>
    <row r="3742" ht="15" x14ac:dyDescent="0.25"/>
    <row r="3743" ht="15" x14ac:dyDescent="0.25"/>
    <row r="3744" ht="15" x14ac:dyDescent="0.25"/>
    <row r="3745" ht="15" x14ac:dyDescent="0.25"/>
    <row r="3746" ht="15" x14ac:dyDescent="0.25"/>
    <row r="3747" ht="15" x14ac:dyDescent="0.25"/>
    <row r="3748" ht="15" x14ac:dyDescent="0.25"/>
    <row r="3749" ht="15" x14ac:dyDescent="0.25"/>
    <row r="3750" ht="15" x14ac:dyDescent="0.25"/>
    <row r="3751" ht="15" x14ac:dyDescent="0.25"/>
    <row r="3752" ht="15" x14ac:dyDescent="0.25"/>
    <row r="3753" ht="15" x14ac:dyDescent="0.25"/>
    <row r="3754" ht="15" x14ac:dyDescent="0.25"/>
    <row r="3755" ht="15" x14ac:dyDescent="0.25"/>
    <row r="3756" ht="15" x14ac:dyDescent="0.25"/>
    <row r="3757" ht="15" x14ac:dyDescent="0.25"/>
    <row r="3758" ht="15" x14ac:dyDescent="0.25"/>
    <row r="3759" ht="15" x14ac:dyDescent="0.25"/>
    <row r="3760" ht="15" x14ac:dyDescent="0.25"/>
    <row r="3761" ht="15" x14ac:dyDescent="0.25"/>
    <row r="3762" ht="15" x14ac:dyDescent="0.25"/>
    <row r="3763" ht="15" x14ac:dyDescent="0.25"/>
    <row r="3764" ht="15" x14ac:dyDescent="0.25"/>
    <row r="3765" ht="15" x14ac:dyDescent="0.25"/>
    <row r="3766" ht="15" x14ac:dyDescent="0.25"/>
    <row r="3767" ht="15" x14ac:dyDescent="0.25"/>
    <row r="3768" ht="15" x14ac:dyDescent="0.25"/>
    <row r="3769" ht="15" x14ac:dyDescent="0.25"/>
    <row r="3770" ht="15" x14ac:dyDescent="0.25"/>
    <row r="3771" ht="15" x14ac:dyDescent="0.25"/>
    <row r="3772" ht="15" x14ac:dyDescent="0.25"/>
    <row r="3773" ht="15" x14ac:dyDescent="0.25"/>
    <row r="3774" ht="15" x14ac:dyDescent="0.25"/>
    <row r="3775" ht="15" x14ac:dyDescent="0.25"/>
    <row r="3776" ht="15" x14ac:dyDescent="0.25"/>
    <row r="3777" ht="15" x14ac:dyDescent="0.25"/>
    <row r="3778" ht="15" x14ac:dyDescent="0.25"/>
    <row r="3779" ht="15" x14ac:dyDescent="0.25"/>
    <row r="3780" ht="15" x14ac:dyDescent="0.25"/>
    <row r="3781" ht="15" x14ac:dyDescent="0.25"/>
    <row r="3782" ht="15" x14ac:dyDescent="0.25"/>
    <row r="3783" ht="15" x14ac:dyDescent="0.25"/>
    <row r="3784" ht="15" x14ac:dyDescent="0.25"/>
    <row r="3785" ht="15" x14ac:dyDescent="0.25"/>
    <row r="3786" ht="15" x14ac:dyDescent="0.25"/>
    <row r="3787" ht="15" x14ac:dyDescent="0.25"/>
    <row r="3788" ht="15" x14ac:dyDescent="0.25"/>
    <row r="3789" ht="15" x14ac:dyDescent="0.25"/>
    <row r="3790" ht="15" x14ac:dyDescent="0.25"/>
    <row r="3791" ht="15" x14ac:dyDescent="0.25"/>
    <row r="3792" ht="15" x14ac:dyDescent="0.25"/>
    <row r="3793" ht="15" x14ac:dyDescent="0.25"/>
    <row r="3794" ht="15" x14ac:dyDescent="0.25"/>
    <row r="3795" ht="15" x14ac:dyDescent="0.25"/>
    <row r="3796" ht="15" x14ac:dyDescent="0.25"/>
    <row r="3797" ht="15" x14ac:dyDescent="0.25"/>
    <row r="3798" ht="15" x14ac:dyDescent="0.25"/>
    <row r="3799" ht="15" x14ac:dyDescent="0.25"/>
    <row r="3800" ht="15" x14ac:dyDescent="0.25"/>
    <row r="3801" ht="15" x14ac:dyDescent="0.25"/>
    <row r="3802" ht="15" x14ac:dyDescent="0.25"/>
    <row r="3803" ht="15" x14ac:dyDescent="0.25"/>
    <row r="3804" ht="15" x14ac:dyDescent="0.25"/>
    <row r="3805" ht="15" x14ac:dyDescent="0.25"/>
    <row r="3806" ht="15" x14ac:dyDescent="0.25"/>
    <row r="3807" ht="15" x14ac:dyDescent="0.25"/>
    <row r="3808" ht="15" x14ac:dyDescent="0.25"/>
    <row r="3809" ht="15" x14ac:dyDescent="0.25"/>
    <row r="3810" ht="15" x14ac:dyDescent="0.25"/>
    <row r="3811" ht="15" x14ac:dyDescent="0.25"/>
    <row r="3812" ht="15" x14ac:dyDescent="0.25"/>
    <row r="3813" ht="15" x14ac:dyDescent="0.25"/>
    <row r="3814" ht="15" x14ac:dyDescent="0.25"/>
    <row r="3815" ht="15" x14ac:dyDescent="0.25"/>
    <row r="3816" ht="15" x14ac:dyDescent="0.25"/>
    <row r="3817" ht="15" x14ac:dyDescent="0.25"/>
    <row r="3818" ht="15" x14ac:dyDescent="0.25"/>
    <row r="3819" ht="15" x14ac:dyDescent="0.25"/>
    <row r="3820" ht="15" x14ac:dyDescent="0.25"/>
    <row r="3821" ht="15" x14ac:dyDescent="0.25"/>
    <row r="3822" ht="15" x14ac:dyDescent="0.25"/>
    <row r="3823" ht="15" x14ac:dyDescent="0.25"/>
    <row r="3824" ht="15" x14ac:dyDescent="0.25"/>
    <row r="3825" ht="15" x14ac:dyDescent="0.25"/>
    <row r="3826" ht="15" x14ac:dyDescent="0.25"/>
    <row r="3827" ht="15" x14ac:dyDescent="0.25"/>
    <row r="3828" ht="15" x14ac:dyDescent="0.25"/>
    <row r="3829" ht="15" x14ac:dyDescent="0.25"/>
    <row r="3830" ht="15" x14ac:dyDescent="0.25"/>
    <row r="3831" ht="15" x14ac:dyDescent="0.25"/>
    <row r="3832" ht="15" x14ac:dyDescent="0.25"/>
    <row r="3833" ht="15" x14ac:dyDescent="0.25"/>
    <row r="3834" ht="15" x14ac:dyDescent="0.25"/>
    <row r="3835" ht="15" x14ac:dyDescent="0.25"/>
    <row r="3836" ht="15" x14ac:dyDescent="0.25"/>
    <row r="3837" ht="15" x14ac:dyDescent="0.25"/>
    <row r="3838" ht="15" x14ac:dyDescent="0.25"/>
    <row r="3839" ht="15" x14ac:dyDescent="0.25"/>
    <row r="3840" ht="15" x14ac:dyDescent="0.25"/>
    <row r="3841" ht="15" x14ac:dyDescent="0.25"/>
    <row r="3842" ht="15" x14ac:dyDescent="0.25"/>
    <row r="3843" ht="15" x14ac:dyDescent="0.25"/>
    <row r="3844" ht="15" x14ac:dyDescent="0.25"/>
    <row r="3845" ht="15" x14ac:dyDescent="0.25"/>
    <row r="3846" ht="15" x14ac:dyDescent="0.25"/>
    <row r="3847" ht="15" x14ac:dyDescent="0.25"/>
    <row r="3848" ht="15" x14ac:dyDescent="0.25"/>
    <row r="3849" ht="15" x14ac:dyDescent="0.25"/>
    <row r="3850" ht="15" x14ac:dyDescent="0.25"/>
    <row r="3851" ht="15" x14ac:dyDescent="0.25"/>
    <row r="3852" ht="15" x14ac:dyDescent="0.25"/>
    <row r="3853" ht="15" x14ac:dyDescent="0.25"/>
    <row r="3854" ht="15" x14ac:dyDescent="0.25"/>
    <row r="3855" ht="15" x14ac:dyDescent="0.25"/>
    <row r="3856" ht="15" x14ac:dyDescent="0.25"/>
    <row r="3857" ht="15" x14ac:dyDescent="0.25"/>
    <row r="3858" ht="15" x14ac:dyDescent="0.25"/>
    <row r="3859" ht="15" x14ac:dyDescent="0.25"/>
    <row r="3860" ht="15" x14ac:dyDescent="0.25"/>
    <row r="3861" ht="15" x14ac:dyDescent="0.25"/>
    <row r="3862" ht="15" x14ac:dyDescent="0.25"/>
    <row r="3863" ht="15" x14ac:dyDescent="0.25"/>
    <row r="3864" ht="15" x14ac:dyDescent="0.25"/>
    <row r="3865" ht="15" x14ac:dyDescent="0.25"/>
    <row r="3866" ht="15" x14ac:dyDescent="0.25"/>
    <row r="3867" ht="15" x14ac:dyDescent="0.25"/>
    <row r="3868" ht="15" x14ac:dyDescent="0.25"/>
    <row r="3869" ht="15" x14ac:dyDescent="0.25"/>
    <row r="3870" ht="15" x14ac:dyDescent="0.25"/>
    <row r="3871" ht="15" x14ac:dyDescent="0.25"/>
    <row r="3872" ht="15" x14ac:dyDescent="0.25"/>
    <row r="3873" ht="15" x14ac:dyDescent="0.25"/>
    <row r="3874" ht="15" x14ac:dyDescent="0.25"/>
    <row r="3875" ht="15" x14ac:dyDescent="0.25"/>
    <row r="3876" ht="15" x14ac:dyDescent="0.25"/>
    <row r="3877" ht="15" x14ac:dyDescent="0.25"/>
    <row r="3878" ht="15" x14ac:dyDescent="0.25"/>
    <row r="3879" ht="15" x14ac:dyDescent="0.25"/>
    <row r="3880" ht="15" x14ac:dyDescent="0.25"/>
    <row r="3881" ht="15" x14ac:dyDescent="0.25"/>
    <row r="3882" ht="15" x14ac:dyDescent="0.25"/>
    <row r="3883" ht="15" x14ac:dyDescent="0.25"/>
    <row r="3884" ht="15" x14ac:dyDescent="0.25"/>
    <row r="3885" ht="15" x14ac:dyDescent="0.25"/>
    <row r="3886" ht="15" x14ac:dyDescent="0.25"/>
    <row r="3887" ht="15" x14ac:dyDescent="0.25"/>
    <row r="3888" ht="15" x14ac:dyDescent="0.25"/>
    <row r="3889" ht="15" x14ac:dyDescent="0.25"/>
    <row r="3890" ht="15" x14ac:dyDescent="0.25"/>
    <row r="3891" ht="15" x14ac:dyDescent="0.25"/>
    <row r="3892" ht="15" x14ac:dyDescent="0.25"/>
    <row r="3893" ht="15" x14ac:dyDescent="0.25"/>
    <row r="3894" ht="15" x14ac:dyDescent="0.25"/>
    <row r="3895" ht="15" x14ac:dyDescent="0.25"/>
    <row r="3896" ht="15" x14ac:dyDescent="0.25"/>
    <row r="3897" ht="15" x14ac:dyDescent="0.25"/>
    <row r="3898" ht="15" x14ac:dyDescent="0.25"/>
    <row r="3899" ht="15" x14ac:dyDescent="0.25"/>
    <row r="3900" ht="15" x14ac:dyDescent="0.25"/>
    <row r="3901" ht="15" x14ac:dyDescent="0.25"/>
    <row r="3902" ht="15" x14ac:dyDescent="0.25"/>
    <row r="3903" ht="15" x14ac:dyDescent="0.25"/>
    <row r="3904" ht="15" x14ac:dyDescent="0.25"/>
    <row r="3905" ht="15" x14ac:dyDescent="0.25"/>
    <row r="3906" ht="15" x14ac:dyDescent="0.25"/>
    <row r="3907" ht="15" x14ac:dyDescent="0.25"/>
    <row r="3908" ht="15" x14ac:dyDescent="0.25"/>
    <row r="3909" ht="15" x14ac:dyDescent="0.25"/>
    <row r="3910" ht="15" x14ac:dyDescent="0.25"/>
    <row r="3911" ht="15" x14ac:dyDescent="0.25"/>
    <row r="3912" ht="15" x14ac:dyDescent="0.25"/>
    <row r="3913" ht="15" x14ac:dyDescent="0.25"/>
    <row r="3914" ht="15" x14ac:dyDescent="0.25"/>
    <row r="3915" ht="15" x14ac:dyDescent="0.25"/>
    <row r="3916" ht="15" x14ac:dyDescent="0.25"/>
    <row r="3917" ht="15" x14ac:dyDescent="0.25"/>
    <row r="3918" ht="15" x14ac:dyDescent="0.25"/>
    <row r="3919" ht="15" x14ac:dyDescent="0.25"/>
    <row r="3920" ht="15" x14ac:dyDescent="0.25"/>
    <row r="3921" ht="15" x14ac:dyDescent="0.25"/>
    <row r="3922" ht="15" x14ac:dyDescent="0.25"/>
    <row r="3923" ht="15" x14ac:dyDescent="0.25"/>
    <row r="3924" ht="15" x14ac:dyDescent="0.25"/>
    <row r="3925" ht="15" x14ac:dyDescent="0.25"/>
    <row r="3926" ht="15" x14ac:dyDescent="0.25"/>
    <row r="3927" ht="15" x14ac:dyDescent="0.25"/>
    <row r="3928" ht="15" x14ac:dyDescent="0.25"/>
    <row r="3929" ht="15" x14ac:dyDescent="0.25"/>
    <row r="3930" ht="15" x14ac:dyDescent="0.25"/>
    <row r="3931" ht="15" x14ac:dyDescent="0.25"/>
    <row r="3932" ht="15" x14ac:dyDescent="0.25"/>
    <row r="3933" ht="15" x14ac:dyDescent="0.25"/>
    <row r="3934" ht="15" x14ac:dyDescent="0.25"/>
    <row r="3935" ht="15" x14ac:dyDescent="0.25"/>
    <row r="3936" ht="15" x14ac:dyDescent="0.25"/>
    <row r="3937" ht="15" x14ac:dyDescent="0.25"/>
    <row r="3938" ht="15" x14ac:dyDescent="0.25"/>
    <row r="3939" ht="15" x14ac:dyDescent="0.25"/>
    <row r="3940" ht="15" x14ac:dyDescent="0.25"/>
    <row r="3941" ht="15" x14ac:dyDescent="0.25"/>
    <row r="3942" ht="15" x14ac:dyDescent="0.25"/>
    <row r="3943" ht="15" x14ac:dyDescent="0.25"/>
    <row r="3944" ht="15" x14ac:dyDescent="0.25"/>
    <row r="3945" ht="15" x14ac:dyDescent="0.25"/>
    <row r="3946" ht="15" x14ac:dyDescent="0.25"/>
    <row r="3947" ht="15" x14ac:dyDescent="0.25"/>
    <row r="3948" ht="15" x14ac:dyDescent="0.25"/>
    <row r="3949" ht="15" x14ac:dyDescent="0.25"/>
    <row r="3950" ht="15" x14ac:dyDescent="0.25"/>
    <row r="3951" ht="15" x14ac:dyDescent="0.25"/>
    <row r="3952" ht="15" x14ac:dyDescent="0.25"/>
    <row r="3953" ht="15" x14ac:dyDescent="0.25"/>
    <row r="3954" ht="15" x14ac:dyDescent="0.25"/>
    <row r="3955" ht="15" x14ac:dyDescent="0.25"/>
    <row r="3956" ht="15" x14ac:dyDescent="0.25"/>
    <row r="3957" ht="15" x14ac:dyDescent="0.25"/>
    <row r="3958" ht="15" x14ac:dyDescent="0.25"/>
    <row r="3959" ht="15" x14ac:dyDescent="0.25"/>
    <row r="3960" ht="15" x14ac:dyDescent="0.25"/>
    <row r="3961" ht="15" x14ac:dyDescent="0.25"/>
    <row r="3962" ht="15" x14ac:dyDescent="0.25"/>
    <row r="3963" ht="15" x14ac:dyDescent="0.25"/>
    <row r="3964" ht="15" x14ac:dyDescent="0.25"/>
    <row r="3965" ht="15" x14ac:dyDescent="0.25"/>
    <row r="3966" ht="15" x14ac:dyDescent="0.25"/>
    <row r="3967" ht="15" x14ac:dyDescent="0.25"/>
    <row r="3968" ht="15" x14ac:dyDescent="0.25"/>
    <row r="3969" ht="15" x14ac:dyDescent="0.25"/>
    <row r="3970" ht="15" x14ac:dyDescent="0.25"/>
    <row r="3971" ht="15" x14ac:dyDescent="0.25"/>
    <row r="3972" ht="15" x14ac:dyDescent="0.25"/>
    <row r="3973" ht="15" x14ac:dyDescent="0.25"/>
    <row r="3974" ht="15" x14ac:dyDescent="0.25"/>
    <row r="3975" ht="15" x14ac:dyDescent="0.25"/>
    <row r="3976" ht="15" x14ac:dyDescent="0.25"/>
    <row r="3977" ht="15" x14ac:dyDescent="0.25"/>
    <row r="3978" ht="15" x14ac:dyDescent="0.25"/>
    <row r="3979" ht="15" x14ac:dyDescent="0.25"/>
    <row r="3980" ht="15" x14ac:dyDescent="0.25"/>
    <row r="3981" ht="15" x14ac:dyDescent="0.25"/>
    <row r="3982" ht="15" x14ac:dyDescent="0.25"/>
    <row r="3983" ht="15" x14ac:dyDescent="0.25"/>
    <row r="3984" ht="15" x14ac:dyDescent="0.25"/>
    <row r="3985" ht="15" x14ac:dyDescent="0.25"/>
    <row r="3986" ht="15" x14ac:dyDescent="0.25"/>
    <row r="3987" ht="15" x14ac:dyDescent="0.25"/>
    <row r="3988" ht="15" x14ac:dyDescent="0.25"/>
    <row r="3989" ht="15" x14ac:dyDescent="0.25"/>
    <row r="3990" ht="15" x14ac:dyDescent="0.25"/>
    <row r="3991" ht="15" x14ac:dyDescent="0.25"/>
    <row r="3992" ht="15" x14ac:dyDescent="0.25"/>
    <row r="3993" ht="15" x14ac:dyDescent="0.25"/>
    <row r="3994" ht="15" x14ac:dyDescent="0.25"/>
    <row r="3995" ht="15" x14ac:dyDescent="0.25"/>
    <row r="3996" ht="15" x14ac:dyDescent="0.25"/>
    <row r="3997" ht="15" x14ac:dyDescent="0.25"/>
    <row r="3998" ht="15" x14ac:dyDescent="0.25"/>
    <row r="3999" ht="15" x14ac:dyDescent="0.25"/>
    <row r="4000" ht="15" x14ac:dyDescent="0.25"/>
    <row r="4001" ht="15" x14ac:dyDescent="0.25"/>
    <row r="4002" ht="15" x14ac:dyDescent="0.25"/>
    <row r="4003" ht="15" x14ac:dyDescent="0.25"/>
    <row r="4004" ht="15" x14ac:dyDescent="0.25"/>
    <row r="4005" ht="15" x14ac:dyDescent="0.25"/>
    <row r="4006" ht="15" x14ac:dyDescent="0.25"/>
    <row r="4007" ht="15" x14ac:dyDescent="0.25"/>
    <row r="4008" ht="15" x14ac:dyDescent="0.25"/>
    <row r="4009" ht="15" x14ac:dyDescent="0.25"/>
    <row r="4010" ht="15" x14ac:dyDescent="0.25"/>
    <row r="4011" ht="15" x14ac:dyDescent="0.25"/>
    <row r="4012" ht="15" x14ac:dyDescent="0.25"/>
    <row r="4013" ht="15" x14ac:dyDescent="0.25"/>
    <row r="4014" ht="15" x14ac:dyDescent="0.25"/>
    <row r="4015" ht="15" x14ac:dyDescent="0.25"/>
    <row r="4016" ht="15" x14ac:dyDescent="0.25"/>
    <row r="4017" ht="15" x14ac:dyDescent="0.25"/>
    <row r="4018" ht="15" x14ac:dyDescent="0.25"/>
    <row r="4019" ht="15" x14ac:dyDescent="0.25"/>
    <row r="4020" ht="15" x14ac:dyDescent="0.25"/>
    <row r="4021" ht="15" x14ac:dyDescent="0.25"/>
    <row r="4022" ht="15" x14ac:dyDescent="0.25"/>
    <row r="4023" ht="15" x14ac:dyDescent="0.25"/>
    <row r="4024" ht="15" x14ac:dyDescent="0.25"/>
    <row r="4025" ht="15" x14ac:dyDescent="0.25"/>
    <row r="4026" ht="15" x14ac:dyDescent="0.25"/>
    <row r="4027" ht="15" x14ac:dyDescent="0.25"/>
    <row r="4028" ht="15" x14ac:dyDescent="0.25"/>
    <row r="4029" ht="15" x14ac:dyDescent="0.25"/>
    <row r="4030" ht="15" x14ac:dyDescent="0.25"/>
    <row r="4031" ht="15" x14ac:dyDescent="0.25"/>
    <row r="4032" ht="15" x14ac:dyDescent="0.25"/>
    <row r="4033" ht="15" x14ac:dyDescent="0.25"/>
    <row r="4034" ht="15" x14ac:dyDescent="0.25"/>
    <row r="4035" ht="15" x14ac:dyDescent="0.25"/>
    <row r="4036" ht="15" x14ac:dyDescent="0.25"/>
    <row r="4037" ht="15" x14ac:dyDescent="0.25"/>
    <row r="4038" ht="15" x14ac:dyDescent="0.25"/>
    <row r="4039" ht="15" x14ac:dyDescent="0.25"/>
    <row r="4040" ht="15" x14ac:dyDescent="0.25"/>
    <row r="4041" ht="15" x14ac:dyDescent="0.25"/>
    <row r="4042" ht="15" x14ac:dyDescent="0.25"/>
    <row r="4043" ht="15" x14ac:dyDescent="0.25"/>
    <row r="4044" ht="15" x14ac:dyDescent="0.25"/>
    <row r="4045" ht="15" x14ac:dyDescent="0.25"/>
    <row r="4046" ht="15" x14ac:dyDescent="0.25"/>
    <row r="4047" ht="15" x14ac:dyDescent="0.25"/>
    <row r="4048" ht="15" x14ac:dyDescent="0.25"/>
    <row r="4049" ht="15" x14ac:dyDescent="0.25"/>
    <row r="4050" ht="15" x14ac:dyDescent="0.25"/>
    <row r="4051" ht="15" x14ac:dyDescent="0.25"/>
    <row r="4052" ht="15" x14ac:dyDescent="0.25"/>
    <row r="4053" ht="15" x14ac:dyDescent="0.25"/>
    <row r="4054" ht="15" x14ac:dyDescent="0.25"/>
    <row r="4055" ht="15" x14ac:dyDescent="0.25"/>
    <row r="4056" ht="15" x14ac:dyDescent="0.25"/>
    <row r="4057" ht="15" x14ac:dyDescent="0.25"/>
    <row r="4058" ht="15" x14ac:dyDescent="0.25"/>
    <row r="4059" ht="15" x14ac:dyDescent="0.25"/>
    <row r="4060" ht="15" x14ac:dyDescent="0.25"/>
    <row r="4061" ht="15" x14ac:dyDescent="0.25"/>
    <row r="4062" ht="15" x14ac:dyDescent="0.25"/>
    <row r="4063" ht="15" x14ac:dyDescent="0.25"/>
    <row r="4064" ht="15" x14ac:dyDescent="0.25"/>
    <row r="4065" ht="15" x14ac:dyDescent="0.25"/>
    <row r="4066" ht="15" x14ac:dyDescent="0.25"/>
    <row r="4067" ht="15" x14ac:dyDescent="0.25"/>
    <row r="4068" ht="15" x14ac:dyDescent="0.25"/>
    <row r="4069" ht="15" x14ac:dyDescent="0.25"/>
    <row r="4070" ht="15" x14ac:dyDescent="0.25"/>
    <row r="4071" ht="15" x14ac:dyDescent="0.25"/>
    <row r="4072" ht="15" x14ac:dyDescent="0.25"/>
    <row r="4073" ht="15" x14ac:dyDescent="0.25"/>
    <row r="4074" ht="15" x14ac:dyDescent="0.25"/>
    <row r="4075" ht="15" x14ac:dyDescent="0.25"/>
    <row r="4076" ht="15" x14ac:dyDescent="0.25"/>
    <row r="4077" ht="15" x14ac:dyDescent="0.25"/>
    <row r="4078" ht="15" x14ac:dyDescent="0.25"/>
    <row r="4079" ht="15" x14ac:dyDescent="0.25"/>
    <row r="4080" ht="15" x14ac:dyDescent="0.25"/>
    <row r="4081" ht="15" x14ac:dyDescent="0.25"/>
    <row r="4082" ht="15" x14ac:dyDescent="0.25"/>
    <row r="4083" ht="15" x14ac:dyDescent="0.25"/>
    <row r="4084" ht="15" x14ac:dyDescent="0.25"/>
    <row r="4085" ht="15" x14ac:dyDescent="0.25"/>
    <row r="4086" ht="15" x14ac:dyDescent="0.25"/>
    <row r="4087" ht="15" x14ac:dyDescent="0.25"/>
    <row r="4088" ht="15" x14ac:dyDescent="0.25"/>
    <row r="4089" ht="15" x14ac:dyDescent="0.25"/>
    <row r="4090" ht="15" x14ac:dyDescent="0.25"/>
    <row r="4091" ht="15" x14ac:dyDescent="0.25"/>
    <row r="4092" ht="15" x14ac:dyDescent="0.25"/>
    <row r="4093" ht="15" x14ac:dyDescent="0.25"/>
    <row r="4094" ht="15" x14ac:dyDescent="0.25"/>
    <row r="4095" ht="15" x14ac:dyDescent="0.25"/>
    <row r="4096" ht="15" x14ac:dyDescent="0.25"/>
    <row r="4097" ht="15" x14ac:dyDescent="0.25"/>
    <row r="4098" ht="15" x14ac:dyDescent="0.25"/>
    <row r="4099" ht="15" x14ac:dyDescent="0.25"/>
    <row r="4100" ht="15" x14ac:dyDescent="0.25"/>
    <row r="4101" ht="15" x14ac:dyDescent="0.25"/>
    <row r="4102" ht="15" x14ac:dyDescent="0.25"/>
    <row r="4103" ht="15" x14ac:dyDescent="0.25"/>
    <row r="4104" ht="15" x14ac:dyDescent="0.25"/>
    <row r="4105" ht="15" x14ac:dyDescent="0.25"/>
    <row r="4106" ht="15" x14ac:dyDescent="0.25"/>
    <row r="4107" ht="15" x14ac:dyDescent="0.25"/>
    <row r="4108" ht="15" x14ac:dyDescent="0.25"/>
    <row r="4109" ht="15" x14ac:dyDescent="0.25"/>
    <row r="4110" ht="15" x14ac:dyDescent="0.25"/>
    <row r="4111" ht="15" x14ac:dyDescent="0.25"/>
    <row r="4112" ht="15" x14ac:dyDescent="0.25"/>
    <row r="4113" ht="15" x14ac:dyDescent="0.25"/>
    <row r="4114" ht="15" x14ac:dyDescent="0.25"/>
    <row r="4115" ht="15" x14ac:dyDescent="0.25"/>
    <row r="4116" ht="15" x14ac:dyDescent="0.25"/>
    <row r="4117" ht="15" x14ac:dyDescent="0.25"/>
    <row r="4118" ht="15" x14ac:dyDescent="0.25"/>
    <row r="4119" ht="15" x14ac:dyDescent="0.25"/>
    <row r="4120" ht="15" x14ac:dyDescent="0.25"/>
    <row r="4121" ht="15" x14ac:dyDescent="0.25"/>
    <row r="4122" ht="15" x14ac:dyDescent="0.25"/>
    <row r="4123" ht="15" x14ac:dyDescent="0.25"/>
    <row r="4124" ht="15" x14ac:dyDescent="0.25"/>
    <row r="4125" ht="15" x14ac:dyDescent="0.25"/>
    <row r="4126" ht="15" x14ac:dyDescent="0.25"/>
    <row r="4127" ht="15" x14ac:dyDescent="0.25"/>
    <row r="4128" ht="15" x14ac:dyDescent="0.25"/>
    <row r="4129" ht="15" x14ac:dyDescent="0.25"/>
    <row r="4130" ht="15" x14ac:dyDescent="0.25"/>
    <row r="4131" ht="15" x14ac:dyDescent="0.25"/>
    <row r="4132" ht="15" x14ac:dyDescent="0.25"/>
    <row r="4133" ht="15" x14ac:dyDescent="0.25"/>
    <row r="4134" ht="15" x14ac:dyDescent="0.25"/>
    <row r="4135" ht="15" x14ac:dyDescent="0.25"/>
    <row r="4136" ht="15" x14ac:dyDescent="0.25"/>
    <row r="4137" ht="15" x14ac:dyDescent="0.25"/>
    <row r="4138" ht="15" x14ac:dyDescent="0.25"/>
    <row r="4139" ht="15" x14ac:dyDescent="0.25"/>
    <row r="4140" ht="15" x14ac:dyDescent="0.25"/>
    <row r="4141" ht="15" x14ac:dyDescent="0.25"/>
    <row r="4142" ht="15" x14ac:dyDescent="0.25"/>
    <row r="4143" ht="15" x14ac:dyDescent="0.25"/>
    <row r="4144" ht="15" x14ac:dyDescent="0.25"/>
    <row r="4145" ht="15" x14ac:dyDescent="0.25"/>
    <row r="4146" ht="15" x14ac:dyDescent="0.25"/>
    <row r="4147" ht="15" x14ac:dyDescent="0.25"/>
    <row r="4148" ht="15" x14ac:dyDescent="0.25"/>
    <row r="4149" ht="15" x14ac:dyDescent="0.25"/>
    <row r="4150" ht="15" x14ac:dyDescent="0.25"/>
    <row r="4151" ht="15" x14ac:dyDescent="0.25"/>
    <row r="4152" ht="15" x14ac:dyDescent="0.25"/>
    <row r="4153" ht="15" x14ac:dyDescent="0.25"/>
    <row r="4154" ht="15" x14ac:dyDescent="0.25"/>
    <row r="4155" ht="15" x14ac:dyDescent="0.25"/>
    <row r="4156" ht="15" x14ac:dyDescent="0.25"/>
    <row r="4157" ht="15" x14ac:dyDescent="0.25"/>
    <row r="4158" ht="15" x14ac:dyDescent="0.25"/>
    <row r="4159" ht="15" x14ac:dyDescent="0.25"/>
    <row r="4160" ht="15" x14ac:dyDescent="0.25"/>
    <row r="4161" ht="15" x14ac:dyDescent="0.25"/>
    <row r="4162" ht="15" x14ac:dyDescent="0.25"/>
    <row r="4163" ht="15" x14ac:dyDescent="0.25"/>
    <row r="4164" ht="15" x14ac:dyDescent="0.25"/>
    <row r="4165" ht="15" x14ac:dyDescent="0.25"/>
    <row r="4166" ht="15" x14ac:dyDescent="0.25"/>
    <row r="4167" ht="15" x14ac:dyDescent="0.25"/>
    <row r="4168" ht="15" x14ac:dyDescent="0.25"/>
    <row r="4169" ht="15" x14ac:dyDescent="0.25"/>
    <row r="4170" ht="15" x14ac:dyDescent="0.25"/>
    <row r="4171" ht="15" x14ac:dyDescent="0.25"/>
    <row r="4172" ht="15" x14ac:dyDescent="0.25"/>
    <row r="4173" ht="15" x14ac:dyDescent="0.25"/>
    <row r="4174" ht="15" x14ac:dyDescent="0.25"/>
    <row r="4175" ht="15" x14ac:dyDescent="0.25"/>
    <row r="4176" ht="15" x14ac:dyDescent="0.25"/>
    <row r="4177" ht="15" x14ac:dyDescent="0.25"/>
    <row r="4178" ht="15" x14ac:dyDescent="0.25"/>
    <row r="4179" ht="15" x14ac:dyDescent="0.25"/>
    <row r="4180" ht="15" x14ac:dyDescent="0.25"/>
    <row r="4181" ht="15" x14ac:dyDescent="0.25"/>
    <row r="4182" ht="15" x14ac:dyDescent="0.25"/>
    <row r="4183" ht="15" x14ac:dyDescent="0.25"/>
    <row r="4184" ht="15" x14ac:dyDescent="0.25"/>
    <row r="4185" ht="15" x14ac:dyDescent="0.25"/>
    <row r="4186" ht="15" x14ac:dyDescent="0.25"/>
    <row r="4187" ht="15" x14ac:dyDescent="0.25"/>
    <row r="4188" ht="15" x14ac:dyDescent="0.25"/>
    <row r="4189" ht="15" x14ac:dyDescent="0.25"/>
    <row r="4190" ht="15" x14ac:dyDescent="0.25"/>
    <row r="4191" ht="15" x14ac:dyDescent="0.25"/>
    <row r="4192" ht="15" x14ac:dyDescent="0.25"/>
    <row r="4193" ht="15" x14ac:dyDescent="0.25"/>
    <row r="4194" ht="15" x14ac:dyDescent="0.25"/>
    <row r="4195" ht="15" x14ac:dyDescent="0.25"/>
    <row r="4196" ht="15" x14ac:dyDescent="0.25"/>
    <row r="4197" ht="15" x14ac:dyDescent="0.25"/>
    <row r="4198" ht="15" x14ac:dyDescent="0.25"/>
    <row r="4199" ht="15" x14ac:dyDescent="0.25"/>
    <row r="4200" ht="15" x14ac:dyDescent="0.25"/>
    <row r="4201" ht="15" x14ac:dyDescent="0.25"/>
    <row r="4202" ht="15" x14ac:dyDescent="0.25"/>
    <row r="4203" ht="15" x14ac:dyDescent="0.25"/>
    <row r="4204" ht="15" x14ac:dyDescent="0.25"/>
    <row r="4205" ht="15" x14ac:dyDescent="0.25"/>
    <row r="4206" ht="15" x14ac:dyDescent="0.25"/>
    <row r="4207" ht="15" x14ac:dyDescent="0.25"/>
    <row r="4208" ht="15" x14ac:dyDescent="0.25"/>
    <row r="4209" ht="15" x14ac:dyDescent="0.25"/>
    <row r="4210" ht="15" x14ac:dyDescent="0.25"/>
    <row r="4211" ht="15" x14ac:dyDescent="0.25"/>
    <row r="4212" ht="15" x14ac:dyDescent="0.25"/>
    <row r="4213" ht="15" x14ac:dyDescent="0.25"/>
    <row r="4214" ht="15" x14ac:dyDescent="0.25"/>
    <row r="4215" ht="15" x14ac:dyDescent="0.25"/>
    <row r="4216" ht="15" x14ac:dyDescent="0.25"/>
    <row r="4217" ht="15" x14ac:dyDescent="0.25"/>
    <row r="4218" ht="15" x14ac:dyDescent="0.25"/>
    <row r="4219" ht="15" x14ac:dyDescent="0.25"/>
    <row r="4220" ht="15" x14ac:dyDescent="0.25"/>
    <row r="4221" ht="15" x14ac:dyDescent="0.25"/>
    <row r="4222" ht="15" x14ac:dyDescent="0.25"/>
    <row r="4223" ht="15" x14ac:dyDescent="0.25"/>
    <row r="4224" ht="15" x14ac:dyDescent="0.25"/>
    <row r="4225" ht="15" x14ac:dyDescent="0.25"/>
    <row r="4226" ht="15" x14ac:dyDescent="0.25"/>
    <row r="4227" ht="15" x14ac:dyDescent="0.25"/>
    <row r="4228" ht="15" x14ac:dyDescent="0.25"/>
    <row r="4229" ht="15" x14ac:dyDescent="0.25"/>
    <row r="4230" ht="15" x14ac:dyDescent="0.25"/>
    <row r="4231" ht="15" x14ac:dyDescent="0.25"/>
    <row r="4232" ht="15" x14ac:dyDescent="0.25"/>
    <row r="4233" ht="15" x14ac:dyDescent="0.25"/>
    <row r="4234" ht="15" x14ac:dyDescent="0.25"/>
    <row r="4235" ht="15" x14ac:dyDescent="0.25"/>
    <row r="4236" ht="15" x14ac:dyDescent="0.25"/>
    <row r="4237" ht="15" x14ac:dyDescent="0.25"/>
    <row r="4238" ht="15" x14ac:dyDescent="0.25"/>
    <row r="4239" ht="15" x14ac:dyDescent="0.25"/>
    <row r="4240" ht="15" x14ac:dyDescent="0.25"/>
    <row r="4241" ht="15" x14ac:dyDescent="0.25"/>
    <row r="4242" ht="15" x14ac:dyDescent="0.25"/>
    <row r="4243" ht="15" x14ac:dyDescent="0.25"/>
    <row r="4244" ht="15" x14ac:dyDescent="0.25"/>
    <row r="4245" ht="15" x14ac:dyDescent="0.25"/>
    <row r="4246" ht="15" x14ac:dyDescent="0.25"/>
    <row r="4247" ht="15" x14ac:dyDescent="0.25"/>
    <row r="4248" ht="15" x14ac:dyDescent="0.25"/>
    <row r="4249" ht="15" x14ac:dyDescent="0.25"/>
    <row r="4250" ht="15" x14ac:dyDescent="0.25"/>
    <row r="4251" ht="15" x14ac:dyDescent="0.25"/>
    <row r="4252" ht="15" x14ac:dyDescent="0.25"/>
    <row r="4253" ht="15" x14ac:dyDescent="0.25"/>
    <row r="4254" ht="15" x14ac:dyDescent="0.25"/>
    <row r="4255" ht="15" x14ac:dyDescent="0.25"/>
    <row r="4256" ht="15" x14ac:dyDescent="0.25"/>
    <row r="4257" ht="15" x14ac:dyDescent="0.25"/>
    <row r="4258" ht="15" x14ac:dyDescent="0.25"/>
    <row r="4259" ht="15" x14ac:dyDescent="0.25"/>
    <row r="4260" ht="15" x14ac:dyDescent="0.25"/>
    <row r="4261" ht="15" x14ac:dyDescent="0.25"/>
    <row r="4262" ht="15" x14ac:dyDescent="0.25"/>
    <row r="4263" ht="15" x14ac:dyDescent="0.25"/>
    <row r="4264" ht="15" x14ac:dyDescent="0.25"/>
    <row r="4265" ht="15" x14ac:dyDescent="0.25"/>
    <row r="4266" ht="15" x14ac:dyDescent="0.25"/>
    <row r="4267" ht="15" x14ac:dyDescent="0.25"/>
    <row r="4268" ht="15" x14ac:dyDescent="0.25"/>
    <row r="4269" ht="15" x14ac:dyDescent="0.25"/>
    <row r="4270" ht="15" x14ac:dyDescent="0.25"/>
    <row r="4271" ht="15" x14ac:dyDescent="0.25"/>
    <row r="4272" ht="15" x14ac:dyDescent="0.25"/>
    <row r="4273" ht="15" x14ac:dyDescent="0.25"/>
    <row r="4274" ht="15" x14ac:dyDescent="0.25"/>
    <row r="4275" ht="15" x14ac:dyDescent="0.25"/>
    <row r="4276" ht="15" x14ac:dyDescent="0.25"/>
    <row r="4277" ht="15" x14ac:dyDescent="0.25"/>
    <row r="4278" ht="15" x14ac:dyDescent="0.25"/>
    <row r="4279" ht="15" x14ac:dyDescent="0.25"/>
    <row r="4280" ht="15" x14ac:dyDescent="0.25"/>
    <row r="4281" ht="15" x14ac:dyDescent="0.25"/>
    <row r="4282" ht="15" x14ac:dyDescent="0.25"/>
    <row r="4283" ht="15" x14ac:dyDescent="0.25"/>
    <row r="4284" ht="15" x14ac:dyDescent="0.25"/>
    <row r="4285" ht="15" x14ac:dyDescent="0.25"/>
    <row r="4286" ht="15" x14ac:dyDescent="0.25"/>
    <row r="4287" ht="15" x14ac:dyDescent="0.25"/>
    <row r="4288" ht="15" x14ac:dyDescent="0.25"/>
    <row r="4289" ht="15" x14ac:dyDescent="0.25"/>
    <row r="4290" ht="15" x14ac:dyDescent="0.25"/>
    <row r="4291" ht="15" x14ac:dyDescent="0.25"/>
    <row r="4292" ht="15" x14ac:dyDescent="0.25"/>
    <row r="4293" ht="15" x14ac:dyDescent="0.25"/>
    <row r="4294" ht="15" x14ac:dyDescent="0.25"/>
    <row r="4295" ht="15" x14ac:dyDescent="0.25"/>
    <row r="4296" ht="15" x14ac:dyDescent="0.25"/>
    <row r="4297" ht="15" x14ac:dyDescent="0.25"/>
    <row r="4298" ht="15" x14ac:dyDescent="0.25"/>
    <row r="4299" ht="15" x14ac:dyDescent="0.25"/>
    <row r="4300" ht="15" x14ac:dyDescent="0.25"/>
    <row r="4301" ht="15" x14ac:dyDescent="0.25"/>
    <row r="4302" ht="15" x14ac:dyDescent="0.25"/>
    <row r="4303" ht="15" x14ac:dyDescent="0.25"/>
    <row r="4304" ht="15" x14ac:dyDescent="0.25"/>
    <row r="4305" ht="15" x14ac:dyDescent="0.25"/>
    <row r="4306" ht="15" x14ac:dyDescent="0.25"/>
    <row r="4307" ht="15" x14ac:dyDescent="0.25"/>
    <row r="4308" ht="15" x14ac:dyDescent="0.25"/>
    <row r="4309" ht="15" x14ac:dyDescent="0.25"/>
    <row r="4310" ht="15" x14ac:dyDescent="0.25"/>
    <row r="4311" ht="15" x14ac:dyDescent="0.25"/>
    <row r="4312" ht="15" x14ac:dyDescent="0.25"/>
    <row r="4313" ht="15" x14ac:dyDescent="0.25"/>
    <row r="4314" ht="15" x14ac:dyDescent="0.25"/>
    <row r="4315" ht="15" x14ac:dyDescent="0.25"/>
    <row r="4316" ht="15" x14ac:dyDescent="0.25"/>
    <row r="4317" ht="15" x14ac:dyDescent="0.25"/>
    <row r="4318" ht="15" x14ac:dyDescent="0.25"/>
    <row r="4319" ht="15" x14ac:dyDescent="0.25"/>
    <row r="4320" ht="15" x14ac:dyDescent="0.25"/>
    <row r="4321" ht="15" x14ac:dyDescent="0.25"/>
    <row r="4322" ht="15" x14ac:dyDescent="0.25"/>
    <row r="4323" ht="15" x14ac:dyDescent="0.25"/>
    <row r="4324" ht="15" x14ac:dyDescent="0.25"/>
    <row r="4325" ht="15" x14ac:dyDescent="0.25"/>
    <row r="4326" ht="15" x14ac:dyDescent="0.25"/>
    <row r="4327" ht="15" x14ac:dyDescent="0.25"/>
    <row r="4328" ht="15" x14ac:dyDescent="0.25"/>
    <row r="4329" ht="15" x14ac:dyDescent="0.25"/>
    <row r="4330" ht="15" x14ac:dyDescent="0.25"/>
    <row r="4331" ht="15" x14ac:dyDescent="0.25"/>
    <row r="4332" ht="15" x14ac:dyDescent="0.25"/>
    <row r="4333" ht="15" x14ac:dyDescent="0.25"/>
    <row r="4334" ht="15" x14ac:dyDescent="0.25"/>
    <row r="4335" ht="15" x14ac:dyDescent="0.25"/>
    <row r="4336" ht="15" x14ac:dyDescent="0.25"/>
    <row r="4337" ht="15" x14ac:dyDescent="0.25"/>
    <row r="4338" ht="15" x14ac:dyDescent="0.25"/>
    <row r="4339" ht="15" x14ac:dyDescent="0.25"/>
    <row r="4340" ht="15" x14ac:dyDescent="0.25"/>
    <row r="4341" ht="15" x14ac:dyDescent="0.25"/>
    <row r="4342" ht="15" x14ac:dyDescent="0.25"/>
    <row r="4343" ht="15" x14ac:dyDescent="0.25"/>
    <row r="4344" ht="15" x14ac:dyDescent="0.25"/>
    <row r="4345" ht="15" x14ac:dyDescent="0.25"/>
    <row r="4346" ht="15" x14ac:dyDescent="0.25"/>
    <row r="4347" ht="15" x14ac:dyDescent="0.25"/>
    <row r="4348" ht="15" x14ac:dyDescent="0.25"/>
    <row r="4349" ht="15" x14ac:dyDescent="0.25"/>
    <row r="4350" ht="15" x14ac:dyDescent="0.25"/>
    <row r="4351" ht="15" x14ac:dyDescent="0.25"/>
    <row r="4352" ht="15" x14ac:dyDescent="0.25"/>
    <row r="4353" ht="15" x14ac:dyDescent="0.25"/>
    <row r="4354" ht="15" x14ac:dyDescent="0.25"/>
    <row r="4355" ht="15" x14ac:dyDescent="0.25"/>
    <row r="4356" ht="15" x14ac:dyDescent="0.25"/>
    <row r="4357" ht="15" x14ac:dyDescent="0.25"/>
    <row r="4358" ht="15" x14ac:dyDescent="0.25"/>
    <row r="4359" ht="15" x14ac:dyDescent="0.25"/>
    <row r="4360" ht="15" x14ac:dyDescent="0.25"/>
    <row r="4361" ht="15" x14ac:dyDescent="0.25"/>
    <row r="4362" ht="15" x14ac:dyDescent="0.25"/>
    <row r="4363" ht="15" x14ac:dyDescent="0.25"/>
    <row r="4364" ht="15" x14ac:dyDescent="0.25"/>
    <row r="4365" ht="15" x14ac:dyDescent="0.25"/>
    <row r="4366" ht="15" x14ac:dyDescent="0.25"/>
    <row r="4367" ht="15" x14ac:dyDescent="0.25"/>
    <row r="4368" ht="15" x14ac:dyDescent="0.25"/>
    <row r="4369" ht="15" x14ac:dyDescent="0.25"/>
    <row r="4370" ht="15" x14ac:dyDescent="0.25"/>
    <row r="4371" ht="15" x14ac:dyDescent="0.25"/>
    <row r="4372" ht="15" x14ac:dyDescent="0.25"/>
    <row r="4373" ht="15" x14ac:dyDescent="0.25"/>
    <row r="4374" ht="15" x14ac:dyDescent="0.25"/>
    <row r="4375" ht="15" x14ac:dyDescent="0.25"/>
    <row r="4376" ht="15" x14ac:dyDescent="0.25"/>
    <row r="4377" ht="15" x14ac:dyDescent="0.25"/>
    <row r="4378" ht="15" x14ac:dyDescent="0.25"/>
    <row r="4379" ht="15" x14ac:dyDescent="0.25"/>
    <row r="4380" ht="15" x14ac:dyDescent="0.25"/>
    <row r="4381" ht="15" x14ac:dyDescent="0.25"/>
    <row r="4382" ht="15" x14ac:dyDescent="0.25"/>
    <row r="4383" ht="15" x14ac:dyDescent="0.25"/>
    <row r="4384" ht="15" x14ac:dyDescent="0.25"/>
    <row r="4385" ht="15" x14ac:dyDescent="0.25"/>
    <row r="4386" ht="15" x14ac:dyDescent="0.25"/>
    <row r="4387" ht="15" x14ac:dyDescent="0.25"/>
    <row r="4388" ht="15" x14ac:dyDescent="0.25"/>
    <row r="4389" ht="15" x14ac:dyDescent="0.25"/>
    <row r="4390" ht="15" x14ac:dyDescent="0.25"/>
    <row r="4391" ht="15" x14ac:dyDescent="0.25"/>
    <row r="4392" ht="15" x14ac:dyDescent="0.25"/>
    <row r="4393" ht="15" x14ac:dyDescent="0.25"/>
    <row r="4394" ht="15" x14ac:dyDescent="0.25"/>
    <row r="4395" ht="15" x14ac:dyDescent="0.25"/>
    <row r="4396" ht="15" x14ac:dyDescent="0.25"/>
    <row r="4397" ht="15" x14ac:dyDescent="0.25"/>
    <row r="4398" ht="15" x14ac:dyDescent="0.25"/>
    <row r="4399" ht="15" x14ac:dyDescent="0.25"/>
    <row r="4400" ht="15" x14ac:dyDescent="0.25"/>
    <row r="4401" ht="15" x14ac:dyDescent="0.25"/>
    <row r="4402" ht="15" x14ac:dyDescent="0.25"/>
    <row r="4403" ht="15" x14ac:dyDescent="0.25"/>
    <row r="4404" ht="15" x14ac:dyDescent="0.25"/>
    <row r="4405" ht="15" x14ac:dyDescent="0.25"/>
    <row r="4406" ht="15" x14ac:dyDescent="0.25"/>
    <row r="4407" ht="15" x14ac:dyDescent="0.25"/>
    <row r="4408" ht="15" x14ac:dyDescent="0.25"/>
    <row r="4409" ht="15" x14ac:dyDescent="0.25"/>
    <row r="4410" ht="15" x14ac:dyDescent="0.25"/>
    <row r="4411" ht="15" x14ac:dyDescent="0.25"/>
    <row r="4412" ht="15" x14ac:dyDescent="0.25"/>
    <row r="4413" ht="15" x14ac:dyDescent="0.25"/>
    <row r="4414" ht="15" x14ac:dyDescent="0.25"/>
    <row r="4415" ht="15" x14ac:dyDescent="0.25"/>
    <row r="4416" ht="15" x14ac:dyDescent="0.25"/>
    <row r="4417" ht="15" x14ac:dyDescent="0.25"/>
    <row r="4418" ht="15" x14ac:dyDescent="0.25"/>
    <row r="4419" ht="15" x14ac:dyDescent="0.25"/>
    <row r="4420" ht="15" x14ac:dyDescent="0.25"/>
    <row r="4421" ht="15" x14ac:dyDescent="0.25"/>
    <row r="4422" ht="15" x14ac:dyDescent="0.25"/>
    <row r="4423" ht="15" x14ac:dyDescent="0.25"/>
    <row r="4424" ht="15" x14ac:dyDescent="0.25"/>
    <row r="4425" ht="15" x14ac:dyDescent="0.25"/>
    <row r="4426" ht="15" x14ac:dyDescent="0.25"/>
    <row r="4427" ht="15" x14ac:dyDescent="0.25"/>
    <row r="4428" ht="15" x14ac:dyDescent="0.25"/>
    <row r="4429" ht="15" x14ac:dyDescent="0.25"/>
    <row r="4430" ht="15" x14ac:dyDescent="0.25"/>
    <row r="4431" ht="15" x14ac:dyDescent="0.25"/>
    <row r="4432" ht="15" x14ac:dyDescent="0.25"/>
    <row r="4433" ht="15" x14ac:dyDescent="0.25"/>
    <row r="4434" ht="15" x14ac:dyDescent="0.25"/>
    <row r="4435" ht="15" x14ac:dyDescent="0.25"/>
    <row r="4436" ht="15" x14ac:dyDescent="0.25"/>
    <row r="4437" ht="15" x14ac:dyDescent="0.25"/>
    <row r="4438" ht="15" x14ac:dyDescent="0.25"/>
    <row r="4439" ht="15" x14ac:dyDescent="0.25"/>
    <row r="4440" ht="15" x14ac:dyDescent="0.25"/>
    <row r="4441" ht="15" x14ac:dyDescent="0.25"/>
    <row r="4442" ht="15" x14ac:dyDescent="0.25"/>
    <row r="4443" ht="15" x14ac:dyDescent="0.25"/>
    <row r="4444" ht="15" x14ac:dyDescent="0.25"/>
    <row r="4445" ht="15" x14ac:dyDescent="0.25"/>
    <row r="4446" ht="15" x14ac:dyDescent="0.25"/>
    <row r="4447" ht="15" x14ac:dyDescent="0.25"/>
    <row r="4448" ht="15" x14ac:dyDescent="0.25"/>
    <row r="4449" ht="15" x14ac:dyDescent="0.25"/>
    <row r="4450" ht="15" x14ac:dyDescent="0.25"/>
    <row r="4451" ht="15" x14ac:dyDescent="0.25"/>
    <row r="4452" ht="15" x14ac:dyDescent="0.25"/>
    <row r="4453" ht="15" x14ac:dyDescent="0.25"/>
    <row r="4454" ht="15" x14ac:dyDescent="0.25"/>
    <row r="4455" ht="15" x14ac:dyDescent="0.25"/>
    <row r="4456" ht="15" x14ac:dyDescent="0.25"/>
    <row r="4457" ht="15" x14ac:dyDescent="0.25"/>
    <row r="4458" ht="15" x14ac:dyDescent="0.25"/>
    <row r="4459" ht="15" x14ac:dyDescent="0.25"/>
    <row r="4460" ht="15" x14ac:dyDescent="0.25"/>
    <row r="4461" ht="15" x14ac:dyDescent="0.25"/>
    <row r="4462" ht="15" x14ac:dyDescent="0.25"/>
    <row r="4463" ht="15" x14ac:dyDescent="0.25"/>
    <row r="4464" ht="15" x14ac:dyDescent="0.25"/>
    <row r="4465" ht="15" x14ac:dyDescent="0.25"/>
    <row r="4466" ht="15" x14ac:dyDescent="0.25"/>
    <row r="4467" ht="15" x14ac:dyDescent="0.25"/>
    <row r="4468" ht="15" x14ac:dyDescent="0.25"/>
    <row r="4469" ht="15" x14ac:dyDescent="0.25"/>
    <row r="4470" ht="15" x14ac:dyDescent="0.25"/>
    <row r="4471" ht="15" x14ac:dyDescent="0.25"/>
    <row r="4472" ht="15" x14ac:dyDescent="0.25"/>
    <row r="4473" ht="15" x14ac:dyDescent="0.25"/>
    <row r="4474" ht="15" x14ac:dyDescent="0.25"/>
    <row r="4475" ht="15" x14ac:dyDescent="0.25"/>
    <row r="4476" ht="15" x14ac:dyDescent="0.25"/>
    <row r="4477" ht="15" x14ac:dyDescent="0.25"/>
    <row r="4478" ht="15" x14ac:dyDescent="0.25"/>
    <row r="4479" ht="15" x14ac:dyDescent="0.25"/>
    <row r="4480" ht="15" x14ac:dyDescent="0.25"/>
    <row r="4481" ht="15" x14ac:dyDescent="0.25"/>
    <row r="4482" ht="15" x14ac:dyDescent="0.25"/>
    <row r="4483" ht="15" x14ac:dyDescent="0.25"/>
    <row r="4484" ht="15" x14ac:dyDescent="0.25"/>
    <row r="4485" ht="15" x14ac:dyDescent="0.25"/>
    <row r="4486" ht="15" x14ac:dyDescent="0.25"/>
    <row r="4487" ht="15" x14ac:dyDescent="0.25"/>
    <row r="4488" ht="15" x14ac:dyDescent="0.25"/>
    <row r="4489" ht="15" x14ac:dyDescent="0.25"/>
    <row r="4490" ht="15" x14ac:dyDescent="0.25"/>
    <row r="4491" ht="15" x14ac:dyDescent="0.25"/>
    <row r="4492" ht="15" x14ac:dyDescent="0.25"/>
    <row r="4493" ht="15" x14ac:dyDescent="0.25"/>
    <row r="4494" ht="15" x14ac:dyDescent="0.25"/>
    <row r="4495" ht="15" x14ac:dyDescent="0.25"/>
    <row r="4496" ht="15" x14ac:dyDescent="0.25"/>
    <row r="4497" ht="15" x14ac:dyDescent="0.25"/>
    <row r="4498" ht="15" x14ac:dyDescent="0.25"/>
    <row r="4499" ht="15" x14ac:dyDescent="0.25"/>
    <row r="4500" ht="15" x14ac:dyDescent="0.25"/>
    <row r="4501" ht="15" x14ac:dyDescent="0.25"/>
    <row r="4502" ht="15" x14ac:dyDescent="0.25"/>
    <row r="4503" ht="15" x14ac:dyDescent="0.25"/>
    <row r="4504" ht="15" x14ac:dyDescent="0.25"/>
    <row r="4505" ht="15" x14ac:dyDescent="0.25"/>
    <row r="4506" ht="15" x14ac:dyDescent="0.25"/>
    <row r="4507" ht="15" x14ac:dyDescent="0.25"/>
    <row r="4508" ht="15" x14ac:dyDescent="0.25"/>
    <row r="4509" ht="15" x14ac:dyDescent="0.25"/>
    <row r="4510" ht="15" x14ac:dyDescent="0.25"/>
    <row r="4511" ht="15" x14ac:dyDescent="0.25"/>
    <row r="4512" ht="15" x14ac:dyDescent="0.25"/>
    <row r="4513" ht="15" x14ac:dyDescent="0.25"/>
    <row r="4514" ht="15" x14ac:dyDescent="0.25"/>
    <row r="4515" ht="15" x14ac:dyDescent="0.25"/>
    <row r="4516" ht="15" x14ac:dyDescent="0.25"/>
    <row r="4517" ht="15" x14ac:dyDescent="0.25"/>
    <row r="4518" ht="15" x14ac:dyDescent="0.25"/>
    <row r="4519" ht="15" x14ac:dyDescent="0.25"/>
    <row r="4520" ht="15" x14ac:dyDescent="0.25"/>
    <row r="4521" ht="15" x14ac:dyDescent="0.25"/>
    <row r="4522" ht="15" x14ac:dyDescent="0.25"/>
    <row r="4523" ht="15" x14ac:dyDescent="0.25"/>
    <row r="4524" ht="15" x14ac:dyDescent="0.25"/>
    <row r="4525" ht="15" x14ac:dyDescent="0.25"/>
    <row r="4526" ht="15" x14ac:dyDescent="0.25"/>
    <row r="4527" ht="15" x14ac:dyDescent="0.25"/>
    <row r="4528" ht="15" x14ac:dyDescent="0.25"/>
    <row r="4529" ht="15" x14ac:dyDescent="0.25"/>
    <row r="4530" ht="15" x14ac:dyDescent="0.25"/>
    <row r="4531" ht="15" x14ac:dyDescent="0.25"/>
    <row r="4532" ht="15" x14ac:dyDescent="0.25"/>
    <row r="4533" ht="15" x14ac:dyDescent="0.25"/>
    <row r="4534" ht="15" x14ac:dyDescent="0.25"/>
    <row r="4535" ht="15" x14ac:dyDescent="0.25"/>
    <row r="4536" ht="15" x14ac:dyDescent="0.25"/>
    <row r="4537" ht="15" x14ac:dyDescent="0.25"/>
    <row r="4538" ht="15" x14ac:dyDescent="0.25"/>
    <row r="4539" ht="15" x14ac:dyDescent="0.25"/>
    <row r="4540" ht="15" x14ac:dyDescent="0.25"/>
    <row r="4541" ht="15" x14ac:dyDescent="0.25"/>
    <row r="4542" ht="15" x14ac:dyDescent="0.25"/>
    <row r="4543" ht="15" x14ac:dyDescent="0.25"/>
    <row r="4544" ht="15" x14ac:dyDescent="0.25"/>
    <row r="4545" ht="15" x14ac:dyDescent="0.25"/>
    <row r="4546" ht="15" x14ac:dyDescent="0.25"/>
    <row r="4547" ht="15" x14ac:dyDescent="0.25"/>
    <row r="4548" ht="15" x14ac:dyDescent="0.25"/>
    <row r="4549" ht="15" x14ac:dyDescent="0.25"/>
    <row r="4550" ht="15" x14ac:dyDescent="0.25"/>
    <row r="4551" ht="15" x14ac:dyDescent="0.25"/>
    <row r="4552" ht="15" x14ac:dyDescent="0.25"/>
    <row r="4553" ht="15" x14ac:dyDescent="0.25"/>
    <row r="4554" ht="15" x14ac:dyDescent="0.25"/>
    <row r="4555" ht="15" x14ac:dyDescent="0.25"/>
    <row r="4556" ht="15" x14ac:dyDescent="0.25"/>
    <row r="4557" ht="15" x14ac:dyDescent="0.25"/>
    <row r="4558" ht="15" x14ac:dyDescent="0.25"/>
    <row r="4559" ht="15" x14ac:dyDescent="0.25"/>
    <row r="4560" ht="15" x14ac:dyDescent="0.25"/>
    <row r="4561" ht="15" x14ac:dyDescent="0.25"/>
    <row r="4562" ht="15" x14ac:dyDescent="0.25"/>
    <row r="4563" ht="15" x14ac:dyDescent="0.25"/>
    <row r="4564" ht="15" x14ac:dyDescent="0.25"/>
    <row r="4565" ht="15" x14ac:dyDescent="0.25"/>
    <row r="4566" ht="15" x14ac:dyDescent="0.25"/>
    <row r="4567" ht="15" x14ac:dyDescent="0.25"/>
    <row r="4568" ht="15" x14ac:dyDescent="0.25"/>
    <row r="4569" ht="15" x14ac:dyDescent="0.25"/>
    <row r="4570" ht="15" x14ac:dyDescent="0.25"/>
    <row r="4571" ht="15" x14ac:dyDescent="0.25"/>
    <row r="4572" ht="15" x14ac:dyDescent="0.25"/>
    <row r="4573" ht="15" x14ac:dyDescent="0.25"/>
    <row r="4574" ht="15" x14ac:dyDescent="0.25"/>
    <row r="4575" ht="15" x14ac:dyDescent="0.25"/>
    <row r="4576" ht="15" x14ac:dyDescent="0.25"/>
    <row r="4577" ht="15" x14ac:dyDescent="0.25"/>
    <row r="4578" ht="15" x14ac:dyDescent="0.25"/>
    <row r="4579" ht="15" x14ac:dyDescent="0.25"/>
    <row r="4580" ht="15" x14ac:dyDescent="0.25"/>
    <row r="4581" ht="15" x14ac:dyDescent="0.25"/>
    <row r="4582" ht="15" x14ac:dyDescent="0.25"/>
    <row r="4583" ht="15" x14ac:dyDescent="0.25"/>
    <row r="4584" ht="15" x14ac:dyDescent="0.25"/>
    <row r="4585" ht="15" x14ac:dyDescent="0.25"/>
    <row r="4586" ht="15" x14ac:dyDescent="0.25"/>
    <row r="4587" ht="15" x14ac:dyDescent="0.25"/>
    <row r="4588" ht="15" x14ac:dyDescent="0.25"/>
    <row r="4589" ht="15" x14ac:dyDescent="0.25"/>
    <row r="4590" ht="15" x14ac:dyDescent="0.25"/>
    <row r="4591" ht="15" x14ac:dyDescent="0.25"/>
    <row r="4592" ht="15" x14ac:dyDescent="0.25"/>
    <row r="4593" ht="15" x14ac:dyDescent="0.25"/>
    <row r="4594" ht="15" x14ac:dyDescent="0.25"/>
    <row r="4595" ht="15" x14ac:dyDescent="0.25"/>
    <row r="4596" ht="15" x14ac:dyDescent="0.25"/>
    <row r="4597" ht="15" x14ac:dyDescent="0.25"/>
    <row r="4598" ht="15" x14ac:dyDescent="0.25"/>
    <row r="4599" ht="15" x14ac:dyDescent="0.25"/>
    <row r="4600" ht="15" x14ac:dyDescent="0.25"/>
    <row r="4601" ht="15" x14ac:dyDescent="0.25"/>
    <row r="4602" ht="15" x14ac:dyDescent="0.25"/>
    <row r="4603" ht="15" x14ac:dyDescent="0.25"/>
    <row r="4604" ht="15" x14ac:dyDescent="0.25"/>
    <row r="4605" ht="15" x14ac:dyDescent="0.25"/>
    <row r="4606" ht="15" x14ac:dyDescent="0.25"/>
    <row r="4607" ht="15" x14ac:dyDescent="0.25"/>
    <row r="4608" ht="15" x14ac:dyDescent="0.25"/>
    <row r="4609" ht="15" x14ac:dyDescent="0.25"/>
    <row r="4610" ht="15" x14ac:dyDescent="0.25"/>
    <row r="4611" ht="15" x14ac:dyDescent="0.25"/>
    <row r="4612" ht="15" x14ac:dyDescent="0.25"/>
    <row r="4613" ht="15" x14ac:dyDescent="0.25"/>
    <row r="4614" ht="15" x14ac:dyDescent="0.25"/>
    <row r="4615" ht="15" x14ac:dyDescent="0.25"/>
    <row r="4616" ht="15" x14ac:dyDescent="0.25"/>
    <row r="4617" ht="15" x14ac:dyDescent="0.25"/>
    <row r="4618" ht="15" x14ac:dyDescent="0.25"/>
    <row r="4619" ht="15" x14ac:dyDescent="0.25"/>
    <row r="4620" ht="15" x14ac:dyDescent="0.25"/>
    <row r="4621" ht="15" x14ac:dyDescent="0.25"/>
    <row r="4622" ht="15" x14ac:dyDescent="0.25"/>
    <row r="4623" ht="15" x14ac:dyDescent="0.25"/>
    <row r="4624" ht="15" x14ac:dyDescent="0.25"/>
    <row r="4625" ht="15" x14ac:dyDescent="0.25"/>
    <row r="4626" ht="15" x14ac:dyDescent="0.25"/>
    <row r="4627" ht="15" x14ac:dyDescent="0.25"/>
    <row r="4628" ht="15" x14ac:dyDescent="0.25"/>
    <row r="4629" ht="15" x14ac:dyDescent="0.25"/>
    <row r="4630" ht="15" x14ac:dyDescent="0.25"/>
    <row r="4631" ht="15" x14ac:dyDescent="0.25"/>
    <row r="4632" ht="15" x14ac:dyDescent="0.25"/>
    <row r="4633" ht="15" x14ac:dyDescent="0.25"/>
    <row r="4634" ht="15" x14ac:dyDescent="0.25"/>
    <row r="4635" ht="15" x14ac:dyDescent="0.25"/>
    <row r="4636" ht="15" x14ac:dyDescent="0.25"/>
    <row r="4637" ht="15" x14ac:dyDescent="0.25"/>
    <row r="4638" ht="15" x14ac:dyDescent="0.25"/>
    <row r="4639" ht="15" x14ac:dyDescent="0.25"/>
    <row r="4640" ht="15" x14ac:dyDescent="0.25"/>
    <row r="4641" ht="15" x14ac:dyDescent="0.25"/>
    <row r="4642" ht="15" x14ac:dyDescent="0.25"/>
    <row r="4643" ht="15" x14ac:dyDescent="0.25"/>
    <row r="4644" ht="15" x14ac:dyDescent="0.25"/>
    <row r="4645" ht="15" x14ac:dyDescent="0.25"/>
    <row r="4646" ht="15" x14ac:dyDescent="0.25"/>
    <row r="4647" ht="15" x14ac:dyDescent="0.25"/>
    <row r="4648" ht="15" x14ac:dyDescent="0.25"/>
    <row r="4649" ht="15" x14ac:dyDescent="0.25"/>
    <row r="4650" ht="15" x14ac:dyDescent="0.25"/>
    <row r="4651" ht="15" x14ac:dyDescent="0.25"/>
    <row r="4652" ht="15" x14ac:dyDescent="0.25"/>
    <row r="4653" ht="15" x14ac:dyDescent="0.25"/>
    <row r="4654" ht="15" x14ac:dyDescent="0.25"/>
    <row r="4655" ht="15" x14ac:dyDescent="0.25"/>
  </sheetData>
  <sortState ref="A713:AH1137">
    <sortCondition sortBy="cellColor" ref="E713:E1137" dxfId="0"/>
  </sortState>
  <mergeCells count="2">
    <mergeCell ref="A12:E12"/>
    <mergeCell ref="B13:C13"/>
  </mergeCells>
  <pageMargins left="0.75" right="0.75" top="1" bottom="1" header="0.5" footer="0.5"/>
  <pageSetup scale="75" orientation="landscape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480"/>
  <sheetViews>
    <sheetView topLeftCell="A37" workbookViewId="0">
      <selection activeCell="C54" sqref="C54"/>
    </sheetView>
  </sheetViews>
  <sheetFormatPr defaultRowHeight="15" x14ac:dyDescent="0.25"/>
  <cols>
    <col min="1" max="1" width="11.85546875" bestFit="1" customWidth="1"/>
    <col min="2" max="2" width="10" bestFit="1" customWidth="1"/>
    <col min="3" max="3" width="31.7109375" bestFit="1" customWidth="1"/>
    <col min="4" max="4" width="21.140625" bestFit="1" customWidth="1"/>
    <col min="5" max="5" width="14.85546875" bestFit="1" customWidth="1"/>
    <col min="6" max="6" width="27" customWidth="1"/>
    <col min="7" max="7" width="9" customWidth="1"/>
    <col min="8" max="8" width="10.85546875" bestFit="1" customWidth="1"/>
    <col min="9" max="9" width="10.28515625" bestFit="1" customWidth="1"/>
    <col min="10" max="10" width="11.7109375" style="465" bestFit="1" customWidth="1"/>
    <col min="11" max="12" width="14.85546875" customWidth="1"/>
    <col min="13" max="13" width="13.5703125" customWidth="1"/>
    <col min="14" max="14" width="13.140625" customWidth="1"/>
    <col min="15" max="15" width="12.42578125" customWidth="1"/>
    <col min="16" max="16" width="4.5703125" customWidth="1"/>
    <col min="17" max="17" width="6.28515625" customWidth="1"/>
    <col min="18" max="18" width="4.42578125" customWidth="1"/>
    <col min="19" max="19" width="12.85546875" customWidth="1"/>
    <col min="20" max="20" width="4" customWidth="1"/>
    <col min="21" max="21" width="18.28515625" customWidth="1"/>
    <col min="22" max="22" width="10.7109375" customWidth="1"/>
    <col min="23" max="23" width="12.85546875" customWidth="1"/>
    <col min="24" max="24" width="11.42578125" customWidth="1"/>
    <col min="25" max="25" width="9.7109375" bestFit="1" customWidth="1"/>
    <col min="26" max="26" width="11" bestFit="1" customWidth="1"/>
    <col min="27" max="27" width="15.42578125" bestFit="1" customWidth="1"/>
    <col min="28" max="28" width="11.28515625" customWidth="1"/>
    <col min="29" max="29" width="7.7109375" customWidth="1"/>
    <col min="30" max="30" width="14.85546875" customWidth="1"/>
    <col min="31" max="31" width="14.42578125" customWidth="1"/>
    <col min="32" max="32" width="7.85546875" customWidth="1"/>
    <col min="33" max="33" width="8.140625" customWidth="1"/>
    <col min="34" max="34" width="14.42578125" customWidth="1"/>
    <col min="35" max="35" width="9.28515625" bestFit="1" customWidth="1"/>
  </cols>
  <sheetData>
    <row r="1" spans="1:35" ht="44.25" customHeight="1" thickBot="1" x14ac:dyDescent="0.3">
      <c r="A1" s="1161"/>
      <c r="B1" s="1157"/>
      <c r="C1" s="1157"/>
      <c r="D1" s="1157"/>
      <c r="E1" s="1158"/>
      <c r="F1" s="91"/>
      <c r="G1" s="90" t="s">
        <v>0</v>
      </c>
      <c r="H1" s="313" t="s">
        <v>149</v>
      </c>
      <c r="I1" s="313" t="s">
        <v>150</v>
      </c>
      <c r="J1" s="463" t="s">
        <v>238</v>
      </c>
      <c r="K1" s="90" t="s">
        <v>151</v>
      </c>
      <c r="L1" s="90" t="s">
        <v>152</v>
      </c>
      <c r="M1" s="90" t="s">
        <v>153</v>
      </c>
      <c r="N1" s="90" t="s">
        <v>9</v>
      </c>
      <c r="O1" s="90" t="s">
        <v>4</v>
      </c>
      <c r="P1" s="90" t="s">
        <v>3</v>
      </c>
      <c r="Q1" s="90" t="s">
        <v>5</v>
      </c>
      <c r="R1" s="90" t="s">
        <v>7</v>
      </c>
      <c r="S1" s="90" t="s">
        <v>643</v>
      </c>
      <c r="T1" s="90" t="s">
        <v>6</v>
      </c>
      <c r="U1" s="90" t="s">
        <v>739</v>
      </c>
      <c r="V1" s="90" t="s">
        <v>8</v>
      </c>
      <c r="W1" s="90" t="s">
        <v>1</v>
      </c>
      <c r="X1" s="90" t="s">
        <v>645</v>
      </c>
      <c r="Y1" s="90" t="s">
        <v>695</v>
      </c>
      <c r="Z1" s="90" t="s">
        <v>522</v>
      </c>
      <c r="AA1" s="90" t="s">
        <v>740</v>
      </c>
      <c r="AB1" s="90" t="s">
        <v>154</v>
      </c>
      <c r="AC1" s="90" t="s">
        <v>647</v>
      </c>
      <c r="AD1" s="90" t="s">
        <v>155</v>
      </c>
      <c r="AE1" s="90" t="s">
        <v>156</v>
      </c>
      <c r="AF1" s="90" t="s">
        <v>157</v>
      </c>
      <c r="AG1" s="90" t="s">
        <v>158</v>
      </c>
      <c r="AH1" s="90" t="s">
        <v>159</v>
      </c>
      <c r="AI1" s="90" t="s">
        <v>160</v>
      </c>
    </row>
    <row r="2" spans="1:35" ht="15.75" thickBot="1" x14ac:dyDescent="0.3">
      <c r="A2" s="90" t="s">
        <v>161</v>
      </c>
      <c r="B2" s="1159" t="s">
        <v>12</v>
      </c>
      <c r="C2" s="1160"/>
      <c r="D2" s="90" t="s">
        <v>11</v>
      </c>
      <c r="E2" s="90" t="s">
        <v>523</v>
      </c>
      <c r="F2" s="90" t="s">
        <v>741</v>
      </c>
      <c r="G2" s="91"/>
      <c r="H2" s="313" t="s">
        <v>14</v>
      </c>
      <c r="I2" s="313" t="s">
        <v>14</v>
      </c>
      <c r="J2" s="463" t="s">
        <v>14</v>
      </c>
      <c r="K2" s="312"/>
      <c r="L2" s="312"/>
      <c r="M2" s="312"/>
      <c r="N2" s="312"/>
      <c r="O2" s="312"/>
      <c r="P2" s="312"/>
      <c r="Q2" s="91" t="s">
        <v>15</v>
      </c>
      <c r="R2" s="312"/>
      <c r="S2" s="91" t="s">
        <v>15</v>
      </c>
      <c r="T2" s="312"/>
      <c r="U2" s="312"/>
      <c r="V2" s="312"/>
      <c r="W2" s="91" t="s">
        <v>15</v>
      </c>
      <c r="X2" s="91" t="s">
        <v>15</v>
      </c>
      <c r="Y2" s="91" t="s">
        <v>15</v>
      </c>
      <c r="Z2" s="312"/>
      <c r="AA2" s="312"/>
      <c r="AB2" s="91" t="s">
        <v>15</v>
      </c>
      <c r="AC2" s="312"/>
      <c r="AD2" s="91" t="s">
        <v>15</v>
      </c>
      <c r="AE2" s="91" t="s">
        <v>15</v>
      </c>
      <c r="AF2" s="91" t="s">
        <v>15</v>
      </c>
      <c r="AG2" s="312"/>
      <c r="AH2" s="91" t="s">
        <v>15</v>
      </c>
      <c r="AI2" s="91" t="s">
        <v>15</v>
      </c>
    </row>
    <row r="3" spans="1:35" ht="15.75" thickBot="1" x14ac:dyDescent="0.3">
      <c r="A3" s="90" t="s">
        <v>869</v>
      </c>
      <c r="B3" s="90" t="s">
        <v>50</v>
      </c>
      <c r="C3" s="90" t="s">
        <v>881</v>
      </c>
      <c r="D3" s="90" t="s">
        <v>661</v>
      </c>
      <c r="E3" s="90" t="s">
        <v>198</v>
      </c>
      <c r="F3" s="90" t="s">
        <v>743</v>
      </c>
      <c r="G3" s="304">
        <v>8</v>
      </c>
      <c r="H3" s="92"/>
      <c r="I3" s="92"/>
      <c r="J3" s="464">
        <f t="shared" ref="J3:J17" si="0">H3+I3</f>
        <v>0</v>
      </c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3">
        <v>4.72</v>
      </c>
      <c r="AG3" s="92"/>
      <c r="AH3" s="93">
        <v>291.72000000000003</v>
      </c>
      <c r="AI3" s="306">
        <v>287</v>
      </c>
    </row>
    <row r="4" spans="1:35" ht="15.75" thickBot="1" x14ac:dyDescent="0.3">
      <c r="A4" s="90" t="s">
        <v>869</v>
      </c>
      <c r="B4" s="90" t="s">
        <v>50</v>
      </c>
      <c r="C4" s="90" t="s">
        <v>881</v>
      </c>
      <c r="D4" s="90" t="s">
        <v>661</v>
      </c>
      <c r="E4" s="90" t="s">
        <v>726</v>
      </c>
      <c r="F4" s="90" t="s">
        <v>685</v>
      </c>
      <c r="G4" s="305">
        <v>5</v>
      </c>
      <c r="H4" s="94"/>
      <c r="I4" s="94"/>
      <c r="J4" s="464">
        <f t="shared" si="0"/>
        <v>0</v>
      </c>
      <c r="K4" s="94"/>
      <c r="L4" s="94"/>
      <c r="M4" s="94"/>
      <c r="N4" s="95">
        <v>311.18</v>
      </c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5">
        <v>8.94</v>
      </c>
      <c r="AG4" s="94"/>
      <c r="AH4" s="95">
        <v>320.12</v>
      </c>
      <c r="AI4" s="95">
        <v>0</v>
      </c>
    </row>
    <row r="5" spans="1:35" ht="15.75" thickBot="1" x14ac:dyDescent="0.3">
      <c r="A5" s="90" t="s">
        <v>869</v>
      </c>
      <c r="B5" s="90" t="s">
        <v>50</v>
      </c>
      <c r="C5" s="90" t="s">
        <v>881</v>
      </c>
      <c r="D5" s="90" t="s">
        <v>661</v>
      </c>
      <c r="E5" s="90" t="s">
        <v>518</v>
      </c>
      <c r="F5" s="90" t="s">
        <v>522</v>
      </c>
      <c r="G5" s="304">
        <v>8</v>
      </c>
      <c r="H5" s="93">
        <v>531511</v>
      </c>
      <c r="I5" s="92"/>
      <c r="J5" s="464">
        <f t="shared" si="0"/>
        <v>531511</v>
      </c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3">
        <v>375.82</v>
      </c>
      <c r="AG5" s="92"/>
      <c r="AH5" s="93">
        <v>23241.41</v>
      </c>
      <c r="AI5" s="306">
        <v>22865.59</v>
      </c>
    </row>
    <row r="6" spans="1:35" ht="15.75" thickBot="1" x14ac:dyDescent="0.3">
      <c r="A6" s="90" t="s">
        <v>869</v>
      </c>
      <c r="B6" s="90" t="s">
        <v>50</v>
      </c>
      <c r="C6" s="90" t="s">
        <v>881</v>
      </c>
      <c r="D6" s="90" t="s">
        <v>661</v>
      </c>
      <c r="E6" s="90" t="s">
        <v>524</v>
      </c>
      <c r="F6" s="90" t="s">
        <v>746</v>
      </c>
      <c r="G6" s="305">
        <v>8</v>
      </c>
      <c r="H6" s="94"/>
      <c r="I6" s="94"/>
      <c r="J6" s="464">
        <f t="shared" si="0"/>
        <v>0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5">
        <v>4400</v>
      </c>
      <c r="AE6" s="94"/>
      <c r="AF6" s="95">
        <v>65.98</v>
      </c>
      <c r="AG6" s="94"/>
      <c r="AH6" s="95">
        <v>4465.9799999999996</v>
      </c>
      <c r="AI6" s="95">
        <v>0</v>
      </c>
    </row>
    <row r="7" spans="1:35" ht="15.75" thickBot="1" x14ac:dyDescent="0.3">
      <c r="A7" s="90" t="s">
        <v>869</v>
      </c>
      <c r="B7" s="90" t="s">
        <v>50</v>
      </c>
      <c r="C7" s="90" t="s">
        <v>881</v>
      </c>
      <c r="D7" s="90" t="s">
        <v>662</v>
      </c>
      <c r="E7" s="90" t="s">
        <v>198</v>
      </c>
      <c r="F7" s="90" t="s">
        <v>742</v>
      </c>
      <c r="G7" s="305">
        <v>1</v>
      </c>
      <c r="H7" s="94"/>
      <c r="I7" s="94"/>
      <c r="J7" s="464">
        <f t="shared" si="0"/>
        <v>0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5">
        <v>0</v>
      </c>
      <c r="AG7" s="94"/>
      <c r="AH7" s="95">
        <v>0.02</v>
      </c>
      <c r="AI7" s="306">
        <v>0.02</v>
      </c>
    </row>
    <row r="8" spans="1:35" ht="15.75" thickBot="1" x14ac:dyDescent="0.3">
      <c r="A8" s="90" t="s">
        <v>869</v>
      </c>
      <c r="B8" s="90" t="s">
        <v>50</v>
      </c>
      <c r="C8" s="90" t="s">
        <v>881</v>
      </c>
      <c r="D8" s="90" t="s">
        <v>662</v>
      </c>
      <c r="E8" s="90" t="s">
        <v>198</v>
      </c>
      <c r="F8" s="90" t="s">
        <v>743</v>
      </c>
      <c r="G8" s="304">
        <v>2</v>
      </c>
      <c r="H8" s="92"/>
      <c r="I8" s="92"/>
      <c r="J8" s="464">
        <f t="shared" si="0"/>
        <v>0</v>
      </c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3">
        <v>2.4700000000000002</v>
      </c>
      <c r="AG8" s="92"/>
      <c r="AH8" s="93">
        <v>106.35</v>
      </c>
      <c r="AI8" s="306">
        <v>103.88</v>
      </c>
    </row>
    <row r="9" spans="1:35" ht="15.75" thickBot="1" x14ac:dyDescent="0.3">
      <c r="A9" s="90" t="s">
        <v>869</v>
      </c>
      <c r="B9" s="90" t="s">
        <v>50</v>
      </c>
      <c r="C9" s="90" t="s">
        <v>881</v>
      </c>
      <c r="D9" s="90" t="s">
        <v>662</v>
      </c>
      <c r="E9" s="90" t="s">
        <v>726</v>
      </c>
      <c r="F9" s="90" t="s">
        <v>685</v>
      </c>
      <c r="G9" s="304">
        <v>1</v>
      </c>
      <c r="H9" s="92"/>
      <c r="I9" s="92"/>
      <c r="J9" s="464">
        <f t="shared" si="0"/>
        <v>0</v>
      </c>
      <c r="K9" s="92"/>
      <c r="L9" s="92"/>
      <c r="M9" s="92"/>
      <c r="N9" s="93">
        <v>46.2</v>
      </c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3">
        <v>0</v>
      </c>
      <c r="AG9" s="92"/>
      <c r="AH9" s="93">
        <v>46.2</v>
      </c>
      <c r="AI9" s="93">
        <v>0</v>
      </c>
    </row>
    <row r="10" spans="1:35" ht="15.75" thickBot="1" x14ac:dyDescent="0.3">
      <c r="A10" s="90" t="s">
        <v>869</v>
      </c>
      <c r="B10" s="90" t="s">
        <v>50</v>
      </c>
      <c r="C10" s="90" t="s">
        <v>881</v>
      </c>
      <c r="D10" s="90" t="s">
        <v>662</v>
      </c>
      <c r="E10" s="90" t="s">
        <v>525</v>
      </c>
      <c r="F10" s="90" t="s">
        <v>750</v>
      </c>
      <c r="G10" s="305">
        <v>1</v>
      </c>
      <c r="H10" s="94"/>
      <c r="I10" s="94"/>
      <c r="J10" s="464">
        <f t="shared" si="0"/>
        <v>0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5">
        <v>10.18</v>
      </c>
      <c r="AC10" s="94"/>
      <c r="AD10" s="94"/>
      <c r="AE10" s="94"/>
      <c r="AF10" s="95">
        <v>0.31</v>
      </c>
      <c r="AG10" s="94"/>
      <c r="AH10" s="95">
        <v>10.49</v>
      </c>
      <c r="AI10" s="95">
        <v>0</v>
      </c>
    </row>
    <row r="11" spans="1:35" ht="15.75" thickBot="1" x14ac:dyDescent="0.3">
      <c r="A11" s="90" t="s">
        <v>869</v>
      </c>
      <c r="B11" s="90" t="s">
        <v>50</v>
      </c>
      <c r="C11" s="90" t="s">
        <v>881</v>
      </c>
      <c r="D11" s="90" t="s">
        <v>662</v>
      </c>
      <c r="E11" s="90" t="s">
        <v>518</v>
      </c>
      <c r="F11" s="90" t="s">
        <v>526</v>
      </c>
      <c r="G11" s="304">
        <v>1</v>
      </c>
      <c r="H11" s="93">
        <v>43</v>
      </c>
      <c r="I11" s="92"/>
      <c r="J11" s="464">
        <f t="shared" si="0"/>
        <v>43</v>
      </c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3">
        <v>0.06</v>
      </c>
      <c r="AG11" s="92"/>
      <c r="AH11" s="93">
        <v>1.91</v>
      </c>
      <c r="AI11" s="306">
        <v>1.85</v>
      </c>
    </row>
    <row r="12" spans="1:35" ht="15.75" thickBot="1" x14ac:dyDescent="0.3">
      <c r="A12" s="90" t="s">
        <v>869</v>
      </c>
      <c r="B12" s="90" t="s">
        <v>50</v>
      </c>
      <c r="C12" s="90" t="s">
        <v>881</v>
      </c>
      <c r="D12" s="90" t="s">
        <v>662</v>
      </c>
      <c r="E12" s="90" t="s">
        <v>518</v>
      </c>
      <c r="F12" s="90" t="s">
        <v>522</v>
      </c>
      <c r="G12" s="305">
        <v>2</v>
      </c>
      <c r="H12" s="95">
        <v>192374</v>
      </c>
      <c r="I12" s="94"/>
      <c r="J12" s="464">
        <f t="shared" si="0"/>
        <v>192374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5">
        <v>196.84</v>
      </c>
      <c r="AG12" s="94"/>
      <c r="AH12" s="95">
        <v>8472.77</v>
      </c>
      <c r="AI12" s="306">
        <v>8275.93</v>
      </c>
    </row>
    <row r="13" spans="1:35" ht="15.75" thickBot="1" x14ac:dyDescent="0.3">
      <c r="A13" s="90" t="s">
        <v>869</v>
      </c>
      <c r="B13" s="90" t="s">
        <v>50</v>
      </c>
      <c r="C13" s="90" t="s">
        <v>881</v>
      </c>
      <c r="D13" s="90" t="s">
        <v>662</v>
      </c>
      <c r="E13" s="90" t="s">
        <v>527</v>
      </c>
      <c r="F13" s="90" t="s">
        <v>744</v>
      </c>
      <c r="G13" s="305">
        <v>1</v>
      </c>
      <c r="H13" s="94"/>
      <c r="I13" s="94"/>
      <c r="J13" s="464">
        <f t="shared" si="0"/>
        <v>0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5">
        <v>-4.9000000000000004</v>
      </c>
      <c r="AG13" s="94"/>
      <c r="AH13" s="95">
        <v>-168.17</v>
      </c>
      <c r="AI13" s="306">
        <v>-163.27000000000001</v>
      </c>
    </row>
    <row r="14" spans="1:35" ht="15.75" thickBot="1" x14ac:dyDescent="0.3">
      <c r="A14" s="90" t="s">
        <v>869</v>
      </c>
      <c r="B14" s="90" t="s">
        <v>50</v>
      </c>
      <c r="C14" s="90" t="s">
        <v>881</v>
      </c>
      <c r="D14" s="90" t="s">
        <v>662</v>
      </c>
      <c r="E14" s="90" t="s">
        <v>671</v>
      </c>
      <c r="F14" s="90" t="s">
        <v>703</v>
      </c>
      <c r="G14" s="304">
        <v>1</v>
      </c>
      <c r="H14" s="92"/>
      <c r="I14" s="92"/>
      <c r="J14" s="464">
        <f t="shared" si="0"/>
        <v>0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3">
        <v>23.88</v>
      </c>
      <c r="Y14" s="92"/>
      <c r="Z14" s="92"/>
      <c r="AA14" s="92"/>
      <c r="AB14" s="92"/>
      <c r="AC14" s="92"/>
      <c r="AD14" s="92"/>
      <c r="AE14" s="92"/>
      <c r="AF14" s="93">
        <v>0</v>
      </c>
      <c r="AG14" s="92"/>
      <c r="AH14" s="93">
        <v>23.88</v>
      </c>
      <c r="AI14" s="93">
        <v>0</v>
      </c>
    </row>
    <row r="15" spans="1:35" ht="15.75" thickBot="1" x14ac:dyDescent="0.3">
      <c r="A15" s="90" t="s">
        <v>869</v>
      </c>
      <c r="B15" s="90" t="s">
        <v>50</v>
      </c>
      <c r="C15" s="90" t="s">
        <v>881</v>
      </c>
      <c r="D15" s="90" t="s">
        <v>662</v>
      </c>
      <c r="E15" s="90" t="s">
        <v>524</v>
      </c>
      <c r="F15" s="90" t="s">
        <v>746</v>
      </c>
      <c r="G15" s="305">
        <v>2</v>
      </c>
      <c r="H15" s="94"/>
      <c r="I15" s="94"/>
      <c r="J15" s="464">
        <f t="shared" si="0"/>
        <v>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5">
        <v>1100</v>
      </c>
      <c r="AE15" s="94"/>
      <c r="AF15" s="95">
        <v>16.489999999999998</v>
      </c>
      <c r="AG15" s="94"/>
      <c r="AH15" s="95">
        <v>1116.49</v>
      </c>
      <c r="AI15" s="95">
        <v>0</v>
      </c>
    </row>
    <row r="16" spans="1:35" ht="15.75" thickBot="1" x14ac:dyDescent="0.3">
      <c r="A16" s="90" t="s">
        <v>869</v>
      </c>
      <c r="B16" s="90" t="s">
        <v>50</v>
      </c>
      <c r="C16" s="90" t="s">
        <v>881</v>
      </c>
      <c r="D16" s="90" t="s">
        <v>662</v>
      </c>
      <c r="E16" s="90" t="s">
        <v>676</v>
      </c>
      <c r="F16" s="90" t="s">
        <v>748</v>
      </c>
      <c r="G16" s="304">
        <v>1</v>
      </c>
      <c r="H16" s="92"/>
      <c r="I16" s="92"/>
      <c r="J16" s="464">
        <f t="shared" si="0"/>
        <v>0</v>
      </c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3">
        <v>58.59</v>
      </c>
      <c r="AF16" s="93">
        <v>1.76</v>
      </c>
      <c r="AG16" s="92"/>
      <c r="AH16" s="93">
        <v>60.35</v>
      </c>
      <c r="AI16" s="93">
        <v>0</v>
      </c>
    </row>
    <row r="17" spans="1:35" ht="15.75" thickBot="1" x14ac:dyDescent="0.3">
      <c r="A17" s="90" t="s">
        <v>869</v>
      </c>
      <c r="B17" s="90" t="s">
        <v>50</v>
      </c>
      <c r="C17" s="90" t="s">
        <v>881</v>
      </c>
      <c r="D17" s="90" t="s">
        <v>662</v>
      </c>
      <c r="E17" s="90" t="s">
        <v>677</v>
      </c>
      <c r="F17" s="90" t="s">
        <v>749</v>
      </c>
      <c r="G17" s="305">
        <v>1</v>
      </c>
      <c r="H17" s="94"/>
      <c r="I17" s="94"/>
      <c r="J17" s="464">
        <f t="shared" si="0"/>
        <v>0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5">
        <v>1.94</v>
      </c>
      <c r="AG17" s="94"/>
      <c r="AH17" s="95">
        <v>66.55</v>
      </c>
      <c r="AI17" s="306">
        <v>64.61</v>
      </c>
    </row>
    <row r="18" spans="1:35" ht="15.75" thickBot="1" x14ac:dyDescent="0.3">
      <c r="A18" s="90" t="s">
        <v>869</v>
      </c>
      <c r="B18" s="90" t="s">
        <v>52</v>
      </c>
      <c r="C18" s="90" t="s">
        <v>882</v>
      </c>
      <c r="D18" s="90" t="s">
        <v>663</v>
      </c>
      <c r="E18" s="90" t="s">
        <v>726</v>
      </c>
      <c r="F18" s="90" t="s">
        <v>685</v>
      </c>
      <c r="G18" s="304">
        <v>45</v>
      </c>
      <c r="H18" s="92"/>
      <c r="I18" s="92"/>
      <c r="J18" s="464">
        <f t="shared" ref="J18:J76" si="1">H18+I18</f>
        <v>0</v>
      </c>
      <c r="K18" s="92"/>
      <c r="L18" s="92"/>
      <c r="M18" s="92"/>
      <c r="N18" s="93">
        <v>9321.4500000000007</v>
      </c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3">
        <v>495.54</v>
      </c>
      <c r="AG18" s="92"/>
      <c r="AH18" s="93">
        <v>9816.99</v>
      </c>
      <c r="AI18" s="93">
        <v>0</v>
      </c>
    </row>
    <row r="19" spans="1:35" ht="15.75" thickBot="1" x14ac:dyDescent="0.3">
      <c r="A19" s="90" t="s">
        <v>869</v>
      </c>
      <c r="B19" s="90" t="s">
        <v>52</v>
      </c>
      <c r="C19" s="90" t="s">
        <v>882</v>
      </c>
      <c r="D19" s="90" t="s">
        <v>663</v>
      </c>
      <c r="E19" s="90" t="s">
        <v>729</v>
      </c>
      <c r="F19" s="90" t="s">
        <v>947</v>
      </c>
      <c r="G19" s="305">
        <v>2</v>
      </c>
      <c r="H19" s="94"/>
      <c r="I19" s="94"/>
      <c r="J19" s="464">
        <f t="shared" si="1"/>
        <v>0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5">
        <v>-110.9</v>
      </c>
      <c r="Z19" s="94"/>
      <c r="AA19" s="94"/>
      <c r="AB19" s="94"/>
      <c r="AC19" s="94"/>
      <c r="AD19" s="94"/>
      <c r="AE19" s="94"/>
      <c r="AF19" s="95">
        <v>-2.4900000000000002</v>
      </c>
      <c r="AG19" s="94"/>
      <c r="AH19" s="95">
        <v>-113.39</v>
      </c>
      <c r="AI19" s="95">
        <v>0</v>
      </c>
    </row>
    <row r="20" spans="1:35" ht="15.75" thickBot="1" x14ac:dyDescent="0.3">
      <c r="A20" s="90" t="s">
        <v>869</v>
      </c>
      <c r="B20" s="90" t="s">
        <v>52</v>
      </c>
      <c r="C20" s="90" t="s">
        <v>882</v>
      </c>
      <c r="D20" s="90" t="s">
        <v>663</v>
      </c>
      <c r="E20" s="90" t="s">
        <v>525</v>
      </c>
      <c r="F20" s="90" t="s">
        <v>752</v>
      </c>
      <c r="G20" s="304">
        <v>1</v>
      </c>
      <c r="H20" s="92"/>
      <c r="I20" s="92"/>
      <c r="J20" s="464">
        <f t="shared" si="1"/>
        <v>0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3">
        <v>-40.159999999999997</v>
      </c>
      <c r="AG20" s="92"/>
      <c r="AH20" s="93">
        <v>-709.44</v>
      </c>
      <c r="AI20" s="306">
        <v>-669.28</v>
      </c>
    </row>
    <row r="21" spans="1:35" ht="15.75" thickBot="1" x14ac:dyDescent="0.3">
      <c r="A21" s="90" t="s">
        <v>869</v>
      </c>
      <c r="B21" s="90" t="s">
        <v>52</v>
      </c>
      <c r="C21" s="90" t="s">
        <v>882</v>
      </c>
      <c r="D21" s="90" t="s">
        <v>663</v>
      </c>
      <c r="E21" s="90" t="s">
        <v>525</v>
      </c>
      <c r="F21" s="90" t="s">
        <v>750</v>
      </c>
      <c r="G21" s="305">
        <v>1</v>
      </c>
      <c r="H21" s="94"/>
      <c r="I21" s="94"/>
      <c r="J21" s="464">
        <f t="shared" si="1"/>
        <v>0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5">
        <v>3068.62</v>
      </c>
      <c r="AC21" s="94"/>
      <c r="AD21" s="94"/>
      <c r="AE21" s="94"/>
      <c r="AF21" s="95">
        <v>184.12</v>
      </c>
      <c r="AG21" s="94"/>
      <c r="AH21" s="95">
        <v>3252.74</v>
      </c>
      <c r="AI21" s="95">
        <v>0</v>
      </c>
    </row>
    <row r="22" spans="1:35" ht="15.75" thickBot="1" x14ac:dyDescent="0.3">
      <c r="A22" s="90" t="s">
        <v>869</v>
      </c>
      <c r="B22" s="90" t="s">
        <v>52</v>
      </c>
      <c r="C22" s="90" t="s">
        <v>882</v>
      </c>
      <c r="D22" s="90" t="s">
        <v>663</v>
      </c>
      <c r="E22" s="90" t="s">
        <v>518</v>
      </c>
      <c r="F22" s="90" t="s">
        <v>526</v>
      </c>
      <c r="G22" s="305">
        <v>1</v>
      </c>
      <c r="H22" s="95">
        <v>12968</v>
      </c>
      <c r="I22" s="94"/>
      <c r="J22" s="464">
        <f t="shared" si="1"/>
        <v>12968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5">
        <v>33.47</v>
      </c>
      <c r="AG22" s="94"/>
      <c r="AH22" s="95">
        <v>591.35</v>
      </c>
      <c r="AI22" s="306">
        <v>557.88</v>
      </c>
    </row>
    <row r="23" spans="1:35" ht="15.75" thickBot="1" x14ac:dyDescent="0.3">
      <c r="A23" s="90" t="s">
        <v>869</v>
      </c>
      <c r="B23" s="90" t="s">
        <v>52</v>
      </c>
      <c r="C23" s="90" t="s">
        <v>882</v>
      </c>
      <c r="D23" s="90" t="s">
        <v>663</v>
      </c>
      <c r="E23" s="90" t="s">
        <v>518</v>
      </c>
      <c r="F23" s="90" t="s">
        <v>522</v>
      </c>
      <c r="G23" s="304">
        <v>63</v>
      </c>
      <c r="H23" s="93">
        <v>12269436</v>
      </c>
      <c r="I23" s="92"/>
      <c r="J23" s="464">
        <f t="shared" si="1"/>
        <v>12269436</v>
      </c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3">
        <v>26391.79</v>
      </c>
      <c r="AG23" s="92"/>
      <c r="AH23" s="93">
        <v>554222.93000000005</v>
      </c>
      <c r="AI23" s="306">
        <v>527831.14</v>
      </c>
    </row>
    <row r="24" spans="1:35" ht="15.75" thickBot="1" x14ac:dyDescent="0.3">
      <c r="A24" s="90" t="s">
        <v>869</v>
      </c>
      <c r="B24" s="90" t="s">
        <v>52</v>
      </c>
      <c r="C24" s="90" t="s">
        <v>882</v>
      </c>
      <c r="D24" s="90" t="s">
        <v>663</v>
      </c>
      <c r="E24" s="90" t="s">
        <v>527</v>
      </c>
      <c r="F24" s="90" t="s">
        <v>747</v>
      </c>
      <c r="G24" s="304">
        <v>1</v>
      </c>
      <c r="H24" s="92"/>
      <c r="I24" s="92"/>
      <c r="J24" s="464">
        <f t="shared" si="1"/>
        <v>0</v>
      </c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3">
        <v>-15.2</v>
      </c>
      <c r="AC24" s="92"/>
      <c r="AD24" s="92"/>
      <c r="AE24" s="92"/>
      <c r="AF24" s="93">
        <v>-0.91</v>
      </c>
      <c r="AG24" s="92"/>
      <c r="AH24" s="93">
        <v>-16.11</v>
      </c>
      <c r="AI24" s="93">
        <v>0</v>
      </c>
    </row>
    <row r="25" spans="1:35" ht="15.75" thickBot="1" x14ac:dyDescent="0.3">
      <c r="A25" s="90" t="s">
        <v>869</v>
      </c>
      <c r="B25" s="90" t="s">
        <v>52</v>
      </c>
      <c r="C25" s="90" t="s">
        <v>882</v>
      </c>
      <c r="D25" s="90" t="s">
        <v>663</v>
      </c>
      <c r="E25" s="90" t="s">
        <v>527</v>
      </c>
      <c r="F25" s="90" t="s">
        <v>744</v>
      </c>
      <c r="G25" s="305">
        <v>1</v>
      </c>
      <c r="H25" s="94"/>
      <c r="I25" s="94"/>
      <c r="J25" s="464">
        <f t="shared" si="1"/>
        <v>0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5">
        <v>-25.84</v>
      </c>
      <c r="AG25" s="94"/>
      <c r="AH25" s="95">
        <v>-456.51</v>
      </c>
      <c r="AI25" s="306">
        <v>-430.67</v>
      </c>
    </row>
    <row r="26" spans="1:35" ht="15.75" thickBot="1" x14ac:dyDescent="0.3">
      <c r="A26" s="90" t="s">
        <v>869</v>
      </c>
      <c r="B26" s="90" t="s">
        <v>52</v>
      </c>
      <c r="C26" s="90" t="s">
        <v>882</v>
      </c>
      <c r="D26" s="90" t="s">
        <v>663</v>
      </c>
      <c r="E26" s="90" t="s">
        <v>671</v>
      </c>
      <c r="F26" s="90" t="s">
        <v>703</v>
      </c>
      <c r="G26" s="305">
        <v>23</v>
      </c>
      <c r="H26" s="94"/>
      <c r="I26" s="94"/>
      <c r="J26" s="464">
        <f t="shared" si="1"/>
        <v>0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5">
        <v>1350.44</v>
      </c>
      <c r="Y26" s="94"/>
      <c r="Z26" s="94"/>
      <c r="AA26" s="94"/>
      <c r="AB26" s="94"/>
      <c r="AC26" s="94"/>
      <c r="AD26" s="94"/>
      <c r="AE26" s="94"/>
      <c r="AF26" s="95">
        <v>44.13</v>
      </c>
      <c r="AG26" s="94"/>
      <c r="AH26" s="95">
        <v>1394.57</v>
      </c>
      <c r="AI26" s="95">
        <v>0</v>
      </c>
    </row>
    <row r="27" spans="1:35" ht="15.75" thickBot="1" x14ac:dyDescent="0.3">
      <c r="A27" s="90" t="s">
        <v>869</v>
      </c>
      <c r="B27" s="90" t="s">
        <v>52</v>
      </c>
      <c r="C27" s="90" t="s">
        <v>882</v>
      </c>
      <c r="D27" s="90" t="s">
        <v>663</v>
      </c>
      <c r="E27" s="90" t="s">
        <v>672</v>
      </c>
      <c r="F27" s="90" t="s">
        <v>748</v>
      </c>
      <c r="G27" s="304">
        <v>1</v>
      </c>
      <c r="H27" s="92"/>
      <c r="I27" s="92"/>
      <c r="J27" s="464">
        <f t="shared" si="1"/>
        <v>0</v>
      </c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3">
        <v>405.11</v>
      </c>
      <c r="AG27" s="92"/>
      <c r="AH27" s="93">
        <v>7156.86</v>
      </c>
      <c r="AI27" s="306">
        <v>6751.75</v>
      </c>
    </row>
    <row r="28" spans="1:35" ht="15.75" thickBot="1" x14ac:dyDescent="0.3">
      <c r="A28" s="90" t="s">
        <v>869</v>
      </c>
      <c r="B28" s="90" t="s">
        <v>52</v>
      </c>
      <c r="C28" s="90" t="s">
        <v>882</v>
      </c>
      <c r="D28" s="90" t="s">
        <v>663</v>
      </c>
      <c r="E28" s="90" t="s">
        <v>524</v>
      </c>
      <c r="F28" s="90" t="s">
        <v>746</v>
      </c>
      <c r="G28" s="305">
        <v>63</v>
      </c>
      <c r="H28" s="94"/>
      <c r="I28" s="94"/>
      <c r="J28" s="464">
        <f t="shared" si="1"/>
        <v>0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5">
        <v>34650</v>
      </c>
      <c r="AE28" s="94"/>
      <c r="AF28" s="95">
        <v>1707.43</v>
      </c>
      <c r="AG28" s="94"/>
      <c r="AH28" s="95">
        <v>36357.43</v>
      </c>
      <c r="AI28" s="95">
        <v>0</v>
      </c>
    </row>
    <row r="29" spans="1:35" ht="15.75" thickBot="1" x14ac:dyDescent="0.3">
      <c r="A29" s="90" t="s">
        <v>869</v>
      </c>
      <c r="B29" s="90" t="s">
        <v>52</v>
      </c>
      <c r="C29" s="90" t="s">
        <v>882</v>
      </c>
      <c r="D29" s="90" t="s">
        <v>663</v>
      </c>
      <c r="E29" s="90" t="s">
        <v>676</v>
      </c>
      <c r="F29" s="90" t="s">
        <v>748</v>
      </c>
      <c r="G29" s="304">
        <v>2</v>
      </c>
      <c r="H29" s="92"/>
      <c r="I29" s="92"/>
      <c r="J29" s="464">
        <f t="shared" si="1"/>
        <v>0</v>
      </c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3">
        <v>567.20000000000005</v>
      </c>
      <c r="AF29" s="93">
        <v>34.03</v>
      </c>
      <c r="AG29" s="92"/>
      <c r="AH29" s="93">
        <v>601.23</v>
      </c>
      <c r="AI29" s="93">
        <v>0</v>
      </c>
    </row>
    <row r="30" spans="1:35" ht="15.75" thickBot="1" x14ac:dyDescent="0.3">
      <c r="A30" s="90" t="s">
        <v>869</v>
      </c>
      <c r="B30" s="90" t="s">
        <v>52</v>
      </c>
      <c r="C30" s="90" t="s">
        <v>882</v>
      </c>
      <c r="D30" s="90" t="s">
        <v>663</v>
      </c>
      <c r="E30" s="90" t="s">
        <v>677</v>
      </c>
      <c r="F30" s="90" t="s">
        <v>749</v>
      </c>
      <c r="G30" s="305">
        <v>2</v>
      </c>
      <c r="H30" s="94"/>
      <c r="I30" s="94"/>
      <c r="J30" s="464">
        <f t="shared" si="1"/>
        <v>0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5">
        <v>37.54</v>
      </c>
      <c r="AG30" s="94"/>
      <c r="AH30" s="95">
        <v>663.12</v>
      </c>
      <c r="AI30" s="306">
        <v>625.58000000000004</v>
      </c>
    </row>
    <row r="31" spans="1:35" ht="15.75" thickBot="1" x14ac:dyDescent="0.3">
      <c r="A31" s="90" t="s">
        <v>869</v>
      </c>
      <c r="B31" s="90" t="s">
        <v>52</v>
      </c>
      <c r="C31" s="90" t="s">
        <v>882</v>
      </c>
      <c r="D31" s="90" t="s">
        <v>662</v>
      </c>
      <c r="E31" s="90" t="s">
        <v>726</v>
      </c>
      <c r="F31" s="90" t="s">
        <v>685</v>
      </c>
      <c r="G31" s="305">
        <v>1</v>
      </c>
      <c r="H31" s="94"/>
      <c r="I31" s="94"/>
      <c r="J31" s="464">
        <f t="shared" si="1"/>
        <v>0</v>
      </c>
      <c r="K31" s="94"/>
      <c r="L31" s="94"/>
      <c r="M31" s="94"/>
      <c r="N31" s="95">
        <v>227.66</v>
      </c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5">
        <v>0</v>
      </c>
      <c r="AG31" s="94"/>
      <c r="AH31" s="95">
        <v>227.66</v>
      </c>
      <c r="AI31" s="95">
        <v>0</v>
      </c>
    </row>
    <row r="32" spans="1:35" ht="15.75" thickBot="1" x14ac:dyDescent="0.3">
      <c r="A32" s="90" t="s">
        <v>869</v>
      </c>
      <c r="B32" s="90" t="s">
        <v>52</v>
      </c>
      <c r="C32" s="90" t="s">
        <v>882</v>
      </c>
      <c r="D32" s="90" t="s">
        <v>662</v>
      </c>
      <c r="E32" s="90" t="s">
        <v>518</v>
      </c>
      <c r="F32" s="90" t="s">
        <v>522</v>
      </c>
      <c r="G32" s="304">
        <v>1</v>
      </c>
      <c r="H32" s="93">
        <v>251813</v>
      </c>
      <c r="I32" s="92"/>
      <c r="J32" s="464">
        <f t="shared" si="1"/>
        <v>251813</v>
      </c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3">
        <v>0</v>
      </c>
      <c r="AG32" s="92"/>
      <c r="AH32" s="93">
        <v>10833</v>
      </c>
      <c r="AI32" s="306">
        <v>10833</v>
      </c>
    </row>
    <row r="33" spans="1:35" ht="15.75" thickBot="1" x14ac:dyDescent="0.3">
      <c r="A33" s="90" t="s">
        <v>869</v>
      </c>
      <c r="B33" s="90" t="s">
        <v>52</v>
      </c>
      <c r="C33" s="90" t="s">
        <v>882</v>
      </c>
      <c r="D33" s="90" t="s">
        <v>662</v>
      </c>
      <c r="E33" s="90" t="s">
        <v>524</v>
      </c>
      <c r="F33" s="90" t="s">
        <v>746</v>
      </c>
      <c r="G33" s="305">
        <v>1</v>
      </c>
      <c r="H33" s="94"/>
      <c r="I33" s="94"/>
      <c r="J33" s="464">
        <f t="shared" si="1"/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5">
        <v>550</v>
      </c>
      <c r="AE33" s="94"/>
      <c r="AF33" s="95">
        <v>0</v>
      </c>
      <c r="AG33" s="94"/>
      <c r="AH33" s="95">
        <v>550</v>
      </c>
      <c r="AI33" s="95">
        <v>0</v>
      </c>
    </row>
    <row r="34" spans="1:35" ht="15.75" thickBot="1" x14ac:dyDescent="0.3">
      <c r="A34" s="90" t="s">
        <v>869</v>
      </c>
      <c r="B34" s="90" t="s">
        <v>54</v>
      </c>
      <c r="C34" s="90" t="s">
        <v>55</v>
      </c>
      <c r="D34" s="90" t="s">
        <v>663</v>
      </c>
      <c r="E34" s="90" t="s">
        <v>525</v>
      </c>
      <c r="F34" s="90" t="s">
        <v>752</v>
      </c>
      <c r="G34" s="304">
        <v>5</v>
      </c>
      <c r="H34" s="92"/>
      <c r="I34" s="92"/>
      <c r="J34" s="464">
        <f t="shared" si="1"/>
        <v>0</v>
      </c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3">
        <v>-39.32</v>
      </c>
      <c r="AG34" s="92"/>
      <c r="AH34" s="93">
        <v>-78111.31</v>
      </c>
      <c r="AI34" s="306">
        <v>-78071.990000000005</v>
      </c>
    </row>
    <row r="35" spans="1:35" ht="15.75" thickBot="1" x14ac:dyDescent="0.3">
      <c r="A35" s="90" t="s">
        <v>869</v>
      </c>
      <c r="B35" s="90" t="s">
        <v>54</v>
      </c>
      <c r="C35" s="90" t="s">
        <v>55</v>
      </c>
      <c r="D35" s="90" t="s">
        <v>663</v>
      </c>
      <c r="E35" s="90" t="s">
        <v>527</v>
      </c>
      <c r="F35" s="90" t="s">
        <v>747</v>
      </c>
      <c r="G35" s="305">
        <v>5</v>
      </c>
      <c r="H35" s="94"/>
      <c r="I35" s="94"/>
      <c r="J35" s="464">
        <f t="shared" si="1"/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5">
        <v>-12357.45</v>
      </c>
      <c r="AC35" s="94"/>
      <c r="AD35" s="94"/>
      <c r="AE35" s="94"/>
      <c r="AF35" s="95">
        <v>-245.16</v>
      </c>
      <c r="AG35" s="94"/>
      <c r="AH35" s="95">
        <v>-12602.61</v>
      </c>
      <c r="AI35" s="95">
        <v>0</v>
      </c>
    </row>
    <row r="36" spans="1:35" ht="15.75" thickBot="1" x14ac:dyDescent="0.3">
      <c r="A36" s="90" t="s">
        <v>869</v>
      </c>
      <c r="B36" s="90" t="s">
        <v>54</v>
      </c>
      <c r="C36" s="90" t="s">
        <v>55</v>
      </c>
      <c r="D36" s="90" t="s">
        <v>663</v>
      </c>
      <c r="E36" s="90" t="s">
        <v>672</v>
      </c>
      <c r="F36" s="90" t="s">
        <v>748</v>
      </c>
      <c r="G36" s="304">
        <v>1</v>
      </c>
      <c r="H36" s="92"/>
      <c r="I36" s="92"/>
      <c r="J36" s="464">
        <f t="shared" si="1"/>
        <v>0</v>
      </c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3">
        <v>0</v>
      </c>
      <c r="AG36" s="92"/>
      <c r="AH36" s="93">
        <v>33195.699999999997</v>
      </c>
      <c r="AI36" s="306">
        <v>33195.699999999997</v>
      </c>
    </row>
    <row r="37" spans="1:35" ht="15.75" thickBot="1" x14ac:dyDescent="0.3">
      <c r="A37" s="90" t="s">
        <v>869</v>
      </c>
      <c r="B37" s="90" t="s">
        <v>54</v>
      </c>
      <c r="C37" s="90" t="s">
        <v>55</v>
      </c>
      <c r="D37" s="90" t="s">
        <v>663</v>
      </c>
      <c r="E37" s="90" t="s">
        <v>524</v>
      </c>
      <c r="F37" s="90" t="s">
        <v>746</v>
      </c>
      <c r="G37" s="305">
        <v>5</v>
      </c>
      <c r="H37" s="94"/>
      <c r="I37" s="94"/>
      <c r="J37" s="464">
        <f t="shared" si="1"/>
        <v>0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5">
        <v>5325</v>
      </c>
      <c r="AE37" s="94"/>
      <c r="AF37" s="95">
        <v>9</v>
      </c>
      <c r="AG37" s="94"/>
      <c r="AH37" s="95">
        <v>5334</v>
      </c>
      <c r="AI37" s="95">
        <v>0</v>
      </c>
    </row>
    <row r="38" spans="1:35" ht="15.75" thickBot="1" x14ac:dyDescent="0.3">
      <c r="A38" s="90" t="s">
        <v>869</v>
      </c>
      <c r="B38" s="90" t="s">
        <v>54</v>
      </c>
      <c r="C38" s="90" t="s">
        <v>55</v>
      </c>
      <c r="D38" s="90" t="s">
        <v>663</v>
      </c>
      <c r="E38" s="90" t="s">
        <v>676</v>
      </c>
      <c r="F38" s="90" t="s">
        <v>748</v>
      </c>
      <c r="G38" s="304">
        <v>5</v>
      </c>
      <c r="H38" s="92"/>
      <c r="I38" s="92"/>
      <c r="J38" s="464">
        <f t="shared" si="1"/>
        <v>0</v>
      </c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3">
        <v>26934.48</v>
      </c>
      <c r="AF38" s="93">
        <v>1031.21</v>
      </c>
      <c r="AG38" s="92"/>
      <c r="AH38" s="93">
        <v>27965.69</v>
      </c>
      <c r="AI38" s="93">
        <v>0</v>
      </c>
    </row>
    <row r="39" spans="1:35" ht="15.75" thickBot="1" x14ac:dyDescent="0.3">
      <c r="A39" s="90" t="s">
        <v>869</v>
      </c>
      <c r="B39" s="90" t="s">
        <v>54</v>
      </c>
      <c r="C39" s="90" t="s">
        <v>55</v>
      </c>
      <c r="D39" s="90" t="s">
        <v>663</v>
      </c>
      <c r="E39" s="90" t="s">
        <v>677</v>
      </c>
      <c r="F39" s="90" t="s">
        <v>749</v>
      </c>
      <c r="G39" s="305">
        <v>5</v>
      </c>
      <c r="H39" s="94"/>
      <c r="I39" s="94"/>
      <c r="J39" s="464">
        <f t="shared" si="1"/>
        <v>0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5">
        <v>1137.31</v>
      </c>
      <c r="AG39" s="94"/>
      <c r="AH39" s="95">
        <v>30843.02</v>
      </c>
      <c r="AI39" s="306">
        <v>29705.71</v>
      </c>
    </row>
    <row r="40" spans="1:35" ht="15.75" thickBot="1" x14ac:dyDescent="0.3">
      <c r="A40" s="90" t="s">
        <v>869</v>
      </c>
      <c r="B40" s="90" t="s">
        <v>42</v>
      </c>
      <c r="C40" s="90" t="s">
        <v>884</v>
      </c>
      <c r="D40" s="90" t="s">
        <v>663</v>
      </c>
      <c r="E40" s="90" t="s">
        <v>726</v>
      </c>
      <c r="F40" s="90" t="s">
        <v>685</v>
      </c>
      <c r="G40" s="305">
        <v>3</v>
      </c>
      <c r="H40" s="94"/>
      <c r="I40" s="94"/>
      <c r="J40" s="464">
        <f t="shared" si="1"/>
        <v>0</v>
      </c>
      <c r="K40" s="94"/>
      <c r="L40" s="94"/>
      <c r="M40" s="94"/>
      <c r="N40" s="95">
        <v>391.78</v>
      </c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5">
        <v>9.6999999999999993</v>
      </c>
      <c r="AG40" s="94"/>
      <c r="AH40" s="95">
        <v>401.48</v>
      </c>
      <c r="AI40" s="95">
        <v>0</v>
      </c>
    </row>
    <row r="41" spans="1:35" ht="15.75" thickBot="1" x14ac:dyDescent="0.3">
      <c r="A41" s="90" t="s">
        <v>869</v>
      </c>
      <c r="B41" s="90" t="s">
        <v>42</v>
      </c>
      <c r="C41" s="90" t="s">
        <v>884</v>
      </c>
      <c r="D41" s="90" t="s">
        <v>663</v>
      </c>
      <c r="E41" s="90" t="s">
        <v>729</v>
      </c>
      <c r="F41" s="90" t="s">
        <v>947</v>
      </c>
      <c r="G41" s="304">
        <v>2</v>
      </c>
      <c r="H41" s="92"/>
      <c r="I41" s="92"/>
      <c r="J41" s="464">
        <f t="shared" si="1"/>
        <v>0</v>
      </c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3">
        <v>-994.51</v>
      </c>
      <c r="Z41" s="92"/>
      <c r="AA41" s="92"/>
      <c r="AB41" s="92"/>
      <c r="AC41" s="92"/>
      <c r="AD41" s="92"/>
      <c r="AE41" s="92"/>
      <c r="AF41" s="93">
        <v>-25.46</v>
      </c>
      <c r="AG41" s="92"/>
      <c r="AH41" s="93">
        <v>-1019.97</v>
      </c>
      <c r="AI41" s="93">
        <v>0</v>
      </c>
    </row>
    <row r="42" spans="1:35" ht="15.75" thickBot="1" x14ac:dyDescent="0.3">
      <c r="A42" s="90" t="s">
        <v>869</v>
      </c>
      <c r="B42" s="90" t="s">
        <v>42</v>
      </c>
      <c r="C42" s="90" t="s">
        <v>884</v>
      </c>
      <c r="D42" s="90" t="s">
        <v>663</v>
      </c>
      <c r="E42" s="90" t="s">
        <v>528</v>
      </c>
      <c r="F42" s="90" t="s">
        <v>751</v>
      </c>
      <c r="G42" s="305">
        <v>4</v>
      </c>
      <c r="H42" s="94"/>
      <c r="I42" s="94"/>
      <c r="J42" s="464">
        <f t="shared" si="1"/>
        <v>0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5">
        <v>16.2</v>
      </c>
      <c r="AG42" s="94"/>
      <c r="AH42" s="95">
        <v>736.2</v>
      </c>
      <c r="AI42" s="306">
        <v>720</v>
      </c>
    </row>
    <row r="43" spans="1:35" ht="15.75" thickBot="1" x14ac:dyDescent="0.3">
      <c r="A43" s="90" t="s">
        <v>869</v>
      </c>
      <c r="B43" s="90" t="s">
        <v>42</v>
      </c>
      <c r="C43" s="90" t="s">
        <v>884</v>
      </c>
      <c r="D43" s="90" t="s">
        <v>663</v>
      </c>
      <c r="E43" s="90" t="s">
        <v>518</v>
      </c>
      <c r="F43" s="90" t="s">
        <v>522</v>
      </c>
      <c r="G43" s="304">
        <v>3</v>
      </c>
      <c r="H43" s="93">
        <v>64271</v>
      </c>
      <c r="I43" s="92"/>
      <c r="J43" s="464">
        <f t="shared" si="1"/>
        <v>64271</v>
      </c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3">
        <v>382.41</v>
      </c>
      <c r="AG43" s="92"/>
      <c r="AH43" s="93">
        <v>15022.7</v>
      </c>
      <c r="AI43" s="306">
        <v>14640.29</v>
      </c>
    </row>
    <row r="44" spans="1:35" ht="15.75" thickBot="1" x14ac:dyDescent="0.3">
      <c r="A44" s="90" t="s">
        <v>869</v>
      </c>
      <c r="B44" s="90" t="s">
        <v>42</v>
      </c>
      <c r="C44" s="90" t="s">
        <v>884</v>
      </c>
      <c r="D44" s="90" t="s">
        <v>663</v>
      </c>
      <c r="E44" s="90" t="s">
        <v>673</v>
      </c>
      <c r="F44" s="90" t="s">
        <v>643</v>
      </c>
      <c r="G44" s="305">
        <v>4</v>
      </c>
      <c r="H44" s="94"/>
      <c r="I44" s="94"/>
      <c r="J44" s="464">
        <f t="shared" si="1"/>
        <v>0</v>
      </c>
      <c r="K44" s="94"/>
      <c r="L44" s="94"/>
      <c r="M44" s="94"/>
      <c r="N44" s="94"/>
      <c r="O44" s="94"/>
      <c r="P44" s="94"/>
      <c r="Q44" s="94"/>
      <c r="R44" s="94"/>
      <c r="S44" s="95">
        <v>980.32</v>
      </c>
      <c r="T44" s="94"/>
      <c r="U44" s="94"/>
      <c r="V44" s="94"/>
      <c r="W44" s="95">
        <v>980.32</v>
      </c>
      <c r="X44" s="94"/>
      <c r="Y44" s="94"/>
      <c r="Z44" s="94"/>
      <c r="AA44" s="94"/>
      <c r="AB44" s="94"/>
      <c r="AC44" s="94"/>
      <c r="AD44" s="94"/>
      <c r="AE44" s="94"/>
      <c r="AF44" s="95">
        <v>22.05</v>
      </c>
      <c r="AG44" s="94"/>
      <c r="AH44" s="95">
        <v>1002.37</v>
      </c>
      <c r="AI44" s="95">
        <v>0</v>
      </c>
    </row>
    <row r="45" spans="1:35" ht="15.75" thickBot="1" x14ac:dyDescent="0.3">
      <c r="A45" s="90" t="s">
        <v>869</v>
      </c>
      <c r="B45" s="90" t="s">
        <v>42</v>
      </c>
      <c r="C45" s="90" t="s">
        <v>884</v>
      </c>
      <c r="D45" s="90" t="s">
        <v>663</v>
      </c>
      <c r="E45" s="90" t="s">
        <v>530</v>
      </c>
      <c r="F45" s="90" t="s">
        <v>745</v>
      </c>
      <c r="G45" s="304">
        <v>3</v>
      </c>
      <c r="H45" s="92"/>
      <c r="I45" s="92"/>
      <c r="J45" s="464">
        <f t="shared" si="1"/>
        <v>0</v>
      </c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3">
        <v>140.43</v>
      </c>
      <c r="AG45" s="92"/>
      <c r="AH45" s="93">
        <v>5516.7</v>
      </c>
      <c r="AI45" s="306">
        <v>5376.27</v>
      </c>
    </row>
    <row r="46" spans="1:35" ht="15.75" thickBot="1" x14ac:dyDescent="0.3">
      <c r="A46" s="90" t="s">
        <v>869</v>
      </c>
      <c r="B46" s="90" t="s">
        <v>42</v>
      </c>
      <c r="C46" s="90" t="s">
        <v>884</v>
      </c>
      <c r="D46" s="90" t="s">
        <v>663</v>
      </c>
      <c r="E46" s="90" t="s">
        <v>524</v>
      </c>
      <c r="F46" s="90" t="s">
        <v>746</v>
      </c>
      <c r="G46" s="305">
        <v>4</v>
      </c>
      <c r="H46" s="94"/>
      <c r="I46" s="94"/>
      <c r="J46" s="464">
        <f t="shared" si="1"/>
        <v>0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5">
        <v>2200</v>
      </c>
      <c r="AE46" s="94"/>
      <c r="AF46" s="95">
        <v>49.5</v>
      </c>
      <c r="AG46" s="94"/>
      <c r="AH46" s="95">
        <v>2249.5</v>
      </c>
      <c r="AI46" s="95">
        <v>0</v>
      </c>
    </row>
    <row r="47" spans="1:35" ht="15.75" thickBot="1" x14ac:dyDescent="0.3">
      <c r="A47" s="90" t="s">
        <v>869</v>
      </c>
      <c r="B47" s="90" t="s">
        <v>42</v>
      </c>
      <c r="C47" s="90" t="s">
        <v>884</v>
      </c>
      <c r="D47" s="90" t="s">
        <v>662</v>
      </c>
      <c r="E47" s="90" t="s">
        <v>726</v>
      </c>
      <c r="F47" s="90" t="s">
        <v>685</v>
      </c>
      <c r="G47" s="305">
        <v>1</v>
      </c>
      <c r="H47" s="94"/>
      <c r="I47" s="94"/>
      <c r="J47" s="464">
        <f t="shared" si="1"/>
        <v>0</v>
      </c>
      <c r="K47" s="94"/>
      <c r="L47" s="94"/>
      <c r="M47" s="94"/>
      <c r="N47" s="95">
        <v>846.47</v>
      </c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5">
        <v>0</v>
      </c>
      <c r="AG47" s="94"/>
      <c r="AH47" s="95">
        <v>846.47</v>
      </c>
      <c r="AI47" s="95">
        <v>0</v>
      </c>
    </row>
    <row r="48" spans="1:35" ht="15.75" thickBot="1" x14ac:dyDescent="0.3">
      <c r="A48" s="90" t="s">
        <v>869</v>
      </c>
      <c r="B48" s="90" t="s">
        <v>42</v>
      </c>
      <c r="C48" s="90" t="s">
        <v>884</v>
      </c>
      <c r="D48" s="90" t="s">
        <v>662</v>
      </c>
      <c r="E48" s="90" t="s">
        <v>729</v>
      </c>
      <c r="F48" s="90" t="s">
        <v>947</v>
      </c>
      <c r="G48" s="304">
        <v>1</v>
      </c>
      <c r="H48" s="92"/>
      <c r="I48" s="92"/>
      <c r="J48" s="464">
        <f t="shared" si="1"/>
        <v>0</v>
      </c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>
        <v>-2467.69</v>
      </c>
      <c r="Z48" s="92"/>
      <c r="AA48" s="92"/>
      <c r="AB48" s="92"/>
      <c r="AC48" s="92"/>
      <c r="AD48" s="92"/>
      <c r="AE48" s="92"/>
      <c r="AF48" s="93">
        <v>0</v>
      </c>
      <c r="AG48" s="92"/>
      <c r="AH48" s="93">
        <v>-2467.69</v>
      </c>
      <c r="AI48" s="93">
        <v>0</v>
      </c>
    </row>
    <row r="49" spans="1:35" ht="15.75" thickBot="1" x14ac:dyDescent="0.3">
      <c r="A49" s="90" t="s">
        <v>869</v>
      </c>
      <c r="B49" s="90" t="s">
        <v>42</v>
      </c>
      <c r="C49" s="90" t="s">
        <v>884</v>
      </c>
      <c r="D49" s="90" t="s">
        <v>662</v>
      </c>
      <c r="E49" s="90" t="s">
        <v>528</v>
      </c>
      <c r="F49" s="90" t="s">
        <v>751</v>
      </c>
      <c r="G49" s="305">
        <v>1</v>
      </c>
      <c r="H49" s="94"/>
      <c r="I49" s="94"/>
      <c r="J49" s="464">
        <f t="shared" si="1"/>
        <v>0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5">
        <v>0</v>
      </c>
      <c r="AG49" s="94"/>
      <c r="AH49" s="95">
        <v>180</v>
      </c>
      <c r="AI49" s="306">
        <v>180</v>
      </c>
    </row>
    <row r="50" spans="1:35" ht="15.75" thickBot="1" x14ac:dyDescent="0.3">
      <c r="A50" s="90" t="s">
        <v>869</v>
      </c>
      <c r="B50" s="90" t="s">
        <v>42</v>
      </c>
      <c r="C50" s="90" t="s">
        <v>884</v>
      </c>
      <c r="D50" s="90" t="s">
        <v>662</v>
      </c>
      <c r="E50" s="90" t="s">
        <v>518</v>
      </c>
      <c r="F50" s="90" t="s">
        <v>522</v>
      </c>
      <c r="G50" s="304">
        <v>1</v>
      </c>
      <c r="H50" s="93">
        <v>140689</v>
      </c>
      <c r="I50" s="92"/>
      <c r="J50" s="464">
        <f t="shared" si="1"/>
        <v>140689</v>
      </c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3">
        <v>0</v>
      </c>
      <c r="AG50" s="92"/>
      <c r="AH50" s="93">
        <v>32047.55</v>
      </c>
      <c r="AI50" s="306">
        <v>32047.55</v>
      </c>
    </row>
    <row r="51" spans="1:35" ht="15.75" thickBot="1" x14ac:dyDescent="0.3">
      <c r="A51" s="90" t="s">
        <v>869</v>
      </c>
      <c r="B51" s="90" t="s">
        <v>42</v>
      </c>
      <c r="C51" s="90" t="s">
        <v>884</v>
      </c>
      <c r="D51" s="90" t="s">
        <v>662</v>
      </c>
      <c r="E51" s="90" t="s">
        <v>673</v>
      </c>
      <c r="F51" s="90" t="s">
        <v>643</v>
      </c>
      <c r="G51" s="305">
        <v>1</v>
      </c>
      <c r="H51" s="94"/>
      <c r="I51" s="94"/>
      <c r="J51" s="464">
        <f t="shared" si="1"/>
        <v>0</v>
      </c>
      <c r="K51" s="94"/>
      <c r="L51" s="94"/>
      <c r="M51" s="94"/>
      <c r="N51" s="94"/>
      <c r="O51" s="94"/>
      <c r="P51" s="94"/>
      <c r="Q51" s="94"/>
      <c r="R51" s="94"/>
      <c r="S51" s="95">
        <v>245.08</v>
      </c>
      <c r="T51" s="94"/>
      <c r="U51" s="94"/>
      <c r="V51" s="94"/>
      <c r="W51" s="95">
        <v>245.08</v>
      </c>
      <c r="X51" s="94"/>
      <c r="Y51" s="94"/>
      <c r="Z51" s="94"/>
      <c r="AA51" s="94"/>
      <c r="AB51" s="94"/>
      <c r="AC51" s="94"/>
      <c r="AD51" s="94"/>
      <c r="AE51" s="94"/>
      <c r="AF51" s="95">
        <v>0</v>
      </c>
      <c r="AG51" s="94"/>
      <c r="AH51" s="95">
        <v>245.08</v>
      </c>
      <c r="AI51" s="95">
        <v>0</v>
      </c>
    </row>
    <row r="52" spans="1:35" ht="15.75" thickBot="1" x14ac:dyDescent="0.3">
      <c r="A52" s="90" t="s">
        <v>869</v>
      </c>
      <c r="B52" s="90" t="s">
        <v>42</v>
      </c>
      <c r="C52" s="90" t="s">
        <v>884</v>
      </c>
      <c r="D52" s="90" t="s">
        <v>662</v>
      </c>
      <c r="E52" s="90" t="s">
        <v>530</v>
      </c>
      <c r="F52" s="90" t="s">
        <v>745</v>
      </c>
      <c r="G52" s="304">
        <v>1</v>
      </c>
      <c r="H52" s="92"/>
      <c r="I52" s="92"/>
      <c r="J52" s="464">
        <f>H52+I52</f>
        <v>0</v>
      </c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3">
        <v>0</v>
      </c>
      <c r="AG52" s="92"/>
      <c r="AH52" s="93">
        <v>11768.63</v>
      </c>
      <c r="AI52" s="306">
        <v>11768.63</v>
      </c>
    </row>
    <row r="53" spans="1:35" ht="15.75" thickBot="1" x14ac:dyDescent="0.3">
      <c r="A53" s="90" t="s">
        <v>869</v>
      </c>
      <c r="B53" s="90" t="s">
        <v>42</v>
      </c>
      <c r="C53" s="90" t="s">
        <v>884</v>
      </c>
      <c r="D53" s="90" t="s">
        <v>662</v>
      </c>
      <c r="E53" s="90" t="s">
        <v>524</v>
      </c>
      <c r="F53" s="90" t="s">
        <v>746</v>
      </c>
      <c r="G53" s="305">
        <v>1</v>
      </c>
      <c r="H53" s="94"/>
      <c r="I53" s="94"/>
      <c r="J53" s="464">
        <f>H53+I53</f>
        <v>0</v>
      </c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5">
        <v>550</v>
      </c>
      <c r="AE53" s="94"/>
      <c r="AF53" s="95">
        <v>0</v>
      </c>
      <c r="AG53" s="94"/>
      <c r="AH53" s="95">
        <v>550</v>
      </c>
      <c r="AI53" s="95">
        <v>0</v>
      </c>
    </row>
    <row r="54" spans="1:35" ht="15.75" thickBot="1" x14ac:dyDescent="0.3">
      <c r="A54" s="90" t="s">
        <v>869</v>
      </c>
      <c r="B54" s="90" t="s">
        <v>57</v>
      </c>
      <c r="C54" s="90" t="s">
        <v>58</v>
      </c>
      <c r="D54" s="90" t="s">
        <v>664</v>
      </c>
      <c r="E54" s="90" t="s">
        <v>726</v>
      </c>
      <c r="F54" s="90" t="s">
        <v>685</v>
      </c>
      <c r="G54" s="304">
        <v>1</v>
      </c>
      <c r="H54" s="92"/>
      <c r="I54" s="92"/>
      <c r="J54" s="464">
        <f>H54+I54</f>
        <v>0</v>
      </c>
      <c r="K54" s="92"/>
      <c r="L54" s="92"/>
      <c r="M54" s="92"/>
      <c r="N54" s="93">
        <v>2149.46</v>
      </c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3">
        <v>0</v>
      </c>
      <c r="AG54" s="92"/>
      <c r="AH54" s="93">
        <v>2149.46</v>
      </c>
      <c r="AI54" s="93">
        <v>0</v>
      </c>
    </row>
    <row r="55" spans="1:35" ht="15.75" thickBot="1" x14ac:dyDescent="0.3">
      <c r="A55" s="90" t="s">
        <v>869</v>
      </c>
      <c r="B55" s="90" t="s">
        <v>57</v>
      </c>
      <c r="C55" s="90" t="s">
        <v>58</v>
      </c>
      <c r="D55" s="90" t="s">
        <v>664</v>
      </c>
      <c r="E55" s="90" t="s">
        <v>525</v>
      </c>
      <c r="F55" s="90" t="s">
        <v>752</v>
      </c>
      <c r="G55" s="305">
        <v>1</v>
      </c>
      <c r="H55" s="94"/>
      <c r="I55" s="94"/>
      <c r="J55" s="464">
        <f t="shared" si="1"/>
        <v>0</v>
      </c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5">
        <v>0</v>
      </c>
      <c r="AG55" s="94"/>
      <c r="AH55" s="95">
        <v>-1145.25</v>
      </c>
      <c r="AI55" s="306">
        <v>-1145.25</v>
      </c>
    </row>
    <row r="56" spans="1:35" ht="15.75" thickBot="1" x14ac:dyDescent="0.3">
      <c r="A56" s="90" t="s">
        <v>869</v>
      </c>
      <c r="B56" s="90" t="s">
        <v>57</v>
      </c>
      <c r="C56" s="90" t="s">
        <v>58</v>
      </c>
      <c r="D56" s="90" t="s">
        <v>664</v>
      </c>
      <c r="E56" s="90" t="s">
        <v>528</v>
      </c>
      <c r="F56" s="90" t="s">
        <v>751</v>
      </c>
      <c r="G56" s="304">
        <v>1</v>
      </c>
      <c r="H56" s="92"/>
      <c r="I56" s="92"/>
      <c r="J56" s="464">
        <f t="shared" si="1"/>
        <v>0</v>
      </c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3">
        <v>0</v>
      </c>
      <c r="AG56" s="92"/>
      <c r="AH56" s="93">
        <v>800</v>
      </c>
      <c r="AI56" s="306">
        <v>800</v>
      </c>
    </row>
    <row r="57" spans="1:35" ht="15.75" thickBot="1" x14ac:dyDescent="0.3">
      <c r="A57" s="90" t="s">
        <v>869</v>
      </c>
      <c r="B57" s="90" t="s">
        <v>57</v>
      </c>
      <c r="C57" s="90" t="s">
        <v>58</v>
      </c>
      <c r="D57" s="90" t="s">
        <v>664</v>
      </c>
      <c r="E57" s="90" t="s">
        <v>518</v>
      </c>
      <c r="F57" s="90" t="s">
        <v>522</v>
      </c>
      <c r="G57" s="305">
        <v>1</v>
      </c>
      <c r="H57" s="95">
        <v>96290</v>
      </c>
      <c r="I57" s="94"/>
      <c r="J57" s="464">
        <f t="shared" si="1"/>
        <v>96290</v>
      </c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5">
        <v>0</v>
      </c>
      <c r="AG57" s="94"/>
      <c r="AH57" s="95">
        <v>478.56</v>
      </c>
      <c r="AI57" s="306">
        <v>478.56</v>
      </c>
    </row>
    <row r="58" spans="1:35" ht="15.75" thickBot="1" x14ac:dyDescent="0.3">
      <c r="A58" s="90" t="s">
        <v>869</v>
      </c>
      <c r="B58" s="90" t="s">
        <v>57</v>
      </c>
      <c r="C58" s="90" t="s">
        <v>58</v>
      </c>
      <c r="D58" s="90" t="s">
        <v>664</v>
      </c>
      <c r="E58" s="90" t="s">
        <v>529</v>
      </c>
      <c r="F58" s="90" t="s">
        <v>522</v>
      </c>
      <c r="G58" s="304">
        <v>1</v>
      </c>
      <c r="H58" s="92"/>
      <c r="I58" s="92"/>
      <c r="J58" s="464">
        <f t="shared" si="1"/>
        <v>0</v>
      </c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3">
        <v>0</v>
      </c>
      <c r="AG58" s="92"/>
      <c r="AH58" s="93">
        <v>107140.32</v>
      </c>
      <c r="AI58" s="306">
        <v>107140.32</v>
      </c>
    </row>
    <row r="59" spans="1:35" ht="15.75" thickBot="1" x14ac:dyDescent="0.3">
      <c r="A59" s="90" t="s">
        <v>869</v>
      </c>
      <c r="B59" s="90" t="s">
        <v>57</v>
      </c>
      <c r="C59" s="90" t="s">
        <v>58</v>
      </c>
      <c r="D59" s="90" t="s">
        <v>664</v>
      </c>
      <c r="E59" s="90" t="s">
        <v>676</v>
      </c>
      <c r="F59" s="90" t="s">
        <v>748</v>
      </c>
      <c r="G59" s="305">
        <v>1</v>
      </c>
      <c r="H59" s="94"/>
      <c r="I59" s="94"/>
      <c r="J59" s="464">
        <f t="shared" si="1"/>
        <v>0</v>
      </c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5">
        <v>94.75</v>
      </c>
      <c r="AF59" s="95">
        <v>0</v>
      </c>
      <c r="AG59" s="94"/>
      <c r="AH59" s="95">
        <v>94.75</v>
      </c>
      <c r="AI59" s="95">
        <v>0</v>
      </c>
    </row>
    <row r="60" spans="1:35" ht="15.75" thickBot="1" x14ac:dyDescent="0.3">
      <c r="A60" s="90" t="s">
        <v>869</v>
      </c>
      <c r="B60" s="90" t="s">
        <v>57</v>
      </c>
      <c r="C60" s="90" t="s">
        <v>58</v>
      </c>
      <c r="D60" s="90" t="s">
        <v>664</v>
      </c>
      <c r="E60" s="90" t="s">
        <v>677</v>
      </c>
      <c r="F60" s="90" t="s">
        <v>749</v>
      </c>
      <c r="G60" s="304">
        <v>1</v>
      </c>
      <c r="H60" s="92"/>
      <c r="I60" s="92"/>
      <c r="J60" s="464">
        <f t="shared" si="1"/>
        <v>0</v>
      </c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3">
        <v>0</v>
      </c>
      <c r="AG60" s="92"/>
      <c r="AH60" s="93">
        <v>104.5</v>
      </c>
      <c r="AI60" s="306">
        <v>104.5</v>
      </c>
    </row>
    <row r="61" spans="1:35" ht="15.75" thickBot="1" x14ac:dyDescent="0.3">
      <c r="A61" s="90" t="s">
        <v>869</v>
      </c>
      <c r="B61" s="90" t="s">
        <v>93</v>
      </c>
      <c r="C61" s="90" t="s">
        <v>719</v>
      </c>
      <c r="D61" s="90" t="s">
        <v>663</v>
      </c>
      <c r="E61" s="90" t="s">
        <v>525</v>
      </c>
      <c r="F61" s="90" t="s">
        <v>750</v>
      </c>
      <c r="G61" s="304">
        <v>2</v>
      </c>
      <c r="H61" s="92"/>
      <c r="I61" s="92"/>
      <c r="J61" s="464">
        <f t="shared" si="1"/>
        <v>0</v>
      </c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3">
        <v>3407.92</v>
      </c>
      <c r="AC61" s="92"/>
      <c r="AD61" s="92"/>
      <c r="AE61" s="92"/>
      <c r="AF61" s="93">
        <v>0</v>
      </c>
      <c r="AG61" s="92"/>
      <c r="AH61" s="93">
        <v>3407.92</v>
      </c>
      <c r="AI61" s="93">
        <v>0</v>
      </c>
    </row>
    <row r="62" spans="1:35" ht="15.75" thickBot="1" x14ac:dyDescent="0.3">
      <c r="A62" s="90" t="s">
        <v>869</v>
      </c>
      <c r="B62" s="90" t="s">
        <v>93</v>
      </c>
      <c r="C62" s="90" t="s">
        <v>719</v>
      </c>
      <c r="D62" s="90" t="s">
        <v>663</v>
      </c>
      <c r="E62" s="90" t="s">
        <v>527</v>
      </c>
      <c r="F62" s="90" t="s">
        <v>744</v>
      </c>
      <c r="G62" s="305">
        <v>2</v>
      </c>
      <c r="H62" s="94"/>
      <c r="I62" s="94"/>
      <c r="J62" s="464">
        <f t="shared" si="1"/>
        <v>0</v>
      </c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5">
        <v>0</v>
      </c>
      <c r="AG62" s="94"/>
      <c r="AH62" s="95">
        <v>-492.19</v>
      </c>
      <c r="AI62" s="306">
        <v>-492.19</v>
      </c>
    </row>
    <row r="63" spans="1:35" ht="15.75" thickBot="1" x14ac:dyDescent="0.3">
      <c r="A63" s="90" t="s">
        <v>869</v>
      </c>
      <c r="B63" s="90" t="s">
        <v>93</v>
      </c>
      <c r="C63" s="90" t="s">
        <v>719</v>
      </c>
      <c r="D63" s="90" t="s">
        <v>663</v>
      </c>
      <c r="E63" s="90" t="s">
        <v>524</v>
      </c>
      <c r="F63" s="90" t="s">
        <v>746</v>
      </c>
      <c r="G63" s="304">
        <v>2</v>
      </c>
      <c r="H63" s="92"/>
      <c r="I63" s="92"/>
      <c r="J63" s="464">
        <f t="shared" si="1"/>
        <v>0</v>
      </c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3">
        <v>525</v>
      </c>
      <c r="AE63" s="92"/>
      <c r="AF63" s="93">
        <v>0</v>
      </c>
      <c r="AG63" s="92"/>
      <c r="AH63" s="93">
        <v>525</v>
      </c>
      <c r="AI63" s="93">
        <v>0</v>
      </c>
    </row>
    <row r="64" spans="1:35" ht="15.75" thickBot="1" x14ac:dyDescent="0.3">
      <c r="A64" s="90" t="s">
        <v>869</v>
      </c>
      <c r="B64" s="90" t="s">
        <v>96</v>
      </c>
      <c r="C64" s="90" t="s">
        <v>883</v>
      </c>
      <c r="D64" s="90" t="s">
        <v>663</v>
      </c>
      <c r="E64" s="90" t="s">
        <v>729</v>
      </c>
      <c r="F64" s="90" t="s">
        <v>947</v>
      </c>
      <c r="G64" s="304">
        <v>1</v>
      </c>
      <c r="H64" s="92"/>
      <c r="I64" s="92"/>
      <c r="J64" s="464">
        <f t="shared" si="1"/>
        <v>0</v>
      </c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3">
        <v>-98.01</v>
      </c>
      <c r="Z64" s="92"/>
      <c r="AA64" s="92"/>
      <c r="AB64" s="92"/>
      <c r="AC64" s="92"/>
      <c r="AD64" s="92"/>
      <c r="AE64" s="92"/>
      <c r="AF64" s="93">
        <v>0</v>
      </c>
      <c r="AG64" s="92"/>
      <c r="AH64" s="93">
        <v>-98.01</v>
      </c>
      <c r="AI64" s="93">
        <v>0</v>
      </c>
    </row>
    <row r="65" spans="1:35" ht="15.75" thickBot="1" x14ac:dyDescent="0.3">
      <c r="A65" s="90" t="s">
        <v>869</v>
      </c>
      <c r="B65" s="90" t="s">
        <v>96</v>
      </c>
      <c r="C65" s="90" t="s">
        <v>883</v>
      </c>
      <c r="D65" s="90" t="s">
        <v>663</v>
      </c>
      <c r="E65" s="90" t="s">
        <v>528</v>
      </c>
      <c r="F65" s="90" t="s">
        <v>751</v>
      </c>
      <c r="G65" s="305">
        <v>1</v>
      </c>
      <c r="H65" s="94"/>
      <c r="I65" s="94"/>
      <c r="J65" s="464">
        <f t="shared" si="1"/>
        <v>0</v>
      </c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5">
        <v>0</v>
      </c>
      <c r="AG65" s="94"/>
      <c r="AH65" s="95">
        <v>400</v>
      </c>
      <c r="AI65" s="306">
        <v>400</v>
      </c>
    </row>
    <row r="66" spans="1:35" ht="15.75" thickBot="1" x14ac:dyDescent="0.3">
      <c r="A66" s="90" t="s">
        <v>869</v>
      </c>
      <c r="B66" s="90" t="s">
        <v>96</v>
      </c>
      <c r="C66" s="90" t="s">
        <v>883</v>
      </c>
      <c r="D66" s="90" t="s">
        <v>663</v>
      </c>
      <c r="E66" s="90" t="s">
        <v>518</v>
      </c>
      <c r="F66" s="90" t="s">
        <v>522</v>
      </c>
      <c r="G66" s="304">
        <v>1</v>
      </c>
      <c r="H66" s="93">
        <v>107703</v>
      </c>
      <c r="I66" s="92"/>
      <c r="J66" s="464">
        <f t="shared" si="1"/>
        <v>107703</v>
      </c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3">
        <v>0</v>
      </c>
      <c r="AG66" s="92"/>
      <c r="AH66" s="93">
        <v>7548.9</v>
      </c>
      <c r="AI66" s="306">
        <v>7548.9</v>
      </c>
    </row>
    <row r="67" spans="1:35" ht="15.75" thickBot="1" x14ac:dyDescent="0.3">
      <c r="A67" s="90" t="s">
        <v>869</v>
      </c>
      <c r="B67" s="90" t="s">
        <v>96</v>
      </c>
      <c r="C67" s="90" t="s">
        <v>883</v>
      </c>
      <c r="D67" s="90" t="s">
        <v>663</v>
      </c>
      <c r="E67" s="90" t="s">
        <v>673</v>
      </c>
      <c r="F67" s="90" t="s">
        <v>643</v>
      </c>
      <c r="G67" s="305">
        <v>1</v>
      </c>
      <c r="H67" s="94"/>
      <c r="I67" s="94"/>
      <c r="J67" s="464">
        <f t="shared" si="1"/>
        <v>0</v>
      </c>
      <c r="K67" s="94"/>
      <c r="L67" s="94"/>
      <c r="M67" s="94"/>
      <c r="N67" s="94"/>
      <c r="O67" s="94"/>
      <c r="P67" s="94"/>
      <c r="Q67" s="94"/>
      <c r="R67" s="94"/>
      <c r="S67" s="95">
        <v>2688.31</v>
      </c>
      <c r="T67" s="94"/>
      <c r="U67" s="94"/>
      <c r="V67" s="94"/>
      <c r="W67" s="95">
        <v>2688.31</v>
      </c>
      <c r="X67" s="94"/>
      <c r="Y67" s="94"/>
      <c r="Z67" s="94"/>
      <c r="AA67" s="94"/>
      <c r="AB67" s="94"/>
      <c r="AC67" s="94"/>
      <c r="AD67" s="94"/>
      <c r="AE67" s="94"/>
      <c r="AF67" s="95">
        <v>0</v>
      </c>
      <c r="AG67" s="94"/>
      <c r="AH67" s="95">
        <v>2688.31</v>
      </c>
      <c r="AI67" s="95">
        <v>0</v>
      </c>
    </row>
    <row r="68" spans="1:35" ht="15.75" thickBot="1" x14ac:dyDescent="0.3">
      <c r="A68" s="90" t="s">
        <v>869</v>
      </c>
      <c r="B68" s="90" t="s">
        <v>96</v>
      </c>
      <c r="C68" s="90" t="s">
        <v>883</v>
      </c>
      <c r="D68" s="90" t="s">
        <v>663</v>
      </c>
      <c r="E68" s="90" t="s">
        <v>530</v>
      </c>
      <c r="F68" s="90" t="s">
        <v>745</v>
      </c>
      <c r="G68" s="304">
        <v>1</v>
      </c>
      <c r="H68" s="92"/>
      <c r="I68" s="92"/>
      <c r="J68" s="464">
        <f t="shared" si="1"/>
        <v>0</v>
      </c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3">
        <v>0</v>
      </c>
      <c r="AG68" s="92"/>
      <c r="AH68" s="93">
        <v>9009.36</v>
      </c>
      <c r="AI68" s="306">
        <v>9009.36</v>
      </c>
    </row>
    <row r="69" spans="1:35" ht="15.75" thickBot="1" x14ac:dyDescent="0.3">
      <c r="A69" s="90" t="s">
        <v>869</v>
      </c>
      <c r="B69" s="90" t="s">
        <v>96</v>
      </c>
      <c r="C69" s="90" t="s">
        <v>883</v>
      </c>
      <c r="D69" s="90" t="s">
        <v>663</v>
      </c>
      <c r="E69" s="90" t="s">
        <v>524</v>
      </c>
      <c r="F69" s="90" t="s">
        <v>746</v>
      </c>
      <c r="G69" s="305">
        <v>1</v>
      </c>
      <c r="H69" s="94"/>
      <c r="I69" s="94"/>
      <c r="J69" s="464">
        <f t="shared" si="1"/>
        <v>0</v>
      </c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5">
        <v>550</v>
      </c>
      <c r="AE69" s="94"/>
      <c r="AF69" s="95">
        <v>0</v>
      </c>
      <c r="AG69" s="94"/>
      <c r="AH69" s="95">
        <v>550</v>
      </c>
      <c r="AI69" s="95">
        <v>0</v>
      </c>
    </row>
    <row r="70" spans="1:35" ht="15.75" thickBot="1" x14ac:dyDescent="0.3">
      <c r="A70" s="90" t="s">
        <v>869</v>
      </c>
      <c r="B70" s="90" t="s">
        <v>96</v>
      </c>
      <c r="C70" s="90" t="s">
        <v>883</v>
      </c>
      <c r="D70" s="90" t="s">
        <v>662</v>
      </c>
      <c r="E70" s="90" t="s">
        <v>726</v>
      </c>
      <c r="F70" s="90" t="s">
        <v>685</v>
      </c>
      <c r="G70" s="305">
        <v>1</v>
      </c>
      <c r="H70" s="94"/>
      <c r="I70" s="94"/>
      <c r="J70" s="464">
        <f t="shared" si="1"/>
        <v>0</v>
      </c>
      <c r="K70" s="94"/>
      <c r="L70" s="94"/>
      <c r="M70" s="94"/>
      <c r="N70" s="95">
        <v>429.37</v>
      </c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5">
        <v>0</v>
      </c>
      <c r="AG70" s="94"/>
      <c r="AH70" s="95">
        <v>429.37</v>
      </c>
      <c r="AI70" s="95">
        <v>0</v>
      </c>
    </row>
    <row r="71" spans="1:35" ht="15.75" thickBot="1" x14ac:dyDescent="0.3">
      <c r="A71" s="90" t="s">
        <v>869</v>
      </c>
      <c r="B71" s="90" t="s">
        <v>96</v>
      </c>
      <c r="C71" s="90" t="s">
        <v>883</v>
      </c>
      <c r="D71" s="90" t="s">
        <v>662</v>
      </c>
      <c r="E71" s="90" t="s">
        <v>729</v>
      </c>
      <c r="F71" s="90" t="s">
        <v>947</v>
      </c>
      <c r="G71" s="304">
        <v>1</v>
      </c>
      <c r="H71" s="92"/>
      <c r="I71" s="92"/>
      <c r="J71" s="464">
        <f t="shared" si="1"/>
        <v>0</v>
      </c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3">
        <v>-2296.21</v>
      </c>
      <c r="Z71" s="92"/>
      <c r="AA71" s="92"/>
      <c r="AB71" s="92"/>
      <c r="AC71" s="92"/>
      <c r="AD71" s="92"/>
      <c r="AE71" s="92"/>
      <c r="AF71" s="93">
        <v>0</v>
      </c>
      <c r="AG71" s="92"/>
      <c r="AH71" s="93">
        <v>-2296.21</v>
      </c>
      <c r="AI71" s="93">
        <v>0</v>
      </c>
    </row>
    <row r="72" spans="1:35" ht="15.75" thickBot="1" x14ac:dyDescent="0.3">
      <c r="A72" s="90" t="s">
        <v>869</v>
      </c>
      <c r="B72" s="90" t="s">
        <v>96</v>
      </c>
      <c r="C72" s="90" t="s">
        <v>883</v>
      </c>
      <c r="D72" s="90" t="s">
        <v>662</v>
      </c>
      <c r="E72" s="90" t="s">
        <v>528</v>
      </c>
      <c r="F72" s="90" t="s">
        <v>751</v>
      </c>
      <c r="G72" s="305">
        <v>1</v>
      </c>
      <c r="H72" s="94"/>
      <c r="I72" s="94"/>
      <c r="J72" s="464">
        <f t="shared" si="1"/>
        <v>0</v>
      </c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5">
        <v>0</v>
      </c>
      <c r="AG72" s="94"/>
      <c r="AH72" s="95">
        <v>400</v>
      </c>
      <c r="AI72" s="306">
        <v>400</v>
      </c>
    </row>
    <row r="73" spans="1:35" ht="15.75" thickBot="1" x14ac:dyDescent="0.3">
      <c r="A73" s="90" t="s">
        <v>869</v>
      </c>
      <c r="B73" s="90" t="s">
        <v>96</v>
      </c>
      <c r="C73" s="90" t="s">
        <v>883</v>
      </c>
      <c r="D73" s="90" t="s">
        <v>662</v>
      </c>
      <c r="E73" s="90" t="s">
        <v>518</v>
      </c>
      <c r="F73" s="90" t="s">
        <v>522</v>
      </c>
      <c r="G73" s="304">
        <v>1</v>
      </c>
      <c r="H73" s="93">
        <v>130913</v>
      </c>
      <c r="I73" s="92"/>
      <c r="J73" s="464">
        <f t="shared" si="1"/>
        <v>130913</v>
      </c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3">
        <v>0</v>
      </c>
      <c r="AG73" s="92"/>
      <c r="AH73" s="93">
        <v>9175.69</v>
      </c>
      <c r="AI73" s="306">
        <v>9175.69</v>
      </c>
    </row>
    <row r="74" spans="1:35" ht="15.75" thickBot="1" x14ac:dyDescent="0.3">
      <c r="A74" s="90" t="s">
        <v>869</v>
      </c>
      <c r="B74" s="90" t="s">
        <v>96</v>
      </c>
      <c r="C74" s="90" t="s">
        <v>883</v>
      </c>
      <c r="D74" s="90" t="s">
        <v>662</v>
      </c>
      <c r="E74" s="90" t="s">
        <v>673</v>
      </c>
      <c r="F74" s="90" t="s">
        <v>643</v>
      </c>
      <c r="G74" s="305">
        <v>1</v>
      </c>
      <c r="H74" s="94"/>
      <c r="I74" s="94"/>
      <c r="J74" s="464">
        <f t="shared" si="1"/>
        <v>0</v>
      </c>
      <c r="K74" s="94"/>
      <c r="L74" s="94"/>
      <c r="M74" s="94"/>
      <c r="N74" s="94"/>
      <c r="O74" s="94"/>
      <c r="P74" s="94"/>
      <c r="Q74" s="94"/>
      <c r="R74" s="94"/>
      <c r="S74" s="95">
        <v>2688.31</v>
      </c>
      <c r="T74" s="94"/>
      <c r="U74" s="94"/>
      <c r="V74" s="94"/>
      <c r="W74" s="95">
        <v>2688.31</v>
      </c>
      <c r="X74" s="94"/>
      <c r="Y74" s="94"/>
      <c r="Z74" s="94"/>
      <c r="AA74" s="94"/>
      <c r="AB74" s="94"/>
      <c r="AC74" s="94"/>
      <c r="AD74" s="94"/>
      <c r="AE74" s="94"/>
      <c r="AF74" s="95">
        <v>0</v>
      </c>
      <c r="AG74" s="94"/>
      <c r="AH74" s="95">
        <v>2688.31</v>
      </c>
      <c r="AI74" s="95">
        <v>0</v>
      </c>
    </row>
    <row r="75" spans="1:35" ht="15.75" thickBot="1" x14ac:dyDescent="0.3">
      <c r="A75" s="90" t="s">
        <v>869</v>
      </c>
      <c r="B75" s="90" t="s">
        <v>96</v>
      </c>
      <c r="C75" s="90" t="s">
        <v>883</v>
      </c>
      <c r="D75" s="90" t="s">
        <v>662</v>
      </c>
      <c r="E75" s="90" t="s">
        <v>530</v>
      </c>
      <c r="F75" s="90" t="s">
        <v>745</v>
      </c>
      <c r="G75" s="304">
        <v>1</v>
      </c>
      <c r="H75" s="92"/>
      <c r="I75" s="92"/>
      <c r="J75" s="464">
        <f t="shared" si="1"/>
        <v>0</v>
      </c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3">
        <v>0</v>
      </c>
      <c r="AG75" s="92"/>
      <c r="AH75" s="93">
        <v>10950.87</v>
      </c>
      <c r="AI75" s="306">
        <v>10950.87</v>
      </c>
    </row>
    <row r="76" spans="1:35" ht="15.75" thickBot="1" x14ac:dyDescent="0.3">
      <c r="A76" s="90" t="s">
        <v>869</v>
      </c>
      <c r="B76" s="90" t="s">
        <v>96</v>
      </c>
      <c r="C76" s="90" t="s">
        <v>883</v>
      </c>
      <c r="D76" s="90" t="s">
        <v>662</v>
      </c>
      <c r="E76" s="90" t="s">
        <v>524</v>
      </c>
      <c r="F76" s="90" t="s">
        <v>746</v>
      </c>
      <c r="G76" s="305">
        <v>1</v>
      </c>
      <c r="H76" s="94"/>
      <c r="I76" s="94"/>
      <c r="J76" s="464">
        <f t="shared" si="1"/>
        <v>0</v>
      </c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5">
        <v>550</v>
      </c>
      <c r="AE76" s="94"/>
      <c r="AF76" s="95">
        <v>0</v>
      </c>
      <c r="AG76" s="94"/>
      <c r="AH76" s="95">
        <v>550</v>
      </c>
      <c r="AI76" s="95">
        <v>0</v>
      </c>
    </row>
    <row r="77" spans="1:35" ht="15.75" thickBot="1" x14ac:dyDescent="0.3">
      <c r="A77" s="90" t="s">
        <v>885</v>
      </c>
      <c r="B77" s="90" t="s">
        <v>50</v>
      </c>
      <c r="C77" s="90" t="s">
        <v>881</v>
      </c>
      <c r="D77" s="90" t="s">
        <v>661</v>
      </c>
      <c r="E77" s="90" t="s">
        <v>198</v>
      </c>
      <c r="F77" s="90" t="s">
        <v>743</v>
      </c>
      <c r="G77" s="304">
        <v>8</v>
      </c>
      <c r="H77" s="92"/>
      <c r="I77" s="92"/>
      <c r="J77" s="464">
        <f t="shared" ref="J77:J123" si="2">H77+I77</f>
        <v>0</v>
      </c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3">
        <v>4.6100000000000003</v>
      </c>
      <c r="AG77" s="92"/>
      <c r="AH77" s="93">
        <v>265.01</v>
      </c>
      <c r="AI77" s="306">
        <v>260.39999999999998</v>
      </c>
    </row>
    <row r="78" spans="1:35" ht="15.75" thickBot="1" x14ac:dyDescent="0.3">
      <c r="A78" s="90" t="s">
        <v>885</v>
      </c>
      <c r="B78" s="90" t="s">
        <v>50</v>
      </c>
      <c r="C78" s="90" t="s">
        <v>881</v>
      </c>
      <c r="D78" s="90" t="s">
        <v>661</v>
      </c>
      <c r="E78" s="90" t="s">
        <v>726</v>
      </c>
      <c r="F78" s="90" t="s">
        <v>685</v>
      </c>
      <c r="G78" s="305">
        <v>5</v>
      </c>
      <c r="H78" s="94"/>
      <c r="I78" s="94"/>
      <c r="J78" s="464">
        <f t="shared" si="2"/>
        <v>0</v>
      </c>
      <c r="K78" s="94"/>
      <c r="L78" s="94"/>
      <c r="M78" s="94"/>
      <c r="N78" s="95">
        <v>289.89</v>
      </c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5">
        <v>8.77</v>
      </c>
      <c r="AG78" s="94"/>
      <c r="AH78" s="95">
        <v>298.66000000000003</v>
      </c>
      <c r="AI78" s="95">
        <v>0</v>
      </c>
    </row>
    <row r="79" spans="1:35" ht="15.75" thickBot="1" x14ac:dyDescent="0.3">
      <c r="A79" s="90" t="s">
        <v>885</v>
      </c>
      <c r="B79" s="90" t="s">
        <v>50</v>
      </c>
      <c r="C79" s="90" t="s">
        <v>881</v>
      </c>
      <c r="D79" s="90" t="s">
        <v>661</v>
      </c>
      <c r="E79" s="90" t="s">
        <v>518</v>
      </c>
      <c r="F79" s="90" t="s">
        <v>522</v>
      </c>
      <c r="G79" s="304">
        <v>8</v>
      </c>
      <c r="H79" s="93">
        <v>482247</v>
      </c>
      <c r="I79" s="92"/>
      <c r="J79" s="464">
        <f t="shared" si="2"/>
        <v>482247</v>
      </c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3">
        <v>367.67</v>
      </c>
      <c r="AG79" s="92"/>
      <c r="AH79" s="93">
        <v>21113.93</v>
      </c>
      <c r="AI79" s="306">
        <v>20746.259999999998</v>
      </c>
    </row>
    <row r="80" spans="1:35" ht="15.75" thickBot="1" x14ac:dyDescent="0.3">
      <c r="A80" s="90" t="s">
        <v>885</v>
      </c>
      <c r="B80" s="90" t="s">
        <v>50</v>
      </c>
      <c r="C80" s="90" t="s">
        <v>881</v>
      </c>
      <c r="D80" s="90" t="s">
        <v>661</v>
      </c>
      <c r="E80" s="90" t="s">
        <v>524</v>
      </c>
      <c r="F80" s="90" t="s">
        <v>746</v>
      </c>
      <c r="G80" s="305">
        <v>8</v>
      </c>
      <c r="H80" s="94"/>
      <c r="I80" s="94"/>
      <c r="J80" s="464">
        <f t="shared" si="2"/>
        <v>0</v>
      </c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5">
        <v>4400</v>
      </c>
      <c r="AE80" s="94"/>
      <c r="AF80" s="95">
        <v>66</v>
      </c>
      <c r="AG80" s="94"/>
      <c r="AH80" s="95">
        <v>4466</v>
      </c>
      <c r="AI80" s="95">
        <v>0</v>
      </c>
    </row>
    <row r="81" spans="1:35" ht="15.75" thickBot="1" x14ac:dyDescent="0.3">
      <c r="A81" s="90" t="s">
        <v>885</v>
      </c>
      <c r="B81" s="90" t="s">
        <v>50</v>
      </c>
      <c r="C81" s="90" t="s">
        <v>881</v>
      </c>
      <c r="D81" s="90" t="s">
        <v>662</v>
      </c>
      <c r="E81" s="90" t="s">
        <v>198</v>
      </c>
      <c r="F81" s="90" t="s">
        <v>743</v>
      </c>
      <c r="G81" s="305">
        <v>2</v>
      </c>
      <c r="H81" s="94"/>
      <c r="I81" s="94"/>
      <c r="J81" s="464">
        <f t="shared" si="2"/>
        <v>0</v>
      </c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5">
        <v>2.2400000000000002</v>
      </c>
      <c r="AG81" s="94"/>
      <c r="AH81" s="95">
        <v>98.76</v>
      </c>
      <c r="AI81" s="306">
        <v>96.52</v>
      </c>
    </row>
    <row r="82" spans="1:35" ht="15.75" thickBot="1" x14ac:dyDescent="0.3">
      <c r="A82" s="90" t="s">
        <v>885</v>
      </c>
      <c r="B82" s="90" t="s">
        <v>50</v>
      </c>
      <c r="C82" s="90" t="s">
        <v>881</v>
      </c>
      <c r="D82" s="90" t="s">
        <v>662</v>
      </c>
      <c r="E82" s="90" t="s">
        <v>726</v>
      </c>
      <c r="F82" s="90" t="s">
        <v>685</v>
      </c>
      <c r="G82" s="304">
        <v>1</v>
      </c>
      <c r="H82" s="92"/>
      <c r="I82" s="92"/>
      <c r="J82" s="464">
        <f t="shared" si="2"/>
        <v>0</v>
      </c>
      <c r="K82" s="92"/>
      <c r="L82" s="92"/>
      <c r="M82" s="92"/>
      <c r="N82" s="93">
        <v>46.89</v>
      </c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3">
        <v>0</v>
      </c>
      <c r="AG82" s="92"/>
      <c r="AH82" s="93">
        <v>46.89</v>
      </c>
      <c r="AI82" s="93">
        <v>0</v>
      </c>
    </row>
    <row r="83" spans="1:35" ht="15.75" thickBot="1" x14ac:dyDescent="0.3">
      <c r="A83" s="90" t="s">
        <v>885</v>
      </c>
      <c r="B83" s="90" t="s">
        <v>50</v>
      </c>
      <c r="C83" s="90" t="s">
        <v>881</v>
      </c>
      <c r="D83" s="90" t="s">
        <v>662</v>
      </c>
      <c r="E83" s="90" t="s">
        <v>525</v>
      </c>
      <c r="F83" s="90" t="s">
        <v>752</v>
      </c>
      <c r="G83" s="305">
        <v>1</v>
      </c>
      <c r="H83" s="94"/>
      <c r="I83" s="94"/>
      <c r="J83" s="464">
        <f t="shared" si="2"/>
        <v>0</v>
      </c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5">
        <v>-36.76</v>
      </c>
      <c r="AG83" s="94"/>
      <c r="AH83" s="95">
        <v>-1262.18</v>
      </c>
      <c r="AI83" s="306">
        <v>-1225.42</v>
      </c>
    </row>
    <row r="84" spans="1:35" ht="15.75" thickBot="1" x14ac:dyDescent="0.3">
      <c r="A84" s="90" t="s">
        <v>885</v>
      </c>
      <c r="B84" s="90" t="s">
        <v>50</v>
      </c>
      <c r="C84" s="90" t="s">
        <v>881</v>
      </c>
      <c r="D84" s="90" t="s">
        <v>662</v>
      </c>
      <c r="E84" s="90" t="s">
        <v>518</v>
      </c>
      <c r="F84" s="90" t="s">
        <v>522</v>
      </c>
      <c r="G84" s="304">
        <v>2</v>
      </c>
      <c r="H84" s="93">
        <v>178740</v>
      </c>
      <c r="I84" s="92"/>
      <c r="J84" s="464">
        <f t="shared" si="2"/>
        <v>178740</v>
      </c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3">
        <v>178.61</v>
      </c>
      <c r="AG84" s="92"/>
      <c r="AH84" s="93">
        <v>7868</v>
      </c>
      <c r="AI84" s="306">
        <v>7689.39</v>
      </c>
    </row>
    <row r="85" spans="1:35" ht="15.75" thickBot="1" x14ac:dyDescent="0.3">
      <c r="A85" s="90" t="s">
        <v>885</v>
      </c>
      <c r="B85" s="90" t="s">
        <v>50</v>
      </c>
      <c r="C85" s="90" t="s">
        <v>881</v>
      </c>
      <c r="D85" s="90" t="s">
        <v>662</v>
      </c>
      <c r="E85" s="90" t="s">
        <v>527</v>
      </c>
      <c r="F85" s="90" t="s">
        <v>747</v>
      </c>
      <c r="G85" s="305">
        <v>1</v>
      </c>
      <c r="H85" s="94"/>
      <c r="I85" s="94"/>
      <c r="J85" s="464">
        <f t="shared" si="2"/>
        <v>0</v>
      </c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5">
        <v>-131.13999999999999</v>
      </c>
      <c r="AC85" s="94"/>
      <c r="AD85" s="94"/>
      <c r="AE85" s="94"/>
      <c r="AF85" s="95">
        <v>-3.93</v>
      </c>
      <c r="AG85" s="94"/>
      <c r="AH85" s="95">
        <v>-135.07</v>
      </c>
      <c r="AI85" s="95">
        <v>0</v>
      </c>
    </row>
    <row r="86" spans="1:35" ht="15.75" thickBot="1" x14ac:dyDescent="0.3">
      <c r="A86" s="90" t="s">
        <v>885</v>
      </c>
      <c r="B86" s="90" t="s">
        <v>50</v>
      </c>
      <c r="C86" s="90" t="s">
        <v>881</v>
      </c>
      <c r="D86" s="90" t="s">
        <v>662</v>
      </c>
      <c r="E86" s="90" t="s">
        <v>671</v>
      </c>
      <c r="F86" s="90" t="s">
        <v>703</v>
      </c>
      <c r="G86" s="304">
        <v>1</v>
      </c>
      <c r="H86" s="92"/>
      <c r="I86" s="92"/>
      <c r="J86" s="464">
        <f t="shared" si="2"/>
        <v>0</v>
      </c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3">
        <v>37.08</v>
      </c>
      <c r="Y86" s="92"/>
      <c r="Z86" s="92"/>
      <c r="AA86" s="92"/>
      <c r="AB86" s="92"/>
      <c r="AC86" s="92"/>
      <c r="AD86" s="92"/>
      <c r="AE86" s="92"/>
      <c r="AF86" s="93">
        <v>0</v>
      </c>
      <c r="AG86" s="92"/>
      <c r="AH86" s="93">
        <v>37.08</v>
      </c>
      <c r="AI86" s="93">
        <v>0</v>
      </c>
    </row>
    <row r="87" spans="1:35" ht="15.75" thickBot="1" x14ac:dyDescent="0.3">
      <c r="A87" s="90" t="s">
        <v>885</v>
      </c>
      <c r="B87" s="90" t="s">
        <v>50</v>
      </c>
      <c r="C87" s="90" t="s">
        <v>881</v>
      </c>
      <c r="D87" s="90" t="s">
        <v>662</v>
      </c>
      <c r="E87" s="90" t="s">
        <v>524</v>
      </c>
      <c r="F87" s="90" t="s">
        <v>746</v>
      </c>
      <c r="G87" s="305">
        <v>2</v>
      </c>
      <c r="H87" s="94"/>
      <c r="I87" s="94"/>
      <c r="J87" s="464">
        <f t="shared" si="2"/>
        <v>0</v>
      </c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5">
        <v>1100</v>
      </c>
      <c r="AE87" s="94"/>
      <c r="AF87" s="95">
        <v>16.489999999999998</v>
      </c>
      <c r="AG87" s="94"/>
      <c r="AH87" s="95">
        <v>1116.49</v>
      </c>
      <c r="AI87" s="95">
        <v>0</v>
      </c>
    </row>
    <row r="88" spans="1:35" ht="15.75" thickBot="1" x14ac:dyDescent="0.3">
      <c r="A88" s="90" t="s">
        <v>885</v>
      </c>
      <c r="B88" s="90" t="s">
        <v>50</v>
      </c>
      <c r="C88" s="90" t="s">
        <v>881</v>
      </c>
      <c r="D88" s="90" t="s">
        <v>662</v>
      </c>
      <c r="E88" s="90" t="s">
        <v>676</v>
      </c>
      <c r="F88" s="90" t="s">
        <v>748</v>
      </c>
      <c r="G88" s="304">
        <v>1</v>
      </c>
      <c r="H88" s="92"/>
      <c r="I88" s="92"/>
      <c r="J88" s="464">
        <f t="shared" si="2"/>
        <v>0</v>
      </c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3">
        <v>90.58</v>
      </c>
      <c r="AF88" s="93">
        <v>2.72</v>
      </c>
      <c r="AG88" s="92"/>
      <c r="AH88" s="93">
        <v>93.3</v>
      </c>
      <c r="AI88" s="93">
        <v>0</v>
      </c>
    </row>
    <row r="89" spans="1:35" ht="15.75" thickBot="1" x14ac:dyDescent="0.3">
      <c r="A89" s="90" t="s">
        <v>885</v>
      </c>
      <c r="B89" s="90" t="s">
        <v>50</v>
      </c>
      <c r="C89" s="90" t="s">
        <v>881</v>
      </c>
      <c r="D89" s="90" t="s">
        <v>662</v>
      </c>
      <c r="E89" s="90" t="s">
        <v>677</v>
      </c>
      <c r="F89" s="90" t="s">
        <v>749</v>
      </c>
      <c r="G89" s="305">
        <v>1</v>
      </c>
      <c r="H89" s="94"/>
      <c r="I89" s="94"/>
      <c r="J89" s="464">
        <f t="shared" si="2"/>
        <v>0</v>
      </c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5">
        <v>3</v>
      </c>
      <c r="AG89" s="94"/>
      <c r="AH89" s="95">
        <v>102.9</v>
      </c>
      <c r="AI89" s="306">
        <v>99.9</v>
      </c>
    </row>
    <row r="90" spans="1:35" ht="15.75" thickBot="1" x14ac:dyDescent="0.3">
      <c r="A90" s="90" t="s">
        <v>885</v>
      </c>
      <c r="B90" s="90" t="s">
        <v>52</v>
      </c>
      <c r="C90" s="90" t="s">
        <v>882</v>
      </c>
      <c r="D90" s="90" t="s">
        <v>663</v>
      </c>
      <c r="E90" s="90" t="s">
        <v>726</v>
      </c>
      <c r="F90" s="90" t="s">
        <v>685</v>
      </c>
      <c r="G90" s="304">
        <v>45</v>
      </c>
      <c r="H90" s="92"/>
      <c r="I90" s="92"/>
      <c r="J90" s="464">
        <f t="shared" si="2"/>
        <v>0</v>
      </c>
      <c r="K90" s="92"/>
      <c r="L90" s="92"/>
      <c r="M90" s="92"/>
      <c r="N90" s="93">
        <v>7713.94</v>
      </c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3">
        <v>385.87</v>
      </c>
      <c r="AG90" s="92"/>
      <c r="AH90" s="93">
        <v>8099.81</v>
      </c>
      <c r="AI90" s="93">
        <v>0</v>
      </c>
    </row>
    <row r="91" spans="1:35" ht="15.75" thickBot="1" x14ac:dyDescent="0.3">
      <c r="A91" s="90" t="s">
        <v>885</v>
      </c>
      <c r="B91" s="90" t="s">
        <v>52</v>
      </c>
      <c r="C91" s="90" t="s">
        <v>882</v>
      </c>
      <c r="D91" s="90" t="s">
        <v>663</v>
      </c>
      <c r="E91" s="90" t="s">
        <v>729</v>
      </c>
      <c r="F91" s="90" t="s">
        <v>947</v>
      </c>
      <c r="G91" s="305">
        <v>2</v>
      </c>
      <c r="H91" s="94"/>
      <c r="I91" s="94"/>
      <c r="J91" s="464">
        <f t="shared" si="2"/>
        <v>0</v>
      </c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5">
        <v>-122.82</v>
      </c>
      <c r="Z91" s="94"/>
      <c r="AA91" s="94"/>
      <c r="AB91" s="94"/>
      <c r="AC91" s="94"/>
      <c r="AD91" s="94"/>
      <c r="AE91" s="94"/>
      <c r="AF91" s="95">
        <v>-1.55</v>
      </c>
      <c r="AG91" s="94"/>
      <c r="AH91" s="95">
        <v>-124.37</v>
      </c>
      <c r="AI91" s="95">
        <v>0</v>
      </c>
    </row>
    <row r="92" spans="1:35" ht="15.75" thickBot="1" x14ac:dyDescent="0.3">
      <c r="A92" s="90" t="s">
        <v>885</v>
      </c>
      <c r="B92" s="90" t="s">
        <v>52</v>
      </c>
      <c r="C92" s="90" t="s">
        <v>882</v>
      </c>
      <c r="D92" s="90" t="s">
        <v>663</v>
      </c>
      <c r="E92" s="90" t="s">
        <v>525</v>
      </c>
      <c r="F92" s="90" t="s">
        <v>752</v>
      </c>
      <c r="G92" s="304">
        <v>1</v>
      </c>
      <c r="H92" s="92"/>
      <c r="I92" s="92"/>
      <c r="J92" s="464">
        <f t="shared" si="2"/>
        <v>0</v>
      </c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3">
        <v>-86.25</v>
      </c>
      <c r="AG92" s="92"/>
      <c r="AH92" s="93">
        <v>-1523.77</v>
      </c>
      <c r="AI92" s="306">
        <v>-1437.52</v>
      </c>
    </row>
    <row r="93" spans="1:35" ht="15.75" thickBot="1" x14ac:dyDescent="0.3">
      <c r="A93" s="90" t="s">
        <v>885</v>
      </c>
      <c r="B93" s="90" t="s">
        <v>52</v>
      </c>
      <c r="C93" s="90" t="s">
        <v>882</v>
      </c>
      <c r="D93" s="90" t="s">
        <v>663</v>
      </c>
      <c r="E93" s="90" t="s">
        <v>525</v>
      </c>
      <c r="F93" s="90" t="s">
        <v>750</v>
      </c>
      <c r="G93" s="305">
        <v>1</v>
      </c>
      <c r="H93" s="94"/>
      <c r="I93" s="94"/>
      <c r="J93" s="464">
        <f t="shared" si="2"/>
        <v>0</v>
      </c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5">
        <v>84.32</v>
      </c>
      <c r="AC93" s="94"/>
      <c r="AD93" s="94"/>
      <c r="AE93" s="94"/>
      <c r="AF93" s="95">
        <v>5.0599999999999996</v>
      </c>
      <c r="AG93" s="94"/>
      <c r="AH93" s="95">
        <v>89.38</v>
      </c>
      <c r="AI93" s="95">
        <v>0</v>
      </c>
    </row>
    <row r="94" spans="1:35" ht="15.75" thickBot="1" x14ac:dyDescent="0.3">
      <c r="A94" s="90" t="s">
        <v>885</v>
      </c>
      <c r="B94" s="90" t="s">
        <v>52</v>
      </c>
      <c r="C94" s="90" t="s">
        <v>882</v>
      </c>
      <c r="D94" s="90" t="s">
        <v>663</v>
      </c>
      <c r="E94" s="90" t="s">
        <v>518</v>
      </c>
      <c r="F94" s="90" t="s">
        <v>526</v>
      </c>
      <c r="G94" s="305">
        <v>1</v>
      </c>
      <c r="H94" s="95">
        <v>438</v>
      </c>
      <c r="I94" s="94"/>
      <c r="J94" s="464">
        <f t="shared" si="2"/>
        <v>438</v>
      </c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5">
        <v>1.1299999999999999</v>
      </c>
      <c r="AG94" s="94"/>
      <c r="AH94" s="95">
        <v>19.97</v>
      </c>
      <c r="AI94" s="306">
        <v>18.84</v>
      </c>
    </row>
    <row r="95" spans="1:35" ht="15.75" thickBot="1" x14ac:dyDescent="0.3">
      <c r="A95" s="90" t="s">
        <v>885</v>
      </c>
      <c r="B95" s="90" t="s">
        <v>52</v>
      </c>
      <c r="C95" s="90" t="s">
        <v>882</v>
      </c>
      <c r="D95" s="90" t="s">
        <v>663</v>
      </c>
      <c r="E95" s="90" t="s">
        <v>518</v>
      </c>
      <c r="F95" s="90" t="s">
        <v>522</v>
      </c>
      <c r="G95" s="304">
        <v>63</v>
      </c>
      <c r="H95" s="93">
        <v>10582787</v>
      </c>
      <c r="I95" s="92"/>
      <c r="J95" s="464">
        <f t="shared" si="2"/>
        <v>10582787</v>
      </c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3">
        <v>21296.28</v>
      </c>
      <c r="AG95" s="92"/>
      <c r="AH95" s="93">
        <v>476567.78</v>
      </c>
      <c r="AI95" s="306">
        <v>455271.5</v>
      </c>
    </row>
    <row r="96" spans="1:35" ht="15.75" thickBot="1" x14ac:dyDescent="0.3">
      <c r="A96" s="90" t="s">
        <v>885</v>
      </c>
      <c r="B96" s="90" t="s">
        <v>52</v>
      </c>
      <c r="C96" s="90" t="s">
        <v>882</v>
      </c>
      <c r="D96" s="90" t="s">
        <v>663</v>
      </c>
      <c r="E96" s="90" t="s">
        <v>527</v>
      </c>
      <c r="F96" s="90" t="s">
        <v>747</v>
      </c>
      <c r="G96" s="304">
        <v>1</v>
      </c>
      <c r="H96" s="92"/>
      <c r="I96" s="92"/>
      <c r="J96" s="464">
        <f t="shared" si="2"/>
        <v>0</v>
      </c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3">
        <v>-222.64</v>
      </c>
      <c r="AC96" s="92"/>
      <c r="AD96" s="92"/>
      <c r="AE96" s="92"/>
      <c r="AF96" s="93">
        <v>-13.36</v>
      </c>
      <c r="AG96" s="92"/>
      <c r="AH96" s="93">
        <v>-236</v>
      </c>
      <c r="AI96" s="93">
        <v>0</v>
      </c>
    </row>
    <row r="97" spans="1:35" ht="15.75" thickBot="1" x14ac:dyDescent="0.3">
      <c r="A97" s="90" t="s">
        <v>885</v>
      </c>
      <c r="B97" s="90" t="s">
        <v>52</v>
      </c>
      <c r="C97" s="90" t="s">
        <v>882</v>
      </c>
      <c r="D97" s="90" t="s">
        <v>663</v>
      </c>
      <c r="E97" s="90" t="s">
        <v>527</v>
      </c>
      <c r="F97" s="90" t="s">
        <v>744</v>
      </c>
      <c r="G97" s="305">
        <v>1</v>
      </c>
      <c r="H97" s="94"/>
      <c r="I97" s="94"/>
      <c r="J97" s="464">
        <f t="shared" si="2"/>
        <v>0</v>
      </c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5">
        <v>-1.04</v>
      </c>
      <c r="AG97" s="94"/>
      <c r="AH97" s="95">
        <v>-18.37</v>
      </c>
      <c r="AI97" s="306">
        <v>-17.329999999999998</v>
      </c>
    </row>
    <row r="98" spans="1:35" ht="15.75" thickBot="1" x14ac:dyDescent="0.3">
      <c r="A98" s="90" t="s">
        <v>885</v>
      </c>
      <c r="B98" s="90" t="s">
        <v>52</v>
      </c>
      <c r="C98" s="90" t="s">
        <v>882</v>
      </c>
      <c r="D98" s="90" t="s">
        <v>663</v>
      </c>
      <c r="E98" s="90" t="s">
        <v>671</v>
      </c>
      <c r="F98" s="90" t="s">
        <v>703</v>
      </c>
      <c r="G98" s="305">
        <v>27</v>
      </c>
      <c r="H98" s="94"/>
      <c r="I98" s="94"/>
      <c r="J98" s="464">
        <f t="shared" si="2"/>
        <v>0</v>
      </c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5">
        <v>1442.35</v>
      </c>
      <c r="Y98" s="94"/>
      <c r="Z98" s="94"/>
      <c r="AA98" s="94"/>
      <c r="AB98" s="94"/>
      <c r="AC98" s="94"/>
      <c r="AD98" s="94"/>
      <c r="AE98" s="94"/>
      <c r="AF98" s="95">
        <v>83.42</v>
      </c>
      <c r="AG98" s="94"/>
      <c r="AH98" s="95">
        <v>1525.77</v>
      </c>
      <c r="AI98" s="95">
        <v>0</v>
      </c>
    </row>
    <row r="99" spans="1:35" ht="15.75" thickBot="1" x14ac:dyDescent="0.3">
      <c r="A99" s="90" t="s">
        <v>885</v>
      </c>
      <c r="B99" s="90" t="s">
        <v>52</v>
      </c>
      <c r="C99" s="90" t="s">
        <v>882</v>
      </c>
      <c r="D99" s="90" t="s">
        <v>663</v>
      </c>
      <c r="E99" s="90" t="s">
        <v>524</v>
      </c>
      <c r="F99" s="90" t="s">
        <v>746</v>
      </c>
      <c r="G99" s="304">
        <v>63</v>
      </c>
      <c r="H99" s="92"/>
      <c r="I99" s="92"/>
      <c r="J99" s="464">
        <f t="shared" si="2"/>
        <v>0</v>
      </c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3">
        <v>34650</v>
      </c>
      <c r="AE99" s="92"/>
      <c r="AF99" s="93">
        <v>1707.43</v>
      </c>
      <c r="AG99" s="92"/>
      <c r="AH99" s="93">
        <v>36357.43</v>
      </c>
      <c r="AI99" s="93">
        <v>0</v>
      </c>
    </row>
    <row r="100" spans="1:35" ht="15.75" thickBot="1" x14ac:dyDescent="0.3">
      <c r="A100" s="90" t="s">
        <v>885</v>
      </c>
      <c r="B100" s="90" t="s">
        <v>52</v>
      </c>
      <c r="C100" s="90" t="s">
        <v>882</v>
      </c>
      <c r="D100" s="90" t="s">
        <v>663</v>
      </c>
      <c r="E100" s="90" t="s">
        <v>676</v>
      </c>
      <c r="F100" s="90" t="s">
        <v>748</v>
      </c>
      <c r="G100" s="305">
        <v>2</v>
      </c>
      <c r="H100" s="94"/>
      <c r="I100" s="94"/>
      <c r="J100" s="464">
        <f t="shared" si="2"/>
        <v>0</v>
      </c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5">
        <v>595.96</v>
      </c>
      <c r="AF100" s="95">
        <v>35.76</v>
      </c>
      <c r="AG100" s="94"/>
      <c r="AH100" s="95">
        <v>631.72</v>
      </c>
      <c r="AI100" s="95">
        <v>0</v>
      </c>
    </row>
    <row r="101" spans="1:35" ht="15.75" thickBot="1" x14ac:dyDescent="0.3">
      <c r="A101" s="90" t="s">
        <v>885</v>
      </c>
      <c r="B101" s="90" t="s">
        <v>52</v>
      </c>
      <c r="C101" s="90" t="s">
        <v>882</v>
      </c>
      <c r="D101" s="90" t="s">
        <v>663</v>
      </c>
      <c r="E101" s="90" t="s">
        <v>677</v>
      </c>
      <c r="F101" s="90" t="s">
        <v>749</v>
      </c>
      <c r="G101" s="304">
        <v>2</v>
      </c>
      <c r="H101" s="92"/>
      <c r="I101" s="92"/>
      <c r="J101" s="464">
        <f t="shared" si="2"/>
        <v>0</v>
      </c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3">
        <v>39.43</v>
      </c>
      <c r="AG101" s="92"/>
      <c r="AH101" s="93">
        <v>696.71</v>
      </c>
      <c r="AI101" s="306">
        <v>657.28</v>
      </c>
    </row>
    <row r="102" spans="1:35" ht="15.75" thickBot="1" x14ac:dyDescent="0.3">
      <c r="A102" s="90" t="s">
        <v>885</v>
      </c>
      <c r="B102" s="90" t="s">
        <v>52</v>
      </c>
      <c r="C102" s="90" t="s">
        <v>882</v>
      </c>
      <c r="D102" s="90" t="s">
        <v>662</v>
      </c>
      <c r="E102" s="90" t="s">
        <v>726</v>
      </c>
      <c r="F102" s="90" t="s">
        <v>685</v>
      </c>
      <c r="G102" s="304">
        <v>1</v>
      </c>
      <c r="H102" s="92"/>
      <c r="I102" s="92"/>
      <c r="J102" s="464">
        <f t="shared" si="2"/>
        <v>0</v>
      </c>
      <c r="K102" s="92"/>
      <c r="L102" s="92"/>
      <c r="M102" s="92"/>
      <c r="N102" s="93">
        <v>221.5</v>
      </c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3">
        <v>0</v>
      </c>
      <c r="AG102" s="92"/>
      <c r="AH102" s="93">
        <v>221.5</v>
      </c>
      <c r="AI102" s="93">
        <v>0</v>
      </c>
    </row>
    <row r="103" spans="1:35" ht="15.75" thickBot="1" x14ac:dyDescent="0.3">
      <c r="A103" s="90" t="s">
        <v>885</v>
      </c>
      <c r="B103" s="90" t="s">
        <v>52</v>
      </c>
      <c r="C103" s="90" t="s">
        <v>882</v>
      </c>
      <c r="D103" s="90" t="s">
        <v>662</v>
      </c>
      <c r="E103" s="90" t="s">
        <v>518</v>
      </c>
      <c r="F103" s="90" t="s">
        <v>522</v>
      </c>
      <c r="G103" s="305">
        <v>1</v>
      </c>
      <c r="H103" s="95">
        <v>244658</v>
      </c>
      <c r="I103" s="94"/>
      <c r="J103" s="464">
        <f t="shared" si="2"/>
        <v>244658</v>
      </c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5">
        <v>0</v>
      </c>
      <c r="AG103" s="94"/>
      <c r="AH103" s="95">
        <v>10525.19</v>
      </c>
      <c r="AI103" s="306">
        <v>10525.19</v>
      </c>
    </row>
    <row r="104" spans="1:35" ht="15.75" thickBot="1" x14ac:dyDescent="0.3">
      <c r="A104" s="90" t="s">
        <v>885</v>
      </c>
      <c r="B104" s="90" t="s">
        <v>52</v>
      </c>
      <c r="C104" s="90" t="s">
        <v>882</v>
      </c>
      <c r="D104" s="90" t="s">
        <v>662</v>
      </c>
      <c r="E104" s="90" t="s">
        <v>524</v>
      </c>
      <c r="F104" s="90" t="s">
        <v>746</v>
      </c>
      <c r="G104" s="304">
        <v>1</v>
      </c>
      <c r="H104" s="92"/>
      <c r="I104" s="92"/>
      <c r="J104" s="464">
        <f t="shared" si="2"/>
        <v>0</v>
      </c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3">
        <v>550</v>
      </c>
      <c r="AE104" s="92"/>
      <c r="AF104" s="93">
        <v>0</v>
      </c>
      <c r="AG104" s="92"/>
      <c r="AH104" s="93">
        <v>550</v>
      </c>
      <c r="AI104" s="93">
        <v>0</v>
      </c>
    </row>
    <row r="105" spans="1:35" ht="15.75" thickBot="1" x14ac:dyDescent="0.3">
      <c r="A105" s="90" t="s">
        <v>885</v>
      </c>
      <c r="B105" s="90" t="s">
        <v>54</v>
      </c>
      <c r="C105" s="90" t="s">
        <v>55</v>
      </c>
      <c r="D105" s="90" t="s">
        <v>663</v>
      </c>
      <c r="E105" s="90" t="s">
        <v>525</v>
      </c>
      <c r="F105" s="90" t="s">
        <v>752</v>
      </c>
      <c r="G105" s="305">
        <v>5</v>
      </c>
      <c r="H105" s="94"/>
      <c r="I105" s="94"/>
      <c r="J105" s="464">
        <f t="shared" si="2"/>
        <v>0</v>
      </c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5">
        <v>-339.62</v>
      </c>
      <c r="AG105" s="94"/>
      <c r="AH105" s="95">
        <v>-22122.21</v>
      </c>
      <c r="AI105" s="306">
        <v>-21782.59</v>
      </c>
    </row>
    <row r="106" spans="1:35" ht="15.75" thickBot="1" x14ac:dyDescent="0.3">
      <c r="A106" s="90" t="s">
        <v>885</v>
      </c>
      <c r="B106" s="90" t="s">
        <v>54</v>
      </c>
      <c r="C106" s="90" t="s">
        <v>55</v>
      </c>
      <c r="D106" s="90" t="s">
        <v>663</v>
      </c>
      <c r="E106" s="90" t="s">
        <v>527</v>
      </c>
      <c r="F106" s="90" t="s">
        <v>747</v>
      </c>
      <c r="G106" s="304">
        <v>5</v>
      </c>
      <c r="H106" s="92"/>
      <c r="I106" s="92"/>
      <c r="J106" s="464">
        <f t="shared" si="2"/>
        <v>0</v>
      </c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3">
        <v>-10315.94</v>
      </c>
      <c r="AC106" s="92"/>
      <c r="AD106" s="92"/>
      <c r="AE106" s="92"/>
      <c r="AF106" s="93">
        <v>-191.86</v>
      </c>
      <c r="AG106" s="92"/>
      <c r="AH106" s="93">
        <v>-10507.8</v>
      </c>
      <c r="AI106" s="93">
        <v>0</v>
      </c>
    </row>
    <row r="107" spans="1:35" ht="15.75" thickBot="1" x14ac:dyDescent="0.3">
      <c r="A107" s="90" t="s">
        <v>885</v>
      </c>
      <c r="B107" s="90" t="s">
        <v>54</v>
      </c>
      <c r="C107" s="90" t="s">
        <v>55</v>
      </c>
      <c r="D107" s="90" t="s">
        <v>663</v>
      </c>
      <c r="E107" s="90" t="s">
        <v>524</v>
      </c>
      <c r="F107" s="90" t="s">
        <v>746</v>
      </c>
      <c r="G107" s="305">
        <v>5</v>
      </c>
      <c r="H107" s="94"/>
      <c r="I107" s="94"/>
      <c r="J107" s="464">
        <f t="shared" si="2"/>
        <v>0</v>
      </c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5">
        <v>5325</v>
      </c>
      <c r="AE107" s="94"/>
      <c r="AF107" s="95">
        <v>9</v>
      </c>
      <c r="AG107" s="94"/>
      <c r="AH107" s="95">
        <v>5334</v>
      </c>
      <c r="AI107" s="95">
        <v>0</v>
      </c>
    </row>
    <row r="108" spans="1:35" ht="15.75" thickBot="1" x14ac:dyDescent="0.3">
      <c r="A108" s="90" t="s">
        <v>885</v>
      </c>
      <c r="B108" s="90" t="s">
        <v>54</v>
      </c>
      <c r="C108" s="90" t="s">
        <v>55</v>
      </c>
      <c r="D108" s="90" t="s">
        <v>663</v>
      </c>
      <c r="E108" s="90" t="s">
        <v>676</v>
      </c>
      <c r="F108" s="90" t="s">
        <v>748</v>
      </c>
      <c r="G108" s="304">
        <v>5</v>
      </c>
      <c r="H108" s="92"/>
      <c r="I108" s="92"/>
      <c r="J108" s="464">
        <f t="shared" si="2"/>
        <v>0</v>
      </c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3">
        <v>13950.59</v>
      </c>
      <c r="AF108" s="93">
        <v>533.72</v>
      </c>
      <c r="AG108" s="92"/>
      <c r="AH108" s="93">
        <v>14484.31</v>
      </c>
      <c r="AI108" s="93">
        <v>0</v>
      </c>
    </row>
    <row r="109" spans="1:35" ht="15.75" thickBot="1" x14ac:dyDescent="0.3">
      <c r="A109" s="90" t="s">
        <v>885</v>
      </c>
      <c r="B109" s="90" t="s">
        <v>54</v>
      </c>
      <c r="C109" s="90" t="s">
        <v>55</v>
      </c>
      <c r="D109" s="90" t="s">
        <v>663</v>
      </c>
      <c r="E109" s="90" t="s">
        <v>677</v>
      </c>
      <c r="F109" s="90" t="s">
        <v>749</v>
      </c>
      <c r="G109" s="305">
        <v>5</v>
      </c>
      <c r="H109" s="94"/>
      <c r="I109" s="94"/>
      <c r="J109" s="464">
        <f t="shared" si="2"/>
        <v>0</v>
      </c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5">
        <v>588.64</v>
      </c>
      <c r="AG109" s="94"/>
      <c r="AH109" s="95">
        <v>15974.6</v>
      </c>
      <c r="AI109" s="306">
        <v>15385.96</v>
      </c>
    </row>
    <row r="110" spans="1:35" ht="15.75" thickBot="1" x14ac:dyDescent="0.3">
      <c r="A110" s="90" t="s">
        <v>885</v>
      </c>
      <c r="B110" s="90" t="s">
        <v>42</v>
      </c>
      <c r="C110" s="90" t="s">
        <v>884</v>
      </c>
      <c r="D110" s="90" t="s">
        <v>663</v>
      </c>
      <c r="E110" s="90" t="s">
        <v>726</v>
      </c>
      <c r="F110" s="90" t="s">
        <v>685</v>
      </c>
      <c r="G110" s="305">
        <v>3</v>
      </c>
      <c r="H110" s="94"/>
      <c r="I110" s="94"/>
      <c r="J110" s="464">
        <f t="shared" si="2"/>
        <v>0</v>
      </c>
      <c r="K110" s="94"/>
      <c r="L110" s="94"/>
      <c r="M110" s="94"/>
      <c r="N110" s="95">
        <v>361.65</v>
      </c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5">
        <v>8.65</v>
      </c>
      <c r="AG110" s="94"/>
      <c r="AH110" s="95">
        <v>370.3</v>
      </c>
      <c r="AI110" s="95">
        <v>0</v>
      </c>
    </row>
    <row r="111" spans="1:35" ht="15.75" thickBot="1" x14ac:dyDescent="0.3">
      <c r="A111" s="90" t="s">
        <v>885</v>
      </c>
      <c r="B111" s="90" t="s">
        <v>42</v>
      </c>
      <c r="C111" s="90" t="s">
        <v>884</v>
      </c>
      <c r="D111" s="90" t="s">
        <v>663</v>
      </c>
      <c r="E111" s="90" t="s">
        <v>729</v>
      </c>
      <c r="F111" s="90" t="s">
        <v>947</v>
      </c>
      <c r="G111" s="304">
        <v>2</v>
      </c>
      <c r="H111" s="92"/>
      <c r="I111" s="92"/>
      <c r="J111" s="464">
        <f t="shared" si="2"/>
        <v>0</v>
      </c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3">
        <v>-904.59</v>
      </c>
      <c r="Z111" s="92"/>
      <c r="AA111" s="92"/>
      <c r="AB111" s="92"/>
      <c r="AC111" s="92"/>
      <c r="AD111" s="92"/>
      <c r="AE111" s="92"/>
      <c r="AF111" s="93">
        <v>-22.31</v>
      </c>
      <c r="AG111" s="92"/>
      <c r="AH111" s="93">
        <v>-926.9</v>
      </c>
      <c r="AI111" s="93">
        <v>0</v>
      </c>
    </row>
    <row r="112" spans="1:35" ht="15.75" thickBot="1" x14ac:dyDescent="0.3">
      <c r="A112" s="90" t="s">
        <v>885</v>
      </c>
      <c r="B112" s="90" t="s">
        <v>42</v>
      </c>
      <c r="C112" s="90" t="s">
        <v>884</v>
      </c>
      <c r="D112" s="90" t="s">
        <v>663</v>
      </c>
      <c r="E112" s="90" t="s">
        <v>528</v>
      </c>
      <c r="F112" s="90" t="s">
        <v>751</v>
      </c>
      <c r="G112" s="305">
        <v>4</v>
      </c>
      <c r="H112" s="94"/>
      <c r="I112" s="94"/>
      <c r="J112" s="464">
        <f t="shared" si="2"/>
        <v>0</v>
      </c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5">
        <v>16.2</v>
      </c>
      <c r="AG112" s="94"/>
      <c r="AH112" s="95">
        <v>736.2</v>
      </c>
      <c r="AI112" s="306">
        <v>720</v>
      </c>
    </row>
    <row r="113" spans="1:35" ht="15.75" thickBot="1" x14ac:dyDescent="0.3">
      <c r="A113" s="90" t="s">
        <v>885</v>
      </c>
      <c r="B113" s="90" t="s">
        <v>42</v>
      </c>
      <c r="C113" s="90" t="s">
        <v>884</v>
      </c>
      <c r="D113" s="90" t="s">
        <v>663</v>
      </c>
      <c r="E113" s="90" t="s">
        <v>518</v>
      </c>
      <c r="F113" s="90" t="s">
        <v>522</v>
      </c>
      <c r="G113" s="304">
        <v>3</v>
      </c>
      <c r="H113" s="93">
        <v>166413</v>
      </c>
      <c r="I113" s="92"/>
      <c r="J113" s="464">
        <f t="shared" si="2"/>
        <v>166413</v>
      </c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3">
        <v>1074.47</v>
      </c>
      <c r="AG113" s="92"/>
      <c r="AH113" s="93">
        <v>38981.68</v>
      </c>
      <c r="AI113" s="306">
        <v>37907.21</v>
      </c>
    </row>
    <row r="114" spans="1:35" ht="15.75" thickBot="1" x14ac:dyDescent="0.3">
      <c r="A114" s="90" t="s">
        <v>885</v>
      </c>
      <c r="B114" s="90" t="s">
        <v>42</v>
      </c>
      <c r="C114" s="90" t="s">
        <v>884</v>
      </c>
      <c r="D114" s="90" t="s">
        <v>663</v>
      </c>
      <c r="E114" s="90" t="s">
        <v>673</v>
      </c>
      <c r="F114" s="90" t="s">
        <v>643</v>
      </c>
      <c r="G114" s="305">
        <v>4</v>
      </c>
      <c r="H114" s="94"/>
      <c r="I114" s="94"/>
      <c r="J114" s="464">
        <f t="shared" si="2"/>
        <v>0</v>
      </c>
      <c r="K114" s="94"/>
      <c r="L114" s="94"/>
      <c r="M114" s="94"/>
      <c r="N114" s="94"/>
      <c r="O114" s="94"/>
      <c r="P114" s="94"/>
      <c r="Q114" s="94"/>
      <c r="R114" s="94"/>
      <c r="S114" s="95">
        <v>980.32</v>
      </c>
      <c r="T114" s="94"/>
      <c r="U114" s="94"/>
      <c r="V114" s="94"/>
      <c r="W114" s="95">
        <v>980.32</v>
      </c>
      <c r="X114" s="94"/>
      <c r="Y114" s="94"/>
      <c r="Z114" s="94"/>
      <c r="AA114" s="94"/>
      <c r="AB114" s="94"/>
      <c r="AC114" s="94"/>
      <c r="AD114" s="94"/>
      <c r="AE114" s="94"/>
      <c r="AF114" s="95">
        <v>22.05</v>
      </c>
      <c r="AG114" s="94"/>
      <c r="AH114" s="95">
        <v>1002.37</v>
      </c>
      <c r="AI114" s="95">
        <v>0</v>
      </c>
    </row>
    <row r="115" spans="1:35" ht="15.75" thickBot="1" x14ac:dyDescent="0.3">
      <c r="A115" s="90" t="s">
        <v>885</v>
      </c>
      <c r="B115" s="90" t="s">
        <v>42</v>
      </c>
      <c r="C115" s="90" t="s">
        <v>884</v>
      </c>
      <c r="D115" s="90" t="s">
        <v>663</v>
      </c>
      <c r="E115" s="90" t="s">
        <v>530</v>
      </c>
      <c r="F115" s="90" t="s">
        <v>745</v>
      </c>
      <c r="G115" s="304">
        <v>3</v>
      </c>
      <c r="H115" s="92"/>
      <c r="I115" s="92"/>
      <c r="J115" s="464">
        <f t="shared" si="2"/>
        <v>0</v>
      </c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3">
        <v>394.57</v>
      </c>
      <c r="AG115" s="92"/>
      <c r="AH115" s="93">
        <v>14315.02</v>
      </c>
      <c r="AI115" s="306">
        <v>13920.45</v>
      </c>
    </row>
    <row r="116" spans="1:35" ht="15.75" thickBot="1" x14ac:dyDescent="0.3">
      <c r="A116" s="90" t="s">
        <v>885</v>
      </c>
      <c r="B116" s="90" t="s">
        <v>42</v>
      </c>
      <c r="C116" s="90" t="s">
        <v>884</v>
      </c>
      <c r="D116" s="90" t="s">
        <v>663</v>
      </c>
      <c r="E116" s="90" t="s">
        <v>524</v>
      </c>
      <c r="F116" s="90" t="s">
        <v>746</v>
      </c>
      <c r="G116" s="305">
        <v>4</v>
      </c>
      <c r="H116" s="94"/>
      <c r="I116" s="94"/>
      <c r="J116" s="464">
        <f t="shared" si="2"/>
        <v>0</v>
      </c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5">
        <v>2200</v>
      </c>
      <c r="AE116" s="94"/>
      <c r="AF116" s="95">
        <v>49.5</v>
      </c>
      <c r="AG116" s="94"/>
      <c r="AH116" s="95">
        <v>2249.5</v>
      </c>
      <c r="AI116" s="95">
        <v>0</v>
      </c>
    </row>
    <row r="117" spans="1:35" ht="15.75" thickBot="1" x14ac:dyDescent="0.3">
      <c r="A117" s="90" t="s">
        <v>885</v>
      </c>
      <c r="B117" s="90" t="s">
        <v>42</v>
      </c>
      <c r="C117" s="90" t="s">
        <v>884</v>
      </c>
      <c r="D117" s="90" t="s">
        <v>662</v>
      </c>
      <c r="E117" s="90" t="s">
        <v>726</v>
      </c>
      <c r="F117" s="90" t="s">
        <v>685</v>
      </c>
      <c r="G117" s="305">
        <v>1</v>
      </c>
      <c r="H117" s="94"/>
      <c r="I117" s="94"/>
      <c r="J117" s="464">
        <f t="shared" si="2"/>
        <v>0</v>
      </c>
      <c r="K117" s="94"/>
      <c r="L117" s="94"/>
      <c r="M117" s="94"/>
      <c r="N117" s="95">
        <v>1031.25</v>
      </c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5">
        <v>0</v>
      </c>
      <c r="AG117" s="94"/>
      <c r="AH117" s="95">
        <v>1031.25</v>
      </c>
      <c r="AI117" s="95">
        <v>0</v>
      </c>
    </row>
    <row r="118" spans="1:35" ht="15.75" thickBot="1" x14ac:dyDescent="0.3">
      <c r="A118" s="90" t="s">
        <v>885</v>
      </c>
      <c r="B118" s="90" t="s">
        <v>42</v>
      </c>
      <c r="C118" s="90" t="s">
        <v>884</v>
      </c>
      <c r="D118" s="90" t="s">
        <v>662</v>
      </c>
      <c r="E118" s="90" t="s">
        <v>729</v>
      </c>
      <c r="F118" s="90" t="s">
        <v>947</v>
      </c>
      <c r="G118" s="304">
        <v>1</v>
      </c>
      <c r="H118" s="92"/>
      <c r="I118" s="92"/>
      <c r="J118" s="464">
        <f t="shared" si="2"/>
        <v>0</v>
      </c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3">
        <v>-3019.07</v>
      </c>
      <c r="Z118" s="92"/>
      <c r="AA118" s="92"/>
      <c r="AB118" s="92"/>
      <c r="AC118" s="92"/>
      <c r="AD118" s="92"/>
      <c r="AE118" s="92"/>
      <c r="AF118" s="93">
        <v>0</v>
      </c>
      <c r="AG118" s="92"/>
      <c r="AH118" s="93">
        <v>-3019.07</v>
      </c>
      <c r="AI118" s="93">
        <v>0</v>
      </c>
    </row>
    <row r="119" spans="1:35" ht="15.75" thickBot="1" x14ac:dyDescent="0.3">
      <c r="A119" s="90" t="s">
        <v>885</v>
      </c>
      <c r="B119" s="90" t="s">
        <v>42</v>
      </c>
      <c r="C119" s="90" t="s">
        <v>884</v>
      </c>
      <c r="D119" s="90" t="s">
        <v>662</v>
      </c>
      <c r="E119" s="90" t="s">
        <v>528</v>
      </c>
      <c r="F119" s="90" t="s">
        <v>751</v>
      </c>
      <c r="G119" s="305">
        <v>1</v>
      </c>
      <c r="H119" s="94"/>
      <c r="I119" s="94"/>
      <c r="J119" s="464">
        <f t="shared" si="2"/>
        <v>0</v>
      </c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5">
        <v>0</v>
      </c>
      <c r="AG119" s="94"/>
      <c r="AH119" s="95">
        <v>180</v>
      </c>
      <c r="AI119" s="306">
        <v>180</v>
      </c>
    </row>
    <row r="120" spans="1:35" ht="15.75" thickBot="1" x14ac:dyDescent="0.3">
      <c r="A120" s="90" t="s">
        <v>885</v>
      </c>
      <c r="B120" s="90" t="s">
        <v>42</v>
      </c>
      <c r="C120" s="90" t="s">
        <v>884</v>
      </c>
      <c r="D120" s="90" t="s">
        <v>662</v>
      </c>
      <c r="E120" s="90" t="s">
        <v>518</v>
      </c>
      <c r="F120" s="90" t="s">
        <v>522</v>
      </c>
      <c r="G120" s="304">
        <v>1</v>
      </c>
      <c r="H120" s="93">
        <v>172125</v>
      </c>
      <c r="I120" s="92"/>
      <c r="J120" s="464">
        <f t="shared" si="2"/>
        <v>172125</v>
      </c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3">
        <v>0</v>
      </c>
      <c r="AG120" s="92"/>
      <c r="AH120" s="93">
        <v>39208.35</v>
      </c>
      <c r="AI120" s="306">
        <v>39208.35</v>
      </c>
    </row>
    <row r="121" spans="1:35" ht="15.75" thickBot="1" x14ac:dyDescent="0.3">
      <c r="A121" s="90" t="s">
        <v>885</v>
      </c>
      <c r="B121" s="90" t="s">
        <v>42</v>
      </c>
      <c r="C121" s="90" t="s">
        <v>884</v>
      </c>
      <c r="D121" s="90" t="s">
        <v>662</v>
      </c>
      <c r="E121" s="90" t="s">
        <v>673</v>
      </c>
      <c r="F121" s="90" t="s">
        <v>643</v>
      </c>
      <c r="G121" s="305">
        <v>1</v>
      </c>
      <c r="H121" s="94"/>
      <c r="I121" s="94"/>
      <c r="J121" s="464">
        <f t="shared" si="2"/>
        <v>0</v>
      </c>
      <c r="K121" s="94"/>
      <c r="L121" s="94"/>
      <c r="M121" s="94"/>
      <c r="N121" s="94"/>
      <c r="O121" s="94"/>
      <c r="P121" s="94"/>
      <c r="Q121" s="94"/>
      <c r="R121" s="94"/>
      <c r="S121" s="95">
        <v>245.08</v>
      </c>
      <c r="T121" s="94"/>
      <c r="U121" s="94"/>
      <c r="V121" s="94"/>
      <c r="W121" s="95">
        <v>245.08</v>
      </c>
      <c r="X121" s="94"/>
      <c r="Y121" s="94"/>
      <c r="Z121" s="94"/>
      <c r="AA121" s="94"/>
      <c r="AB121" s="94"/>
      <c r="AC121" s="94"/>
      <c r="AD121" s="94"/>
      <c r="AE121" s="94"/>
      <c r="AF121" s="95">
        <v>0</v>
      </c>
      <c r="AG121" s="94"/>
      <c r="AH121" s="95">
        <v>245.08</v>
      </c>
      <c r="AI121" s="95">
        <v>0</v>
      </c>
    </row>
    <row r="122" spans="1:35" ht="15.75" thickBot="1" x14ac:dyDescent="0.3">
      <c r="A122" s="90" t="s">
        <v>885</v>
      </c>
      <c r="B122" s="90" t="s">
        <v>42</v>
      </c>
      <c r="C122" s="90" t="s">
        <v>884</v>
      </c>
      <c r="D122" s="90" t="s">
        <v>662</v>
      </c>
      <c r="E122" s="90" t="s">
        <v>530</v>
      </c>
      <c r="F122" s="90" t="s">
        <v>745</v>
      </c>
      <c r="G122" s="304">
        <v>1</v>
      </c>
      <c r="H122" s="92"/>
      <c r="I122" s="92"/>
      <c r="J122" s="464">
        <f t="shared" si="2"/>
        <v>0</v>
      </c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3">
        <v>0</v>
      </c>
      <c r="AG122" s="92"/>
      <c r="AH122" s="93">
        <v>14398.26</v>
      </c>
      <c r="AI122" s="306">
        <v>14398.26</v>
      </c>
    </row>
    <row r="123" spans="1:35" ht="15.75" thickBot="1" x14ac:dyDescent="0.3">
      <c r="A123" s="90" t="s">
        <v>885</v>
      </c>
      <c r="B123" s="90" t="s">
        <v>42</v>
      </c>
      <c r="C123" s="90" t="s">
        <v>884</v>
      </c>
      <c r="D123" s="90" t="s">
        <v>662</v>
      </c>
      <c r="E123" s="90" t="s">
        <v>524</v>
      </c>
      <c r="F123" s="90" t="s">
        <v>746</v>
      </c>
      <c r="G123" s="305">
        <v>1</v>
      </c>
      <c r="H123" s="94"/>
      <c r="I123" s="94"/>
      <c r="J123" s="464">
        <f t="shared" si="2"/>
        <v>0</v>
      </c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5">
        <v>550</v>
      </c>
      <c r="AE123" s="94"/>
      <c r="AF123" s="95">
        <v>0</v>
      </c>
      <c r="AG123" s="94"/>
      <c r="AH123" s="95">
        <v>550</v>
      </c>
      <c r="AI123" s="95">
        <v>0</v>
      </c>
    </row>
    <row r="124" spans="1:35" ht="15.75" thickBot="1" x14ac:dyDescent="0.3">
      <c r="A124" s="90" t="s">
        <v>885</v>
      </c>
      <c r="B124" s="90" t="s">
        <v>57</v>
      </c>
      <c r="C124" s="90" t="s">
        <v>58</v>
      </c>
      <c r="D124" s="90" t="s">
        <v>664</v>
      </c>
      <c r="E124" s="90" t="s">
        <v>726</v>
      </c>
      <c r="F124" s="90" t="s">
        <v>685</v>
      </c>
      <c r="G124" s="304">
        <v>1</v>
      </c>
      <c r="H124" s="92"/>
      <c r="I124" s="92"/>
      <c r="J124" s="464">
        <f t="shared" ref="J124:J187" si="3">H124+I124</f>
        <v>0</v>
      </c>
      <c r="K124" s="92"/>
      <c r="L124" s="92"/>
      <c r="M124" s="92"/>
      <c r="N124" s="93">
        <v>2018.15</v>
      </c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3">
        <v>0</v>
      </c>
      <c r="AG124" s="92"/>
      <c r="AH124" s="93">
        <v>2018.15</v>
      </c>
      <c r="AI124" s="93">
        <v>0</v>
      </c>
    </row>
    <row r="125" spans="1:35" ht="15.75" thickBot="1" x14ac:dyDescent="0.3">
      <c r="A125" s="90" t="s">
        <v>885</v>
      </c>
      <c r="B125" s="90" t="s">
        <v>57</v>
      </c>
      <c r="C125" s="90" t="s">
        <v>58</v>
      </c>
      <c r="D125" s="90" t="s">
        <v>664</v>
      </c>
      <c r="E125" s="90" t="s">
        <v>525</v>
      </c>
      <c r="F125" s="90" t="s">
        <v>752</v>
      </c>
      <c r="G125" s="305">
        <v>1</v>
      </c>
      <c r="H125" s="94"/>
      <c r="I125" s="94"/>
      <c r="J125" s="464">
        <f t="shared" si="3"/>
        <v>0</v>
      </c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5">
        <v>0</v>
      </c>
      <c r="AG125" s="94"/>
      <c r="AH125" s="95">
        <v>-10755.22</v>
      </c>
      <c r="AI125" s="306">
        <v>-10755.22</v>
      </c>
    </row>
    <row r="126" spans="1:35" ht="15.75" thickBot="1" x14ac:dyDescent="0.3">
      <c r="A126" s="90" t="s">
        <v>885</v>
      </c>
      <c r="B126" s="90" t="s">
        <v>57</v>
      </c>
      <c r="C126" s="90" t="s">
        <v>58</v>
      </c>
      <c r="D126" s="90" t="s">
        <v>664</v>
      </c>
      <c r="E126" s="90" t="s">
        <v>528</v>
      </c>
      <c r="F126" s="90" t="s">
        <v>751</v>
      </c>
      <c r="G126" s="304">
        <v>1</v>
      </c>
      <c r="H126" s="92"/>
      <c r="I126" s="92"/>
      <c r="J126" s="464">
        <f t="shared" si="3"/>
        <v>0</v>
      </c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3">
        <v>0</v>
      </c>
      <c r="AG126" s="92"/>
      <c r="AH126" s="93">
        <v>800</v>
      </c>
      <c r="AI126" s="306">
        <v>800</v>
      </c>
    </row>
    <row r="127" spans="1:35" ht="15.75" thickBot="1" x14ac:dyDescent="0.3">
      <c r="A127" s="90" t="s">
        <v>885</v>
      </c>
      <c r="B127" s="90" t="s">
        <v>57</v>
      </c>
      <c r="C127" s="90" t="s">
        <v>58</v>
      </c>
      <c r="D127" s="90" t="s">
        <v>664</v>
      </c>
      <c r="E127" s="90" t="s">
        <v>518</v>
      </c>
      <c r="F127" s="90" t="s">
        <v>522</v>
      </c>
      <c r="G127" s="305">
        <v>1</v>
      </c>
      <c r="H127" s="95">
        <v>3013</v>
      </c>
      <c r="I127" s="94"/>
      <c r="J127" s="464">
        <f t="shared" si="3"/>
        <v>3013</v>
      </c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5">
        <v>0</v>
      </c>
      <c r="AG127" s="94"/>
      <c r="AH127" s="95">
        <v>14.97</v>
      </c>
      <c r="AI127" s="306">
        <v>14.97</v>
      </c>
    </row>
    <row r="128" spans="1:35" ht="15.75" thickBot="1" x14ac:dyDescent="0.3">
      <c r="A128" s="90" t="s">
        <v>885</v>
      </c>
      <c r="B128" s="90" t="s">
        <v>57</v>
      </c>
      <c r="C128" s="90" t="s">
        <v>58</v>
      </c>
      <c r="D128" s="90" t="s">
        <v>664</v>
      </c>
      <c r="E128" s="90" t="s">
        <v>527</v>
      </c>
      <c r="F128" s="90" t="s">
        <v>747</v>
      </c>
      <c r="G128" s="304">
        <v>1</v>
      </c>
      <c r="H128" s="92"/>
      <c r="I128" s="92"/>
      <c r="J128" s="464">
        <f t="shared" si="3"/>
        <v>0</v>
      </c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3">
        <v>-79.290000000000006</v>
      </c>
      <c r="AC128" s="92"/>
      <c r="AD128" s="92"/>
      <c r="AE128" s="92"/>
      <c r="AF128" s="93">
        <v>0</v>
      </c>
      <c r="AG128" s="92"/>
      <c r="AH128" s="93">
        <v>-79.290000000000006</v>
      </c>
      <c r="AI128" s="93">
        <v>0</v>
      </c>
    </row>
    <row r="129" spans="1:35" ht="15.75" thickBot="1" x14ac:dyDescent="0.3">
      <c r="A129" s="90" t="s">
        <v>885</v>
      </c>
      <c r="B129" s="90" t="s">
        <v>57</v>
      </c>
      <c r="C129" s="90" t="s">
        <v>58</v>
      </c>
      <c r="D129" s="90" t="s">
        <v>664</v>
      </c>
      <c r="E129" s="90" t="s">
        <v>529</v>
      </c>
      <c r="F129" s="90" t="s">
        <v>522</v>
      </c>
      <c r="G129" s="305">
        <v>1</v>
      </c>
      <c r="H129" s="94"/>
      <c r="I129" s="94"/>
      <c r="J129" s="464">
        <f t="shared" si="3"/>
        <v>0</v>
      </c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5">
        <v>0</v>
      </c>
      <c r="AG129" s="94"/>
      <c r="AH129" s="95">
        <v>107140.32</v>
      </c>
      <c r="AI129" s="306">
        <v>107140.32</v>
      </c>
    </row>
    <row r="130" spans="1:35" ht="15.75" thickBot="1" x14ac:dyDescent="0.3">
      <c r="A130" s="90" t="s">
        <v>885</v>
      </c>
      <c r="B130" s="90" t="s">
        <v>57</v>
      </c>
      <c r="C130" s="90" t="s">
        <v>58</v>
      </c>
      <c r="D130" s="90" t="s">
        <v>664</v>
      </c>
      <c r="E130" s="90" t="s">
        <v>676</v>
      </c>
      <c r="F130" s="90" t="s">
        <v>748</v>
      </c>
      <c r="G130" s="304">
        <v>1</v>
      </c>
      <c r="H130" s="92"/>
      <c r="I130" s="92"/>
      <c r="J130" s="464">
        <f t="shared" si="3"/>
        <v>0</v>
      </c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3">
        <v>1800.79</v>
      </c>
      <c r="AF130" s="93">
        <v>0</v>
      </c>
      <c r="AG130" s="92"/>
      <c r="AH130" s="93">
        <v>1800.79</v>
      </c>
      <c r="AI130" s="93">
        <v>0</v>
      </c>
    </row>
    <row r="131" spans="1:35" ht="15.75" thickBot="1" x14ac:dyDescent="0.3">
      <c r="A131" s="90" t="s">
        <v>885</v>
      </c>
      <c r="B131" s="90" t="s">
        <v>57</v>
      </c>
      <c r="C131" s="90" t="s">
        <v>58</v>
      </c>
      <c r="D131" s="90" t="s">
        <v>664</v>
      </c>
      <c r="E131" s="90" t="s">
        <v>677</v>
      </c>
      <c r="F131" s="90" t="s">
        <v>749</v>
      </c>
      <c r="G131" s="305">
        <v>1</v>
      </c>
      <c r="H131" s="94"/>
      <c r="I131" s="94"/>
      <c r="J131" s="464">
        <f t="shared" si="3"/>
        <v>0</v>
      </c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5">
        <v>0</v>
      </c>
      <c r="AG131" s="94"/>
      <c r="AH131" s="95">
        <v>1986.08</v>
      </c>
      <c r="AI131" s="306">
        <v>1986.08</v>
      </c>
    </row>
    <row r="132" spans="1:35" ht="15.75" thickBot="1" x14ac:dyDescent="0.3">
      <c r="A132" s="90" t="s">
        <v>885</v>
      </c>
      <c r="B132" s="90" t="s">
        <v>93</v>
      </c>
      <c r="C132" s="90" t="s">
        <v>719</v>
      </c>
      <c r="D132" s="90" t="s">
        <v>663</v>
      </c>
      <c r="E132" s="90" t="s">
        <v>525</v>
      </c>
      <c r="F132" s="90" t="s">
        <v>750</v>
      </c>
      <c r="G132" s="305">
        <v>2</v>
      </c>
      <c r="H132" s="94"/>
      <c r="I132" s="94"/>
      <c r="J132" s="464">
        <f t="shared" si="3"/>
        <v>0</v>
      </c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5">
        <v>1539.58</v>
      </c>
      <c r="AC132" s="94"/>
      <c r="AD132" s="94"/>
      <c r="AE132" s="94"/>
      <c r="AF132" s="95">
        <v>0</v>
      </c>
      <c r="AG132" s="94"/>
      <c r="AH132" s="95">
        <v>1539.58</v>
      </c>
      <c r="AI132" s="95">
        <v>0</v>
      </c>
    </row>
    <row r="133" spans="1:35" ht="15.75" thickBot="1" x14ac:dyDescent="0.3">
      <c r="A133" s="90" t="s">
        <v>885</v>
      </c>
      <c r="B133" s="90" t="s">
        <v>93</v>
      </c>
      <c r="C133" s="90" t="s">
        <v>719</v>
      </c>
      <c r="D133" s="90" t="s">
        <v>663</v>
      </c>
      <c r="E133" s="90" t="s">
        <v>527</v>
      </c>
      <c r="F133" s="90" t="s">
        <v>744</v>
      </c>
      <c r="G133" s="304">
        <v>2</v>
      </c>
      <c r="H133" s="92"/>
      <c r="I133" s="92"/>
      <c r="J133" s="464">
        <f t="shared" si="3"/>
        <v>0</v>
      </c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3">
        <v>0</v>
      </c>
      <c r="AG133" s="92"/>
      <c r="AH133" s="93">
        <v>-435.08</v>
      </c>
      <c r="AI133" s="306">
        <v>-435.08</v>
      </c>
    </row>
    <row r="134" spans="1:35" ht="15.75" thickBot="1" x14ac:dyDescent="0.3">
      <c r="A134" s="90" t="s">
        <v>885</v>
      </c>
      <c r="B134" s="90" t="s">
        <v>93</v>
      </c>
      <c r="C134" s="90" t="s">
        <v>719</v>
      </c>
      <c r="D134" s="90" t="s">
        <v>663</v>
      </c>
      <c r="E134" s="90" t="s">
        <v>524</v>
      </c>
      <c r="F134" s="90" t="s">
        <v>746</v>
      </c>
      <c r="G134" s="305">
        <v>2</v>
      </c>
      <c r="H134" s="94"/>
      <c r="I134" s="94"/>
      <c r="J134" s="464">
        <f t="shared" si="3"/>
        <v>0</v>
      </c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5">
        <v>525</v>
      </c>
      <c r="AE134" s="94"/>
      <c r="AF134" s="95">
        <v>0</v>
      </c>
      <c r="AG134" s="94"/>
      <c r="AH134" s="95">
        <v>525</v>
      </c>
      <c r="AI134" s="95">
        <v>0</v>
      </c>
    </row>
    <row r="135" spans="1:35" ht="15.75" thickBot="1" x14ac:dyDescent="0.3">
      <c r="A135" s="90" t="s">
        <v>885</v>
      </c>
      <c r="B135" s="90" t="s">
        <v>96</v>
      </c>
      <c r="C135" s="90" t="s">
        <v>883</v>
      </c>
      <c r="D135" s="90" t="s">
        <v>663</v>
      </c>
      <c r="E135" s="90" t="s">
        <v>729</v>
      </c>
      <c r="F135" s="90" t="s">
        <v>947</v>
      </c>
      <c r="G135" s="305">
        <v>1</v>
      </c>
      <c r="H135" s="94"/>
      <c r="I135" s="94"/>
      <c r="J135" s="464">
        <f t="shared" si="3"/>
        <v>0</v>
      </c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5">
        <v>-105.71</v>
      </c>
      <c r="Z135" s="94"/>
      <c r="AA135" s="94"/>
      <c r="AB135" s="94"/>
      <c r="AC135" s="94"/>
      <c r="AD135" s="94"/>
      <c r="AE135" s="94"/>
      <c r="AF135" s="95">
        <v>0</v>
      </c>
      <c r="AG135" s="94"/>
      <c r="AH135" s="95">
        <v>-105.71</v>
      </c>
      <c r="AI135" s="95">
        <v>0</v>
      </c>
    </row>
    <row r="136" spans="1:35" ht="15.75" thickBot="1" x14ac:dyDescent="0.3">
      <c r="A136" s="90" t="s">
        <v>885</v>
      </c>
      <c r="B136" s="90" t="s">
        <v>96</v>
      </c>
      <c r="C136" s="90" t="s">
        <v>883</v>
      </c>
      <c r="D136" s="90" t="s">
        <v>663</v>
      </c>
      <c r="E136" s="90" t="s">
        <v>528</v>
      </c>
      <c r="F136" s="90" t="s">
        <v>751</v>
      </c>
      <c r="G136" s="304">
        <v>1</v>
      </c>
      <c r="H136" s="92"/>
      <c r="I136" s="92"/>
      <c r="J136" s="464">
        <f t="shared" si="3"/>
        <v>0</v>
      </c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3">
        <v>0</v>
      </c>
      <c r="AG136" s="92"/>
      <c r="AH136" s="93">
        <v>400</v>
      </c>
      <c r="AI136" s="306">
        <v>400</v>
      </c>
    </row>
    <row r="137" spans="1:35" ht="15.75" thickBot="1" x14ac:dyDescent="0.3">
      <c r="A137" s="90" t="s">
        <v>885</v>
      </c>
      <c r="B137" s="90" t="s">
        <v>96</v>
      </c>
      <c r="C137" s="90" t="s">
        <v>883</v>
      </c>
      <c r="D137" s="90" t="s">
        <v>663</v>
      </c>
      <c r="E137" s="90" t="s">
        <v>518</v>
      </c>
      <c r="F137" s="90" t="s">
        <v>522</v>
      </c>
      <c r="G137" s="305">
        <v>1</v>
      </c>
      <c r="H137" s="95">
        <v>116163</v>
      </c>
      <c r="I137" s="94"/>
      <c r="J137" s="464">
        <f t="shared" si="3"/>
        <v>116163</v>
      </c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5">
        <v>0</v>
      </c>
      <c r="AG137" s="94"/>
      <c r="AH137" s="95">
        <v>8141.86</v>
      </c>
      <c r="AI137" s="306">
        <v>8141.86</v>
      </c>
    </row>
    <row r="138" spans="1:35" ht="15.75" thickBot="1" x14ac:dyDescent="0.3">
      <c r="A138" s="90" t="s">
        <v>885</v>
      </c>
      <c r="B138" s="90" t="s">
        <v>96</v>
      </c>
      <c r="C138" s="90" t="s">
        <v>883</v>
      </c>
      <c r="D138" s="90" t="s">
        <v>663</v>
      </c>
      <c r="E138" s="90" t="s">
        <v>673</v>
      </c>
      <c r="F138" s="90" t="s">
        <v>643</v>
      </c>
      <c r="G138" s="304">
        <v>1</v>
      </c>
      <c r="H138" s="92"/>
      <c r="I138" s="92"/>
      <c r="J138" s="464">
        <f t="shared" si="3"/>
        <v>0</v>
      </c>
      <c r="K138" s="92"/>
      <c r="L138" s="92"/>
      <c r="M138" s="92"/>
      <c r="N138" s="92"/>
      <c r="O138" s="92"/>
      <c r="P138" s="92"/>
      <c r="Q138" s="92"/>
      <c r="R138" s="92"/>
      <c r="S138" s="93">
        <v>2688.31</v>
      </c>
      <c r="T138" s="92"/>
      <c r="U138" s="92"/>
      <c r="V138" s="92"/>
      <c r="W138" s="93">
        <v>2688.31</v>
      </c>
      <c r="X138" s="92"/>
      <c r="Y138" s="92"/>
      <c r="Z138" s="92"/>
      <c r="AA138" s="92"/>
      <c r="AB138" s="92"/>
      <c r="AC138" s="92"/>
      <c r="AD138" s="92"/>
      <c r="AE138" s="92"/>
      <c r="AF138" s="93">
        <v>0</v>
      </c>
      <c r="AG138" s="92"/>
      <c r="AH138" s="93">
        <v>2688.31</v>
      </c>
      <c r="AI138" s="93">
        <v>0</v>
      </c>
    </row>
    <row r="139" spans="1:35" ht="15.75" thickBot="1" x14ac:dyDescent="0.3">
      <c r="A139" s="90" t="s">
        <v>885</v>
      </c>
      <c r="B139" s="90" t="s">
        <v>96</v>
      </c>
      <c r="C139" s="90" t="s">
        <v>883</v>
      </c>
      <c r="D139" s="90" t="s">
        <v>663</v>
      </c>
      <c r="E139" s="90" t="s">
        <v>530</v>
      </c>
      <c r="F139" s="90" t="s">
        <v>745</v>
      </c>
      <c r="G139" s="305">
        <v>1</v>
      </c>
      <c r="H139" s="94"/>
      <c r="I139" s="94"/>
      <c r="J139" s="464">
        <f t="shared" si="3"/>
        <v>0</v>
      </c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5">
        <v>0</v>
      </c>
      <c r="AG139" s="94"/>
      <c r="AH139" s="95">
        <v>9717.0300000000007</v>
      </c>
      <c r="AI139" s="306">
        <v>9717.0300000000007</v>
      </c>
    </row>
    <row r="140" spans="1:35" ht="15.75" thickBot="1" x14ac:dyDescent="0.3">
      <c r="A140" s="90" t="s">
        <v>885</v>
      </c>
      <c r="B140" s="90" t="s">
        <v>96</v>
      </c>
      <c r="C140" s="90" t="s">
        <v>883</v>
      </c>
      <c r="D140" s="90" t="s">
        <v>663</v>
      </c>
      <c r="E140" s="90" t="s">
        <v>524</v>
      </c>
      <c r="F140" s="90" t="s">
        <v>746</v>
      </c>
      <c r="G140" s="304">
        <v>1</v>
      </c>
      <c r="H140" s="92"/>
      <c r="I140" s="92"/>
      <c r="J140" s="464">
        <f t="shared" si="3"/>
        <v>0</v>
      </c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3">
        <v>550</v>
      </c>
      <c r="AE140" s="92"/>
      <c r="AF140" s="93">
        <v>0</v>
      </c>
      <c r="AG140" s="92"/>
      <c r="AH140" s="93">
        <v>550</v>
      </c>
      <c r="AI140" s="93">
        <v>0</v>
      </c>
    </row>
    <row r="141" spans="1:35" ht="15.75" thickBot="1" x14ac:dyDescent="0.3">
      <c r="A141" s="90" t="s">
        <v>885</v>
      </c>
      <c r="B141" s="90" t="s">
        <v>96</v>
      </c>
      <c r="C141" s="90" t="s">
        <v>883</v>
      </c>
      <c r="D141" s="90" t="s">
        <v>662</v>
      </c>
      <c r="E141" s="90" t="s">
        <v>726</v>
      </c>
      <c r="F141" s="90" t="s">
        <v>685</v>
      </c>
      <c r="G141" s="304">
        <v>1</v>
      </c>
      <c r="H141" s="92"/>
      <c r="I141" s="92"/>
      <c r="J141" s="464">
        <f t="shared" si="3"/>
        <v>0</v>
      </c>
      <c r="K141" s="92"/>
      <c r="L141" s="92"/>
      <c r="M141" s="92"/>
      <c r="N141" s="93">
        <v>507.97</v>
      </c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3">
        <v>0</v>
      </c>
      <c r="AG141" s="92"/>
      <c r="AH141" s="93">
        <v>507.97</v>
      </c>
      <c r="AI141" s="93">
        <v>0</v>
      </c>
    </row>
    <row r="142" spans="1:35" ht="15.75" thickBot="1" x14ac:dyDescent="0.3">
      <c r="A142" s="90" t="s">
        <v>885</v>
      </c>
      <c r="B142" s="90" t="s">
        <v>96</v>
      </c>
      <c r="C142" s="90" t="s">
        <v>883</v>
      </c>
      <c r="D142" s="90" t="s">
        <v>662</v>
      </c>
      <c r="E142" s="90" t="s">
        <v>729</v>
      </c>
      <c r="F142" s="90" t="s">
        <v>947</v>
      </c>
      <c r="G142" s="305">
        <v>1</v>
      </c>
      <c r="H142" s="94"/>
      <c r="I142" s="94"/>
      <c r="J142" s="464">
        <f t="shared" si="3"/>
        <v>0</v>
      </c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5">
        <v>-2802.3</v>
      </c>
      <c r="Z142" s="94"/>
      <c r="AA142" s="94"/>
      <c r="AB142" s="94"/>
      <c r="AC142" s="94"/>
      <c r="AD142" s="94"/>
      <c r="AE142" s="94"/>
      <c r="AF142" s="95">
        <v>0</v>
      </c>
      <c r="AG142" s="94"/>
      <c r="AH142" s="95">
        <v>-2802.3</v>
      </c>
      <c r="AI142" s="95">
        <v>0</v>
      </c>
    </row>
    <row r="143" spans="1:35" ht="15.75" thickBot="1" x14ac:dyDescent="0.3">
      <c r="A143" s="90" t="s">
        <v>885</v>
      </c>
      <c r="B143" s="90" t="s">
        <v>96</v>
      </c>
      <c r="C143" s="90" t="s">
        <v>883</v>
      </c>
      <c r="D143" s="90" t="s">
        <v>662</v>
      </c>
      <c r="E143" s="90" t="s">
        <v>528</v>
      </c>
      <c r="F143" s="90" t="s">
        <v>751</v>
      </c>
      <c r="G143" s="304">
        <v>1</v>
      </c>
      <c r="H143" s="92"/>
      <c r="I143" s="92"/>
      <c r="J143" s="464">
        <f t="shared" si="3"/>
        <v>0</v>
      </c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3">
        <v>0</v>
      </c>
      <c r="AG143" s="92"/>
      <c r="AH143" s="93">
        <v>400</v>
      </c>
      <c r="AI143" s="306">
        <v>400</v>
      </c>
    </row>
    <row r="144" spans="1:35" ht="15.75" thickBot="1" x14ac:dyDescent="0.3">
      <c r="A144" s="90" t="s">
        <v>885</v>
      </c>
      <c r="B144" s="90" t="s">
        <v>96</v>
      </c>
      <c r="C144" s="90" t="s">
        <v>883</v>
      </c>
      <c r="D144" s="90" t="s">
        <v>662</v>
      </c>
      <c r="E144" s="90" t="s">
        <v>518</v>
      </c>
      <c r="F144" s="90" t="s">
        <v>522</v>
      </c>
      <c r="G144" s="305">
        <v>1</v>
      </c>
      <c r="H144" s="95">
        <v>159766</v>
      </c>
      <c r="I144" s="94"/>
      <c r="J144" s="464">
        <f t="shared" si="3"/>
        <v>159766</v>
      </c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5">
        <v>0</v>
      </c>
      <c r="AG144" s="94"/>
      <c r="AH144" s="95">
        <v>11198</v>
      </c>
      <c r="AI144" s="306">
        <v>11198</v>
      </c>
    </row>
    <row r="145" spans="1:35" ht="15.75" thickBot="1" x14ac:dyDescent="0.3">
      <c r="A145" s="90" t="s">
        <v>885</v>
      </c>
      <c r="B145" s="90" t="s">
        <v>96</v>
      </c>
      <c r="C145" s="90" t="s">
        <v>883</v>
      </c>
      <c r="D145" s="90" t="s">
        <v>662</v>
      </c>
      <c r="E145" s="90" t="s">
        <v>673</v>
      </c>
      <c r="F145" s="90" t="s">
        <v>643</v>
      </c>
      <c r="G145" s="304">
        <v>1</v>
      </c>
      <c r="H145" s="92"/>
      <c r="I145" s="92"/>
      <c r="J145" s="464">
        <f t="shared" si="3"/>
        <v>0</v>
      </c>
      <c r="K145" s="92"/>
      <c r="L145" s="92"/>
      <c r="M145" s="92"/>
      <c r="N145" s="92"/>
      <c r="O145" s="92"/>
      <c r="P145" s="92"/>
      <c r="Q145" s="92"/>
      <c r="R145" s="92"/>
      <c r="S145" s="93">
        <v>2688.31</v>
      </c>
      <c r="T145" s="92"/>
      <c r="U145" s="92"/>
      <c r="V145" s="92"/>
      <c r="W145" s="93">
        <v>2688.31</v>
      </c>
      <c r="X145" s="92"/>
      <c r="Y145" s="92"/>
      <c r="Z145" s="92"/>
      <c r="AA145" s="92"/>
      <c r="AB145" s="92"/>
      <c r="AC145" s="92"/>
      <c r="AD145" s="92"/>
      <c r="AE145" s="92"/>
      <c r="AF145" s="93">
        <v>0</v>
      </c>
      <c r="AG145" s="92"/>
      <c r="AH145" s="93">
        <v>2688.31</v>
      </c>
      <c r="AI145" s="93">
        <v>0</v>
      </c>
    </row>
    <row r="146" spans="1:35" ht="15.75" thickBot="1" x14ac:dyDescent="0.3">
      <c r="A146" s="90" t="s">
        <v>885</v>
      </c>
      <c r="B146" s="90" t="s">
        <v>96</v>
      </c>
      <c r="C146" s="90" t="s">
        <v>883</v>
      </c>
      <c r="D146" s="90" t="s">
        <v>662</v>
      </c>
      <c r="E146" s="90" t="s">
        <v>530</v>
      </c>
      <c r="F146" s="90" t="s">
        <v>745</v>
      </c>
      <c r="G146" s="305">
        <v>1</v>
      </c>
      <c r="H146" s="94"/>
      <c r="I146" s="94"/>
      <c r="J146" s="464">
        <f t="shared" si="3"/>
        <v>0</v>
      </c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5">
        <v>0</v>
      </c>
      <c r="AG146" s="94"/>
      <c r="AH146" s="95">
        <v>13364.43</v>
      </c>
      <c r="AI146" s="306">
        <v>13364.43</v>
      </c>
    </row>
    <row r="147" spans="1:35" ht="15.75" thickBot="1" x14ac:dyDescent="0.3">
      <c r="A147" s="90" t="s">
        <v>885</v>
      </c>
      <c r="B147" s="90" t="s">
        <v>96</v>
      </c>
      <c r="C147" s="90" t="s">
        <v>883</v>
      </c>
      <c r="D147" s="90" t="s">
        <v>662</v>
      </c>
      <c r="E147" s="90" t="s">
        <v>524</v>
      </c>
      <c r="F147" s="90" t="s">
        <v>746</v>
      </c>
      <c r="G147" s="304">
        <v>1</v>
      </c>
      <c r="H147" s="92"/>
      <c r="I147" s="92"/>
      <c r="J147" s="464">
        <f t="shared" si="3"/>
        <v>0</v>
      </c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3">
        <v>550</v>
      </c>
      <c r="AE147" s="92"/>
      <c r="AF147" s="93">
        <v>0</v>
      </c>
      <c r="AG147" s="92"/>
      <c r="AH147" s="93">
        <v>550</v>
      </c>
      <c r="AI147" s="93">
        <v>0</v>
      </c>
    </row>
    <row r="148" spans="1:35" ht="15.75" thickBot="1" x14ac:dyDescent="0.3">
      <c r="A148" s="90" t="s">
        <v>871</v>
      </c>
      <c r="B148" s="90" t="s">
        <v>50</v>
      </c>
      <c r="C148" s="90" t="s">
        <v>881</v>
      </c>
      <c r="D148" s="90" t="s">
        <v>661</v>
      </c>
      <c r="E148" s="90" t="s">
        <v>198</v>
      </c>
      <c r="F148" s="90" t="s">
        <v>743</v>
      </c>
      <c r="G148" s="304">
        <v>8</v>
      </c>
      <c r="H148" s="92"/>
      <c r="I148" s="92"/>
      <c r="J148" s="464">
        <f t="shared" si="3"/>
        <v>0</v>
      </c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3">
        <v>4.3600000000000003</v>
      </c>
      <c r="AG148" s="92"/>
      <c r="AH148" s="93">
        <v>242.95</v>
      </c>
      <c r="AI148" s="306">
        <v>238.59</v>
      </c>
    </row>
    <row r="149" spans="1:35" ht="15.75" thickBot="1" x14ac:dyDescent="0.3">
      <c r="A149" s="90" t="s">
        <v>871</v>
      </c>
      <c r="B149" s="90" t="s">
        <v>50</v>
      </c>
      <c r="C149" s="90" t="s">
        <v>881</v>
      </c>
      <c r="D149" s="90" t="s">
        <v>661</v>
      </c>
      <c r="E149" s="90" t="s">
        <v>518</v>
      </c>
      <c r="F149" s="90" t="s">
        <v>522</v>
      </c>
      <c r="G149" s="305">
        <v>8</v>
      </c>
      <c r="H149" s="95">
        <v>418572</v>
      </c>
      <c r="I149" s="94"/>
      <c r="J149" s="464">
        <f t="shared" si="3"/>
        <v>418572</v>
      </c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5">
        <v>328.53</v>
      </c>
      <c r="AG149" s="94"/>
      <c r="AH149" s="95">
        <v>18335.490000000002</v>
      </c>
      <c r="AI149" s="306">
        <v>18006.96</v>
      </c>
    </row>
    <row r="150" spans="1:35" ht="15.75" thickBot="1" x14ac:dyDescent="0.3">
      <c r="A150" s="90" t="s">
        <v>871</v>
      </c>
      <c r="B150" s="90" t="s">
        <v>50</v>
      </c>
      <c r="C150" s="90" t="s">
        <v>881</v>
      </c>
      <c r="D150" s="90" t="s">
        <v>661</v>
      </c>
      <c r="E150" s="90" t="s">
        <v>524</v>
      </c>
      <c r="F150" s="90" t="s">
        <v>746</v>
      </c>
      <c r="G150" s="304">
        <v>8</v>
      </c>
      <c r="H150" s="92"/>
      <c r="I150" s="92"/>
      <c r="J150" s="464">
        <f t="shared" si="3"/>
        <v>0</v>
      </c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3">
        <v>4400</v>
      </c>
      <c r="AE150" s="92"/>
      <c r="AF150" s="93">
        <v>65.989999999999995</v>
      </c>
      <c r="AG150" s="92"/>
      <c r="AH150" s="93">
        <v>4465.99</v>
      </c>
      <c r="AI150" s="93">
        <v>0</v>
      </c>
    </row>
    <row r="151" spans="1:35" ht="15.75" thickBot="1" x14ac:dyDescent="0.3">
      <c r="A151" s="90" t="s">
        <v>871</v>
      </c>
      <c r="B151" s="90" t="s">
        <v>50</v>
      </c>
      <c r="C151" s="90" t="s">
        <v>881</v>
      </c>
      <c r="D151" s="90" t="s">
        <v>662</v>
      </c>
      <c r="E151" s="645" t="s">
        <v>198</v>
      </c>
      <c r="F151" s="646" t="s">
        <v>743</v>
      </c>
      <c r="G151" s="304">
        <v>2</v>
      </c>
      <c r="H151" s="92"/>
      <c r="I151" s="92"/>
      <c r="J151" s="464">
        <f t="shared" si="3"/>
        <v>0</v>
      </c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3">
        <v>1.57</v>
      </c>
      <c r="AG151" s="92"/>
      <c r="AH151" s="93">
        <v>70.37</v>
      </c>
      <c r="AI151" s="306">
        <v>68.8</v>
      </c>
    </row>
    <row r="152" spans="1:35" ht="15.75" thickBot="1" x14ac:dyDescent="0.3">
      <c r="A152" s="90" t="s">
        <v>871</v>
      </c>
      <c r="B152" s="90" t="s">
        <v>50</v>
      </c>
      <c r="C152" s="90" t="s">
        <v>881</v>
      </c>
      <c r="D152" s="90" t="s">
        <v>662</v>
      </c>
      <c r="E152" s="90" t="s">
        <v>525</v>
      </c>
      <c r="F152" s="90" t="s">
        <v>752</v>
      </c>
      <c r="G152" s="305">
        <v>1</v>
      </c>
      <c r="H152" s="94"/>
      <c r="I152" s="94"/>
      <c r="J152" s="464">
        <f t="shared" si="3"/>
        <v>0</v>
      </c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5">
        <v>-17.32</v>
      </c>
      <c r="AG152" s="94"/>
      <c r="AH152" s="95">
        <v>-594.48</v>
      </c>
      <c r="AI152" s="306">
        <v>-577.16</v>
      </c>
    </row>
    <row r="153" spans="1:35" ht="15.75" thickBot="1" x14ac:dyDescent="0.3">
      <c r="A153" s="90" t="s">
        <v>871</v>
      </c>
      <c r="B153" s="90" t="s">
        <v>50</v>
      </c>
      <c r="C153" s="90" t="s">
        <v>881</v>
      </c>
      <c r="D153" s="90" t="s">
        <v>662</v>
      </c>
      <c r="E153" s="90" t="s">
        <v>518</v>
      </c>
      <c r="F153" s="90" t="s">
        <v>522</v>
      </c>
      <c r="G153" s="304">
        <v>2</v>
      </c>
      <c r="H153" s="93">
        <v>120702</v>
      </c>
      <c r="I153" s="92"/>
      <c r="J153" s="464">
        <f t="shared" si="3"/>
        <v>120702</v>
      </c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3">
        <v>118.82</v>
      </c>
      <c r="AG153" s="92"/>
      <c r="AH153" s="93">
        <v>5311.42</v>
      </c>
      <c r="AI153" s="306">
        <v>5192.6000000000004</v>
      </c>
    </row>
    <row r="154" spans="1:35" ht="15.75" thickBot="1" x14ac:dyDescent="0.3">
      <c r="A154" s="90" t="s">
        <v>871</v>
      </c>
      <c r="B154" s="90" t="s">
        <v>50</v>
      </c>
      <c r="C154" s="90" t="s">
        <v>881</v>
      </c>
      <c r="D154" s="90" t="s">
        <v>662</v>
      </c>
      <c r="E154" s="90" t="s">
        <v>527</v>
      </c>
      <c r="F154" s="90" t="s">
        <v>747</v>
      </c>
      <c r="G154" s="305">
        <v>1</v>
      </c>
      <c r="H154" s="94"/>
      <c r="I154" s="94"/>
      <c r="J154" s="464">
        <f t="shared" si="3"/>
        <v>0</v>
      </c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5">
        <v>-13.68</v>
      </c>
      <c r="AC154" s="94"/>
      <c r="AD154" s="94"/>
      <c r="AE154" s="94"/>
      <c r="AF154" s="95">
        <v>-0.41</v>
      </c>
      <c r="AG154" s="94"/>
      <c r="AH154" s="95">
        <v>-14.09</v>
      </c>
      <c r="AI154" s="95">
        <v>0</v>
      </c>
    </row>
    <row r="155" spans="1:35" ht="15.75" thickBot="1" x14ac:dyDescent="0.3">
      <c r="A155" s="90" t="s">
        <v>871</v>
      </c>
      <c r="B155" s="90" t="s">
        <v>50</v>
      </c>
      <c r="C155" s="90" t="s">
        <v>881</v>
      </c>
      <c r="D155" s="90" t="s">
        <v>662</v>
      </c>
      <c r="E155" s="90" t="s">
        <v>671</v>
      </c>
      <c r="F155" s="90" t="s">
        <v>703</v>
      </c>
      <c r="G155" s="304">
        <v>1</v>
      </c>
      <c r="H155" s="92"/>
      <c r="I155" s="92"/>
      <c r="J155" s="464">
        <f t="shared" si="3"/>
        <v>0</v>
      </c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3">
        <v>107.29</v>
      </c>
      <c r="Y155" s="92"/>
      <c r="Z155" s="92"/>
      <c r="AA155" s="92"/>
      <c r="AB155" s="92"/>
      <c r="AC155" s="92"/>
      <c r="AD155" s="92"/>
      <c r="AE155" s="92"/>
      <c r="AF155" s="93">
        <v>0</v>
      </c>
      <c r="AG155" s="92"/>
      <c r="AH155" s="93">
        <v>107.29</v>
      </c>
      <c r="AI155" s="93">
        <v>0</v>
      </c>
    </row>
    <row r="156" spans="1:35" ht="15.75" thickBot="1" x14ac:dyDescent="0.3">
      <c r="A156" s="90" t="s">
        <v>871</v>
      </c>
      <c r="B156" s="90" t="s">
        <v>50</v>
      </c>
      <c r="C156" s="90" t="s">
        <v>881</v>
      </c>
      <c r="D156" s="90" t="s">
        <v>662</v>
      </c>
      <c r="E156" s="90" t="s">
        <v>524</v>
      </c>
      <c r="F156" s="90" t="s">
        <v>746</v>
      </c>
      <c r="G156" s="305">
        <v>2</v>
      </c>
      <c r="H156" s="94"/>
      <c r="I156" s="94"/>
      <c r="J156" s="464">
        <f t="shared" si="3"/>
        <v>0</v>
      </c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5">
        <v>1100</v>
      </c>
      <c r="AE156" s="94"/>
      <c r="AF156" s="95">
        <v>16.52</v>
      </c>
      <c r="AG156" s="94"/>
      <c r="AH156" s="95">
        <v>1116.52</v>
      </c>
      <c r="AI156" s="95">
        <v>0</v>
      </c>
    </row>
    <row r="157" spans="1:35" ht="15.75" thickBot="1" x14ac:dyDescent="0.3">
      <c r="A157" s="90" t="s">
        <v>871</v>
      </c>
      <c r="B157" s="90" t="s">
        <v>50</v>
      </c>
      <c r="C157" s="90" t="s">
        <v>881</v>
      </c>
      <c r="D157" s="90" t="s">
        <v>662</v>
      </c>
      <c r="E157" s="90" t="s">
        <v>676</v>
      </c>
      <c r="F157" s="90" t="s">
        <v>748</v>
      </c>
      <c r="G157" s="304">
        <v>1</v>
      </c>
      <c r="H157" s="92"/>
      <c r="I157" s="92"/>
      <c r="J157" s="464">
        <f t="shared" si="3"/>
        <v>0</v>
      </c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3">
        <v>174.49</v>
      </c>
      <c r="AF157" s="93">
        <v>5.23</v>
      </c>
      <c r="AG157" s="92"/>
      <c r="AH157" s="93">
        <v>179.72</v>
      </c>
      <c r="AI157" s="93">
        <v>0</v>
      </c>
    </row>
    <row r="158" spans="1:35" ht="15.75" thickBot="1" x14ac:dyDescent="0.3">
      <c r="A158" s="90" t="s">
        <v>871</v>
      </c>
      <c r="B158" s="90" t="s">
        <v>50</v>
      </c>
      <c r="C158" s="90" t="s">
        <v>881</v>
      </c>
      <c r="D158" s="90" t="s">
        <v>662</v>
      </c>
      <c r="E158" s="90" t="s">
        <v>677</v>
      </c>
      <c r="F158" s="90" t="s">
        <v>749</v>
      </c>
      <c r="G158" s="305">
        <v>1</v>
      </c>
      <c r="H158" s="94"/>
      <c r="I158" s="94"/>
      <c r="J158" s="464">
        <f t="shared" si="3"/>
        <v>0</v>
      </c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5">
        <v>5.77</v>
      </c>
      <c r="AG158" s="94"/>
      <c r="AH158" s="95">
        <v>198.22</v>
      </c>
      <c r="AI158" s="306">
        <v>192.45</v>
      </c>
    </row>
    <row r="159" spans="1:35" ht="15.75" thickBot="1" x14ac:dyDescent="0.3">
      <c r="A159" s="90" t="s">
        <v>871</v>
      </c>
      <c r="B159" s="90" t="s">
        <v>52</v>
      </c>
      <c r="C159" s="90" t="s">
        <v>882</v>
      </c>
      <c r="D159" s="90" t="s">
        <v>663</v>
      </c>
      <c r="E159" s="90" t="s">
        <v>729</v>
      </c>
      <c r="F159" s="90" t="s">
        <v>947</v>
      </c>
      <c r="G159" s="304">
        <v>2</v>
      </c>
      <c r="H159" s="92"/>
      <c r="I159" s="92"/>
      <c r="J159" s="464">
        <f t="shared" si="3"/>
        <v>0</v>
      </c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3">
        <v>-87.77</v>
      </c>
      <c r="Z159" s="92"/>
      <c r="AA159" s="92"/>
      <c r="AB159" s="92"/>
      <c r="AC159" s="92"/>
      <c r="AD159" s="92"/>
      <c r="AE159" s="92"/>
      <c r="AF159" s="93">
        <v>-2.7</v>
      </c>
      <c r="AG159" s="92"/>
      <c r="AH159" s="93">
        <v>-90.47</v>
      </c>
      <c r="AI159" s="93">
        <v>0</v>
      </c>
    </row>
    <row r="160" spans="1:35" ht="15.75" thickBot="1" x14ac:dyDescent="0.3">
      <c r="A160" s="90" t="s">
        <v>871</v>
      </c>
      <c r="B160" s="90" t="s">
        <v>52</v>
      </c>
      <c r="C160" s="90" t="s">
        <v>882</v>
      </c>
      <c r="D160" s="90" t="s">
        <v>663</v>
      </c>
      <c r="E160" s="645" t="s">
        <v>525</v>
      </c>
      <c r="F160" s="646" t="s">
        <v>752</v>
      </c>
      <c r="G160" s="305">
        <v>1</v>
      </c>
      <c r="H160" s="94"/>
      <c r="I160" s="94"/>
      <c r="J160" s="464">
        <f t="shared" si="3"/>
        <v>0</v>
      </c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5">
        <v>-27.83</v>
      </c>
      <c r="AG160" s="94"/>
      <c r="AH160" s="95">
        <v>-491.75</v>
      </c>
      <c r="AI160" s="306">
        <v>-463.92</v>
      </c>
    </row>
    <row r="161" spans="1:35" ht="15.75" thickBot="1" x14ac:dyDescent="0.3">
      <c r="A161" s="90" t="s">
        <v>871</v>
      </c>
      <c r="B161" s="90" t="s">
        <v>52</v>
      </c>
      <c r="C161" s="90" t="s">
        <v>882</v>
      </c>
      <c r="D161" s="645" t="s">
        <v>663</v>
      </c>
      <c r="E161" s="666" t="s">
        <v>525</v>
      </c>
      <c r="F161" s="646" t="s">
        <v>750</v>
      </c>
      <c r="G161" s="304">
        <v>2</v>
      </c>
      <c r="H161" s="92"/>
      <c r="I161" s="92"/>
      <c r="J161" s="464">
        <f t="shared" si="3"/>
        <v>0</v>
      </c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3">
        <v>1296.72</v>
      </c>
      <c r="AC161" s="92"/>
      <c r="AD161" s="92"/>
      <c r="AE161" s="92"/>
      <c r="AF161" s="93">
        <v>77.8</v>
      </c>
      <c r="AG161" s="92"/>
      <c r="AH161" s="93">
        <v>1374.52</v>
      </c>
      <c r="AI161" s="93">
        <v>0</v>
      </c>
    </row>
    <row r="162" spans="1:35" ht="15.75" thickBot="1" x14ac:dyDescent="0.3">
      <c r="A162" s="90" t="s">
        <v>871</v>
      </c>
      <c r="B162" s="90" t="s">
        <v>52</v>
      </c>
      <c r="C162" s="90" t="s">
        <v>882</v>
      </c>
      <c r="D162" s="90" t="s">
        <v>663</v>
      </c>
      <c r="E162" s="90" t="s">
        <v>518</v>
      </c>
      <c r="F162" s="90" t="s">
        <v>526</v>
      </c>
      <c r="G162" s="304">
        <v>2</v>
      </c>
      <c r="H162" s="93">
        <v>6379</v>
      </c>
      <c r="I162" s="92"/>
      <c r="J162" s="464">
        <f t="shared" si="3"/>
        <v>6379</v>
      </c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3">
        <v>16.47</v>
      </c>
      <c r="AG162" s="92"/>
      <c r="AH162" s="93">
        <v>290.89</v>
      </c>
      <c r="AI162" s="306">
        <v>274.42</v>
      </c>
    </row>
    <row r="163" spans="1:35" ht="15.75" thickBot="1" x14ac:dyDescent="0.3">
      <c r="A163" s="90" t="s">
        <v>871</v>
      </c>
      <c r="B163" s="90" t="s">
        <v>52</v>
      </c>
      <c r="C163" s="90" t="s">
        <v>882</v>
      </c>
      <c r="D163" s="90" t="s">
        <v>663</v>
      </c>
      <c r="E163" s="90" t="s">
        <v>518</v>
      </c>
      <c r="F163" s="90" t="s">
        <v>522</v>
      </c>
      <c r="G163" s="305">
        <v>63</v>
      </c>
      <c r="H163" s="95">
        <v>8533558</v>
      </c>
      <c r="I163" s="94"/>
      <c r="J163" s="464">
        <f t="shared" si="3"/>
        <v>8533558</v>
      </c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5">
        <v>17015.7</v>
      </c>
      <c r="AG163" s="94"/>
      <c r="AH163" s="95">
        <v>384129.37</v>
      </c>
      <c r="AI163" s="306">
        <v>367113.67</v>
      </c>
    </row>
    <row r="164" spans="1:35" ht="15.75" thickBot="1" x14ac:dyDescent="0.3">
      <c r="A164" s="90" t="s">
        <v>871</v>
      </c>
      <c r="B164" s="90" t="s">
        <v>52</v>
      </c>
      <c r="C164" s="90" t="s">
        <v>882</v>
      </c>
      <c r="D164" s="90" t="s">
        <v>663</v>
      </c>
      <c r="E164" s="90" t="s">
        <v>527</v>
      </c>
      <c r="F164" s="90" t="s">
        <v>747</v>
      </c>
      <c r="G164" s="305">
        <v>1</v>
      </c>
      <c r="H164" s="94"/>
      <c r="I164" s="94"/>
      <c r="J164" s="464">
        <f t="shared" si="3"/>
        <v>0</v>
      </c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5">
        <v>-6.84</v>
      </c>
      <c r="AC164" s="94"/>
      <c r="AD164" s="94"/>
      <c r="AE164" s="94"/>
      <c r="AF164" s="95">
        <v>-0.41</v>
      </c>
      <c r="AG164" s="94"/>
      <c r="AH164" s="95">
        <v>-7.25</v>
      </c>
      <c r="AI164" s="95">
        <v>0</v>
      </c>
    </row>
    <row r="165" spans="1:35" ht="15.75" thickBot="1" x14ac:dyDescent="0.3">
      <c r="A165" s="90" t="s">
        <v>871</v>
      </c>
      <c r="B165" s="90" t="s">
        <v>52</v>
      </c>
      <c r="C165" s="90" t="s">
        <v>882</v>
      </c>
      <c r="D165" s="90" t="s">
        <v>663</v>
      </c>
      <c r="E165" s="90" t="s">
        <v>527</v>
      </c>
      <c r="F165" s="90" t="s">
        <v>744</v>
      </c>
      <c r="G165" s="304">
        <v>1</v>
      </c>
      <c r="H165" s="92"/>
      <c r="I165" s="92"/>
      <c r="J165" s="464">
        <f t="shared" si="3"/>
        <v>0</v>
      </c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3">
        <v>-3.29</v>
      </c>
      <c r="AG165" s="92"/>
      <c r="AH165" s="93">
        <v>-58.18</v>
      </c>
      <c r="AI165" s="306">
        <v>-54.89</v>
      </c>
    </row>
    <row r="166" spans="1:35" ht="15.75" thickBot="1" x14ac:dyDescent="0.3">
      <c r="A166" s="90" t="s">
        <v>871</v>
      </c>
      <c r="B166" s="90" t="s">
        <v>52</v>
      </c>
      <c r="C166" s="90" t="s">
        <v>882</v>
      </c>
      <c r="D166" s="90" t="s">
        <v>663</v>
      </c>
      <c r="E166" s="90" t="s">
        <v>671</v>
      </c>
      <c r="F166" s="90" t="s">
        <v>703</v>
      </c>
      <c r="G166" s="304">
        <v>27</v>
      </c>
      <c r="H166" s="92"/>
      <c r="I166" s="92"/>
      <c r="J166" s="464">
        <f t="shared" si="3"/>
        <v>0</v>
      </c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3">
        <v>1601.59</v>
      </c>
      <c r="Y166" s="92"/>
      <c r="Z166" s="92"/>
      <c r="AA166" s="92"/>
      <c r="AB166" s="92"/>
      <c r="AC166" s="92"/>
      <c r="AD166" s="92"/>
      <c r="AE166" s="92"/>
      <c r="AF166" s="93">
        <v>98.81</v>
      </c>
      <c r="AG166" s="92"/>
      <c r="AH166" s="93">
        <v>1700.4</v>
      </c>
      <c r="AI166" s="93">
        <v>0</v>
      </c>
    </row>
    <row r="167" spans="1:35" ht="15.75" thickBot="1" x14ac:dyDescent="0.3">
      <c r="A167" s="90" t="s">
        <v>871</v>
      </c>
      <c r="B167" s="90" t="s">
        <v>52</v>
      </c>
      <c r="C167" s="90" t="s">
        <v>882</v>
      </c>
      <c r="D167" s="90" t="s">
        <v>663</v>
      </c>
      <c r="E167" s="90" t="s">
        <v>524</v>
      </c>
      <c r="F167" s="90" t="s">
        <v>746</v>
      </c>
      <c r="G167" s="305">
        <v>63</v>
      </c>
      <c r="H167" s="94"/>
      <c r="I167" s="94"/>
      <c r="J167" s="464">
        <f t="shared" si="3"/>
        <v>0</v>
      </c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5">
        <v>34650</v>
      </c>
      <c r="AE167" s="94"/>
      <c r="AF167" s="95">
        <v>1707.44</v>
      </c>
      <c r="AG167" s="94"/>
      <c r="AH167" s="95">
        <v>36357.440000000002</v>
      </c>
      <c r="AI167" s="95">
        <v>0</v>
      </c>
    </row>
    <row r="168" spans="1:35" ht="15.75" thickBot="1" x14ac:dyDescent="0.3">
      <c r="A168" s="90" t="s">
        <v>871</v>
      </c>
      <c r="B168" s="90" t="s">
        <v>52</v>
      </c>
      <c r="C168" s="90" t="s">
        <v>882</v>
      </c>
      <c r="D168" s="90" t="s">
        <v>663</v>
      </c>
      <c r="E168" s="90" t="s">
        <v>676</v>
      </c>
      <c r="F168" s="90" t="s">
        <v>748</v>
      </c>
      <c r="G168" s="304">
        <v>3</v>
      </c>
      <c r="H168" s="92"/>
      <c r="I168" s="92"/>
      <c r="J168" s="464">
        <f t="shared" si="3"/>
        <v>0</v>
      </c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3">
        <v>620.94000000000005</v>
      </c>
      <c r="AF168" s="93">
        <v>37.26</v>
      </c>
      <c r="AG168" s="92"/>
      <c r="AH168" s="93">
        <v>658.2</v>
      </c>
      <c r="AI168" s="93">
        <v>0</v>
      </c>
    </row>
    <row r="169" spans="1:35" ht="15.75" thickBot="1" x14ac:dyDescent="0.3">
      <c r="A169" s="90" t="s">
        <v>871</v>
      </c>
      <c r="B169" s="90" t="s">
        <v>52</v>
      </c>
      <c r="C169" s="90" t="s">
        <v>882</v>
      </c>
      <c r="D169" s="90" t="s">
        <v>663</v>
      </c>
      <c r="E169" s="90" t="s">
        <v>677</v>
      </c>
      <c r="F169" s="90" t="s">
        <v>749</v>
      </c>
      <c r="G169" s="305">
        <v>3</v>
      </c>
      <c r="H169" s="94"/>
      <c r="I169" s="94"/>
      <c r="J169" s="464">
        <f t="shared" si="3"/>
        <v>0</v>
      </c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5">
        <v>41.09</v>
      </c>
      <c r="AG169" s="94"/>
      <c r="AH169" s="95">
        <v>725.92</v>
      </c>
      <c r="AI169" s="306">
        <v>684.83</v>
      </c>
    </row>
    <row r="170" spans="1:35" ht="15.75" thickBot="1" x14ac:dyDescent="0.3">
      <c r="A170" s="90" t="s">
        <v>871</v>
      </c>
      <c r="B170" s="90" t="s">
        <v>52</v>
      </c>
      <c r="C170" s="90" t="s">
        <v>882</v>
      </c>
      <c r="D170" s="90" t="s">
        <v>662</v>
      </c>
      <c r="E170" s="90" t="s">
        <v>518</v>
      </c>
      <c r="F170" s="90" t="s">
        <v>522</v>
      </c>
      <c r="G170" s="305">
        <v>1</v>
      </c>
      <c r="H170" s="95">
        <v>202169</v>
      </c>
      <c r="I170" s="94"/>
      <c r="J170" s="464">
        <f t="shared" si="3"/>
        <v>202169</v>
      </c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5">
        <v>0</v>
      </c>
      <c r="AG170" s="94"/>
      <c r="AH170" s="95">
        <v>8697.31</v>
      </c>
      <c r="AI170" s="306">
        <v>8697.31</v>
      </c>
    </row>
    <row r="171" spans="1:35" ht="15.75" thickBot="1" x14ac:dyDescent="0.3">
      <c r="A171" s="90" t="s">
        <v>871</v>
      </c>
      <c r="B171" s="90" t="s">
        <v>52</v>
      </c>
      <c r="C171" s="90" t="s">
        <v>882</v>
      </c>
      <c r="D171" s="90" t="s">
        <v>662</v>
      </c>
      <c r="E171" s="90" t="s">
        <v>524</v>
      </c>
      <c r="F171" s="90" t="s">
        <v>746</v>
      </c>
      <c r="G171" s="304">
        <v>1</v>
      </c>
      <c r="H171" s="92"/>
      <c r="I171" s="92"/>
      <c r="J171" s="464">
        <f t="shared" si="3"/>
        <v>0</v>
      </c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3">
        <v>550</v>
      </c>
      <c r="AE171" s="92"/>
      <c r="AF171" s="93">
        <v>0</v>
      </c>
      <c r="AG171" s="92"/>
      <c r="AH171" s="93">
        <v>550</v>
      </c>
      <c r="AI171" s="93">
        <v>0</v>
      </c>
    </row>
    <row r="172" spans="1:35" ht="15.75" thickBot="1" x14ac:dyDescent="0.3">
      <c r="A172" s="90" t="s">
        <v>871</v>
      </c>
      <c r="B172" s="90" t="s">
        <v>54</v>
      </c>
      <c r="C172" s="90" t="s">
        <v>55</v>
      </c>
      <c r="D172" s="90" t="s">
        <v>663</v>
      </c>
      <c r="E172" s="90" t="s">
        <v>525</v>
      </c>
      <c r="F172" s="90" t="s">
        <v>752</v>
      </c>
      <c r="G172" s="305">
        <v>5</v>
      </c>
      <c r="H172" s="94"/>
      <c r="I172" s="94"/>
      <c r="J172" s="464">
        <f t="shared" si="3"/>
        <v>0</v>
      </c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5">
        <v>-31.02</v>
      </c>
      <c r="AG172" s="94"/>
      <c r="AH172" s="95">
        <v>-24798.5</v>
      </c>
      <c r="AI172" s="306">
        <v>-24767.48</v>
      </c>
    </row>
    <row r="173" spans="1:35" ht="15.75" thickBot="1" x14ac:dyDescent="0.3">
      <c r="A173" s="90" t="s">
        <v>871</v>
      </c>
      <c r="B173" s="90" t="s">
        <v>54</v>
      </c>
      <c r="C173" s="90" t="s">
        <v>55</v>
      </c>
      <c r="D173" s="90" t="s">
        <v>663</v>
      </c>
      <c r="E173" s="90" t="s">
        <v>527</v>
      </c>
      <c r="F173" s="90" t="s">
        <v>747</v>
      </c>
      <c r="G173" s="304">
        <v>5</v>
      </c>
      <c r="H173" s="92"/>
      <c r="I173" s="92"/>
      <c r="J173" s="464">
        <f t="shared" si="3"/>
        <v>0</v>
      </c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3">
        <v>-2188.29</v>
      </c>
      <c r="AC173" s="92"/>
      <c r="AD173" s="92"/>
      <c r="AE173" s="92"/>
      <c r="AF173" s="93">
        <v>-38.67</v>
      </c>
      <c r="AG173" s="92"/>
      <c r="AH173" s="93">
        <v>-2226.96</v>
      </c>
      <c r="AI173" s="93">
        <v>0</v>
      </c>
    </row>
    <row r="174" spans="1:35" ht="15.75" thickBot="1" x14ac:dyDescent="0.3">
      <c r="A174" s="90" t="s">
        <v>871</v>
      </c>
      <c r="B174" s="90" t="s">
        <v>54</v>
      </c>
      <c r="C174" s="90" t="s">
        <v>55</v>
      </c>
      <c r="D174" s="90" t="s">
        <v>663</v>
      </c>
      <c r="E174" s="90" t="s">
        <v>524</v>
      </c>
      <c r="F174" s="90" t="s">
        <v>746</v>
      </c>
      <c r="G174" s="305">
        <v>5</v>
      </c>
      <c r="H174" s="94"/>
      <c r="I174" s="94"/>
      <c r="J174" s="464">
        <f t="shared" si="3"/>
        <v>0</v>
      </c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5">
        <v>5250</v>
      </c>
      <c r="AE174" s="94"/>
      <c r="AF174" s="95">
        <v>9</v>
      </c>
      <c r="AG174" s="94"/>
      <c r="AH174" s="95">
        <v>5259</v>
      </c>
      <c r="AI174" s="95">
        <v>0</v>
      </c>
    </row>
    <row r="175" spans="1:35" ht="15.75" thickBot="1" x14ac:dyDescent="0.3">
      <c r="A175" s="90" t="s">
        <v>871</v>
      </c>
      <c r="B175" s="90" t="s">
        <v>54</v>
      </c>
      <c r="C175" s="90" t="s">
        <v>55</v>
      </c>
      <c r="D175" s="90" t="s">
        <v>663</v>
      </c>
      <c r="E175" s="90" t="s">
        <v>676</v>
      </c>
      <c r="F175" s="90" t="s">
        <v>748</v>
      </c>
      <c r="G175" s="304">
        <v>5</v>
      </c>
      <c r="H175" s="92"/>
      <c r="I175" s="92"/>
      <c r="J175" s="464">
        <f t="shared" si="3"/>
        <v>0</v>
      </c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3">
        <v>9161.17</v>
      </c>
      <c r="AF175" s="93">
        <v>278.20999999999998</v>
      </c>
      <c r="AG175" s="92"/>
      <c r="AH175" s="93">
        <v>9439.3799999999992</v>
      </c>
      <c r="AI175" s="93">
        <v>0</v>
      </c>
    </row>
    <row r="176" spans="1:35" ht="15.75" thickBot="1" x14ac:dyDescent="0.3">
      <c r="A176" s="90" t="s">
        <v>871</v>
      </c>
      <c r="B176" s="90" t="s">
        <v>54</v>
      </c>
      <c r="C176" s="90" t="s">
        <v>55</v>
      </c>
      <c r="D176" s="90" t="s">
        <v>663</v>
      </c>
      <c r="E176" s="645" t="s">
        <v>677</v>
      </c>
      <c r="F176" s="646" t="s">
        <v>749</v>
      </c>
      <c r="G176" s="305">
        <v>5</v>
      </c>
      <c r="H176" s="94"/>
      <c r="I176" s="94"/>
      <c r="J176" s="464">
        <f t="shared" si="3"/>
        <v>0</v>
      </c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5">
        <v>306.83999999999997</v>
      </c>
      <c r="AG176" s="94"/>
      <c r="AH176" s="95">
        <v>10410.61</v>
      </c>
      <c r="AI176" s="306">
        <v>10103.77</v>
      </c>
    </row>
    <row r="177" spans="1:35" ht="15.75" thickBot="1" x14ac:dyDescent="0.3">
      <c r="A177" s="90" t="s">
        <v>871</v>
      </c>
      <c r="B177" s="90" t="s">
        <v>42</v>
      </c>
      <c r="C177" s="90" t="s">
        <v>884</v>
      </c>
      <c r="D177" s="90" t="s">
        <v>663</v>
      </c>
      <c r="E177" s="90" t="s">
        <v>726</v>
      </c>
      <c r="F177" s="90" t="s">
        <v>685</v>
      </c>
      <c r="G177" s="305">
        <v>1</v>
      </c>
      <c r="H177" s="94"/>
      <c r="I177" s="94"/>
      <c r="J177" s="464">
        <f t="shared" si="3"/>
        <v>0</v>
      </c>
      <c r="K177" s="94"/>
      <c r="L177" s="94"/>
      <c r="M177" s="94"/>
      <c r="N177" s="95">
        <v>78.31</v>
      </c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5">
        <v>0</v>
      </c>
      <c r="AG177" s="94"/>
      <c r="AH177" s="95">
        <v>78.31</v>
      </c>
      <c r="AI177" s="95">
        <v>0</v>
      </c>
    </row>
    <row r="178" spans="1:35" ht="15.75" thickBot="1" x14ac:dyDescent="0.3">
      <c r="A178" s="90" t="s">
        <v>871</v>
      </c>
      <c r="B178" s="90" t="s">
        <v>42</v>
      </c>
      <c r="C178" s="90" t="s">
        <v>884</v>
      </c>
      <c r="D178" s="90" t="s">
        <v>663</v>
      </c>
      <c r="E178" s="90" t="s">
        <v>729</v>
      </c>
      <c r="F178" s="90" t="s">
        <v>947</v>
      </c>
      <c r="G178" s="304">
        <v>2</v>
      </c>
      <c r="H178" s="92"/>
      <c r="I178" s="92"/>
      <c r="J178" s="464">
        <f t="shared" si="3"/>
        <v>0</v>
      </c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3">
        <v>-1658.61</v>
      </c>
      <c r="Z178" s="92"/>
      <c r="AA178" s="92"/>
      <c r="AB178" s="92"/>
      <c r="AC178" s="92"/>
      <c r="AD178" s="92"/>
      <c r="AE178" s="92"/>
      <c r="AF178" s="93">
        <v>-17.190000000000001</v>
      </c>
      <c r="AG178" s="92"/>
      <c r="AH178" s="93">
        <v>-1675.8</v>
      </c>
      <c r="AI178" s="93">
        <v>0</v>
      </c>
    </row>
    <row r="179" spans="1:35" ht="15.75" thickBot="1" x14ac:dyDescent="0.3">
      <c r="A179" s="90" t="s">
        <v>871</v>
      </c>
      <c r="B179" s="90" t="s">
        <v>42</v>
      </c>
      <c r="C179" s="90" t="s">
        <v>884</v>
      </c>
      <c r="D179" s="90" t="s">
        <v>663</v>
      </c>
      <c r="E179" s="645" t="s">
        <v>528</v>
      </c>
      <c r="F179" s="646" t="s">
        <v>751</v>
      </c>
      <c r="G179" s="305">
        <v>4</v>
      </c>
      <c r="H179" s="94"/>
      <c r="I179" s="94"/>
      <c r="J179" s="464">
        <f t="shared" si="3"/>
        <v>0</v>
      </c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5">
        <v>16.2</v>
      </c>
      <c r="AG179" s="94"/>
      <c r="AH179" s="95">
        <v>736.2</v>
      </c>
      <c r="AI179" s="306">
        <v>720</v>
      </c>
    </row>
    <row r="180" spans="1:35" ht="15.75" thickBot="1" x14ac:dyDescent="0.3">
      <c r="A180" s="90" t="s">
        <v>871</v>
      </c>
      <c r="B180" s="90" t="s">
        <v>42</v>
      </c>
      <c r="C180" s="90" t="s">
        <v>884</v>
      </c>
      <c r="D180" s="645" t="s">
        <v>663</v>
      </c>
      <c r="E180" s="666" t="s">
        <v>518</v>
      </c>
      <c r="F180" s="646" t="s">
        <v>522</v>
      </c>
      <c r="G180" s="304">
        <v>4</v>
      </c>
      <c r="H180" s="93">
        <v>16572</v>
      </c>
      <c r="I180" s="93">
        <v>249907</v>
      </c>
      <c r="J180" s="464">
        <f t="shared" si="3"/>
        <v>266479</v>
      </c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3">
        <v>774.19</v>
      </c>
      <c r="AG180" s="92"/>
      <c r="AH180" s="93">
        <v>48980.1</v>
      </c>
      <c r="AI180" s="306">
        <v>48205.91</v>
      </c>
    </row>
    <row r="181" spans="1:35" ht="15.75" thickBot="1" x14ac:dyDescent="0.3">
      <c r="A181" s="90" t="s">
        <v>871</v>
      </c>
      <c r="B181" s="90" t="s">
        <v>42</v>
      </c>
      <c r="C181" s="90" t="s">
        <v>884</v>
      </c>
      <c r="D181" s="90" t="s">
        <v>663</v>
      </c>
      <c r="E181" s="90" t="s">
        <v>673</v>
      </c>
      <c r="F181" s="90" t="s">
        <v>643</v>
      </c>
      <c r="G181" s="305">
        <v>4</v>
      </c>
      <c r="H181" s="94"/>
      <c r="I181" s="94"/>
      <c r="J181" s="464">
        <f t="shared" si="3"/>
        <v>0</v>
      </c>
      <c r="K181" s="94"/>
      <c r="L181" s="94"/>
      <c r="M181" s="94"/>
      <c r="N181" s="94"/>
      <c r="O181" s="94"/>
      <c r="P181" s="94"/>
      <c r="Q181" s="94"/>
      <c r="R181" s="94"/>
      <c r="S181" s="95">
        <v>984.16</v>
      </c>
      <c r="T181" s="94"/>
      <c r="U181" s="94"/>
      <c r="V181" s="94"/>
      <c r="W181" s="95">
        <v>984.16</v>
      </c>
      <c r="X181" s="94"/>
      <c r="Y181" s="94"/>
      <c r="Z181" s="94"/>
      <c r="AA181" s="94"/>
      <c r="AB181" s="94"/>
      <c r="AC181" s="94"/>
      <c r="AD181" s="94"/>
      <c r="AE181" s="94"/>
      <c r="AF181" s="95">
        <v>22.14</v>
      </c>
      <c r="AG181" s="94"/>
      <c r="AH181" s="95">
        <v>1006.3</v>
      </c>
      <c r="AI181" s="95">
        <v>0</v>
      </c>
    </row>
    <row r="182" spans="1:35" ht="15.75" thickBot="1" x14ac:dyDescent="0.3">
      <c r="A182" s="90" t="s">
        <v>871</v>
      </c>
      <c r="B182" s="90" t="s">
        <v>42</v>
      </c>
      <c r="C182" s="90" t="s">
        <v>884</v>
      </c>
      <c r="D182" s="90" t="s">
        <v>663</v>
      </c>
      <c r="E182" s="90" t="s">
        <v>530</v>
      </c>
      <c r="F182" s="90" t="s">
        <v>745</v>
      </c>
      <c r="G182" s="304">
        <v>4</v>
      </c>
      <c r="H182" s="92"/>
      <c r="I182" s="92"/>
      <c r="J182" s="464">
        <f t="shared" si="3"/>
        <v>0</v>
      </c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3">
        <v>362.14</v>
      </c>
      <c r="AG182" s="92"/>
      <c r="AH182" s="93">
        <v>22653.11</v>
      </c>
      <c r="AI182" s="306">
        <v>22290.97</v>
      </c>
    </row>
    <row r="183" spans="1:35" ht="15.75" thickBot="1" x14ac:dyDescent="0.3">
      <c r="A183" s="90" t="s">
        <v>871</v>
      </c>
      <c r="B183" s="90" t="s">
        <v>42</v>
      </c>
      <c r="C183" s="90" t="s">
        <v>884</v>
      </c>
      <c r="D183" s="90" t="s">
        <v>663</v>
      </c>
      <c r="E183" s="90" t="s">
        <v>524</v>
      </c>
      <c r="F183" s="90" t="s">
        <v>746</v>
      </c>
      <c r="G183" s="305">
        <v>4</v>
      </c>
      <c r="H183" s="94"/>
      <c r="I183" s="94"/>
      <c r="J183" s="464">
        <f t="shared" si="3"/>
        <v>0</v>
      </c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5">
        <v>2200</v>
      </c>
      <c r="AE183" s="94"/>
      <c r="AF183" s="95">
        <v>49.5</v>
      </c>
      <c r="AG183" s="94"/>
      <c r="AH183" s="95">
        <v>2249.5</v>
      </c>
      <c r="AI183" s="95">
        <v>0</v>
      </c>
    </row>
    <row r="184" spans="1:35" ht="15.75" thickBot="1" x14ac:dyDescent="0.3">
      <c r="A184" s="90" t="s">
        <v>871</v>
      </c>
      <c r="B184" s="90" t="s">
        <v>42</v>
      </c>
      <c r="C184" s="90" t="s">
        <v>884</v>
      </c>
      <c r="D184" s="90" t="s">
        <v>662</v>
      </c>
      <c r="E184" s="90" t="s">
        <v>729</v>
      </c>
      <c r="F184" s="90" t="s">
        <v>947</v>
      </c>
      <c r="G184" s="305">
        <v>1</v>
      </c>
      <c r="H184" s="94"/>
      <c r="I184" s="94"/>
      <c r="J184" s="464">
        <f t="shared" si="3"/>
        <v>0</v>
      </c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5">
        <v>-1448.03</v>
      </c>
      <c r="Z184" s="94"/>
      <c r="AA184" s="94"/>
      <c r="AB184" s="94"/>
      <c r="AC184" s="94"/>
      <c r="AD184" s="94"/>
      <c r="AE184" s="94"/>
      <c r="AF184" s="95">
        <v>0</v>
      </c>
      <c r="AG184" s="94"/>
      <c r="AH184" s="95">
        <v>-1448.03</v>
      </c>
      <c r="AI184" s="95">
        <v>0</v>
      </c>
    </row>
    <row r="185" spans="1:35" ht="15.75" thickBot="1" x14ac:dyDescent="0.3">
      <c r="A185" s="90" t="s">
        <v>871</v>
      </c>
      <c r="B185" s="90" t="s">
        <v>42</v>
      </c>
      <c r="C185" s="90" t="s">
        <v>884</v>
      </c>
      <c r="D185" s="90" t="s">
        <v>662</v>
      </c>
      <c r="E185" s="90" t="s">
        <v>528</v>
      </c>
      <c r="F185" s="90" t="s">
        <v>751</v>
      </c>
      <c r="G185" s="304">
        <v>1</v>
      </c>
      <c r="H185" s="92"/>
      <c r="I185" s="92"/>
      <c r="J185" s="464">
        <f t="shared" si="3"/>
        <v>0</v>
      </c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3">
        <v>0</v>
      </c>
      <c r="AG185" s="92"/>
      <c r="AH185" s="93">
        <v>180</v>
      </c>
      <c r="AI185" s="306">
        <v>180</v>
      </c>
    </row>
    <row r="186" spans="1:35" ht="15.75" thickBot="1" x14ac:dyDescent="0.3">
      <c r="A186" s="90" t="s">
        <v>871</v>
      </c>
      <c r="B186" s="90" t="s">
        <v>42</v>
      </c>
      <c r="C186" s="90" t="s">
        <v>884</v>
      </c>
      <c r="D186" s="90" t="s">
        <v>662</v>
      </c>
      <c r="E186" s="645" t="s">
        <v>518</v>
      </c>
      <c r="F186" s="646" t="s">
        <v>522</v>
      </c>
      <c r="G186" s="305">
        <v>1</v>
      </c>
      <c r="H186" s="95">
        <v>1000</v>
      </c>
      <c r="I186" s="95">
        <v>81556</v>
      </c>
      <c r="J186" s="464">
        <f t="shared" si="3"/>
        <v>82556</v>
      </c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5">
        <v>0</v>
      </c>
      <c r="AG186" s="94"/>
      <c r="AH186" s="95">
        <v>14727.63</v>
      </c>
      <c r="AI186" s="306">
        <v>14727.63</v>
      </c>
    </row>
    <row r="187" spans="1:35" ht="15.75" thickBot="1" x14ac:dyDescent="0.3">
      <c r="A187" s="90" t="s">
        <v>871</v>
      </c>
      <c r="B187" s="90" t="s">
        <v>42</v>
      </c>
      <c r="C187" s="90" t="s">
        <v>884</v>
      </c>
      <c r="D187" s="90" t="s">
        <v>662</v>
      </c>
      <c r="E187" s="90" t="s">
        <v>673</v>
      </c>
      <c r="F187" s="90" t="s">
        <v>643</v>
      </c>
      <c r="G187" s="304">
        <v>1</v>
      </c>
      <c r="H187" s="92"/>
      <c r="I187" s="92"/>
      <c r="J187" s="464">
        <f t="shared" si="3"/>
        <v>0</v>
      </c>
      <c r="K187" s="92"/>
      <c r="L187" s="92"/>
      <c r="M187" s="92"/>
      <c r="N187" s="92"/>
      <c r="O187" s="92"/>
      <c r="P187" s="92"/>
      <c r="Q187" s="92"/>
      <c r="R187" s="92"/>
      <c r="S187" s="93">
        <v>246.04</v>
      </c>
      <c r="T187" s="92"/>
      <c r="U187" s="92"/>
      <c r="V187" s="92"/>
      <c r="W187" s="93">
        <v>246.04</v>
      </c>
      <c r="X187" s="92"/>
      <c r="Y187" s="92"/>
      <c r="Z187" s="92"/>
      <c r="AA187" s="92"/>
      <c r="AB187" s="92"/>
      <c r="AC187" s="92"/>
      <c r="AD187" s="92"/>
      <c r="AE187" s="92"/>
      <c r="AF187" s="93">
        <v>0</v>
      </c>
      <c r="AG187" s="92"/>
      <c r="AH187" s="93">
        <v>246.04</v>
      </c>
      <c r="AI187" s="93">
        <v>0</v>
      </c>
    </row>
    <row r="188" spans="1:35" ht="15.75" thickBot="1" x14ac:dyDescent="0.3">
      <c r="A188" s="90" t="s">
        <v>871</v>
      </c>
      <c r="B188" s="90" t="s">
        <v>42</v>
      </c>
      <c r="C188" s="90" t="s">
        <v>884</v>
      </c>
      <c r="D188" s="90" t="s">
        <v>662</v>
      </c>
      <c r="E188" s="90" t="s">
        <v>530</v>
      </c>
      <c r="F188" s="90" t="s">
        <v>745</v>
      </c>
      <c r="G188" s="305">
        <v>1</v>
      </c>
      <c r="H188" s="94"/>
      <c r="I188" s="94"/>
      <c r="J188" s="464">
        <f t="shared" ref="J188:J226" si="4">H188+I188</f>
        <v>0</v>
      </c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5">
        <v>0</v>
      </c>
      <c r="AG188" s="94"/>
      <c r="AH188" s="95">
        <v>6905.81</v>
      </c>
      <c r="AI188" s="306">
        <v>6905.81</v>
      </c>
    </row>
    <row r="189" spans="1:35" ht="15.75" thickBot="1" x14ac:dyDescent="0.3">
      <c r="A189" s="90" t="s">
        <v>871</v>
      </c>
      <c r="B189" s="90" t="s">
        <v>42</v>
      </c>
      <c r="C189" s="90" t="s">
        <v>884</v>
      </c>
      <c r="D189" s="90" t="s">
        <v>662</v>
      </c>
      <c r="E189" s="90" t="s">
        <v>524</v>
      </c>
      <c r="F189" s="90" t="s">
        <v>746</v>
      </c>
      <c r="G189" s="304">
        <v>1</v>
      </c>
      <c r="H189" s="92"/>
      <c r="I189" s="92"/>
      <c r="J189" s="464">
        <f t="shared" si="4"/>
        <v>0</v>
      </c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3">
        <v>550</v>
      </c>
      <c r="AE189" s="92"/>
      <c r="AF189" s="93">
        <v>0</v>
      </c>
      <c r="AG189" s="92"/>
      <c r="AH189" s="93">
        <v>550</v>
      </c>
      <c r="AI189" s="93">
        <v>0</v>
      </c>
    </row>
    <row r="190" spans="1:35" ht="15.75" thickBot="1" x14ac:dyDescent="0.3">
      <c r="A190" s="90" t="s">
        <v>871</v>
      </c>
      <c r="B190" s="90" t="s">
        <v>57</v>
      </c>
      <c r="C190" s="90" t="s">
        <v>58</v>
      </c>
      <c r="D190" s="90" t="s">
        <v>664</v>
      </c>
      <c r="E190" s="90" t="s">
        <v>525</v>
      </c>
      <c r="F190" s="90" t="s">
        <v>752</v>
      </c>
      <c r="G190" s="305">
        <v>1</v>
      </c>
      <c r="H190" s="94"/>
      <c r="I190" s="94"/>
      <c r="J190" s="464">
        <f t="shared" si="4"/>
        <v>0</v>
      </c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5">
        <v>0</v>
      </c>
      <c r="AG190" s="94"/>
      <c r="AH190" s="95">
        <v>-1092.26</v>
      </c>
      <c r="AI190" s="306">
        <v>-1092.26</v>
      </c>
    </row>
    <row r="191" spans="1:35" ht="15.75" thickBot="1" x14ac:dyDescent="0.3">
      <c r="A191" s="90" t="s">
        <v>871</v>
      </c>
      <c r="B191" s="90" t="s">
        <v>57</v>
      </c>
      <c r="C191" s="90" t="s">
        <v>58</v>
      </c>
      <c r="D191" s="90" t="s">
        <v>664</v>
      </c>
      <c r="E191" s="90" t="s">
        <v>528</v>
      </c>
      <c r="F191" s="90" t="s">
        <v>751</v>
      </c>
      <c r="G191" s="304">
        <v>1</v>
      </c>
      <c r="H191" s="92"/>
      <c r="I191" s="92"/>
      <c r="J191" s="464">
        <f t="shared" si="4"/>
        <v>0</v>
      </c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3">
        <v>0</v>
      </c>
      <c r="AG191" s="92"/>
      <c r="AH191" s="93">
        <v>800</v>
      </c>
      <c r="AI191" s="306">
        <v>800</v>
      </c>
    </row>
    <row r="192" spans="1:35" ht="15.75" thickBot="1" x14ac:dyDescent="0.3">
      <c r="A192" s="90" t="s">
        <v>871</v>
      </c>
      <c r="B192" s="90" t="s">
        <v>57</v>
      </c>
      <c r="C192" s="90" t="s">
        <v>58</v>
      </c>
      <c r="D192" s="90" t="s">
        <v>664</v>
      </c>
      <c r="E192" s="90" t="s">
        <v>518</v>
      </c>
      <c r="F192" s="90" t="s">
        <v>522</v>
      </c>
      <c r="G192" s="305">
        <v>1</v>
      </c>
      <c r="H192" s="95">
        <v>186601</v>
      </c>
      <c r="I192" s="94"/>
      <c r="J192" s="464">
        <f t="shared" si="4"/>
        <v>186601</v>
      </c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5">
        <v>0</v>
      </c>
      <c r="AG192" s="94"/>
      <c r="AH192" s="95">
        <v>927.41</v>
      </c>
      <c r="AI192" s="306">
        <v>927.41</v>
      </c>
    </row>
    <row r="193" spans="1:35" ht="15.75" thickBot="1" x14ac:dyDescent="0.3">
      <c r="A193" s="90" t="s">
        <v>871</v>
      </c>
      <c r="B193" s="90" t="s">
        <v>57</v>
      </c>
      <c r="C193" s="90" t="s">
        <v>58</v>
      </c>
      <c r="D193" s="90" t="s">
        <v>664</v>
      </c>
      <c r="E193" s="90" t="s">
        <v>527</v>
      </c>
      <c r="F193" s="90" t="s">
        <v>747</v>
      </c>
      <c r="G193" s="304">
        <v>1</v>
      </c>
      <c r="H193" s="92"/>
      <c r="I193" s="92"/>
      <c r="J193" s="464">
        <f t="shared" si="4"/>
        <v>0</v>
      </c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3">
        <v>-56.42</v>
      </c>
      <c r="AC193" s="92"/>
      <c r="AD193" s="92"/>
      <c r="AE193" s="92"/>
      <c r="AF193" s="93">
        <v>0</v>
      </c>
      <c r="AG193" s="92"/>
      <c r="AH193" s="93">
        <v>-56.42</v>
      </c>
      <c r="AI193" s="93">
        <v>0</v>
      </c>
    </row>
    <row r="194" spans="1:35" ht="15.75" thickBot="1" x14ac:dyDescent="0.3">
      <c r="A194" s="90" t="s">
        <v>871</v>
      </c>
      <c r="B194" s="90" t="s">
        <v>57</v>
      </c>
      <c r="C194" s="90" t="s">
        <v>58</v>
      </c>
      <c r="D194" s="90" t="s">
        <v>664</v>
      </c>
      <c r="E194" s="645" t="s">
        <v>529</v>
      </c>
      <c r="F194" s="646" t="s">
        <v>522</v>
      </c>
      <c r="G194" s="305">
        <v>1</v>
      </c>
      <c r="H194" s="94"/>
      <c r="I194" s="94"/>
      <c r="J194" s="464">
        <f t="shared" si="4"/>
        <v>0</v>
      </c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5">
        <v>0</v>
      </c>
      <c r="AG194" s="94"/>
      <c r="AH194" s="95">
        <v>107140.32</v>
      </c>
      <c r="AI194" s="306">
        <v>107140.32</v>
      </c>
    </row>
    <row r="195" spans="1:35" ht="15.75" thickBot="1" x14ac:dyDescent="0.3">
      <c r="A195" s="90" t="s">
        <v>871</v>
      </c>
      <c r="B195" s="90" t="s">
        <v>57</v>
      </c>
      <c r="C195" s="90" t="s">
        <v>58</v>
      </c>
      <c r="D195" s="90" t="s">
        <v>664</v>
      </c>
      <c r="E195" s="90" t="s">
        <v>676</v>
      </c>
      <c r="F195" s="90" t="s">
        <v>748</v>
      </c>
      <c r="G195" s="304">
        <v>1</v>
      </c>
      <c r="H195" s="92"/>
      <c r="I195" s="92"/>
      <c r="J195" s="464">
        <f t="shared" si="4"/>
        <v>0</v>
      </c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3">
        <v>138.94</v>
      </c>
      <c r="AF195" s="93">
        <v>0</v>
      </c>
      <c r="AG195" s="92"/>
      <c r="AH195" s="93">
        <v>138.94</v>
      </c>
      <c r="AI195" s="93">
        <v>0</v>
      </c>
    </row>
    <row r="196" spans="1:35" ht="15.75" thickBot="1" x14ac:dyDescent="0.3">
      <c r="A196" s="90" t="s">
        <v>871</v>
      </c>
      <c r="B196" s="90" t="s">
        <v>57</v>
      </c>
      <c r="C196" s="90" t="s">
        <v>58</v>
      </c>
      <c r="D196" s="90" t="s">
        <v>664</v>
      </c>
      <c r="E196" s="90" t="s">
        <v>677</v>
      </c>
      <c r="F196" s="90" t="s">
        <v>749</v>
      </c>
      <c r="G196" s="305">
        <v>1</v>
      </c>
      <c r="H196" s="94"/>
      <c r="I196" s="94"/>
      <c r="J196" s="464">
        <f t="shared" si="4"/>
        <v>0</v>
      </c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5">
        <v>0</v>
      </c>
      <c r="AG196" s="94"/>
      <c r="AH196" s="95">
        <v>153.24</v>
      </c>
      <c r="AI196" s="306">
        <v>153.24</v>
      </c>
    </row>
    <row r="197" spans="1:35" ht="15.75" thickBot="1" x14ac:dyDescent="0.3">
      <c r="A197" s="90" t="s">
        <v>871</v>
      </c>
      <c r="B197" s="90" t="s">
        <v>93</v>
      </c>
      <c r="C197" s="90" t="s">
        <v>719</v>
      </c>
      <c r="D197" s="90" t="s">
        <v>663</v>
      </c>
      <c r="E197" s="90" t="s">
        <v>525</v>
      </c>
      <c r="F197" s="90" t="s">
        <v>750</v>
      </c>
      <c r="G197" s="305">
        <v>2</v>
      </c>
      <c r="H197" s="94"/>
      <c r="I197" s="94"/>
      <c r="J197" s="464">
        <f t="shared" si="4"/>
        <v>0</v>
      </c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5">
        <v>12077.36</v>
      </c>
      <c r="AC197" s="94"/>
      <c r="AD197" s="94"/>
      <c r="AE197" s="94"/>
      <c r="AF197" s="95">
        <v>0</v>
      </c>
      <c r="AG197" s="94"/>
      <c r="AH197" s="95">
        <v>12077.36</v>
      </c>
      <c r="AI197" s="95">
        <v>0</v>
      </c>
    </row>
    <row r="198" spans="1:35" ht="15.75" thickBot="1" x14ac:dyDescent="0.3">
      <c r="A198" s="90" t="s">
        <v>871</v>
      </c>
      <c r="B198" s="90" t="s">
        <v>93</v>
      </c>
      <c r="C198" s="90" t="s">
        <v>719</v>
      </c>
      <c r="D198" s="90" t="s">
        <v>663</v>
      </c>
      <c r="E198" s="90" t="s">
        <v>524</v>
      </c>
      <c r="F198" s="90" t="s">
        <v>746</v>
      </c>
      <c r="G198" s="304">
        <v>2</v>
      </c>
      <c r="H198" s="92"/>
      <c r="I198" s="92"/>
      <c r="J198" s="464">
        <f t="shared" si="4"/>
        <v>0</v>
      </c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3">
        <v>525</v>
      </c>
      <c r="AE198" s="92"/>
      <c r="AF198" s="93">
        <v>0</v>
      </c>
      <c r="AG198" s="92"/>
      <c r="AH198" s="93">
        <v>525</v>
      </c>
      <c r="AI198" s="93">
        <v>0</v>
      </c>
    </row>
    <row r="199" spans="1:35" ht="15.75" thickBot="1" x14ac:dyDescent="0.3">
      <c r="A199" s="90" t="s">
        <v>871</v>
      </c>
      <c r="B199" s="90" t="s">
        <v>96</v>
      </c>
      <c r="C199" s="90" t="s">
        <v>883</v>
      </c>
      <c r="D199" s="90" t="s">
        <v>663</v>
      </c>
      <c r="E199" s="90" t="s">
        <v>729</v>
      </c>
      <c r="F199" s="90" t="s">
        <v>947</v>
      </c>
      <c r="G199" s="304">
        <v>1</v>
      </c>
      <c r="H199" s="92"/>
      <c r="I199" s="92"/>
      <c r="J199" s="464">
        <f t="shared" si="4"/>
        <v>0</v>
      </c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3">
        <v>-62.17</v>
      </c>
      <c r="Z199" s="92"/>
      <c r="AA199" s="92"/>
      <c r="AB199" s="92"/>
      <c r="AC199" s="92"/>
      <c r="AD199" s="92"/>
      <c r="AE199" s="92"/>
      <c r="AF199" s="93">
        <v>0</v>
      </c>
      <c r="AG199" s="92"/>
      <c r="AH199" s="93">
        <v>-62.17</v>
      </c>
      <c r="AI199" s="93">
        <v>0</v>
      </c>
    </row>
    <row r="200" spans="1:35" ht="15.75" thickBot="1" x14ac:dyDescent="0.3">
      <c r="A200" s="90" t="s">
        <v>871</v>
      </c>
      <c r="B200" s="90" t="s">
        <v>96</v>
      </c>
      <c r="C200" s="90" t="s">
        <v>883</v>
      </c>
      <c r="D200" s="90" t="s">
        <v>663</v>
      </c>
      <c r="E200" s="90" t="s">
        <v>528</v>
      </c>
      <c r="F200" s="90" t="s">
        <v>751</v>
      </c>
      <c r="G200" s="305">
        <v>1</v>
      </c>
      <c r="H200" s="94"/>
      <c r="I200" s="94"/>
      <c r="J200" s="464">
        <f t="shared" si="4"/>
        <v>0</v>
      </c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5">
        <v>0</v>
      </c>
      <c r="AG200" s="94"/>
      <c r="AH200" s="95">
        <v>400</v>
      </c>
      <c r="AI200" s="306">
        <v>400</v>
      </c>
    </row>
    <row r="201" spans="1:35" ht="15.75" thickBot="1" x14ac:dyDescent="0.3">
      <c r="A201" s="90" t="s">
        <v>871</v>
      </c>
      <c r="B201" s="90" t="s">
        <v>96</v>
      </c>
      <c r="C201" s="90" t="s">
        <v>883</v>
      </c>
      <c r="D201" s="90" t="s">
        <v>663</v>
      </c>
      <c r="E201" s="645" t="s">
        <v>518</v>
      </c>
      <c r="F201" s="646" t="s">
        <v>522</v>
      </c>
      <c r="G201" s="304">
        <v>1</v>
      </c>
      <c r="H201" s="93">
        <v>68321</v>
      </c>
      <c r="I201" s="92"/>
      <c r="J201" s="464">
        <f t="shared" si="4"/>
        <v>68321</v>
      </c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3">
        <v>0</v>
      </c>
      <c r="AG201" s="92"/>
      <c r="AH201" s="93">
        <v>4788.62</v>
      </c>
      <c r="AI201" s="306">
        <v>4788.62</v>
      </c>
    </row>
    <row r="202" spans="1:35" ht="15.75" thickBot="1" x14ac:dyDescent="0.3">
      <c r="A202" s="90" t="s">
        <v>871</v>
      </c>
      <c r="B202" s="90" t="s">
        <v>96</v>
      </c>
      <c r="C202" s="90" t="s">
        <v>883</v>
      </c>
      <c r="D202" s="645" t="s">
        <v>663</v>
      </c>
      <c r="E202" s="666" t="s">
        <v>673</v>
      </c>
      <c r="F202" s="646" t="s">
        <v>643</v>
      </c>
      <c r="G202" s="305">
        <v>1</v>
      </c>
      <c r="H202" s="94"/>
      <c r="I202" s="94"/>
      <c r="J202" s="464">
        <f t="shared" si="4"/>
        <v>0</v>
      </c>
      <c r="K202" s="94"/>
      <c r="L202" s="94"/>
      <c r="M202" s="94"/>
      <c r="N202" s="94"/>
      <c r="O202" s="94"/>
      <c r="P202" s="94"/>
      <c r="Q202" s="94"/>
      <c r="R202" s="94"/>
      <c r="S202" s="95">
        <v>2698.35</v>
      </c>
      <c r="T202" s="94"/>
      <c r="U202" s="94"/>
      <c r="V202" s="94"/>
      <c r="W202" s="95">
        <v>2698.35</v>
      </c>
      <c r="X202" s="94"/>
      <c r="Y202" s="94"/>
      <c r="Z202" s="94"/>
      <c r="AA202" s="94"/>
      <c r="AB202" s="94"/>
      <c r="AC202" s="94"/>
      <c r="AD202" s="94"/>
      <c r="AE202" s="94"/>
      <c r="AF202" s="95">
        <v>0</v>
      </c>
      <c r="AG202" s="94"/>
      <c r="AH202" s="95">
        <v>2698.35</v>
      </c>
      <c r="AI202" s="95">
        <v>0</v>
      </c>
    </row>
    <row r="203" spans="1:35" ht="15.75" thickBot="1" x14ac:dyDescent="0.3">
      <c r="A203" s="90" t="s">
        <v>871</v>
      </c>
      <c r="B203" s="90" t="s">
        <v>96</v>
      </c>
      <c r="C203" s="90" t="s">
        <v>883</v>
      </c>
      <c r="D203" s="90" t="s">
        <v>663</v>
      </c>
      <c r="E203" s="90" t="s">
        <v>530</v>
      </c>
      <c r="F203" s="90" t="s">
        <v>745</v>
      </c>
      <c r="G203" s="304">
        <v>1</v>
      </c>
      <c r="H203" s="92"/>
      <c r="I203" s="92"/>
      <c r="J203" s="464">
        <f t="shared" si="4"/>
        <v>0</v>
      </c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3">
        <v>0</v>
      </c>
      <c r="AG203" s="92"/>
      <c r="AH203" s="93">
        <v>5715.05</v>
      </c>
      <c r="AI203" s="306">
        <v>5715.05</v>
      </c>
    </row>
    <row r="204" spans="1:35" ht="15.75" thickBot="1" x14ac:dyDescent="0.3">
      <c r="A204" s="90" t="s">
        <v>871</v>
      </c>
      <c r="B204" s="90" t="s">
        <v>96</v>
      </c>
      <c r="C204" s="90" t="s">
        <v>883</v>
      </c>
      <c r="D204" s="90" t="s">
        <v>663</v>
      </c>
      <c r="E204" s="90" t="s">
        <v>524</v>
      </c>
      <c r="F204" s="90" t="s">
        <v>746</v>
      </c>
      <c r="G204" s="305">
        <v>1</v>
      </c>
      <c r="H204" s="94"/>
      <c r="I204" s="94"/>
      <c r="J204" s="464">
        <f t="shared" si="4"/>
        <v>0</v>
      </c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5">
        <v>550</v>
      </c>
      <c r="AE204" s="94"/>
      <c r="AF204" s="95">
        <v>0</v>
      </c>
      <c r="AG204" s="94"/>
      <c r="AH204" s="95">
        <v>550</v>
      </c>
      <c r="AI204" s="95">
        <v>0</v>
      </c>
    </row>
    <row r="205" spans="1:35" ht="15.75" thickBot="1" x14ac:dyDescent="0.3">
      <c r="A205" s="90" t="s">
        <v>871</v>
      </c>
      <c r="B205" s="90" t="s">
        <v>96</v>
      </c>
      <c r="C205" s="90" t="s">
        <v>883</v>
      </c>
      <c r="D205" s="90" t="s">
        <v>662</v>
      </c>
      <c r="E205" s="90" t="s">
        <v>729</v>
      </c>
      <c r="F205" s="90" t="s">
        <v>947</v>
      </c>
      <c r="G205" s="305">
        <v>1</v>
      </c>
      <c r="H205" s="94"/>
      <c r="I205" s="94"/>
      <c r="J205" s="464">
        <f t="shared" si="4"/>
        <v>0</v>
      </c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5">
        <v>-1357.39</v>
      </c>
      <c r="Z205" s="94"/>
      <c r="AA205" s="94"/>
      <c r="AB205" s="94"/>
      <c r="AC205" s="94"/>
      <c r="AD205" s="94"/>
      <c r="AE205" s="94"/>
      <c r="AF205" s="95">
        <v>0</v>
      </c>
      <c r="AG205" s="94"/>
      <c r="AH205" s="95">
        <v>-1357.39</v>
      </c>
      <c r="AI205" s="95">
        <v>0</v>
      </c>
    </row>
    <row r="206" spans="1:35" ht="15.75" thickBot="1" x14ac:dyDescent="0.3">
      <c r="A206" s="90" t="s">
        <v>871</v>
      </c>
      <c r="B206" s="90" t="s">
        <v>96</v>
      </c>
      <c r="C206" s="90" t="s">
        <v>883</v>
      </c>
      <c r="D206" s="90" t="s">
        <v>662</v>
      </c>
      <c r="E206" s="90" t="s">
        <v>528</v>
      </c>
      <c r="F206" s="90" t="s">
        <v>751</v>
      </c>
      <c r="G206" s="304">
        <v>1</v>
      </c>
      <c r="H206" s="92"/>
      <c r="I206" s="92"/>
      <c r="J206" s="464">
        <f t="shared" si="4"/>
        <v>0</v>
      </c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3">
        <v>0</v>
      </c>
      <c r="AG206" s="92"/>
      <c r="AH206" s="93">
        <v>400</v>
      </c>
      <c r="AI206" s="306">
        <v>400</v>
      </c>
    </row>
    <row r="207" spans="1:35" ht="15.75" thickBot="1" x14ac:dyDescent="0.3">
      <c r="A207" s="90" t="s">
        <v>871</v>
      </c>
      <c r="B207" s="90" t="s">
        <v>96</v>
      </c>
      <c r="C207" s="90" t="s">
        <v>883</v>
      </c>
      <c r="D207" s="90" t="s">
        <v>662</v>
      </c>
      <c r="E207" s="90" t="s">
        <v>518</v>
      </c>
      <c r="F207" s="90" t="s">
        <v>522</v>
      </c>
      <c r="G207" s="305">
        <v>1</v>
      </c>
      <c r="H207" s="95">
        <v>77388</v>
      </c>
      <c r="I207" s="94"/>
      <c r="J207" s="464">
        <f t="shared" si="4"/>
        <v>77388</v>
      </c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5">
        <v>0</v>
      </c>
      <c r="AG207" s="94"/>
      <c r="AH207" s="95">
        <v>5424.12</v>
      </c>
      <c r="AI207" s="306">
        <v>5424.12</v>
      </c>
    </row>
    <row r="208" spans="1:35" ht="15.75" thickBot="1" x14ac:dyDescent="0.3">
      <c r="A208" s="90" t="s">
        <v>871</v>
      </c>
      <c r="B208" s="90" t="s">
        <v>96</v>
      </c>
      <c r="C208" s="90" t="s">
        <v>883</v>
      </c>
      <c r="D208" s="90" t="s">
        <v>662</v>
      </c>
      <c r="E208" s="90" t="s">
        <v>673</v>
      </c>
      <c r="F208" s="90" t="s">
        <v>643</v>
      </c>
      <c r="G208" s="304">
        <v>1</v>
      </c>
      <c r="H208" s="92"/>
      <c r="I208" s="92"/>
      <c r="J208" s="464">
        <f t="shared" si="4"/>
        <v>0</v>
      </c>
      <c r="K208" s="92"/>
      <c r="L208" s="92"/>
      <c r="M208" s="92"/>
      <c r="N208" s="92"/>
      <c r="O208" s="92"/>
      <c r="P208" s="92"/>
      <c r="Q208" s="92"/>
      <c r="R208" s="92"/>
      <c r="S208" s="93">
        <v>2698.35</v>
      </c>
      <c r="T208" s="92"/>
      <c r="U208" s="92"/>
      <c r="V208" s="92"/>
      <c r="W208" s="93">
        <v>2698.35</v>
      </c>
      <c r="X208" s="92"/>
      <c r="Y208" s="92"/>
      <c r="Z208" s="92"/>
      <c r="AA208" s="92"/>
      <c r="AB208" s="92"/>
      <c r="AC208" s="92"/>
      <c r="AD208" s="92"/>
      <c r="AE208" s="92"/>
      <c r="AF208" s="93">
        <v>0</v>
      </c>
      <c r="AG208" s="92"/>
      <c r="AH208" s="93">
        <v>2698.35</v>
      </c>
      <c r="AI208" s="93">
        <v>0</v>
      </c>
    </row>
    <row r="209" spans="1:35" ht="15.75" thickBot="1" x14ac:dyDescent="0.3">
      <c r="A209" s="90" t="s">
        <v>871</v>
      </c>
      <c r="B209" s="90" t="s">
        <v>96</v>
      </c>
      <c r="C209" s="90" t="s">
        <v>883</v>
      </c>
      <c r="D209" s="90" t="s">
        <v>662</v>
      </c>
      <c r="E209" s="90" t="s">
        <v>530</v>
      </c>
      <c r="F209" s="90" t="s">
        <v>745</v>
      </c>
      <c r="G209" s="305">
        <v>1</v>
      </c>
      <c r="H209" s="94"/>
      <c r="I209" s="94"/>
      <c r="J209" s="464">
        <f t="shared" si="4"/>
        <v>0</v>
      </c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5">
        <v>0</v>
      </c>
      <c r="AG209" s="94"/>
      <c r="AH209" s="95">
        <v>6473.51</v>
      </c>
      <c r="AI209" s="306">
        <v>6473.51</v>
      </c>
    </row>
    <row r="210" spans="1:35" ht="15.75" thickBot="1" x14ac:dyDescent="0.3">
      <c r="A210" s="90" t="s">
        <v>871</v>
      </c>
      <c r="B210" s="90" t="s">
        <v>96</v>
      </c>
      <c r="C210" s="90" t="s">
        <v>883</v>
      </c>
      <c r="D210" s="90" t="s">
        <v>662</v>
      </c>
      <c r="E210" s="645" t="s">
        <v>524</v>
      </c>
      <c r="F210" s="646" t="s">
        <v>746</v>
      </c>
      <c r="G210" s="304">
        <v>1</v>
      </c>
      <c r="H210" s="92"/>
      <c r="I210" s="92"/>
      <c r="J210" s="464">
        <f t="shared" si="4"/>
        <v>0</v>
      </c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3">
        <v>550</v>
      </c>
      <c r="AE210" s="92"/>
      <c r="AF210" s="93">
        <v>0</v>
      </c>
      <c r="AG210" s="92"/>
      <c r="AH210" s="93">
        <v>550</v>
      </c>
      <c r="AI210" s="93">
        <v>0</v>
      </c>
    </row>
    <row r="211" spans="1:35" ht="15.75" thickBot="1" x14ac:dyDescent="0.3">
      <c r="A211" s="90" t="s">
        <v>869</v>
      </c>
      <c r="B211" s="90" t="s">
        <v>45</v>
      </c>
      <c r="C211" s="90" t="s">
        <v>46</v>
      </c>
      <c r="D211" s="90" t="s">
        <v>165</v>
      </c>
      <c r="E211" s="90" t="s">
        <v>726</v>
      </c>
      <c r="F211" s="90" t="s">
        <v>685</v>
      </c>
      <c r="G211" s="304">
        <v>1</v>
      </c>
      <c r="H211" s="92"/>
      <c r="I211" s="92"/>
      <c r="J211" s="464">
        <f t="shared" si="4"/>
        <v>0</v>
      </c>
      <c r="K211" s="92"/>
      <c r="L211" s="92"/>
      <c r="M211" s="92"/>
      <c r="N211" s="93">
        <v>7278.5</v>
      </c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3">
        <v>0</v>
      </c>
      <c r="AG211" s="92"/>
      <c r="AH211" s="93">
        <v>7278.5</v>
      </c>
      <c r="AI211" s="93">
        <v>0</v>
      </c>
    </row>
    <row r="212" spans="1:35" ht="15.75" thickBot="1" x14ac:dyDescent="0.3">
      <c r="A212" s="90" t="s">
        <v>869</v>
      </c>
      <c r="B212" s="90" t="s">
        <v>45</v>
      </c>
      <c r="C212" s="90" t="s">
        <v>46</v>
      </c>
      <c r="D212" s="90" t="s">
        <v>165</v>
      </c>
      <c r="E212" s="90" t="s">
        <v>528</v>
      </c>
      <c r="F212" s="90" t="s">
        <v>751</v>
      </c>
      <c r="G212" s="305">
        <v>1</v>
      </c>
      <c r="H212" s="94"/>
      <c r="I212" s="94"/>
      <c r="J212" s="464">
        <f t="shared" si="4"/>
        <v>0</v>
      </c>
      <c r="K212" s="95">
        <v>180</v>
      </c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5">
        <v>180</v>
      </c>
      <c r="X212" s="94"/>
      <c r="Y212" s="94"/>
      <c r="Z212" s="94"/>
      <c r="AA212" s="94"/>
      <c r="AB212" s="94"/>
      <c r="AC212" s="94"/>
      <c r="AD212" s="94"/>
      <c r="AE212" s="94"/>
      <c r="AF212" s="95">
        <v>0</v>
      </c>
      <c r="AG212" s="94"/>
      <c r="AH212" s="95">
        <v>180</v>
      </c>
      <c r="AI212" s="95">
        <v>0</v>
      </c>
    </row>
    <row r="213" spans="1:35" ht="15.75" thickBot="1" x14ac:dyDescent="0.3">
      <c r="A213" s="90" t="s">
        <v>869</v>
      </c>
      <c r="B213" s="90" t="s">
        <v>45</v>
      </c>
      <c r="C213" s="90" t="s">
        <v>46</v>
      </c>
      <c r="D213" s="90" t="s">
        <v>165</v>
      </c>
      <c r="E213" s="90" t="s">
        <v>547</v>
      </c>
      <c r="F213" s="90" t="s">
        <v>526</v>
      </c>
      <c r="G213" s="304">
        <v>1</v>
      </c>
      <c r="H213" s="92"/>
      <c r="I213" s="92"/>
      <c r="J213" s="464">
        <f t="shared" si="4"/>
        <v>0</v>
      </c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3">
        <v>186513.62</v>
      </c>
      <c r="W213" s="93">
        <v>186513.62</v>
      </c>
      <c r="X213" s="92"/>
      <c r="Y213" s="92"/>
      <c r="Z213" s="92"/>
      <c r="AA213" s="92"/>
      <c r="AB213" s="92"/>
      <c r="AC213" s="92"/>
      <c r="AD213" s="92"/>
      <c r="AE213" s="92"/>
      <c r="AF213" s="93">
        <v>0</v>
      </c>
      <c r="AG213" s="92"/>
      <c r="AH213" s="93">
        <v>186513.62</v>
      </c>
      <c r="AI213" s="93">
        <v>0</v>
      </c>
    </row>
    <row r="214" spans="1:35" ht="15.75" thickBot="1" x14ac:dyDescent="0.3">
      <c r="A214" s="90" t="s">
        <v>869</v>
      </c>
      <c r="B214" s="90" t="s">
        <v>45</v>
      </c>
      <c r="C214" s="90" t="s">
        <v>46</v>
      </c>
      <c r="D214" s="90" t="s">
        <v>165</v>
      </c>
      <c r="E214" s="90" t="s">
        <v>518</v>
      </c>
      <c r="F214" s="90" t="s">
        <v>526</v>
      </c>
      <c r="G214" s="305">
        <v>1</v>
      </c>
      <c r="H214" s="95">
        <v>496149</v>
      </c>
      <c r="I214" s="94"/>
      <c r="J214" s="464">
        <f t="shared" si="4"/>
        <v>496149</v>
      </c>
      <c r="K214" s="94"/>
      <c r="L214" s="94"/>
      <c r="M214" s="95">
        <v>16516.8</v>
      </c>
      <c r="N214" s="94"/>
      <c r="O214" s="94"/>
      <c r="P214" s="94"/>
      <c r="Q214" s="94"/>
      <c r="R214" s="94"/>
      <c r="S214" s="94"/>
      <c r="T214" s="94"/>
      <c r="U214" s="94"/>
      <c r="V214" s="94"/>
      <c r="W214" s="95">
        <v>16516.8</v>
      </c>
      <c r="X214" s="94"/>
      <c r="Y214" s="94"/>
      <c r="Z214" s="94"/>
      <c r="AA214" s="94"/>
      <c r="AB214" s="94"/>
      <c r="AC214" s="94"/>
      <c r="AD214" s="94"/>
      <c r="AE214" s="94"/>
      <c r="AF214" s="95">
        <v>0</v>
      </c>
      <c r="AG214" s="94"/>
      <c r="AH214" s="95">
        <v>16516.8</v>
      </c>
      <c r="AI214" s="95">
        <v>0</v>
      </c>
    </row>
    <row r="215" spans="1:35" ht="15.75" thickBot="1" x14ac:dyDescent="0.3">
      <c r="A215" s="90" t="s">
        <v>869</v>
      </c>
      <c r="B215" s="90" t="s">
        <v>45</v>
      </c>
      <c r="C215" s="90" t="s">
        <v>46</v>
      </c>
      <c r="D215" s="90" t="s">
        <v>165</v>
      </c>
      <c r="E215" s="90" t="s">
        <v>673</v>
      </c>
      <c r="F215" s="90" t="s">
        <v>643</v>
      </c>
      <c r="G215" s="304">
        <v>1</v>
      </c>
      <c r="H215" s="92"/>
      <c r="I215" s="92"/>
      <c r="J215" s="464">
        <f t="shared" si="4"/>
        <v>0</v>
      </c>
      <c r="K215" s="92"/>
      <c r="L215" s="92"/>
      <c r="M215" s="92"/>
      <c r="N215" s="92"/>
      <c r="O215" s="92"/>
      <c r="P215" s="92"/>
      <c r="Q215" s="92"/>
      <c r="R215" s="92"/>
      <c r="S215" s="93">
        <v>245.08</v>
      </c>
      <c r="T215" s="92"/>
      <c r="U215" s="92"/>
      <c r="V215" s="92"/>
      <c r="W215" s="93">
        <v>245.08</v>
      </c>
      <c r="X215" s="92"/>
      <c r="Y215" s="92"/>
      <c r="Z215" s="92"/>
      <c r="AA215" s="92"/>
      <c r="AB215" s="92"/>
      <c r="AC215" s="92"/>
      <c r="AD215" s="92"/>
      <c r="AE215" s="92"/>
      <c r="AF215" s="93">
        <v>0</v>
      </c>
      <c r="AG215" s="92"/>
      <c r="AH215" s="93">
        <v>245.08</v>
      </c>
      <c r="AI215" s="93">
        <v>0</v>
      </c>
    </row>
    <row r="216" spans="1:35" ht="15.75" thickBot="1" x14ac:dyDescent="0.3">
      <c r="A216" s="90" t="s">
        <v>869</v>
      </c>
      <c r="B216" s="90" t="s">
        <v>45</v>
      </c>
      <c r="C216" s="90" t="s">
        <v>46</v>
      </c>
      <c r="D216" s="90" t="s">
        <v>165</v>
      </c>
      <c r="E216" s="90" t="s">
        <v>196</v>
      </c>
      <c r="F216" s="90" t="s">
        <v>196</v>
      </c>
      <c r="G216" s="305">
        <v>1</v>
      </c>
      <c r="H216" s="94"/>
      <c r="I216" s="94"/>
      <c r="J216" s="464">
        <f t="shared" si="4"/>
        <v>0</v>
      </c>
      <c r="K216" s="94"/>
      <c r="L216" s="94"/>
      <c r="M216" s="94"/>
      <c r="N216" s="94"/>
      <c r="O216" s="95">
        <v>160469.47</v>
      </c>
      <c r="P216" s="94"/>
      <c r="Q216" s="94"/>
      <c r="R216" s="94"/>
      <c r="S216" s="94"/>
      <c r="T216" s="94"/>
      <c r="U216" s="94"/>
      <c r="V216" s="94"/>
      <c r="W216" s="95">
        <v>160469.47</v>
      </c>
      <c r="X216" s="94"/>
      <c r="Y216" s="94"/>
      <c r="Z216" s="94"/>
      <c r="AA216" s="94"/>
      <c r="AB216" s="94"/>
      <c r="AC216" s="94"/>
      <c r="AD216" s="94"/>
      <c r="AE216" s="94"/>
      <c r="AF216" s="95">
        <v>0</v>
      </c>
      <c r="AG216" s="94"/>
      <c r="AH216" s="95">
        <v>160469.47</v>
      </c>
      <c r="AI216" s="95">
        <v>0</v>
      </c>
    </row>
    <row r="217" spans="1:35" ht="15.75" thickBot="1" x14ac:dyDescent="0.3">
      <c r="A217" s="90" t="s">
        <v>885</v>
      </c>
      <c r="B217" s="90" t="s">
        <v>45</v>
      </c>
      <c r="C217" s="90" t="s">
        <v>46</v>
      </c>
      <c r="D217" s="90" t="s">
        <v>165</v>
      </c>
      <c r="E217" s="90" t="s">
        <v>528</v>
      </c>
      <c r="F217" s="90" t="s">
        <v>751</v>
      </c>
      <c r="G217" s="305">
        <v>1</v>
      </c>
      <c r="H217" s="94"/>
      <c r="I217" s="94"/>
      <c r="J217" s="464">
        <f t="shared" si="4"/>
        <v>0</v>
      </c>
      <c r="K217" s="95">
        <v>180</v>
      </c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5">
        <v>180</v>
      </c>
      <c r="X217" s="94"/>
      <c r="Y217" s="94"/>
      <c r="Z217" s="94"/>
      <c r="AA217" s="94"/>
      <c r="AB217" s="94"/>
      <c r="AC217" s="94"/>
      <c r="AD217" s="94"/>
      <c r="AE217" s="94"/>
      <c r="AF217" s="95">
        <v>0</v>
      </c>
      <c r="AG217" s="94"/>
      <c r="AH217" s="95">
        <v>180</v>
      </c>
      <c r="AI217" s="95">
        <v>0</v>
      </c>
    </row>
    <row r="218" spans="1:35" ht="15.75" thickBot="1" x14ac:dyDescent="0.3">
      <c r="A218" s="90" t="s">
        <v>885</v>
      </c>
      <c r="B218" s="90" t="s">
        <v>45</v>
      </c>
      <c r="C218" s="90" t="s">
        <v>46</v>
      </c>
      <c r="D218" s="90" t="s">
        <v>165</v>
      </c>
      <c r="E218" s="90" t="s">
        <v>547</v>
      </c>
      <c r="F218" s="90" t="s">
        <v>526</v>
      </c>
      <c r="G218" s="304">
        <v>1</v>
      </c>
      <c r="H218" s="92"/>
      <c r="I218" s="92"/>
      <c r="J218" s="464">
        <f t="shared" si="4"/>
        <v>0</v>
      </c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3">
        <v>186513.62</v>
      </c>
      <c r="W218" s="93">
        <v>186513.62</v>
      </c>
      <c r="X218" s="92"/>
      <c r="Y218" s="92"/>
      <c r="Z218" s="92"/>
      <c r="AA218" s="92"/>
      <c r="AB218" s="92"/>
      <c r="AC218" s="92"/>
      <c r="AD218" s="92"/>
      <c r="AE218" s="92"/>
      <c r="AF218" s="93">
        <v>0</v>
      </c>
      <c r="AG218" s="92"/>
      <c r="AH218" s="93">
        <v>186513.62</v>
      </c>
      <c r="AI218" s="93">
        <v>0</v>
      </c>
    </row>
    <row r="219" spans="1:35" ht="15.75" thickBot="1" x14ac:dyDescent="0.3">
      <c r="A219" s="90" t="s">
        <v>885</v>
      </c>
      <c r="B219" s="90" t="s">
        <v>45</v>
      </c>
      <c r="C219" s="90" t="s">
        <v>46</v>
      </c>
      <c r="D219" s="90" t="s">
        <v>165</v>
      </c>
      <c r="E219" s="90" t="s">
        <v>518</v>
      </c>
      <c r="F219" s="90" t="s">
        <v>526</v>
      </c>
      <c r="G219" s="305">
        <v>1</v>
      </c>
      <c r="H219" s="95">
        <v>147772</v>
      </c>
      <c r="I219" s="94"/>
      <c r="J219" s="464">
        <f t="shared" si="4"/>
        <v>147772</v>
      </c>
      <c r="K219" s="94"/>
      <c r="L219" s="94"/>
      <c r="M219" s="95">
        <v>4919.33</v>
      </c>
      <c r="N219" s="94"/>
      <c r="O219" s="94"/>
      <c r="P219" s="94"/>
      <c r="Q219" s="94"/>
      <c r="R219" s="94"/>
      <c r="S219" s="94"/>
      <c r="T219" s="94"/>
      <c r="U219" s="94"/>
      <c r="V219" s="94"/>
      <c r="W219" s="95">
        <v>4919.33</v>
      </c>
      <c r="X219" s="94"/>
      <c r="Y219" s="94"/>
      <c r="Z219" s="94"/>
      <c r="AA219" s="94"/>
      <c r="AB219" s="94"/>
      <c r="AC219" s="94"/>
      <c r="AD219" s="94"/>
      <c r="AE219" s="94"/>
      <c r="AF219" s="95">
        <v>0</v>
      </c>
      <c r="AG219" s="94"/>
      <c r="AH219" s="95">
        <v>4919.33</v>
      </c>
      <c r="AI219" s="95">
        <v>0</v>
      </c>
    </row>
    <row r="220" spans="1:35" ht="15.75" thickBot="1" x14ac:dyDescent="0.3">
      <c r="A220" s="90" t="s">
        <v>885</v>
      </c>
      <c r="B220" s="90" t="s">
        <v>45</v>
      </c>
      <c r="C220" s="90" t="s">
        <v>46</v>
      </c>
      <c r="D220" s="90" t="s">
        <v>165</v>
      </c>
      <c r="E220" s="90" t="s">
        <v>673</v>
      </c>
      <c r="F220" s="90" t="s">
        <v>643</v>
      </c>
      <c r="G220" s="304">
        <v>1</v>
      </c>
      <c r="H220" s="92"/>
      <c r="I220" s="92"/>
      <c r="J220" s="464">
        <f t="shared" si="4"/>
        <v>0</v>
      </c>
      <c r="K220" s="92"/>
      <c r="L220" s="92"/>
      <c r="M220" s="92"/>
      <c r="N220" s="92"/>
      <c r="O220" s="92"/>
      <c r="P220" s="92"/>
      <c r="Q220" s="92"/>
      <c r="R220" s="92"/>
      <c r="S220" s="93">
        <v>246.04</v>
      </c>
      <c r="T220" s="92"/>
      <c r="U220" s="92"/>
      <c r="V220" s="92"/>
      <c r="W220" s="93">
        <v>246.04</v>
      </c>
      <c r="X220" s="92"/>
      <c r="Y220" s="92"/>
      <c r="Z220" s="92"/>
      <c r="AA220" s="92"/>
      <c r="AB220" s="92"/>
      <c r="AC220" s="92"/>
      <c r="AD220" s="92"/>
      <c r="AE220" s="92"/>
      <c r="AF220" s="93">
        <v>0</v>
      </c>
      <c r="AG220" s="92"/>
      <c r="AH220" s="93">
        <v>246.04</v>
      </c>
      <c r="AI220" s="93">
        <v>0</v>
      </c>
    </row>
    <row r="221" spans="1:35" ht="15.75" thickBot="1" x14ac:dyDescent="0.3">
      <c r="A221" s="90" t="s">
        <v>885</v>
      </c>
      <c r="B221" s="90" t="s">
        <v>45</v>
      </c>
      <c r="C221" s="90" t="s">
        <v>46</v>
      </c>
      <c r="D221" s="90" t="s">
        <v>165</v>
      </c>
      <c r="E221" s="90" t="s">
        <v>196</v>
      </c>
      <c r="F221" s="90" t="s">
        <v>196</v>
      </c>
      <c r="G221" s="305">
        <v>1</v>
      </c>
      <c r="H221" s="94"/>
      <c r="I221" s="94"/>
      <c r="J221" s="464">
        <f t="shared" si="4"/>
        <v>0</v>
      </c>
      <c r="K221" s="94"/>
      <c r="L221" s="94"/>
      <c r="M221" s="94"/>
      <c r="N221" s="94"/>
      <c r="O221" s="95">
        <v>47793.9</v>
      </c>
      <c r="P221" s="94"/>
      <c r="Q221" s="94"/>
      <c r="R221" s="94"/>
      <c r="S221" s="94"/>
      <c r="T221" s="94"/>
      <c r="U221" s="94"/>
      <c r="V221" s="94"/>
      <c r="W221" s="95">
        <v>47793.9</v>
      </c>
      <c r="X221" s="94"/>
      <c r="Y221" s="94"/>
      <c r="Z221" s="94"/>
      <c r="AA221" s="94"/>
      <c r="AB221" s="94"/>
      <c r="AC221" s="94"/>
      <c r="AD221" s="94"/>
      <c r="AE221" s="94"/>
      <c r="AF221" s="95">
        <v>0</v>
      </c>
      <c r="AG221" s="94"/>
      <c r="AH221" s="95">
        <v>47793.9</v>
      </c>
      <c r="AI221" s="95">
        <v>0</v>
      </c>
    </row>
    <row r="222" spans="1:35" ht="15.75" thickBot="1" x14ac:dyDescent="0.3">
      <c r="A222" s="90" t="s">
        <v>871</v>
      </c>
      <c r="B222" s="90" t="s">
        <v>45</v>
      </c>
      <c r="C222" s="90" t="s">
        <v>46</v>
      </c>
      <c r="D222" s="90" t="s">
        <v>165</v>
      </c>
      <c r="E222" s="90" t="s">
        <v>528</v>
      </c>
      <c r="F222" s="90" t="s">
        <v>751</v>
      </c>
      <c r="G222" s="305">
        <v>1</v>
      </c>
      <c r="H222" s="94"/>
      <c r="I222" s="94"/>
      <c r="J222" s="464">
        <f t="shared" si="4"/>
        <v>0</v>
      </c>
      <c r="K222" s="95">
        <v>180</v>
      </c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5">
        <v>180</v>
      </c>
      <c r="X222" s="94"/>
      <c r="Y222" s="94"/>
      <c r="Z222" s="94"/>
      <c r="AA222" s="94"/>
      <c r="AB222" s="94"/>
      <c r="AC222" s="94"/>
      <c r="AD222" s="94"/>
      <c r="AE222" s="94"/>
      <c r="AF222" s="95">
        <v>0</v>
      </c>
      <c r="AG222" s="94"/>
      <c r="AH222" s="95">
        <v>180</v>
      </c>
      <c r="AI222" s="95">
        <v>0</v>
      </c>
    </row>
    <row r="223" spans="1:35" ht="15.75" thickBot="1" x14ac:dyDescent="0.3">
      <c r="A223" s="90" t="s">
        <v>871</v>
      </c>
      <c r="B223" s="90" t="s">
        <v>45</v>
      </c>
      <c r="C223" s="90" t="s">
        <v>46</v>
      </c>
      <c r="D223" s="90" t="s">
        <v>165</v>
      </c>
      <c r="E223" s="90" t="s">
        <v>547</v>
      </c>
      <c r="F223" s="90" t="s">
        <v>526</v>
      </c>
      <c r="G223" s="304">
        <v>1</v>
      </c>
      <c r="H223" s="92"/>
      <c r="I223" s="92"/>
      <c r="J223" s="464">
        <f t="shared" si="4"/>
        <v>0</v>
      </c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3">
        <v>186513.62</v>
      </c>
      <c r="W223" s="93">
        <v>186513.62</v>
      </c>
      <c r="X223" s="92"/>
      <c r="Y223" s="92"/>
      <c r="Z223" s="92"/>
      <c r="AA223" s="92"/>
      <c r="AB223" s="92"/>
      <c r="AC223" s="92"/>
      <c r="AD223" s="92"/>
      <c r="AE223" s="92"/>
      <c r="AF223" s="93">
        <v>0</v>
      </c>
      <c r="AG223" s="92"/>
      <c r="AH223" s="93">
        <v>186513.62</v>
      </c>
      <c r="AI223" s="93">
        <v>0</v>
      </c>
    </row>
    <row r="224" spans="1:35" ht="15.75" thickBot="1" x14ac:dyDescent="0.3">
      <c r="A224" s="90" t="s">
        <v>871</v>
      </c>
      <c r="B224" s="90" t="s">
        <v>45</v>
      </c>
      <c r="C224" s="90" t="s">
        <v>46</v>
      </c>
      <c r="D224" s="90" t="s">
        <v>165</v>
      </c>
      <c r="E224" s="90" t="s">
        <v>518</v>
      </c>
      <c r="F224" s="90" t="s">
        <v>526</v>
      </c>
      <c r="G224" s="305">
        <v>1</v>
      </c>
      <c r="H224" s="95">
        <v>201342</v>
      </c>
      <c r="I224" s="94"/>
      <c r="J224" s="464">
        <f t="shared" si="4"/>
        <v>201342</v>
      </c>
      <c r="K224" s="94"/>
      <c r="L224" s="94"/>
      <c r="M224" s="95">
        <v>6702.68</v>
      </c>
      <c r="N224" s="94"/>
      <c r="O224" s="94"/>
      <c r="P224" s="94"/>
      <c r="Q224" s="94"/>
      <c r="R224" s="94"/>
      <c r="S224" s="94"/>
      <c r="T224" s="94"/>
      <c r="U224" s="94"/>
      <c r="V224" s="94"/>
      <c r="W224" s="95">
        <v>6702.68</v>
      </c>
      <c r="X224" s="94"/>
      <c r="Y224" s="94"/>
      <c r="Z224" s="94"/>
      <c r="AA224" s="94"/>
      <c r="AB224" s="94"/>
      <c r="AC224" s="94"/>
      <c r="AD224" s="94"/>
      <c r="AE224" s="94"/>
      <c r="AF224" s="95">
        <v>0</v>
      </c>
      <c r="AG224" s="94"/>
      <c r="AH224" s="95">
        <v>6702.68</v>
      </c>
      <c r="AI224" s="95">
        <v>0</v>
      </c>
    </row>
    <row r="225" spans="1:35" ht="15.75" thickBot="1" x14ac:dyDescent="0.3">
      <c r="A225" s="90" t="s">
        <v>871</v>
      </c>
      <c r="B225" s="90" t="s">
        <v>45</v>
      </c>
      <c r="C225" s="90" t="s">
        <v>46</v>
      </c>
      <c r="D225" s="90" t="s">
        <v>165</v>
      </c>
      <c r="E225" s="90" t="s">
        <v>673</v>
      </c>
      <c r="F225" s="90" t="s">
        <v>643</v>
      </c>
      <c r="G225" s="304">
        <v>1</v>
      </c>
      <c r="H225" s="92"/>
      <c r="I225" s="92"/>
      <c r="J225" s="464">
        <f t="shared" si="4"/>
        <v>0</v>
      </c>
      <c r="K225" s="92"/>
      <c r="L225" s="92"/>
      <c r="M225" s="92"/>
      <c r="N225" s="92"/>
      <c r="O225" s="92"/>
      <c r="P225" s="92"/>
      <c r="Q225" s="92"/>
      <c r="R225" s="92"/>
      <c r="S225" s="93">
        <v>259.54000000000002</v>
      </c>
      <c r="T225" s="92"/>
      <c r="U225" s="92"/>
      <c r="V225" s="92"/>
      <c r="W225" s="93">
        <v>259.54000000000002</v>
      </c>
      <c r="X225" s="92"/>
      <c r="Y225" s="92"/>
      <c r="Z225" s="92"/>
      <c r="AA225" s="92"/>
      <c r="AB225" s="92"/>
      <c r="AC225" s="92"/>
      <c r="AD225" s="92"/>
      <c r="AE225" s="92"/>
      <c r="AF225" s="93">
        <v>0</v>
      </c>
      <c r="AG225" s="92"/>
      <c r="AH225" s="93">
        <v>259.54000000000002</v>
      </c>
      <c r="AI225" s="93">
        <v>0</v>
      </c>
    </row>
    <row r="226" spans="1:35" ht="15.75" thickBot="1" x14ac:dyDescent="0.3">
      <c r="A226" s="90" t="s">
        <v>871</v>
      </c>
      <c r="B226" s="90" t="s">
        <v>45</v>
      </c>
      <c r="C226" s="90" t="s">
        <v>46</v>
      </c>
      <c r="D226" s="90" t="s">
        <v>165</v>
      </c>
      <c r="E226" s="90" t="s">
        <v>196</v>
      </c>
      <c r="F226" s="90" t="s">
        <v>196</v>
      </c>
      <c r="G226" s="305">
        <v>1</v>
      </c>
      <c r="H226" s="94"/>
      <c r="I226" s="94"/>
      <c r="J226" s="464">
        <f t="shared" si="4"/>
        <v>0</v>
      </c>
      <c r="K226" s="94"/>
      <c r="L226" s="94"/>
      <c r="M226" s="94"/>
      <c r="N226" s="94"/>
      <c r="O226" s="95">
        <v>70731.44</v>
      </c>
      <c r="P226" s="94"/>
      <c r="Q226" s="94"/>
      <c r="R226" s="94"/>
      <c r="S226" s="94"/>
      <c r="T226" s="94"/>
      <c r="U226" s="94"/>
      <c r="V226" s="94"/>
      <c r="W226" s="95">
        <v>70731.44</v>
      </c>
      <c r="X226" s="94"/>
      <c r="Y226" s="94"/>
      <c r="Z226" s="94"/>
      <c r="AA226" s="94"/>
      <c r="AB226" s="94"/>
      <c r="AC226" s="94"/>
      <c r="AD226" s="94"/>
      <c r="AE226" s="94"/>
      <c r="AF226" s="95">
        <v>0</v>
      </c>
      <c r="AG226" s="94"/>
      <c r="AH226" s="95">
        <v>70731.44</v>
      </c>
      <c r="AI226" s="95">
        <v>0</v>
      </c>
    </row>
    <row r="227" spans="1:35" ht="15.75" thickBot="1" x14ac:dyDescent="0.3">
      <c r="A227" s="90" t="s">
        <v>999</v>
      </c>
      <c r="B227" s="90" t="s">
        <v>50</v>
      </c>
      <c r="C227" s="90" t="s">
        <v>881</v>
      </c>
      <c r="D227" s="90" t="s">
        <v>661</v>
      </c>
      <c r="E227" s="90" t="s">
        <v>198</v>
      </c>
      <c r="F227" s="90" t="s">
        <v>743</v>
      </c>
      <c r="G227" s="304">
        <v>8</v>
      </c>
      <c r="H227" s="92"/>
      <c r="I227" s="92"/>
      <c r="J227" s="464">
        <f t="shared" ref="J227:J256" si="5">H227+I227</f>
        <v>0</v>
      </c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3">
        <v>4.3600000000000003</v>
      </c>
      <c r="AG227" s="92"/>
      <c r="AH227" s="93">
        <v>237.77</v>
      </c>
      <c r="AI227" s="306">
        <v>233.41</v>
      </c>
    </row>
    <row r="228" spans="1:35" ht="15.75" thickBot="1" x14ac:dyDescent="0.3">
      <c r="A228" s="90" t="s">
        <v>999</v>
      </c>
      <c r="B228" s="90" t="s">
        <v>50</v>
      </c>
      <c r="C228" s="90" t="s">
        <v>881</v>
      </c>
      <c r="D228" s="90" t="s">
        <v>661</v>
      </c>
      <c r="E228" s="90" t="s">
        <v>518</v>
      </c>
      <c r="F228" s="90" t="s">
        <v>522</v>
      </c>
      <c r="G228" s="305">
        <v>8</v>
      </c>
      <c r="H228" s="95">
        <v>409501</v>
      </c>
      <c r="I228" s="94"/>
      <c r="J228" s="464">
        <f t="shared" si="5"/>
        <v>409501</v>
      </c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5">
        <v>329.51</v>
      </c>
      <c r="AG228" s="94"/>
      <c r="AH228" s="95">
        <v>17946.25</v>
      </c>
      <c r="AI228" s="306">
        <v>17616.740000000002</v>
      </c>
    </row>
    <row r="229" spans="1:35" ht="15.75" thickBot="1" x14ac:dyDescent="0.3">
      <c r="A229" s="90" t="s">
        <v>999</v>
      </c>
      <c r="B229" s="90" t="s">
        <v>50</v>
      </c>
      <c r="C229" s="90" t="s">
        <v>881</v>
      </c>
      <c r="D229" s="90" t="s">
        <v>661</v>
      </c>
      <c r="E229" s="90" t="s">
        <v>524</v>
      </c>
      <c r="F229" s="90" t="s">
        <v>746</v>
      </c>
      <c r="G229" s="304">
        <v>8</v>
      </c>
      <c r="H229" s="92"/>
      <c r="I229" s="92"/>
      <c r="J229" s="464">
        <f t="shared" si="5"/>
        <v>0</v>
      </c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3">
        <v>4400</v>
      </c>
      <c r="AE229" s="92"/>
      <c r="AF229" s="93">
        <v>66</v>
      </c>
      <c r="AG229" s="92"/>
      <c r="AH229" s="93">
        <v>4466</v>
      </c>
      <c r="AI229" s="93">
        <v>0</v>
      </c>
    </row>
    <row r="230" spans="1:35" ht="15.75" thickBot="1" x14ac:dyDescent="0.3">
      <c r="A230" s="90" t="s">
        <v>999</v>
      </c>
      <c r="B230" s="90" t="s">
        <v>50</v>
      </c>
      <c r="C230" s="90" t="s">
        <v>881</v>
      </c>
      <c r="D230" s="90" t="s">
        <v>662</v>
      </c>
      <c r="E230" s="715" t="s">
        <v>198</v>
      </c>
      <c r="F230" s="716" t="s">
        <v>743</v>
      </c>
      <c r="G230" s="304">
        <v>2</v>
      </c>
      <c r="H230" s="92"/>
      <c r="I230" s="92"/>
      <c r="J230" s="464">
        <f t="shared" si="5"/>
        <v>0</v>
      </c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3">
        <v>1.2</v>
      </c>
      <c r="AG230" s="92"/>
      <c r="AH230" s="93">
        <v>58.97</v>
      </c>
      <c r="AI230" s="306">
        <v>57.77</v>
      </c>
    </row>
    <row r="231" spans="1:35" ht="15.75" thickBot="1" x14ac:dyDescent="0.3">
      <c r="A231" s="90" t="s">
        <v>999</v>
      </c>
      <c r="B231" s="90" t="s">
        <v>50</v>
      </c>
      <c r="C231" s="90" t="s">
        <v>881</v>
      </c>
      <c r="D231" s="90" t="s">
        <v>662</v>
      </c>
      <c r="E231" s="90" t="s">
        <v>525</v>
      </c>
      <c r="F231" s="90" t="s">
        <v>752</v>
      </c>
      <c r="G231" s="305">
        <v>1</v>
      </c>
      <c r="H231" s="94"/>
      <c r="I231" s="94"/>
      <c r="J231" s="464">
        <f t="shared" si="5"/>
        <v>0</v>
      </c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5">
        <v>-3.1</v>
      </c>
      <c r="AG231" s="94"/>
      <c r="AH231" s="95">
        <v>-106.53</v>
      </c>
      <c r="AI231" s="306">
        <v>-103.43</v>
      </c>
    </row>
    <row r="232" spans="1:35" ht="15.75" thickBot="1" x14ac:dyDescent="0.3">
      <c r="A232" s="90" t="s">
        <v>999</v>
      </c>
      <c r="B232" s="90" t="s">
        <v>50</v>
      </c>
      <c r="C232" s="90" t="s">
        <v>881</v>
      </c>
      <c r="D232" s="90" t="s">
        <v>662</v>
      </c>
      <c r="E232" s="90" t="s">
        <v>518</v>
      </c>
      <c r="F232" s="90" t="s">
        <v>522</v>
      </c>
      <c r="G232" s="304">
        <v>2</v>
      </c>
      <c r="H232" s="93">
        <v>101348</v>
      </c>
      <c r="I232" s="92"/>
      <c r="J232" s="464">
        <f t="shared" si="5"/>
        <v>101348</v>
      </c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3">
        <v>90.72</v>
      </c>
      <c r="AG232" s="92"/>
      <c r="AH232" s="93">
        <v>4450.71</v>
      </c>
      <c r="AI232" s="306">
        <v>4359.99</v>
      </c>
    </row>
    <row r="233" spans="1:35" ht="15.75" thickBot="1" x14ac:dyDescent="0.3">
      <c r="A233" s="90" t="s">
        <v>999</v>
      </c>
      <c r="B233" s="90" t="s">
        <v>50</v>
      </c>
      <c r="C233" s="90" t="s">
        <v>881</v>
      </c>
      <c r="D233" s="90" t="s">
        <v>662</v>
      </c>
      <c r="E233" s="90" t="s">
        <v>527</v>
      </c>
      <c r="F233" s="90" t="s">
        <v>1015</v>
      </c>
      <c r="G233" s="305">
        <v>1</v>
      </c>
      <c r="H233" s="94"/>
      <c r="I233" s="94"/>
      <c r="J233" s="464">
        <f t="shared" si="5"/>
        <v>0</v>
      </c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5">
        <v>549.61</v>
      </c>
      <c r="AC233" s="94"/>
      <c r="AD233" s="94"/>
      <c r="AE233" s="94"/>
      <c r="AF233" s="95">
        <v>16.489999999999998</v>
      </c>
      <c r="AG233" s="94"/>
      <c r="AH233" s="95">
        <v>566.1</v>
      </c>
      <c r="AI233" s="95">
        <v>0</v>
      </c>
    </row>
    <row r="234" spans="1:35" ht="15.75" thickBot="1" x14ac:dyDescent="0.3">
      <c r="A234" s="90" t="s">
        <v>999</v>
      </c>
      <c r="B234" s="90" t="s">
        <v>50</v>
      </c>
      <c r="C234" s="90" t="s">
        <v>881</v>
      </c>
      <c r="D234" s="90" t="s">
        <v>662</v>
      </c>
      <c r="E234" s="90" t="s">
        <v>671</v>
      </c>
      <c r="F234" s="90" t="s">
        <v>703</v>
      </c>
      <c r="G234" s="304">
        <v>1</v>
      </c>
      <c r="H234" s="92"/>
      <c r="I234" s="92"/>
      <c r="J234" s="464">
        <f t="shared" si="5"/>
        <v>0</v>
      </c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3">
        <v>85.44</v>
      </c>
      <c r="Y234" s="92"/>
      <c r="Z234" s="92"/>
      <c r="AA234" s="92"/>
      <c r="AB234" s="92"/>
      <c r="AC234" s="92"/>
      <c r="AD234" s="92"/>
      <c r="AE234" s="92"/>
      <c r="AF234" s="93">
        <v>0</v>
      </c>
      <c r="AG234" s="92"/>
      <c r="AH234" s="93">
        <v>85.44</v>
      </c>
      <c r="AI234" s="93">
        <v>0</v>
      </c>
    </row>
    <row r="235" spans="1:35" ht="15.75" thickBot="1" x14ac:dyDescent="0.3">
      <c r="A235" s="90" t="s">
        <v>999</v>
      </c>
      <c r="B235" s="90" t="s">
        <v>50</v>
      </c>
      <c r="C235" s="90" t="s">
        <v>881</v>
      </c>
      <c r="D235" s="90" t="s">
        <v>662</v>
      </c>
      <c r="E235" s="90" t="s">
        <v>524</v>
      </c>
      <c r="F235" s="90" t="s">
        <v>746</v>
      </c>
      <c r="G235" s="305">
        <v>2</v>
      </c>
      <c r="H235" s="94"/>
      <c r="I235" s="94"/>
      <c r="J235" s="464">
        <f t="shared" si="5"/>
        <v>0</v>
      </c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5">
        <v>1100</v>
      </c>
      <c r="AE235" s="94"/>
      <c r="AF235" s="95">
        <v>16.489999999999998</v>
      </c>
      <c r="AG235" s="94"/>
      <c r="AH235" s="95">
        <v>1116.49</v>
      </c>
      <c r="AI235" s="95">
        <v>0</v>
      </c>
    </row>
    <row r="236" spans="1:35" ht="15.75" thickBot="1" x14ac:dyDescent="0.3">
      <c r="A236" s="90" t="s">
        <v>999</v>
      </c>
      <c r="B236" s="90" t="s">
        <v>50</v>
      </c>
      <c r="C236" s="90" t="s">
        <v>881</v>
      </c>
      <c r="D236" s="90" t="s">
        <v>662</v>
      </c>
      <c r="E236" s="90" t="s">
        <v>676</v>
      </c>
      <c r="F236" s="90" t="s">
        <v>748</v>
      </c>
      <c r="G236" s="304">
        <v>1</v>
      </c>
      <c r="H236" s="92"/>
      <c r="I236" s="92"/>
      <c r="J236" s="464">
        <f t="shared" si="5"/>
        <v>0</v>
      </c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3">
        <v>41.86</v>
      </c>
      <c r="AF236" s="93">
        <v>1.26</v>
      </c>
      <c r="AG236" s="92"/>
      <c r="AH236" s="93">
        <v>43.12</v>
      </c>
      <c r="AI236" s="93">
        <v>0</v>
      </c>
    </row>
    <row r="237" spans="1:35" ht="15.75" thickBot="1" x14ac:dyDescent="0.3">
      <c r="A237" s="90" t="s">
        <v>999</v>
      </c>
      <c r="B237" s="90" t="s">
        <v>50</v>
      </c>
      <c r="C237" s="90" t="s">
        <v>881</v>
      </c>
      <c r="D237" s="90" t="s">
        <v>662</v>
      </c>
      <c r="E237" s="90" t="s">
        <v>677</v>
      </c>
      <c r="F237" s="90" t="s">
        <v>749</v>
      </c>
      <c r="G237" s="305">
        <v>1</v>
      </c>
      <c r="H237" s="94"/>
      <c r="I237" s="94"/>
      <c r="J237" s="464">
        <f t="shared" si="5"/>
        <v>0</v>
      </c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5">
        <v>1.38</v>
      </c>
      <c r="AG237" s="94"/>
      <c r="AH237" s="95">
        <v>47.24</v>
      </c>
      <c r="AI237" s="306">
        <v>45.86</v>
      </c>
    </row>
    <row r="238" spans="1:35" ht="15.75" thickBot="1" x14ac:dyDescent="0.3">
      <c r="A238" s="90" t="s">
        <v>999</v>
      </c>
      <c r="B238" s="90" t="s">
        <v>54</v>
      </c>
      <c r="C238" s="90" t="s">
        <v>55</v>
      </c>
      <c r="D238" s="90" t="s">
        <v>663</v>
      </c>
      <c r="E238" s="90" t="s">
        <v>525</v>
      </c>
      <c r="F238" s="90" t="s">
        <v>752</v>
      </c>
      <c r="G238" s="304">
        <v>3</v>
      </c>
      <c r="H238" s="92"/>
      <c r="I238" s="92"/>
      <c r="J238" s="464">
        <f t="shared" si="5"/>
        <v>0</v>
      </c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3">
        <v>0</v>
      </c>
      <c r="AG238" s="92"/>
      <c r="AH238" s="93">
        <v>-25122.68</v>
      </c>
      <c r="AI238" s="306">
        <v>-25122.68</v>
      </c>
    </row>
    <row r="239" spans="1:35" ht="15.75" thickBot="1" x14ac:dyDescent="0.3">
      <c r="A239" s="90" t="s">
        <v>999</v>
      </c>
      <c r="B239" s="90" t="s">
        <v>54</v>
      </c>
      <c r="C239" s="90" t="s">
        <v>55</v>
      </c>
      <c r="D239" s="90" t="s">
        <v>663</v>
      </c>
      <c r="E239" s="715" t="s">
        <v>525</v>
      </c>
      <c r="F239" s="716" t="s">
        <v>750</v>
      </c>
      <c r="G239" s="305">
        <v>3</v>
      </c>
      <c r="H239" s="94"/>
      <c r="I239" s="94"/>
      <c r="J239" s="464">
        <f t="shared" si="5"/>
        <v>0</v>
      </c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5">
        <v>21234.95</v>
      </c>
      <c r="AC239" s="94"/>
      <c r="AD239" s="94"/>
      <c r="AE239" s="94"/>
      <c r="AF239" s="95">
        <v>335.64</v>
      </c>
      <c r="AG239" s="94"/>
      <c r="AH239" s="95">
        <v>21570.59</v>
      </c>
      <c r="AI239" s="95">
        <v>0</v>
      </c>
    </row>
    <row r="240" spans="1:35" ht="15.75" thickBot="1" x14ac:dyDescent="0.3">
      <c r="A240" s="90" t="s">
        <v>999</v>
      </c>
      <c r="B240" s="90" t="s">
        <v>54</v>
      </c>
      <c r="C240" s="90" t="s">
        <v>55</v>
      </c>
      <c r="D240" s="715" t="s">
        <v>663</v>
      </c>
      <c r="E240" s="666" t="s">
        <v>527</v>
      </c>
      <c r="F240" s="716" t="s">
        <v>1015</v>
      </c>
      <c r="G240" s="305">
        <v>3</v>
      </c>
      <c r="H240" s="94"/>
      <c r="I240" s="94"/>
      <c r="J240" s="464">
        <f t="shared" si="5"/>
        <v>0</v>
      </c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5">
        <v>41247.78</v>
      </c>
      <c r="AC240" s="94"/>
      <c r="AD240" s="94"/>
      <c r="AE240" s="94"/>
      <c r="AF240" s="95">
        <v>0</v>
      </c>
      <c r="AG240" s="94"/>
      <c r="AH240" s="95">
        <v>41247.78</v>
      </c>
      <c r="AI240" s="95">
        <v>0</v>
      </c>
    </row>
    <row r="241" spans="1:35" ht="15.75" thickBot="1" x14ac:dyDescent="0.3">
      <c r="A241" s="90" t="s">
        <v>999</v>
      </c>
      <c r="B241" s="90" t="s">
        <v>54</v>
      </c>
      <c r="C241" s="90" t="s">
        <v>55</v>
      </c>
      <c r="D241" s="90" t="s">
        <v>663</v>
      </c>
      <c r="E241" s="90" t="s">
        <v>527</v>
      </c>
      <c r="F241" s="90" t="s">
        <v>1016</v>
      </c>
      <c r="G241" s="304">
        <v>3</v>
      </c>
      <c r="H241" s="92"/>
      <c r="I241" s="92"/>
      <c r="J241" s="464">
        <f t="shared" si="5"/>
        <v>0</v>
      </c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3">
        <v>883.04</v>
      </c>
      <c r="AG241" s="92"/>
      <c r="AH241" s="93">
        <v>48888.78</v>
      </c>
      <c r="AI241" s="306">
        <v>48005.74</v>
      </c>
    </row>
    <row r="242" spans="1:35" ht="15.75" thickBot="1" x14ac:dyDescent="0.3">
      <c r="A242" s="90" t="s">
        <v>999</v>
      </c>
      <c r="B242" s="90" t="s">
        <v>54</v>
      </c>
      <c r="C242" s="90" t="s">
        <v>55</v>
      </c>
      <c r="D242" s="90" t="s">
        <v>663</v>
      </c>
      <c r="E242" s="90" t="s">
        <v>524</v>
      </c>
      <c r="F242" s="90" t="s">
        <v>746</v>
      </c>
      <c r="G242" s="304">
        <v>5</v>
      </c>
      <c r="H242" s="92"/>
      <c r="I242" s="92"/>
      <c r="J242" s="464">
        <f t="shared" si="5"/>
        <v>0</v>
      </c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3">
        <v>8925</v>
      </c>
      <c r="AE242" s="92"/>
      <c r="AF242" s="93">
        <v>9</v>
      </c>
      <c r="AG242" s="92"/>
      <c r="AH242" s="93">
        <v>8934</v>
      </c>
      <c r="AI242" s="93">
        <v>0</v>
      </c>
    </row>
    <row r="243" spans="1:35" ht="15.75" thickBot="1" x14ac:dyDescent="0.3">
      <c r="A243" s="90" t="s">
        <v>999</v>
      </c>
      <c r="B243" s="90" t="s">
        <v>54</v>
      </c>
      <c r="C243" s="90" t="s">
        <v>55</v>
      </c>
      <c r="D243" s="90" t="s">
        <v>663</v>
      </c>
      <c r="E243" s="90" t="s">
        <v>676</v>
      </c>
      <c r="F243" s="90" t="s">
        <v>748</v>
      </c>
      <c r="G243" s="305">
        <v>5</v>
      </c>
      <c r="H243" s="94"/>
      <c r="I243" s="94"/>
      <c r="J243" s="464">
        <f t="shared" si="5"/>
        <v>0</v>
      </c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5">
        <v>17205.259999999998</v>
      </c>
      <c r="AF243" s="95">
        <v>182.6</v>
      </c>
      <c r="AG243" s="94"/>
      <c r="AH243" s="95">
        <v>17387.86</v>
      </c>
      <c r="AI243" s="95">
        <v>0</v>
      </c>
    </row>
    <row r="244" spans="1:35" ht="15.75" thickBot="1" x14ac:dyDescent="0.3">
      <c r="A244" s="90" t="s">
        <v>999</v>
      </c>
      <c r="B244" s="90" t="s">
        <v>54</v>
      </c>
      <c r="C244" s="90" t="s">
        <v>55</v>
      </c>
      <c r="D244" s="90" t="s">
        <v>663</v>
      </c>
      <c r="E244" s="90" t="s">
        <v>677</v>
      </c>
      <c r="F244" s="90" t="s">
        <v>749</v>
      </c>
      <c r="G244" s="304">
        <v>5</v>
      </c>
      <c r="H244" s="92"/>
      <c r="I244" s="92"/>
      <c r="J244" s="464">
        <f t="shared" si="5"/>
        <v>0</v>
      </c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3">
        <v>200.06</v>
      </c>
      <c r="AG244" s="92"/>
      <c r="AH244" s="93">
        <v>19050.78</v>
      </c>
      <c r="AI244" s="306">
        <v>18850.72</v>
      </c>
    </row>
    <row r="245" spans="1:35" ht="15.75" thickBot="1" x14ac:dyDescent="0.3">
      <c r="A245" s="90" t="s">
        <v>999</v>
      </c>
      <c r="B245" s="90" t="s">
        <v>57</v>
      </c>
      <c r="C245" s="90" t="s">
        <v>58</v>
      </c>
      <c r="D245" s="90" t="s">
        <v>664</v>
      </c>
      <c r="E245" s="90" t="s">
        <v>525</v>
      </c>
      <c r="F245" s="90" t="s">
        <v>752</v>
      </c>
      <c r="G245" s="304">
        <v>1</v>
      </c>
      <c r="H245" s="92"/>
      <c r="I245" s="92"/>
      <c r="J245" s="464">
        <f t="shared" si="5"/>
        <v>0</v>
      </c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3">
        <v>0</v>
      </c>
      <c r="AG245" s="92"/>
      <c r="AH245" s="93">
        <v>-728.37</v>
      </c>
      <c r="AI245" s="306">
        <v>-728.37</v>
      </c>
    </row>
    <row r="246" spans="1:35" ht="15.75" thickBot="1" x14ac:dyDescent="0.3">
      <c r="A246" s="90" t="s">
        <v>999</v>
      </c>
      <c r="B246" s="90" t="s">
        <v>57</v>
      </c>
      <c r="C246" s="90" t="s">
        <v>58</v>
      </c>
      <c r="D246" s="90" t="s">
        <v>664</v>
      </c>
      <c r="E246" s="90" t="s">
        <v>528</v>
      </c>
      <c r="F246" s="90" t="s">
        <v>751</v>
      </c>
      <c r="G246" s="305">
        <v>1</v>
      </c>
      <c r="H246" s="94"/>
      <c r="I246" s="94"/>
      <c r="J246" s="464">
        <f t="shared" si="5"/>
        <v>0</v>
      </c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5">
        <v>0</v>
      </c>
      <c r="AG246" s="94"/>
      <c r="AH246" s="95">
        <v>800</v>
      </c>
      <c r="AI246" s="306">
        <v>800</v>
      </c>
    </row>
    <row r="247" spans="1:35" ht="15.75" thickBot="1" x14ac:dyDescent="0.3">
      <c r="A247" s="90" t="s">
        <v>999</v>
      </c>
      <c r="B247" s="90" t="s">
        <v>57</v>
      </c>
      <c r="C247" s="90" t="s">
        <v>58</v>
      </c>
      <c r="D247" s="90" t="s">
        <v>664</v>
      </c>
      <c r="E247" s="90" t="s">
        <v>518</v>
      </c>
      <c r="F247" s="90" t="s">
        <v>522</v>
      </c>
      <c r="G247" s="304">
        <v>1</v>
      </c>
      <c r="H247" s="93">
        <v>951278</v>
      </c>
      <c r="I247" s="92"/>
      <c r="J247" s="464">
        <f t="shared" si="5"/>
        <v>951278</v>
      </c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3">
        <v>0</v>
      </c>
      <c r="AG247" s="92"/>
      <c r="AH247" s="93">
        <v>4727.8500000000004</v>
      </c>
      <c r="AI247" s="306">
        <v>4727.8500000000004</v>
      </c>
    </row>
    <row r="248" spans="1:35" ht="15.75" thickBot="1" x14ac:dyDescent="0.3">
      <c r="A248" s="90" t="s">
        <v>999</v>
      </c>
      <c r="B248" s="90" t="s">
        <v>57</v>
      </c>
      <c r="C248" s="90" t="s">
        <v>58</v>
      </c>
      <c r="D248" s="90" t="s">
        <v>664</v>
      </c>
      <c r="E248" s="90" t="s">
        <v>527</v>
      </c>
      <c r="F248" s="90" t="s">
        <v>1015</v>
      </c>
      <c r="G248" s="305">
        <v>1</v>
      </c>
      <c r="H248" s="94"/>
      <c r="I248" s="94"/>
      <c r="J248" s="464">
        <f t="shared" si="5"/>
        <v>0</v>
      </c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5">
        <v>1120.8399999999999</v>
      </c>
      <c r="AC248" s="94"/>
      <c r="AD248" s="94"/>
      <c r="AE248" s="94"/>
      <c r="AF248" s="95">
        <v>0</v>
      </c>
      <c r="AG248" s="94"/>
      <c r="AH248" s="95">
        <v>1120.8399999999999</v>
      </c>
      <c r="AI248" s="95">
        <v>0</v>
      </c>
    </row>
    <row r="249" spans="1:35" ht="15.75" thickBot="1" x14ac:dyDescent="0.3">
      <c r="A249" s="90" t="s">
        <v>999</v>
      </c>
      <c r="B249" s="90" t="s">
        <v>57</v>
      </c>
      <c r="C249" s="90" t="s">
        <v>58</v>
      </c>
      <c r="D249" s="90" t="s">
        <v>664</v>
      </c>
      <c r="E249" s="90" t="s">
        <v>529</v>
      </c>
      <c r="F249" s="90" t="s">
        <v>522</v>
      </c>
      <c r="G249" s="304">
        <v>1</v>
      </c>
      <c r="H249" s="92"/>
      <c r="I249" s="92"/>
      <c r="J249" s="464">
        <f t="shared" si="5"/>
        <v>0</v>
      </c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3">
        <v>0</v>
      </c>
      <c r="AG249" s="92"/>
      <c r="AH249" s="93">
        <v>107140.32</v>
      </c>
      <c r="AI249" s="306">
        <v>107140.32</v>
      </c>
    </row>
    <row r="250" spans="1:35" ht="15.75" thickBot="1" x14ac:dyDescent="0.3">
      <c r="A250" s="90" t="s">
        <v>999</v>
      </c>
      <c r="B250" s="90" t="s">
        <v>57</v>
      </c>
      <c r="C250" s="90" t="s">
        <v>58</v>
      </c>
      <c r="D250" s="90" t="s">
        <v>664</v>
      </c>
      <c r="E250" s="715" t="s">
        <v>676</v>
      </c>
      <c r="F250" s="716" t="s">
        <v>748</v>
      </c>
      <c r="G250" s="305">
        <v>1</v>
      </c>
      <c r="H250" s="94"/>
      <c r="I250" s="94"/>
      <c r="J250" s="464">
        <f t="shared" si="5"/>
        <v>0</v>
      </c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5">
        <v>99.69</v>
      </c>
      <c r="AF250" s="95">
        <v>0</v>
      </c>
      <c r="AG250" s="94"/>
      <c r="AH250" s="95">
        <v>99.69</v>
      </c>
      <c r="AI250" s="95">
        <v>0</v>
      </c>
    </row>
    <row r="251" spans="1:35" ht="15.75" thickBot="1" x14ac:dyDescent="0.3">
      <c r="A251" s="90" t="s">
        <v>999</v>
      </c>
      <c r="B251" s="90" t="s">
        <v>57</v>
      </c>
      <c r="C251" s="90" t="s">
        <v>58</v>
      </c>
      <c r="D251" s="90" t="s">
        <v>664</v>
      </c>
      <c r="E251" s="90" t="s">
        <v>677</v>
      </c>
      <c r="F251" s="90" t="s">
        <v>749</v>
      </c>
      <c r="G251" s="304">
        <v>1</v>
      </c>
      <c r="H251" s="92"/>
      <c r="I251" s="92"/>
      <c r="J251" s="464">
        <f t="shared" si="5"/>
        <v>0</v>
      </c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3">
        <v>0</v>
      </c>
      <c r="AG251" s="92"/>
      <c r="AH251" s="93">
        <v>109.23</v>
      </c>
      <c r="AI251" s="306">
        <v>109.23</v>
      </c>
    </row>
    <row r="252" spans="1:35" ht="15.75" thickBot="1" x14ac:dyDescent="0.3">
      <c r="A252" s="90" t="s">
        <v>999</v>
      </c>
      <c r="B252" s="90" t="s">
        <v>93</v>
      </c>
      <c r="C252" s="90" t="s">
        <v>719</v>
      </c>
      <c r="D252" s="90" t="s">
        <v>663</v>
      </c>
      <c r="E252" s="90" t="s">
        <v>525</v>
      </c>
      <c r="F252" s="90" t="s">
        <v>752</v>
      </c>
      <c r="G252" s="304">
        <v>1</v>
      </c>
      <c r="H252" s="92"/>
      <c r="I252" s="92"/>
      <c r="J252" s="464">
        <f t="shared" si="5"/>
        <v>0</v>
      </c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3">
        <v>0</v>
      </c>
      <c r="AG252" s="92"/>
      <c r="AH252" s="93">
        <v>-2127.31</v>
      </c>
      <c r="AI252" s="306">
        <v>-2127.31</v>
      </c>
    </row>
    <row r="253" spans="1:35" ht="15.75" thickBot="1" x14ac:dyDescent="0.3">
      <c r="A253" s="90" t="s">
        <v>999</v>
      </c>
      <c r="B253" s="90" t="s">
        <v>93</v>
      </c>
      <c r="C253" s="90" t="s">
        <v>719</v>
      </c>
      <c r="D253" s="90" t="s">
        <v>663</v>
      </c>
      <c r="E253" s="90" t="s">
        <v>525</v>
      </c>
      <c r="F253" s="90" t="s">
        <v>750</v>
      </c>
      <c r="G253" s="305">
        <v>1</v>
      </c>
      <c r="H253" s="94"/>
      <c r="I253" s="94"/>
      <c r="J253" s="464">
        <f t="shared" si="5"/>
        <v>0</v>
      </c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5">
        <v>4628</v>
      </c>
      <c r="AC253" s="94"/>
      <c r="AD253" s="94"/>
      <c r="AE253" s="94"/>
      <c r="AF253" s="95">
        <v>0</v>
      </c>
      <c r="AG253" s="94"/>
      <c r="AH253" s="95">
        <v>4628</v>
      </c>
      <c r="AI253" s="95">
        <v>0</v>
      </c>
    </row>
    <row r="254" spans="1:35" ht="15.75" thickBot="1" x14ac:dyDescent="0.3">
      <c r="A254" s="90" t="s">
        <v>999</v>
      </c>
      <c r="B254" s="90" t="s">
        <v>93</v>
      </c>
      <c r="C254" s="90" t="s">
        <v>719</v>
      </c>
      <c r="D254" s="90" t="s">
        <v>663</v>
      </c>
      <c r="E254" s="90" t="s">
        <v>527</v>
      </c>
      <c r="F254" s="90" t="s">
        <v>1015</v>
      </c>
      <c r="G254" s="305">
        <v>1</v>
      </c>
      <c r="H254" s="94"/>
      <c r="I254" s="94"/>
      <c r="J254" s="464">
        <f t="shared" si="5"/>
        <v>0</v>
      </c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5">
        <v>526.17999999999995</v>
      </c>
      <c r="AC254" s="94"/>
      <c r="AD254" s="94"/>
      <c r="AE254" s="94"/>
      <c r="AF254" s="95">
        <v>0</v>
      </c>
      <c r="AG254" s="94"/>
      <c r="AH254" s="95">
        <v>526.17999999999995</v>
      </c>
      <c r="AI254" s="95">
        <v>0</v>
      </c>
    </row>
    <row r="255" spans="1:35" ht="15.75" thickBot="1" x14ac:dyDescent="0.3">
      <c r="A255" s="90" t="s">
        <v>999</v>
      </c>
      <c r="B255" s="90" t="s">
        <v>93</v>
      </c>
      <c r="C255" s="90" t="s">
        <v>719</v>
      </c>
      <c r="D255" s="90" t="s">
        <v>663</v>
      </c>
      <c r="E255" s="90" t="s">
        <v>527</v>
      </c>
      <c r="F255" s="90" t="s">
        <v>1016</v>
      </c>
      <c r="G255" s="304">
        <v>1</v>
      </c>
      <c r="H255" s="92"/>
      <c r="I255" s="92"/>
      <c r="J255" s="464">
        <f t="shared" si="5"/>
        <v>0</v>
      </c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3">
        <v>0</v>
      </c>
      <c r="AG255" s="92"/>
      <c r="AH255" s="93">
        <v>2676.64</v>
      </c>
      <c r="AI255" s="306">
        <v>2676.64</v>
      </c>
    </row>
    <row r="256" spans="1:35" ht="15.75" thickBot="1" x14ac:dyDescent="0.3">
      <c r="A256" s="90" t="s">
        <v>999</v>
      </c>
      <c r="B256" s="90" t="s">
        <v>93</v>
      </c>
      <c r="C256" s="90" t="s">
        <v>719</v>
      </c>
      <c r="D256" s="90" t="s">
        <v>663</v>
      </c>
      <c r="E256" s="90" t="s">
        <v>524</v>
      </c>
      <c r="F256" s="90" t="s">
        <v>746</v>
      </c>
      <c r="G256" s="304">
        <v>2</v>
      </c>
      <c r="H256" s="92"/>
      <c r="I256" s="92"/>
      <c r="J256" s="464">
        <f t="shared" si="5"/>
        <v>0</v>
      </c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3">
        <v>525</v>
      </c>
      <c r="AE256" s="92"/>
      <c r="AF256" s="93">
        <v>0</v>
      </c>
      <c r="AG256" s="92"/>
      <c r="AH256" s="93">
        <v>525</v>
      </c>
      <c r="AI256" s="93">
        <v>0</v>
      </c>
    </row>
    <row r="257" spans="1:35" ht="15.75" thickBot="1" x14ac:dyDescent="0.3">
      <c r="A257" s="90" t="s">
        <v>999</v>
      </c>
      <c r="B257" s="90" t="s">
        <v>1001</v>
      </c>
      <c r="C257" s="90" t="s">
        <v>1002</v>
      </c>
      <c r="D257" s="90" t="s">
        <v>663</v>
      </c>
      <c r="E257" s="90" t="s">
        <v>729</v>
      </c>
      <c r="F257" s="90" t="s">
        <v>1017</v>
      </c>
      <c r="G257" s="304">
        <v>2</v>
      </c>
      <c r="H257" s="92"/>
      <c r="I257" s="92"/>
      <c r="J257" s="464">
        <f t="shared" ref="J257:J320" si="6">H257+I257</f>
        <v>0</v>
      </c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3">
        <v>3679.92</v>
      </c>
      <c r="Z257" s="92"/>
      <c r="AA257" s="92"/>
      <c r="AB257" s="92"/>
      <c r="AC257" s="92"/>
      <c r="AD257" s="92"/>
      <c r="AE257" s="92"/>
      <c r="AF257" s="93">
        <v>43.38</v>
      </c>
      <c r="AG257" s="92"/>
      <c r="AH257" s="93">
        <v>3723.3</v>
      </c>
      <c r="AI257" s="93">
        <v>0</v>
      </c>
    </row>
    <row r="258" spans="1:35" ht="15.75" thickBot="1" x14ac:dyDescent="0.3">
      <c r="A258" s="90" t="s">
        <v>999</v>
      </c>
      <c r="B258" s="90" t="s">
        <v>1001</v>
      </c>
      <c r="C258" s="90" t="s">
        <v>1002</v>
      </c>
      <c r="D258" s="90" t="s">
        <v>663</v>
      </c>
      <c r="E258" s="715" t="s">
        <v>528</v>
      </c>
      <c r="F258" s="716" t="s">
        <v>751</v>
      </c>
      <c r="G258" s="305">
        <v>4</v>
      </c>
      <c r="H258" s="94"/>
      <c r="I258" s="94"/>
      <c r="J258" s="464">
        <f t="shared" si="6"/>
        <v>0</v>
      </c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5">
        <v>16.2</v>
      </c>
      <c r="AG258" s="94"/>
      <c r="AH258" s="95">
        <v>736.2</v>
      </c>
      <c r="AI258" s="306">
        <v>720</v>
      </c>
    </row>
    <row r="259" spans="1:35" ht="15.75" thickBot="1" x14ac:dyDescent="0.3">
      <c r="A259" s="90" t="s">
        <v>999</v>
      </c>
      <c r="B259" s="90" t="s">
        <v>1001</v>
      </c>
      <c r="C259" s="90" t="s">
        <v>1002</v>
      </c>
      <c r="D259" s="90" t="s">
        <v>663</v>
      </c>
      <c r="E259" s="90" t="s">
        <v>518</v>
      </c>
      <c r="F259" s="90" t="s">
        <v>522</v>
      </c>
      <c r="G259" s="304">
        <v>4</v>
      </c>
      <c r="H259" s="93">
        <v>4000</v>
      </c>
      <c r="I259" s="93">
        <v>268897</v>
      </c>
      <c r="J259" s="464">
        <f t="shared" si="6"/>
        <v>272897</v>
      </c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3">
        <v>656.67</v>
      </c>
      <c r="AG259" s="92"/>
      <c r="AH259" s="93">
        <v>49375.02</v>
      </c>
      <c r="AI259" s="306">
        <v>48718.35</v>
      </c>
    </row>
    <row r="260" spans="1:35" ht="15.75" thickBot="1" x14ac:dyDescent="0.3">
      <c r="A260" s="90" t="s">
        <v>999</v>
      </c>
      <c r="B260" s="90" t="s">
        <v>1001</v>
      </c>
      <c r="C260" s="90" t="s">
        <v>1002</v>
      </c>
      <c r="D260" s="90" t="s">
        <v>663</v>
      </c>
      <c r="E260" s="90" t="s">
        <v>673</v>
      </c>
      <c r="F260" s="90" t="s">
        <v>643</v>
      </c>
      <c r="G260" s="305">
        <v>4</v>
      </c>
      <c r="H260" s="94"/>
      <c r="I260" s="94"/>
      <c r="J260" s="464">
        <f t="shared" si="6"/>
        <v>0</v>
      </c>
      <c r="K260" s="94"/>
      <c r="L260" s="94"/>
      <c r="M260" s="94"/>
      <c r="N260" s="94"/>
      <c r="O260" s="94"/>
      <c r="P260" s="94"/>
      <c r="Q260" s="94"/>
      <c r="R260" s="94"/>
      <c r="S260" s="95">
        <v>1038.1600000000001</v>
      </c>
      <c r="T260" s="94"/>
      <c r="U260" s="94"/>
      <c r="V260" s="94"/>
      <c r="W260" s="95">
        <v>1038.1600000000001</v>
      </c>
      <c r="X260" s="94"/>
      <c r="Y260" s="94"/>
      <c r="Z260" s="94"/>
      <c r="AA260" s="94"/>
      <c r="AB260" s="94"/>
      <c r="AC260" s="94"/>
      <c r="AD260" s="94"/>
      <c r="AE260" s="94"/>
      <c r="AF260" s="95">
        <v>23.36</v>
      </c>
      <c r="AG260" s="94"/>
      <c r="AH260" s="95">
        <v>1061.52</v>
      </c>
      <c r="AI260" s="95">
        <v>0</v>
      </c>
    </row>
    <row r="261" spans="1:35" ht="15.75" thickBot="1" x14ac:dyDescent="0.3">
      <c r="A261" s="90" t="s">
        <v>999</v>
      </c>
      <c r="B261" s="90" t="s">
        <v>1001</v>
      </c>
      <c r="C261" s="90" t="s">
        <v>1002</v>
      </c>
      <c r="D261" s="90" t="s">
        <v>663</v>
      </c>
      <c r="E261" s="90" t="s">
        <v>530</v>
      </c>
      <c r="F261" s="90" t="s">
        <v>745</v>
      </c>
      <c r="G261" s="304">
        <v>4</v>
      </c>
      <c r="H261" s="92"/>
      <c r="I261" s="92"/>
      <c r="J261" s="464">
        <f t="shared" si="6"/>
        <v>0</v>
      </c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3">
        <v>309.67</v>
      </c>
      <c r="AG261" s="92"/>
      <c r="AH261" s="93">
        <v>23347.63</v>
      </c>
      <c r="AI261" s="306">
        <v>23037.96</v>
      </c>
    </row>
    <row r="262" spans="1:35" ht="15.75" thickBot="1" x14ac:dyDescent="0.3">
      <c r="A262" s="90" t="s">
        <v>999</v>
      </c>
      <c r="B262" s="90" t="s">
        <v>1001</v>
      </c>
      <c r="C262" s="90" t="s">
        <v>1002</v>
      </c>
      <c r="D262" s="90" t="s">
        <v>663</v>
      </c>
      <c r="E262" s="90" t="s">
        <v>524</v>
      </c>
      <c r="F262" s="90" t="s">
        <v>746</v>
      </c>
      <c r="G262" s="305">
        <v>4</v>
      </c>
      <c r="H262" s="94"/>
      <c r="I262" s="94"/>
      <c r="J262" s="464">
        <f t="shared" si="6"/>
        <v>0</v>
      </c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5">
        <v>2200</v>
      </c>
      <c r="AE262" s="94"/>
      <c r="AF262" s="95">
        <v>49.5</v>
      </c>
      <c r="AG262" s="94"/>
      <c r="AH262" s="95">
        <v>2249.5</v>
      </c>
      <c r="AI262" s="95">
        <v>0</v>
      </c>
    </row>
    <row r="263" spans="1:35" ht="15.75" thickBot="1" x14ac:dyDescent="0.3">
      <c r="A263" s="90" t="s">
        <v>999</v>
      </c>
      <c r="B263" s="90" t="s">
        <v>1001</v>
      </c>
      <c r="C263" s="90" t="s">
        <v>1002</v>
      </c>
      <c r="D263" s="90" t="s">
        <v>662</v>
      </c>
      <c r="E263" s="90" t="s">
        <v>729</v>
      </c>
      <c r="F263" s="90" t="s">
        <v>1017</v>
      </c>
      <c r="G263" s="305">
        <v>1</v>
      </c>
      <c r="H263" s="94"/>
      <c r="I263" s="94"/>
      <c r="J263" s="464">
        <f t="shared" si="6"/>
        <v>0</v>
      </c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5">
        <v>7189.07</v>
      </c>
      <c r="Z263" s="94"/>
      <c r="AA263" s="94"/>
      <c r="AB263" s="94"/>
      <c r="AC263" s="94"/>
      <c r="AD263" s="94"/>
      <c r="AE263" s="94"/>
      <c r="AF263" s="95">
        <v>0</v>
      </c>
      <c r="AG263" s="94"/>
      <c r="AH263" s="95">
        <v>7189.07</v>
      </c>
      <c r="AI263" s="95">
        <v>0</v>
      </c>
    </row>
    <row r="264" spans="1:35" ht="15.75" thickBot="1" x14ac:dyDescent="0.3">
      <c r="A264" s="90" t="s">
        <v>999</v>
      </c>
      <c r="B264" s="90" t="s">
        <v>1001</v>
      </c>
      <c r="C264" s="90" t="s">
        <v>1002</v>
      </c>
      <c r="D264" s="90" t="s">
        <v>662</v>
      </c>
      <c r="E264" s="90" t="s">
        <v>528</v>
      </c>
      <c r="F264" s="90" t="s">
        <v>751</v>
      </c>
      <c r="G264" s="304">
        <v>1</v>
      </c>
      <c r="H264" s="92"/>
      <c r="I264" s="92"/>
      <c r="J264" s="464">
        <f t="shared" si="6"/>
        <v>0</v>
      </c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3">
        <v>0</v>
      </c>
      <c r="AG264" s="92"/>
      <c r="AH264" s="93">
        <v>180</v>
      </c>
      <c r="AI264" s="306">
        <v>180</v>
      </c>
    </row>
    <row r="265" spans="1:35" ht="15.75" thickBot="1" x14ac:dyDescent="0.3">
      <c r="A265" s="90" t="s">
        <v>999</v>
      </c>
      <c r="B265" s="90" t="s">
        <v>1001</v>
      </c>
      <c r="C265" s="90" t="s">
        <v>1002</v>
      </c>
      <c r="D265" s="90" t="s">
        <v>662</v>
      </c>
      <c r="E265" s="90" t="s">
        <v>518</v>
      </c>
      <c r="F265" s="90" t="s">
        <v>522</v>
      </c>
      <c r="G265" s="305">
        <v>1</v>
      </c>
      <c r="H265" s="95">
        <v>1000</v>
      </c>
      <c r="I265" s="95">
        <v>153504</v>
      </c>
      <c r="J265" s="464">
        <f t="shared" si="6"/>
        <v>154504</v>
      </c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5">
        <v>0</v>
      </c>
      <c r="AG265" s="94"/>
      <c r="AH265" s="95">
        <v>27519.27</v>
      </c>
      <c r="AI265" s="306">
        <v>27519.27</v>
      </c>
    </row>
    <row r="266" spans="1:35" ht="15.75" thickBot="1" x14ac:dyDescent="0.3">
      <c r="A266" s="90" t="s">
        <v>999</v>
      </c>
      <c r="B266" s="90" t="s">
        <v>1001</v>
      </c>
      <c r="C266" s="90" t="s">
        <v>1002</v>
      </c>
      <c r="D266" s="90" t="s">
        <v>662</v>
      </c>
      <c r="E266" s="715" t="s">
        <v>673</v>
      </c>
      <c r="F266" s="716" t="s">
        <v>643</v>
      </c>
      <c r="G266" s="304">
        <v>1</v>
      </c>
      <c r="H266" s="92"/>
      <c r="I266" s="92"/>
      <c r="J266" s="464">
        <f t="shared" si="6"/>
        <v>0</v>
      </c>
      <c r="K266" s="92"/>
      <c r="L266" s="92"/>
      <c r="M266" s="92"/>
      <c r="N266" s="92"/>
      <c r="O266" s="92"/>
      <c r="P266" s="92"/>
      <c r="Q266" s="92"/>
      <c r="R266" s="92"/>
      <c r="S266" s="93">
        <v>259.54000000000002</v>
      </c>
      <c r="T266" s="92"/>
      <c r="U266" s="92"/>
      <c r="V266" s="92"/>
      <c r="W266" s="93">
        <v>259.54000000000002</v>
      </c>
      <c r="X266" s="92"/>
      <c r="Y266" s="92"/>
      <c r="Z266" s="92"/>
      <c r="AA266" s="92"/>
      <c r="AB266" s="92"/>
      <c r="AC266" s="92"/>
      <c r="AD266" s="92"/>
      <c r="AE266" s="92"/>
      <c r="AF266" s="93">
        <v>0</v>
      </c>
      <c r="AG266" s="92"/>
      <c r="AH266" s="93">
        <v>259.54000000000002</v>
      </c>
      <c r="AI266" s="93">
        <v>0</v>
      </c>
    </row>
    <row r="267" spans="1:35" ht="15.75" thickBot="1" x14ac:dyDescent="0.3">
      <c r="A267" s="90" t="s">
        <v>999</v>
      </c>
      <c r="B267" s="90" t="s">
        <v>1001</v>
      </c>
      <c r="C267" s="90" t="s">
        <v>1002</v>
      </c>
      <c r="D267" s="90" t="s">
        <v>662</v>
      </c>
      <c r="E267" s="90" t="s">
        <v>530</v>
      </c>
      <c r="F267" s="90" t="s">
        <v>745</v>
      </c>
      <c r="G267" s="305">
        <v>1</v>
      </c>
      <c r="H267" s="94"/>
      <c r="I267" s="94"/>
      <c r="J267" s="464">
        <f t="shared" si="6"/>
        <v>0</v>
      </c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5">
        <v>0</v>
      </c>
      <c r="AG267" s="94"/>
      <c r="AH267" s="95">
        <v>13043.23</v>
      </c>
      <c r="AI267" s="306">
        <v>13043.23</v>
      </c>
    </row>
    <row r="268" spans="1:35" ht="15.75" thickBot="1" x14ac:dyDescent="0.3">
      <c r="A268" s="90" t="s">
        <v>999</v>
      </c>
      <c r="B268" s="90" t="s">
        <v>1001</v>
      </c>
      <c r="C268" s="90" t="s">
        <v>1002</v>
      </c>
      <c r="D268" s="90" t="s">
        <v>662</v>
      </c>
      <c r="E268" s="90" t="s">
        <v>524</v>
      </c>
      <c r="F268" s="90" t="s">
        <v>746</v>
      </c>
      <c r="G268" s="304">
        <v>1</v>
      </c>
      <c r="H268" s="92"/>
      <c r="I268" s="92"/>
      <c r="J268" s="464">
        <f t="shared" si="6"/>
        <v>0</v>
      </c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3">
        <v>550</v>
      </c>
      <c r="AE268" s="92"/>
      <c r="AF268" s="93">
        <v>0</v>
      </c>
      <c r="AG268" s="92"/>
      <c r="AH268" s="93">
        <v>550</v>
      </c>
      <c r="AI268" s="93">
        <v>0</v>
      </c>
    </row>
    <row r="269" spans="1:35" ht="15.75" thickBot="1" x14ac:dyDescent="0.3">
      <c r="A269" s="90" t="s">
        <v>999</v>
      </c>
      <c r="B269" s="90" t="s">
        <v>1003</v>
      </c>
      <c r="C269" s="90" t="s">
        <v>1004</v>
      </c>
      <c r="D269" s="90" t="s">
        <v>663</v>
      </c>
      <c r="E269" s="90" t="s">
        <v>528</v>
      </c>
      <c r="F269" s="90" t="s">
        <v>751</v>
      </c>
      <c r="G269" s="305">
        <v>1</v>
      </c>
      <c r="H269" s="94"/>
      <c r="I269" s="94"/>
      <c r="J269" s="464">
        <f t="shared" si="6"/>
        <v>0</v>
      </c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5">
        <v>0</v>
      </c>
      <c r="AG269" s="94"/>
      <c r="AH269" s="95">
        <v>400</v>
      </c>
      <c r="AI269" s="306">
        <v>400</v>
      </c>
    </row>
    <row r="270" spans="1:35" ht="15.75" thickBot="1" x14ac:dyDescent="0.3">
      <c r="A270" s="90" t="s">
        <v>999</v>
      </c>
      <c r="B270" s="90" t="s">
        <v>1003</v>
      </c>
      <c r="C270" s="90" t="s">
        <v>1004</v>
      </c>
      <c r="D270" s="90" t="s">
        <v>663</v>
      </c>
      <c r="E270" s="90" t="s">
        <v>518</v>
      </c>
      <c r="F270" s="90" t="s">
        <v>522</v>
      </c>
      <c r="G270" s="304">
        <v>1</v>
      </c>
      <c r="H270" s="93">
        <v>29990</v>
      </c>
      <c r="I270" s="92"/>
      <c r="J270" s="464">
        <f t="shared" si="6"/>
        <v>29990</v>
      </c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3">
        <v>0</v>
      </c>
      <c r="AG270" s="92"/>
      <c r="AH270" s="93">
        <v>2102</v>
      </c>
      <c r="AI270" s="306">
        <v>2102</v>
      </c>
    </row>
    <row r="271" spans="1:35" ht="15.75" thickBot="1" x14ac:dyDescent="0.3">
      <c r="A271" s="90" t="s">
        <v>999</v>
      </c>
      <c r="B271" s="90" t="s">
        <v>1003</v>
      </c>
      <c r="C271" s="90" t="s">
        <v>1004</v>
      </c>
      <c r="D271" s="90" t="s">
        <v>663</v>
      </c>
      <c r="E271" s="90" t="s">
        <v>673</v>
      </c>
      <c r="F271" s="90" t="s">
        <v>643</v>
      </c>
      <c r="G271" s="305">
        <v>1</v>
      </c>
      <c r="H271" s="94"/>
      <c r="I271" s="94"/>
      <c r="J271" s="464">
        <f t="shared" si="6"/>
        <v>0</v>
      </c>
      <c r="K271" s="94"/>
      <c r="L271" s="94"/>
      <c r="M271" s="94"/>
      <c r="N271" s="94"/>
      <c r="O271" s="94"/>
      <c r="P271" s="94"/>
      <c r="Q271" s="94"/>
      <c r="R271" s="94"/>
      <c r="S271" s="95">
        <v>2838.87</v>
      </c>
      <c r="T271" s="94"/>
      <c r="U271" s="94"/>
      <c r="V271" s="94"/>
      <c r="W271" s="95">
        <v>2838.87</v>
      </c>
      <c r="X271" s="94"/>
      <c r="Y271" s="94"/>
      <c r="Z271" s="94"/>
      <c r="AA271" s="94"/>
      <c r="AB271" s="94"/>
      <c r="AC271" s="94"/>
      <c r="AD271" s="94"/>
      <c r="AE271" s="94"/>
      <c r="AF271" s="95">
        <v>0</v>
      </c>
      <c r="AG271" s="94"/>
      <c r="AH271" s="95">
        <v>2838.87</v>
      </c>
      <c r="AI271" s="95">
        <v>0</v>
      </c>
    </row>
    <row r="272" spans="1:35" ht="15.75" thickBot="1" x14ac:dyDescent="0.3">
      <c r="A272" s="90" t="s">
        <v>999</v>
      </c>
      <c r="B272" s="90" t="s">
        <v>1003</v>
      </c>
      <c r="C272" s="90" t="s">
        <v>1004</v>
      </c>
      <c r="D272" s="90" t="s">
        <v>663</v>
      </c>
      <c r="E272" s="90" t="s">
        <v>530</v>
      </c>
      <c r="F272" s="90" t="s">
        <v>745</v>
      </c>
      <c r="G272" s="304">
        <v>1</v>
      </c>
      <c r="H272" s="92"/>
      <c r="I272" s="92"/>
      <c r="J272" s="464">
        <f t="shared" si="6"/>
        <v>0</v>
      </c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3">
        <v>0</v>
      </c>
      <c r="AG272" s="92"/>
      <c r="AH272" s="93">
        <v>2531.7600000000002</v>
      </c>
      <c r="AI272" s="306">
        <v>2531.7600000000002</v>
      </c>
    </row>
    <row r="273" spans="1:35" ht="15.75" thickBot="1" x14ac:dyDescent="0.3">
      <c r="A273" s="90" t="s">
        <v>999</v>
      </c>
      <c r="B273" s="90" t="s">
        <v>1003</v>
      </c>
      <c r="C273" s="90" t="s">
        <v>1004</v>
      </c>
      <c r="D273" s="90" t="s">
        <v>663</v>
      </c>
      <c r="E273" s="715" t="s">
        <v>524</v>
      </c>
      <c r="F273" s="716" t="s">
        <v>746</v>
      </c>
      <c r="G273" s="305">
        <v>1</v>
      </c>
      <c r="H273" s="94"/>
      <c r="I273" s="94"/>
      <c r="J273" s="464">
        <f t="shared" si="6"/>
        <v>0</v>
      </c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5">
        <v>550</v>
      </c>
      <c r="AE273" s="94"/>
      <c r="AF273" s="95">
        <v>0</v>
      </c>
      <c r="AG273" s="94"/>
      <c r="AH273" s="95">
        <v>550</v>
      </c>
      <c r="AI273" s="95">
        <v>0</v>
      </c>
    </row>
    <row r="274" spans="1:35" ht="15.75" thickBot="1" x14ac:dyDescent="0.3">
      <c r="A274" s="90" t="s">
        <v>999</v>
      </c>
      <c r="B274" s="90" t="s">
        <v>1003</v>
      </c>
      <c r="C274" s="90" t="s">
        <v>1004</v>
      </c>
      <c r="D274" s="90" t="s">
        <v>662</v>
      </c>
      <c r="E274" s="90" t="s">
        <v>729</v>
      </c>
      <c r="F274" s="90" t="s">
        <v>1017</v>
      </c>
      <c r="G274" s="305">
        <v>1</v>
      </c>
      <c r="H274" s="94"/>
      <c r="I274" s="94"/>
      <c r="J274" s="464">
        <f t="shared" si="6"/>
        <v>0</v>
      </c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5">
        <v>6650.35</v>
      </c>
      <c r="Z274" s="94"/>
      <c r="AA274" s="94"/>
      <c r="AB274" s="94"/>
      <c r="AC274" s="94"/>
      <c r="AD274" s="94"/>
      <c r="AE274" s="94"/>
      <c r="AF274" s="95">
        <v>0</v>
      </c>
      <c r="AG274" s="94"/>
      <c r="AH274" s="95">
        <v>6650.35</v>
      </c>
      <c r="AI274" s="95">
        <v>0</v>
      </c>
    </row>
    <row r="275" spans="1:35" ht="15.75" thickBot="1" x14ac:dyDescent="0.3">
      <c r="A275" s="90" t="s">
        <v>999</v>
      </c>
      <c r="B275" s="90" t="s">
        <v>1003</v>
      </c>
      <c r="C275" s="90" t="s">
        <v>1004</v>
      </c>
      <c r="D275" s="90" t="s">
        <v>662</v>
      </c>
      <c r="E275" s="90" t="s">
        <v>528</v>
      </c>
      <c r="F275" s="90" t="s">
        <v>751</v>
      </c>
      <c r="G275" s="304">
        <v>1</v>
      </c>
      <c r="H275" s="92"/>
      <c r="I275" s="92"/>
      <c r="J275" s="464">
        <f t="shared" si="6"/>
        <v>0</v>
      </c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3">
        <v>0</v>
      </c>
      <c r="AG275" s="92"/>
      <c r="AH275" s="93">
        <v>400</v>
      </c>
      <c r="AI275" s="306">
        <v>400</v>
      </c>
    </row>
    <row r="276" spans="1:35" ht="15.75" thickBot="1" x14ac:dyDescent="0.3">
      <c r="A276" s="90" t="s">
        <v>999</v>
      </c>
      <c r="B276" s="90" t="s">
        <v>1003</v>
      </c>
      <c r="C276" s="90" t="s">
        <v>1004</v>
      </c>
      <c r="D276" s="90" t="s">
        <v>662</v>
      </c>
      <c r="E276" s="90" t="s">
        <v>518</v>
      </c>
      <c r="F276" s="90" t="s">
        <v>522</v>
      </c>
      <c r="G276" s="305">
        <v>1</v>
      </c>
      <c r="H276" s="95">
        <v>142926</v>
      </c>
      <c r="I276" s="94"/>
      <c r="J276" s="464">
        <f t="shared" si="6"/>
        <v>142926</v>
      </c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5">
        <v>0</v>
      </c>
      <c r="AG276" s="94"/>
      <c r="AH276" s="95">
        <v>10017.68</v>
      </c>
      <c r="AI276" s="306">
        <v>10017.68</v>
      </c>
    </row>
    <row r="277" spans="1:35" ht="15.75" thickBot="1" x14ac:dyDescent="0.3">
      <c r="A277" s="90" t="s">
        <v>999</v>
      </c>
      <c r="B277" s="90" t="s">
        <v>1003</v>
      </c>
      <c r="C277" s="90" t="s">
        <v>1004</v>
      </c>
      <c r="D277" s="90" t="s">
        <v>662</v>
      </c>
      <c r="E277" s="90" t="s">
        <v>673</v>
      </c>
      <c r="F277" s="90" t="s">
        <v>643</v>
      </c>
      <c r="G277" s="304">
        <v>1</v>
      </c>
      <c r="H277" s="92"/>
      <c r="I277" s="92"/>
      <c r="J277" s="464">
        <f t="shared" si="6"/>
        <v>0</v>
      </c>
      <c r="K277" s="92"/>
      <c r="L277" s="92"/>
      <c r="M277" s="92"/>
      <c r="N277" s="92"/>
      <c r="O277" s="92"/>
      <c r="P277" s="92"/>
      <c r="Q277" s="92"/>
      <c r="R277" s="92"/>
      <c r="S277" s="93">
        <v>2838.87</v>
      </c>
      <c r="T277" s="92"/>
      <c r="U277" s="92"/>
      <c r="V277" s="92"/>
      <c r="W277" s="93">
        <v>2838.87</v>
      </c>
      <c r="X277" s="92"/>
      <c r="Y277" s="92"/>
      <c r="Z277" s="92"/>
      <c r="AA277" s="92"/>
      <c r="AB277" s="92"/>
      <c r="AC277" s="92"/>
      <c r="AD277" s="92"/>
      <c r="AE277" s="92"/>
      <c r="AF277" s="93">
        <v>0</v>
      </c>
      <c r="AG277" s="92"/>
      <c r="AH277" s="93">
        <v>2838.87</v>
      </c>
      <c r="AI277" s="93">
        <v>0</v>
      </c>
    </row>
    <row r="278" spans="1:35" ht="15.75" thickBot="1" x14ac:dyDescent="0.3">
      <c r="A278" s="90" t="s">
        <v>999</v>
      </c>
      <c r="B278" s="90" t="s">
        <v>1003</v>
      </c>
      <c r="C278" s="90" t="s">
        <v>1004</v>
      </c>
      <c r="D278" s="90" t="s">
        <v>662</v>
      </c>
      <c r="E278" s="90" t="s">
        <v>530</v>
      </c>
      <c r="F278" s="90" t="s">
        <v>745</v>
      </c>
      <c r="G278" s="305">
        <v>1</v>
      </c>
      <c r="H278" s="94"/>
      <c r="I278" s="94"/>
      <c r="J278" s="464">
        <f t="shared" si="6"/>
        <v>0</v>
      </c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5">
        <v>0</v>
      </c>
      <c r="AG278" s="94"/>
      <c r="AH278" s="95">
        <v>12065.81</v>
      </c>
      <c r="AI278" s="306">
        <v>12065.81</v>
      </c>
    </row>
    <row r="279" spans="1:35" ht="15.75" thickBot="1" x14ac:dyDescent="0.3">
      <c r="A279" s="90" t="s">
        <v>999</v>
      </c>
      <c r="B279" s="90" t="s">
        <v>1003</v>
      </c>
      <c r="C279" s="90" t="s">
        <v>1004</v>
      </c>
      <c r="D279" s="90" t="s">
        <v>662</v>
      </c>
      <c r="E279" s="90" t="s">
        <v>524</v>
      </c>
      <c r="F279" s="90" t="s">
        <v>746</v>
      </c>
      <c r="G279" s="304">
        <v>1</v>
      </c>
      <c r="H279" s="92"/>
      <c r="I279" s="92"/>
      <c r="J279" s="464">
        <f t="shared" si="6"/>
        <v>0</v>
      </c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3">
        <v>550</v>
      </c>
      <c r="AE279" s="92"/>
      <c r="AF279" s="93">
        <v>0</v>
      </c>
      <c r="AG279" s="92"/>
      <c r="AH279" s="93">
        <v>550</v>
      </c>
      <c r="AI279" s="93">
        <v>0</v>
      </c>
    </row>
    <row r="280" spans="1:35" ht="15.75" thickBot="1" x14ac:dyDescent="0.3">
      <c r="A280" s="90" t="s">
        <v>999</v>
      </c>
      <c r="B280" s="90" t="s">
        <v>933</v>
      </c>
      <c r="C280" s="90" t="s">
        <v>1005</v>
      </c>
      <c r="D280" s="90" t="s">
        <v>663</v>
      </c>
      <c r="E280" s="715" t="s">
        <v>525</v>
      </c>
      <c r="F280" s="716" t="s">
        <v>752</v>
      </c>
      <c r="G280" s="305">
        <v>1</v>
      </c>
      <c r="H280" s="94"/>
      <c r="I280" s="94"/>
      <c r="J280" s="464">
        <f t="shared" si="6"/>
        <v>0</v>
      </c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5">
        <v>-175.67</v>
      </c>
      <c r="AG280" s="94"/>
      <c r="AH280" s="95">
        <v>-3103.49</v>
      </c>
      <c r="AI280" s="306">
        <v>-2927.82</v>
      </c>
    </row>
    <row r="281" spans="1:35" ht="15.75" thickBot="1" x14ac:dyDescent="0.3">
      <c r="A281" s="90" t="s">
        <v>999</v>
      </c>
      <c r="B281" s="90" t="s">
        <v>933</v>
      </c>
      <c r="C281" s="90" t="s">
        <v>1005</v>
      </c>
      <c r="D281" s="715" t="s">
        <v>663</v>
      </c>
      <c r="E281" s="666" t="s">
        <v>525</v>
      </c>
      <c r="F281" s="716" t="s">
        <v>750</v>
      </c>
      <c r="G281" s="304">
        <v>2</v>
      </c>
      <c r="H281" s="92"/>
      <c r="I281" s="92"/>
      <c r="J281" s="464">
        <f t="shared" si="6"/>
        <v>0</v>
      </c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3">
        <v>87.76</v>
      </c>
      <c r="AC281" s="92"/>
      <c r="AD281" s="92"/>
      <c r="AE281" s="92"/>
      <c r="AF281" s="93">
        <v>5.27</v>
      </c>
      <c r="AG281" s="92"/>
      <c r="AH281" s="93">
        <v>93.03</v>
      </c>
      <c r="AI281" s="93">
        <v>0</v>
      </c>
    </row>
    <row r="282" spans="1:35" ht="15.75" thickBot="1" x14ac:dyDescent="0.3">
      <c r="A282" s="90" t="s">
        <v>999</v>
      </c>
      <c r="B282" s="90" t="s">
        <v>933</v>
      </c>
      <c r="C282" s="90" t="s">
        <v>1005</v>
      </c>
      <c r="D282" s="90" t="s">
        <v>663</v>
      </c>
      <c r="E282" s="90" t="s">
        <v>518</v>
      </c>
      <c r="F282" s="90" t="s">
        <v>526</v>
      </c>
      <c r="G282" s="304">
        <v>2</v>
      </c>
      <c r="H282" s="93">
        <v>419</v>
      </c>
      <c r="I282" s="92"/>
      <c r="J282" s="464">
        <f t="shared" si="6"/>
        <v>419</v>
      </c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3">
        <v>1.08</v>
      </c>
      <c r="AG282" s="92"/>
      <c r="AH282" s="93">
        <v>19.11</v>
      </c>
      <c r="AI282" s="306">
        <v>18.03</v>
      </c>
    </row>
    <row r="283" spans="1:35" ht="15.75" thickBot="1" x14ac:dyDescent="0.3">
      <c r="A283" s="90" t="s">
        <v>999</v>
      </c>
      <c r="B283" s="90" t="s">
        <v>933</v>
      </c>
      <c r="C283" s="90" t="s">
        <v>1005</v>
      </c>
      <c r="D283" s="90" t="s">
        <v>663</v>
      </c>
      <c r="E283" s="90" t="s">
        <v>518</v>
      </c>
      <c r="F283" s="90" t="s">
        <v>522</v>
      </c>
      <c r="G283" s="305">
        <v>63</v>
      </c>
      <c r="H283" s="95">
        <v>8466636</v>
      </c>
      <c r="I283" s="94"/>
      <c r="J283" s="464">
        <f t="shared" si="6"/>
        <v>8466636</v>
      </c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5">
        <v>16267.2</v>
      </c>
      <c r="AG283" s="94"/>
      <c r="AH283" s="95">
        <v>380501.85</v>
      </c>
      <c r="AI283" s="306">
        <v>364234.65</v>
      </c>
    </row>
    <row r="284" spans="1:35" ht="15.75" thickBot="1" x14ac:dyDescent="0.3">
      <c r="A284" s="90" t="s">
        <v>999</v>
      </c>
      <c r="B284" s="90" t="s">
        <v>933</v>
      </c>
      <c r="C284" s="90" t="s">
        <v>1005</v>
      </c>
      <c r="D284" s="90" t="s">
        <v>663</v>
      </c>
      <c r="E284" s="90" t="s">
        <v>527</v>
      </c>
      <c r="F284" s="90" t="s">
        <v>1015</v>
      </c>
      <c r="G284" s="305">
        <v>1</v>
      </c>
      <c r="H284" s="94"/>
      <c r="I284" s="94"/>
      <c r="J284" s="464">
        <f t="shared" si="6"/>
        <v>0</v>
      </c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5">
        <v>1358.71</v>
      </c>
      <c r="AC284" s="94"/>
      <c r="AD284" s="94"/>
      <c r="AE284" s="94"/>
      <c r="AF284" s="95">
        <v>81.52</v>
      </c>
      <c r="AG284" s="94"/>
      <c r="AH284" s="95">
        <v>1440.23</v>
      </c>
      <c r="AI284" s="95">
        <v>0</v>
      </c>
    </row>
    <row r="285" spans="1:35" ht="15.75" thickBot="1" x14ac:dyDescent="0.3">
      <c r="A285" s="90" t="s">
        <v>999</v>
      </c>
      <c r="B285" s="90" t="s">
        <v>933</v>
      </c>
      <c r="C285" s="90" t="s">
        <v>1005</v>
      </c>
      <c r="D285" s="90" t="s">
        <v>663</v>
      </c>
      <c r="E285" s="90" t="s">
        <v>527</v>
      </c>
      <c r="F285" s="90" t="s">
        <v>1016</v>
      </c>
      <c r="G285" s="304">
        <v>2</v>
      </c>
      <c r="H285" s="92"/>
      <c r="I285" s="92"/>
      <c r="J285" s="464">
        <f t="shared" si="6"/>
        <v>0</v>
      </c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3">
        <v>24</v>
      </c>
      <c r="AG285" s="92"/>
      <c r="AH285" s="93">
        <v>424.03</v>
      </c>
      <c r="AI285" s="306">
        <v>400.03</v>
      </c>
    </row>
    <row r="286" spans="1:35" ht="15.75" thickBot="1" x14ac:dyDescent="0.3">
      <c r="A286" s="90" t="s">
        <v>999</v>
      </c>
      <c r="B286" s="90" t="s">
        <v>933</v>
      </c>
      <c r="C286" s="90" t="s">
        <v>1005</v>
      </c>
      <c r="D286" s="90" t="s">
        <v>663</v>
      </c>
      <c r="E286" s="90" t="s">
        <v>671</v>
      </c>
      <c r="F286" s="90" t="s">
        <v>703</v>
      </c>
      <c r="G286" s="304">
        <v>30</v>
      </c>
      <c r="H286" s="92"/>
      <c r="I286" s="92"/>
      <c r="J286" s="464">
        <f t="shared" si="6"/>
        <v>0</v>
      </c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3">
        <v>2516.8000000000002</v>
      </c>
      <c r="Y286" s="92"/>
      <c r="Z286" s="92"/>
      <c r="AA286" s="92"/>
      <c r="AB286" s="92"/>
      <c r="AC286" s="92"/>
      <c r="AD286" s="92"/>
      <c r="AE286" s="92"/>
      <c r="AF286" s="93">
        <v>144.53</v>
      </c>
      <c r="AG286" s="92"/>
      <c r="AH286" s="93">
        <v>2661.33</v>
      </c>
      <c r="AI286" s="93">
        <v>0</v>
      </c>
    </row>
    <row r="287" spans="1:35" ht="15.75" thickBot="1" x14ac:dyDescent="0.3">
      <c r="A287" s="90" t="s">
        <v>999</v>
      </c>
      <c r="B287" s="90" t="s">
        <v>933</v>
      </c>
      <c r="C287" s="90" t="s">
        <v>1005</v>
      </c>
      <c r="D287" s="90" t="s">
        <v>663</v>
      </c>
      <c r="E287" s="715" t="s">
        <v>524</v>
      </c>
      <c r="F287" s="716" t="s">
        <v>746</v>
      </c>
      <c r="G287" s="305">
        <v>63</v>
      </c>
      <c r="H287" s="94"/>
      <c r="I287" s="94"/>
      <c r="J287" s="464">
        <f t="shared" si="6"/>
        <v>0</v>
      </c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5">
        <v>35750</v>
      </c>
      <c r="AE287" s="94"/>
      <c r="AF287" s="95">
        <v>1773.42</v>
      </c>
      <c r="AG287" s="94"/>
      <c r="AH287" s="95">
        <v>37523.42</v>
      </c>
      <c r="AI287" s="95">
        <v>0</v>
      </c>
    </row>
    <row r="288" spans="1:35" ht="15.75" thickBot="1" x14ac:dyDescent="0.3">
      <c r="A288" s="90" t="s">
        <v>999</v>
      </c>
      <c r="B288" s="90" t="s">
        <v>933</v>
      </c>
      <c r="C288" s="90" t="s">
        <v>1005</v>
      </c>
      <c r="D288" s="90" t="s">
        <v>663</v>
      </c>
      <c r="E288" s="90" t="s">
        <v>676</v>
      </c>
      <c r="F288" s="90" t="s">
        <v>748</v>
      </c>
      <c r="G288" s="304">
        <v>3</v>
      </c>
      <c r="H288" s="92"/>
      <c r="I288" s="92"/>
      <c r="J288" s="464">
        <f t="shared" si="6"/>
        <v>0</v>
      </c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3">
        <v>533.41999999999996</v>
      </c>
      <c r="AF288" s="93">
        <v>32.01</v>
      </c>
      <c r="AG288" s="92"/>
      <c r="AH288" s="93">
        <v>565.42999999999995</v>
      </c>
      <c r="AI288" s="93">
        <v>0</v>
      </c>
    </row>
    <row r="289" spans="1:35" ht="15.75" thickBot="1" x14ac:dyDescent="0.3">
      <c r="A289" s="90" t="s">
        <v>999</v>
      </c>
      <c r="B289" s="90" t="s">
        <v>933</v>
      </c>
      <c r="C289" s="90" t="s">
        <v>1005</v>
      </c>
      <c r="D289" s="90" t="s">
        <v>663</v>
      </c>
      <c r="E289" s="90" t="s">
        <v>677</v>
      </c>
      <c r="F289" s="90" t="s">
        <v>749</v>
      </c>
      <c r="G289" s="305">
        <v>3</v>
      </c>
      <c r="H289" s="94"/>
      <c r="I289" s="94"/>
      <c r="J289" s="464">
        <f t="shared" si="6"/>
        <v>0</v>
      </c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5">
        <v>35.06</v>
      </c>
      <c r="AG289" s="94"/>
      <c r="AH289" s="95">
        <v>619.49</v>
      </c>
      <c r="AI289" s="306">
        <v>584.42999999999995</v>
      </c>
    </row>
    <row r="290" spans="1:35" ht="15.75" thickBot="1" x14ac:dyDescent="0.3">
      <c r="A290" s="90" t="s">
        <v>999</v>
      </c>
      <c r="B290" s="90" t="s">
        <v>933</v>
      </c>
      <c r="C290" s="90" t="s">
        <v>1005</v>
      </c>
      <c r="D290" s="90" t="s">
        <v>662</v>
      </c>
      <c r="E290" s="90" t="s">
        <v>518</v>
      </c>
      <c r="F290" s="90" t="s">
        <v>522</v>
      </c>
      <c r="G290" s="305">
        <v>1</v>
      </c>
      <c r="H290" s="95">
        <v>192858</v>
      </c>
      <c r="I290" s="94"/>
      <c r="J290" s="464">
        <f t="shared" si="6"/>
        <v>192858</v>
      </c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5">
        <v>0</v>
      </c>
      <c r="AG290" s="94"/>
      <c r="AH290" s="95">
        <v>8296.75</v>
      </c>
      <c r="AI290" s="306">
        <v>8296.75</v>
      </c>
    </row>
    <row r="291" spans="1:35" ht="15.75" thickBot="1" x14ac:dyDescent="0.3">
      <c r="A291" s="90" t="s">
        <v>999</v>
      </c>
      <c r="B291" s="90" t="s">
        <v>933</v>
      </c>
      <c r="C291" s="90" t="s">
        <v>1005</v>
      </c>
      <c r="D291" s="90" t="s">
        <v>662</v>
      </c>
      <c r="E291" s="90" t="s">
        <v>524</v>
      </c>
      <c r="F291" s="90" t="s">
        <v>746</v>
      </c>
      <c r="G291" s="304">
        <v>1</v>
      </c>
      <c r="H291" s="92"/>
      <c r="I291" s="92"/>
      <c r="J291" s="464">
        <f t="shared" si="6"/>
        <v>0</v>
      </c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3">
        <v>550</v>
      </c>
      <c r="AE291" s="92"/>
      <c r="AF291" s="93">
        <v>0</v>
      </c>
      <c r="AG291" s="92"/>
      <c r="AH291" s="93">
        <v>550</v>
      </c>
      <c r="AI291" s="93">
        <v>0</v>
      </c>
    </row>
    <row r="292" spans="1:35" ht="15.75" thickBot="1" x14ac:dyDescent="0.3">
      <c r="A292" s="90" t="s">
        <v>1018</v>
      </c>
      <c r="B292" s="90" t="s">
        <v>50</v>
      </c>
      <c r="C292" s="90" t="s">
        <v>881</v>
      </c>
      <c r="D292" s="90" t="s">
        <v>661</v>
      </c>
      <c r="E292" s="90" t="s">
        <v>198</v>
      </c>
      <c r="F292" s="90" t="s">
        <v>743</v>
      </c>
      <c r="G292" s="304">
        <v>8</v>
      </c>
      <c r="H292" s="92"/>
      <c r="I292" s="92"/>
      <c r="J292" s="464">
        <f t="shared" si="6"/>
        <v>0</v>
      </c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3">
        <v>3.59</v>
      </c>
      <c r="AG292" s="92"/>
      <c r="AH292" s="93">
        <v>189.98</v>
      </c>
      <c r="AI292" s="306">
        <v>186.39</v>
      </c>
    </row>
    <row r="293" spans="1:35" ht="15.75" thickBot="1" x14ac:dyDescent="0.3">
      <c r="A293" s="90" t="s">
        <v>1018</v>
      </c>
      <c r="B293" s="90" t="s">
        <v>50</v>
      </c>
      <c r="C293" s="90" t="s">
        <v>881</v>
      </c>
      <c r="D293" s="90" t="s">
        <v>661</v>
      </c>
      <c r="E293" s="90" t="s">
        <v>518</v>
      </c>
      <c r="F293" s="90" t="s">
        <v>522</v>
      </c>
      <c r="G293" s="305">
        <v>8</v>
      </c>
      <c r="H293" s="95">
        <v>326967</v>
      </c>
      <c r="I293" s="94"/>
      <c r="J293" s="464">
        <f t="shared" si="6"/>
        <v>326967</v>
      </c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5">
        <v>270.64999999999998</v>
      </c>
      <c r="AG293" s="94"/>
      <c r="AH293" s="95">
        <v>14336.74</v>
      </c>
      <c r="AI293" s="306">
        <v>14066.09</v>
      </c>
    </row>
    <row r="294" spans="1:35" ht="15.75" thickBot="1" x14ac:dyDescent="0.3">
      <c r="A294" s="90" t="s">
        <v>1018</v>
      </c>
      <c r="B294" s="90" t="s">
        <v>50</v>
      </c>
      <c r="C294" s="90" t="s">
        <v>881</v>
      </c>
      <c r="D294" s="90" t="s">
        <v>661</v>
      </c>
      <c r="E294" s="90" t="s">
        <v>524</v>
      </c>
      <c r="F294" s="90" t="s">
        <v>746</v>
      </c>
      <c r="G294" s="304">
        <v>8</v>
      </c>
      <c r="H294" s="92"/>
      <c r="I294" s="92"/>
      <c r="J294" s="464">
        <f t="shared" si="6"/>
        <v>0</v>
      </c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3">
        <v>4400</v>
      </c>
      <c r="AE294" s="92"/>
      <c r="AF294" s="93">
        <v>66</v>
      </c>
      <c r="AG294" s="92"/>
      <c r="AH294" s="93">
        <v>4466</v>
      </c>
      <c r="AI294" s="93">
        <v>0</v>
      </c>
    </row>
    <row r="295" spans="1:35" ht="15.75" thickBot="1" x14ac:dyDescent="0.3">
      <c r="A295" s="90" t="s">
        <v>1018</v>
      </c>
      <c r="B295" s="90" t="s">
        <v>50</v>
      </c>
      <c r="C295" s="90" t="s">
        <v>881</v>
      </c>
      <c r="D295" s="90" t="s">
        <v>662</v>
      </c>
      <c r="E295" s="90" t="s">
        <v>198</v>
      </c>
      <c r="F295" s="90" t="s">
        <v>743</v>
      </c>
      <c r="G295" s="304">
        <v>2</v>
      </c>
      <c r="H295" s="92"/>
      <c r="I295" s="92"/>
      <c r="J295" s="464">
        <f t="shared" si="6"/>
        <v>0</v>
      </c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3">
        <v>0.84</v>
      </c>
      <c r="AG295" s="92"/>
      <c r="AH295" s="93">
        <v>45.98</v>
      </c>
      <c r="AI295" s="306">
        <v>45.14</v>
      </c>
    </row>
    <row r="296" spans="1:35" ht="15.75" thickBot="1" x14ac:dyDescent="0.3">
      <c r="A296" s="90" t="s">
        <v>1018</v>
      </c>
      <c r="B296" s="90" t="s">
        <v>50</v>
      </c>
      <c r="C296" s="90" t="s">
        <v>881</v>
      </c>
      <c r="D296" s="90" t="s">
        <v>662</v>
      </c>
      <c r="E296" s="90" t="s">
        <v>525</v>
      </c>
      <c r="F296" s="90" t="s">
        <v>752</v>
      </c>
      <c r="G296" s="305">
        <v>1</v>
      </c>
      <c r="H296" s="94"/>
      <c r="I296" s="94"/>
      <c r="J296" s="464">
        <f t="shared" si="6"/>
        <v>0</v>
      </c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5">
        <v>-30.64</v>
      </c>
      <c r="AG296" s="94"/>
      <c r="AH296" s="95">
        <v>-1052.02</v>
      </c>
      <c r="AI296" s="306">
        <v>-1021.38</v>
      </c>
    </row>
    <row r="297" spans="1:35" ht="15.75" thickBot="1" x14ac:dyDescent="0.3">
      <c r="A297" s="90" t="s">
        <v>1018</v>
      </c>
      <c r="B297" s="90" t="s">
        <v>50</v>
      </c>
      <c r="C297" s="90" t="s">
        <v>881</v>
      </c>
      <c r="D297" s="90" t="s">
        <v>662</v>
      </c>
      <c r="E297" s="90" t="s">
        <v>518</v>
      </c>
      <c r="F297" s="90" t="s">
        <v>522</v>
      </c>
      <c r="G297" s="304">
        <v>2</v>
      </c>
      <c r="H297" s="93">
        <v>79187</v>
      </c>
      <c r="I297" s="92"/>
      <c r="J297" s="464">
        <f t="shared" si="6"/>
        <v>79187</v>
      </c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3">
        <v>63.47</v>
      </c>
      <c r="AG297" s="92"/>
      <c r="AH297" s="93">
        <v>3470.09</v>
      </c>
      <c r="AI297" s="306">
        <v>3406.62</v>
      </c>
    </row>
    <row r="298" spans="1:35" ht="15.75" thickBot="1" x14ac:dyDescent="0.3">
      <c r="A298" s="90" t="s">
        <v>1018</v>
      </c>
      <c r="B298" s="90" t="s">
        <v>50</v>
      </c>
      <c r="C298" s="90" t="s">
        <v>881</v>
      </c>
      <c r="D298" s="90" t="s">
        <v>662</v>
      </c>
      <c r="E298" s="90" t="s">
        <v>527</v>
      </c>
      <c r="F298" s="90" t="s">
        <v>1015</v>
      </c>
      <c r="G298" s="305">
        <v>1</v>
      </c>
      <c r="H298" s="94"/>
      <c r="I298" s="94"/>
      <c r="J298" s="464">
        <f t="shared" si="6"/>
        <v>0</v>
      </c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5">
        <v>105.64</v>
      </c>
      <c r="AC298" s="94"/>
      <c r="AD298" s="94"/>
      <c r="AE298" s="94"/>
      <c r="AF298" s="95">
        <v>3.17</v>
      </c>
      <c r="AG298" s="94"/>
      <c r="AH298" s="95">
        <v>108.81</v>
      </c>
      <c r="AI298" s="95">
        <v>0</v>
      </c>
    </row>
    <row r="299" spans="1:35" ht="15.75" thickBot="1" x14ac:dyDescent="0.3">
      <c r="A299" s="90" t="s">
        <v>1018</v>
      </c>
      <c r="B299" s="90" t="s">
        <v>50</v>
      </c>
      <c r="C299" s="90" t="s">
        <v>881</v>
      </c>
      <c r="D299" s="90" t="s">
        <v>662</v>
      </c>
      <c r="E299" s="90" t="s">
        <v>671</v>
      </c>
      <c r="F299" s="90" t="s">
        <v>703</v>
      </c>
      <c r="G299" s="304">
        <v>1</v>
      </c>
      <c r="H299" s="92"/>
      <c r="I299" s="92"/>
      <c r="J299" s="464">
        <f t="shared" si="6"/>
        <v>0</v>
      </c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3">
        <v>72.83</v>
      </c>
      <c r="Y299" s="92"/>
      <c r="Z299" s="92"/>
      <c r="AA299" s="92"/>
      <c r="AB299" s="92"/>
      <c r="AC299" s="92"/>
      <c r="AD299" s="92"/>
      <c r="AE299" s="92"/>
      <c r="AF299" s="93">
        <v>0</v>
      </c>
      <c r="AG299" s="92"/>
      <c r="AH299" s="93">
        <v>72.83</v>
      </c>
      <c r="AI299" s="93">
        <v>0</v>
      </c>
    </row>
    <row r="300" spans="1:35" ht="15.75" thickBot="1" x14ac:dyDescent="0.3">
      <c r="A300" s="90" t="s">
        <v>1018</v>
      </c>
      <c r="B300" s="90" t="s">
        <v>50</v>
      </c>
      <c r="C300" s="90" t="s">
        <v>881</v>
      </c>
      <c r="D300" s="90" t="s">
        <v>662</v>
      </c>
      <c r="E300" s="90" t="s">
        <v>524</v>
      </c>
      <c r="F300" s="90" t="s">
        <v>746</v>
      </c>
      <c r="G300" s="305">
        <v>2</v>
      </c>
      <c r="H300" s="94"/>
      <c r="I300" s="94"/>
      <c r="J300" s="464">
        <f t="shared" si="6"/>
        <v>0</v>
      </c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5">
        <v>1100</v>
      </c>
      <c r="AE300" s="94"/>
      <c r="AF300" s="95">
        <v>16.5</v>
      </c>
      <c r="AG300" s="94"/>
      <c r="AH300" s="95">
        <v>1116.5</v>
      </c>
      <c r="AI300" s="95">
        <v>0</v>
      </c>
    </row>
    <row r="301" spans="1:35" ht="15.75" thickBot="1" x14ac:dyDescent="0.3">
      <c r="A301" s="90" t="s">
        <v>1018</v>
      </c>
      <c r="B301" s="90" t="s">
        <v>50</v>
      </c>
      <c r="C301" s="90" t="s">
        <v>881</v>
      </c>
      <c r="D301" s="90" t="s">
        <v>662</v>
      </c>
      <c r="E301" s="90" t="s">
        <v>676</v>
      </c>
      <c r="F301" s="90" t="s">
        <v>748</v>
      </c>
      <c r="G301" s="304">
        <v>1</v>
      </c>
      <c r="H301" s="92"/>
      <c r="I301" s="92"/>
      <c r="J301" s="464">
        <f t="shared" si="6"/>
        <v>0</v>
      </c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3">
        <v>101.03</v>
      </c>
      <c r="AF301" s="93">
        <v>3.03</v>
      </c>
      <c r="AG301" s="92"/>
      <c r="AH301" s="93">
        <v>104.06</v>
      </c>
      <c r="AI301" s="93">
        <v>0</v>
      </c>
    </row>
    <row r="302" spans="1:35" ht="15.75" thickBot="1" x14ac:dyDescent="0.3">
      <c r="A302" s="90" t="s">
        <v>1018</v>
      </c>
      <c r="B302" s="90" t="s">
        <v>50</v>
      </c>
      <c r="C302" s="90" t="s">
        <v>881</v>
      </c>
      <c r="D302" s="90" t="s">
        <v>662</v>
      </c>
      <c r="E302" s="90" t="s">
        <v>677</v>
      </c>
      <c r="F302" s="90" t="s">
        <v>749</v>
      </c>
      <c r="G302" s="305">
        <v>1</v>
      </c>
      <c r="H302" s="94"/>
      <c r="I302" s="94"/>
      <c r="J302" s="464">
        <f t="shared" si="6"/>
        <v>0</v>
      </c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94"/>
      <c r="AE302" s="94"/>
      <c r="AF302" s="95">
        <v>3.32</v>
      </c>
      <c r="AG302" s="94"/>
      <c r="AH302" s="95">
        <v>114.02</v>
      </c>
      <c r="AI302" s="306">
        <v>110.7</v>
      </c>
    </row>
    <row r="303" spans="1:35" ht="15.75" thickBot="1" x14ac:dyDescent="0.3">
      <c r="A303" s="90" t="s">
        <v>1018</v>
      </c>
      <c r="B303" s="90" t="s">
        <v>54</v>
      </c>
      <c r="C303" s="90" t="s">
        <v>55</v>
      </c>
      <c r="D303" s="90" t="s">
        <v>663</v>
      </c>
      <c r="E303" s="90" t="s">
        <v>525</v>
      </c>
      <c r="F303" s="90" t="s">
        <v>752</v>
      </c>
      <c r="G303" s="304">
        <v>3</v>
      </c>
      <c r="H303" s="92"/>
      <c r="I303" s="92"/>
      <c r="J303" s="464">
        <f t="shared" si="6"/>
        <v>0</v>
      </c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3">
        <v>0</v>
      </c>
      <c r="AG303" s="92"/>
      <c r="AH303" s="93">
        <v>-8900.8799999999992</v>
      </c>
      <c r="AI303" s="306">
        <v>-8900.8799999999992</v>
      </c>
    </row>
    <row r="304" spans="1:35" ht="15.75" thickBot="1" x14ac:dyDescent="0.3">
      <c r="A304" s="90" t="s">
        <v>1018</v>
      </c>
      <c r="B304" s="90" t="s">
        <v>54</v>
      </c>
      <c r="C304" s="90" t="s">
        <v>55</v>
      </c>
      <c r="D304" s="90" t="s">
        <v>663</v>
      </c>
      <c r="E304" s="90" t="s">
        <v>525</v>
      </c>
      <c r="F304" s="90" t="s">
        <v>750</v>
      </c>
      <c r="G304" s="305">
        <v>3</v>
      </c>
      <c r="H304" s="94"/>
      <c r="I304" s="94"/>
      <c r="J304" s="464">
        <f t="shared" si="6"/>
        <v>0</v>
      </c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5">
        <v>18365.27</v>
      </c>
      <c r="AC304" s="94"/>
      <c r="AD304" s="94"/>
      <c r="AE304" s="94"/>
      <c r="AF304" s="95">
        <v>202.1</v>
      </c>
      <c r="AG304" s="94"/>
      <c r="AH304" s="95">
        <v>18567.37</v>
      </c>
      <c r="AI304" s="95">
        <v>0</v>
      </c>
    </row>
    <row r="305" spans="1:35" ht="15.75" thickBot="1" x14ac:dyDescent="0.3">
      <c r="A305" s="90" t="s">
        <v>1018</v>
      </c>
      <c r="B305" s="90" t="s">
        <v>54</v>
      </c>
      <c r="C305" s="90" t="s">
        <v>55</v>
      </c>
      <c r="D305" s="90" t="s">
        <v>663</v>
      </c>
      <c r="E305" s="90" t="s">
        <v>527</v>
      </c>
      <c r="F305" s="90" t="s">
        <v>1015</v>
      </c>
      <c r="G305" s="305">
        <v>3</v>
      </c>
      <c r="H305" s="94"/>
      <c r="I305" s="94"/>
      <c r="J305" s="464">
        <f t="shared" si="6"/>
        <v>0</v>
      </c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5">
        <v>-26693.83</v>
      </c>
      <c r="AC305" s="94"/>
      <c r="AD305" s="94"/>
      <c r="AE305" s="94"/>
      <c r="AF305" s="95">
        <v>0</v>
      </c>
      <c r="AG305" s="94"/>
      <c r="AH305" s="95">
        <v>-26693.83</v>
      </c>
      <c r="AI305" s="95">
        <v>0</v>
      </c>
    </row>
    <row r="306" spans="1:35" ht="15.75" thickBot="1" x14ac:dyDescent="0.3">
      <c r="A306" s="90" t="s">
        <v>1018</v>
      </c>
      <c r="B306" s="90" t="s">
        <v>54</v>
      </c>
      <c r="C306" s="90" t="s">
        <v>55</v>
      </c>
      <c r="D306" s="90" t="s">
        <v>663</v>
      </c>
      <c r="E306" s="90" t="s">
        <v>527</v>
      </c>
      <c r="F306" s="90" t="s">
        <v>1016</v>
      </c>
      <c r="G306" s="304">
        <v>3</v>
      </c>
      <c r="H306" s="92"/>
      <c r="I306" s="92"/>
      <c r="J306" s="464">
        <f t="shared" si="6"/>
        <v>0</v>
      </c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3">
        <v>165.36</v>
      </c>
      <c r="AG306" s="92"/>
      <c r="AH306" s="93">
        <v>11830.03</v>
      </c>
      <c r="AI306" s="306">
        <v>11664.67</v>
      </c>
    </row>
    <row r="307" spans="1:35" ht="15.75" thickBot="1" x14ac:dyDescent="0.3">
      <c r="A307" s="90" t="s">
        <v>1018</v>
      </c>
      <c r="B307" s="90" t="s">
        <v>54</v>
      </c>
      <c r="C307" s="90" t="s">
        <v>55</v>
      </c>
      <c r="D307" s="90" t="s">
        <v>663</v>
      </c>
      <c r="E307" s="90" t="s">
        <v>524</v>
      </c>
      <c r="F307" s="90" t="s">
        <v>746</v>
      </c>
      <c r="G307" s="304">
        <v>4</v>
      </c>
      <c r="H307" s="92"/>
      <c r="I307" s="92"/>
      <c r="J307" s="464">
        <f t="shared" si="6"/>
        <v>0</v>
      </c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3">
        <v>1575</v>
      </c>
      <c r="AE307" s="92"/>
      <c r="AF307" s="93">
        <v>8.99</v>
      </c>
      <c r="AG307" s="92"/>
      <c r="AH307" s="93">
        <v>1583.99</v>
      </c>
      <c r="AI307" s="93">
        <v>0</v>
      </c>
    </row>
    <row r="308" spans="1:35" ht="15.75" thickBot="1" x14ac:dyDescent="0.3">
      <c r="A308" s="90" t="s">
        <v>1018</v>
      </c>
      <c r="B308" s="90" t="s">
        <v>54</v>
      </c>
      <c r="C308" s="90" t="s">
        <v>55</v>
      </c>
      <c r="D308" s="90" t="s">
        <v>663</v>
      </c>
      <c r="E308" s="90" t="s">
        <v>676</v>
      </c>
      <c r="F308" s="90" t="s">
        <v>748</v>
      </c>
      <c r="G308" s="305">
        <v>5</v>
      </c>
      <c r="H308" s="94"/>
      <c r="I308" s="94"/>
      <c r="J308" s="464">
        <f t="shared" si="6"/>
        <v>0</v>
      </c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5">
        <v>265.18</v>
      </c>
      <c r="AF308" s="95">
        <v>65.36</v>
      </c>
      <c r="AG308" s="94"/>
      <c r="AH308" s="95">
        <v>330.54</v>
      </c>
      <c r="AI308" s="95">
        <v>0</v>
      </c>
    </row>
    <row r="309" spans="1:35" ht="15.75" thickBot="1" x14ac:dyDescent="0.3">
      <c r="A309" s="90" t="s">
        <v>1018</v>
      </c>
      <c r="B309" s="90" t="s">
        <v>54</v>
      </c>
      <c r="C309" s="90" t="s">
        <v>55</v>
      </c>
      <c r="D309" s="90" t="s">
        <v>663</v>
      </c>
      <c r="E309" s="90" t="s">
        <v>677</v>
      </c>
      <c r="F309" s="90" t="s">
        <v>749</v>
      </c>
      <c r="G309" s="304">
        <v>5</v>
      </c>
      <c r="H309" s="92"/>
      <c r="I309" s="92"/>
      <c r="J309" s="464">
        <f t="shared" si="6"/>
        <v>0</v>
      </c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3">
        <v>71.61</v>
      </c>
      <c r="AG309" s="92"/>
      <c r="AH309" s="93">
        <v>362.14</v>
      </c>
      <c r="AI309" s="306">
        <v>290.52999999999997</v>
      </c>
    </row>
    <row r="310" spans="1:35" ht="15.75" thickBot="1" x14ac:dyDescent="0.3">
      <c r="A310" s="90" t="s">
        <v>1018</v>
      </c>
      <c r="B310" s="90" t="s">
        <v>57</v>
      </c>
      <c r="C310" s="90" t="s">
        <v>58</v>
      </c>
      <c r="D310" s="90" t="s">
        <v>664</v>
      </c>
      <c r="E310" s="90" t="s">
        <v>525</v>
      </c>
      <c r="F310" s="90" t="s">
        <v>752</v>
      </c>
      <c r="G310" s="304">
        <v>1</v>
      </c>
      <c r="H310" s="92"/>
      <c r="I310" s="92"/>
      <c r="J310" s="464">
        <f t="shared" si="6"/>
        <v>0</v>
      </c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3">
        <v>0</v>
      </c>
      <c r="AG310" s="92"/>
      <c r="AH310" s="93">
        <v>-10471.48</v>
      </c>
      <c r="AI310" s="306">
        <v>-10471.48</v>
      </c>
    </row>
    <row r="311" spans="1:35" ht="15.75" thickBot="1" x14ac:dyDescent="0.3">
      <c r="A311" s="90" t="s">
        <v>1018</v>
      </c>
      <c r="B311" s="90" t="s">
        <v>57</v>
      </c>
      <c r="C311" s="90" t="s">
        <v>58</v>
      </c>
      <c r="D311" s="90" t="s">
        <v>664</v>
      </c>
      <c r="E311" s="90" t="s">
        <v>528</v>
      </c>
      <c r="F311" s="90" t="s">
        <v>751</v>
      </c>
      <c r="G311" s="305">
        <v>1</v>
      </c>
      <c r="H311" s="94"/>
      <c r="I311" s="94"/>
      <c r="J311" s="464">
        <f t="shared" si="6"/>
        <v>0</v>
      </c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  <c r="AC311" s="94"/>
      <c r="AD311" s="94"/>
      <c r="AE311" s="94"/>
      <c r="AF311" s="95">
        <v>0</v>
      </c>
      <c r="AG311" s="94"/>
      <c r="AH311" s="95">
        <v>800</v>
      </c>
      <c r="AI311" s="306">
        <v>800</v>
      </c>
    </row>
    <row r="312" spans="1:35" ht="15.75" thickBot="1" x14ac:dyDescent="0.3">
      <c r="A312" s="90" t="s">
        <v>1018</v>
      </c>
      <c r="B312" s="90" t="s">
        <v>57</v>
      </c>
      <c r="C312" s="90" t="s">
        <v>58</v>
      </c>
      <c r="D312" s="90" t="s">
        <v>664</v>
      </c>
      <c r="E312" s="90" t="s">
        <v>518</v>
      </c>
      <c r="F312" s="90" t="s">
        <v>522</v>
      </c>
      <c r="G312" s="304">
        <v>1</v>
      </c>
      <c r="H312" s="93">
        <v>2623561</v>
      </c>
      <c r="I312" s="92"/>
      <c r="J312" s="464">
        <f t="shared" si="6"/>
        <v>2623561</v>
      </c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3">
        <v>0</v>
      </c>
      <c r="AG312" s="92"/>
      <c r="AH312" s="93">
        <v>13039.1</v>
      </c>
      <c r="AI312" s="306">
        <v>13039.1</v>
      </c>
    </row>
    <row r="313" spans="1:35" ht="15.75" thickBot="1" x14ac:dyDescent="0.3">
      <c r="A313" s="90" t="s">
        <v>1018</v>
      </c>
      <c r="B313" s="90" t="s">
        <v>57</v>
      </c>
      <c r="C313" s="90" t="s">
        <v>58</v>
      </c>
      <c r="D313" s="90" t="s">
        <v>664</v>
      </c>
      <c r="E313" s="90" t="s">
        <v>527</v>
      </c>
      <c r="F313" s="90" t="s">
        <v>747</v>
      </c>
      <c r="G313" s="305">
        <v>1</v>
      </c>
      <c r="H313" s="94"/>
      <c r="I313" s="94"/>
      <c r="J313" s="464">
        <f t="shared" si="6"/>
        <v>0</v>
      </c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5">
        <v>-161.69999999999999</v>
      </c>
      <c r="AC313" s="94"/>
      <c r="AD313" s="94"/>
      <c r="AE313" s="94"/>
      <c r="AF313" s="95">
        <v>0</v>
      </c>
      <c r="AG313" s="94"/>
      <c r="AH313" s="95">
        <v>-161.69999999999999</v>
      </c>
      <c r="AI313" s="95">
        <v>0</v>
      </c>
    </row>
    <row r="314" spans="1:35" ht="15.75" thickBot="1" x14ac:dyDescent="0.3">
      <c r="A314" s="90" t="s">
        <v>1018</v>
      </c>
      <c r="B314" s="90" t="s">
        <v>57</v>
      </c>
      <c r="C314" s="90" t="s">
        <v>58</v>
      </c>
      <c r="D314" s="90" t="s">
        <v>664</v>
      </c>
      <c r="E314" s="90" t="s">
        <v>529</v>
      </c>
      <c r="F314" s="90" t="s">
        <v>522</v>
      </c>
      <c r="G314" s="304">
        <v>1</v>
      </c>
      <c r="H314" s="92"/>
      <c r="I314" s="92"/>
      <c r="J314" s="464">
        <f t="shared" si="6"/>
        <v>0</v>
      </c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3">
        <v>0</v>
      </c>
      <c r="AG314" s="92"/>
      <c r="AH314" s="93">
        <v>107140.32</v>
      </c>
      <c r="AI314" s="306">
        <v>107140.32</v>
      </c>
    </row>
    <row r="315" spans="1:35" ht="15.75" thickBot="1" x14ac:dyDescent="0.3">
      <c r="A315" s="90" t="s">
        <v>1018</v>
      </c>
      <c r="B315" s="90" t="s">
        <v>57</v>
      </c>
      <c r="C315" s="90" t="s">
        <v>58</v>
      </c>
      <c r="D315" s="90" t="s">
        <v>664</v>
      </c>
      <c r="E315" s="90" t="s">
        <v>676</v>
      </c>
      <c r="F315" s="90" t="s">
        <v>748</v>
      </c>
      <c r="G315" s="305">
        <v>1</v>
      </c>
      <c r="H315" s="94"/>
      <c r="I315" s="94"/>
      <c r="J315" s="464">
        <f t="shared" si="6"/>
        <v>0</v>
      </c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94"/>
      <c r="AE315" s="95">
        <v>452.09</v>
      </c>
      <c r="AF315" s="95">
        <v>0</v>
      </c>
      <c r="AG315" s="94"/>
      <c r="AH315" s="95">
        <v>452.09</v>
      </c>
      <c r="AI315" s="95">
        <v>0</v>
      </c>
    </row>
    <row r="316" spans="1:35" ht="15.75" thickBot="1" x14ac:dyDescent="0.3">
      <c r="A316" s="90" t="s">
        <v>1018</v>
      </c>
      <c r="B316" s="90" t="s">
        <v>57</v>
      </c>
      <c r="C316" s="90" t="s">
        <v>58</v>
      </c>
      <c r="D316" s="90" t="s">
        <v>664</v>
      </c>
      <c r="E316" s="90" t="s">
        <v>677</v>
      </c>
      <c r="F316" s="90" t="s">
        <v>749</v>
      </c>
      <c r="G316" s="304">
        <v>1</v>
      </c>
      <c r="H316" s="92"/>
      <c r="I316" s="92"/>
      <c r="J316" s="464">
        <f t="shared" si="6"/>
        <v>0</v>
      </c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3">
        <v>0</v>
      </c>
      <c r="AG316" s="92"/>
      <c r="AH316" s="93">
        <v>495.34</v>
      </c>
      <c r="AI316" s="306">
        <v>495.34</v>
      </c>
    </row>
    <row r="317" spans="1:35" ht="15.75" thickBot="1" x14ac:dyDescent="0.3">
      <c r="A317" s="90" t="s">
        <v>1018</v>
      </c>
      <c r="B317" s="90" t="s">
        <v>93</v>
      </c>
      <c r="C317" s="90" t="s">
        <v>719</v>
      </c>
      <c r="D317" s="90" t="s">
        <v>663</v>
      </c>
      <c r="E317" s="90" t="s">
        <v>525</v>
      </c>
      <c r="F317" s="90" t="s">
        <v>752</v>
      </c>
      <c r="G317" s="304">
        <v>1</v>
      </c>
      <c r="H317" s="92"/>
      <c r="I317" s="92"/>
      <c r="J317" s="464">
        <f t="shared" si="6"/>
        <v>0</v>
      </c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3">
        <v>0</v>
      </c>
      <c r="AG317" s="92"/>
      <c r="AH317" s="93">
        <v>-26.3</v>
      </c>
      <c r="AI317" s="306">
        <v>-26.3</v>
      </c>
    </row>
    <row r="318" spans="1:35" ht="15.75" thickBot="1" x14ac:dyDescent="0.3">
      <c r="A318" s="90" t="s">
        <v>1018</v>
      </c>
      <c r="B318" s="90" t="s">
        <v>93</v>
      </c>
      <c r="C318" s="90" t="s">
        <v>719</v>
      </c>
      <c r="D318" s="90" t="s">
        <v>663</v>
      </c>
      <c r="E318" s="90" t="s">
        <v>525</v>
      </c>
      <c r="F318" s="90" t="s">
        <v>750</v>
      </c>
      <c r="G318" s="305">
        <v>1</v>
      </c>
      <c r="H318" s="94"/>
      <c r="I318" s="94"/>
      <c r="J318" s="464">
        <f t="shared" si="6"/>
        <v>0</v>
      </c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5">
        <v>4394.72</v>
      </c>
      <c r="AC318" s="94"/>
      <c r="AD318" s="94"/>
      <c r="AE318" s="94"/>
      <c r="AF318" s="95">
        <v>0</v>
      </c>
      <c r="AG318" s="94"/>
      <c r="AH318" s="95">
        <v>4394.72</v>
      </c>
      <c r="AI318" s="95">
        <v>0</v>
      </c>
    </row>
    <row r="319" spans="1:35" ht="15.75" thickBot="1" x14ac:dyDescent="0.3">
      <c r="A319" s="90" t="s">
        <v>1018</v>
      </c>
      <c r="B319" s="90" t="s">
        <v>93</v>
      </c>
      <c r="C319" s="90" t="s">
        <v>719</v>
      </c>
      <c r="D319" s="90" t="s">
        <v>663</v>
      </c>
      <c r="E319" s="90" t="s">
        <v>527</v>
      </c>
      <c r="F319" s="90" t="s">
        <v>1015</v>
      </c>
      <c r="G319" s="305">
        <v>1</v>
      </c>
      <c r="H319" s="94"/>
      <c r="I319" s="94"/>
      <c r="J319" s="464">
        <f t="shared" si="6"/>
        <v>0</v>
      </c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5">
        <v>129.36000000000001</v>
      </c>
      <c r="AC319" s="94"/>
      <c r="AD319" s="94"/>
      <c r="AE319" s="94"/>
      <c r="AF319" s="95">
        <v>0</v>
      </c>
      <c r="AG319" s="94"/>
      <c r="AH319" s="95">
        <v>129.36000000000001</v>
      </c>
      <c r="AI319" s="95">
        <v>0</v>
      </c>
    </row>
    <row r="320" spans="1:35" ht="15.75" thickBot="1" x14ac:dyDescent="0.3">
      <c r="A320" s="90" t="s">
        <v>1018</v>
      </c>
      <c r="B320" s="90" t="s">
        <v>93</v>
      </c>
      <c r="C320" s="90" t="s">
        <v>719</v>
      </c>
      <c r="D320" s="90" t="s">
        <v>663</v>
      </c>
      <c r="E320" s="90" t="s">
        <v>527</v>
      </c>
      <c r="F320" s="90" t="s">
        <v>1016</v>
      </c>
      <c r="G320" s="304">
        <v>1</v>
      </c>
      <c r="H320" s="92"/>
      <c r="I320" s="92"/>
      <c r="J320" s="464">
        <f t="shared" si="6"/>
        <v>0</v>
      </c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3">
        <v>0</v>
      </c>
      <c r="AG320" s="92"/>
      <c r="AH320" s="93">
        <v>1281.57</v>
      </c>
      <c r="AI320" s="306">
        <v>1281.57</v>
      </c>
    </row>
    <row r="321" spans="1:35" ht="15.75" thickBot="1" x14ac:dyDescent="0.3">
      <c r="A321" s="90" t="s">
        <v>1018</v>
      </c>
      <c r="B321" s="90" t="s">
        <v>93</v>
      </c>
      <c r="C321" s="90" t="s">
        <v>719</v>
      </c>
      <c r="D321" s="90" t="s">
        <v>663</v>
      </c>
      <c r="E321" s="90" t="s">
        <v>524</v>
      </c>
      <c r="F321" s="90" t="s">
        <v>746</v>
      </c>
      <c r="G321" s="304">
        <v>2</v>
      </c>
      <c r="H321" s="92"/>
      <c r="I321" s="92"/>
      <c r="J321" s="464">
        <f t="shared" ref="J321:J384" si="7">H321+I321</f>
        <v>0</v>
      </c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3">
        <v>525</v>
      </c>
      <c r="AE321" s="92"/>
      <c r="AF321" s="93">
        <v>0</v>
      </c>
      <c r="AG321" s="92"/>
      <c r="AH321" s="93">
        <v>525</v>
      </c>
      <c r="AI321" s="93">
        <v>0</v>
      </c>
    </row>
    <row r="322" spans="1:35" ht="15.75" thickBot="1" x14ac:dyDescent="0.3">
      <c r="A322" s="90" t="s">
        <v>1018</v>
      </c>
      <c r="B322" s="90" t="s">
        <v>1001</v>
      </c>
      <c r="C322" s="90" t="s">
        <v>1002</v>
      </c>
      <c r="D322" s="90" t="s">
        <v>663</v>
      </c>
      <c r="E322" s="90" t="s">
        <v>729</v>
      </c>
      <c r="F322" s="90" t="s">
        <v>1017</v>
      </c>
      <c r="G322" s="304">
        <v>2</v>
      </c>
      <c r="H322" s="92"/>
      <c r="I322" s="92"/>
      <c r="J322" s="464">
        <f t="shared" si="7"/>
        <v>0</v>
      </c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3">
        <v>6019.87</v>
      </c>
      <c r="Z322" s="92"/>
      <c r="AA322" s="92"/>
      <c r="AB322" s="92"/>
      <c r="AC322" s="92"/>
      <c r="AD322" s="92"/>
      <c r="AE322" s="92"/>
      <c r="AF322" s="93">
        <v>41.29</v>
      </c>
      <c r="AG322" s="92"/>
      <c r="AH322" s="93">
        <v>6061.16</v>
      </c>
      <c r="AI322" s="93">
        <v>0</v>
      </c>
    </row>
    <row r="323" spans="1:35" ht="15.75" thickBot="1" x14ac:dyDescent="0.3">
      <c r="A323" s="90" t="s">
        <v>1018</v>
      </c>
      <c r="B323" s="90" t="s">
        <v>1001</v>
      </c>
      <c r="C323" s="90" t="s">
        <v>1002</v>
      </c>
      <c r="D323" s="90" t="s">
        <v>663</v>
      </c>
      <c r="E323" s="90" t="s">
        <v>528</v>
      </c>
      <c r="F323" s="90" t="s">
        <v>751</v>
      </c>
      <c r="G323" s="305">
        <v>4</v>
      </c>
      <c r="H323" s="94"/>
      <c r="I323" s="94"/>
      <c r="J323" s="464">
        <f t="shared" si="7"/>
        <v>0</v>
      </c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94"/>
      <c r="AE323" s="94"/>
      <c r="AF323" s="95">
        <v>16.2</v>
      </c>
      <c r="AG323" s="94"/>
      <c r="AH323" s="95">
        <v>736.2</v>
      </c>
      <c r="AI323" s="306">
        <v>720</v>
      </c>
    </row>
    <row r="324" spans="1:35" ht="15.75" thickBot="1" x14ac:dyDescent="0.3">
      <c r="A324" s="90" t="s">
        <v>1018</v>
      </c>
      <c r="B324" s="90" t="s">
        <v>1001</v>
      </c>
      <c r="C324" s="90" t="s">
        <v>1002</v>
      </c>
      <c r="D324" s="90" t="s">
        <v>663</v>
      </c>
      <c r="E324" s="90" t="s">
        <v>518</v>
      </c>
      <c r="F324" s="90" t="s">
        <v>522</v>
      </c>
      <c r="G324" s="304">
        <v>4</v>
      </c>
      <c r="H324" s="93">
        <v>4000</v>
      </c>
      <c r="I324" s="93">
        <v>340710</v>
      </c>
      <c r="J324" s="464">
        <f t="shared" si="7"/>
        <v>344710</v>
      </c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3">
        <v>924.67</v>
      </c>
      <c r="AG324" s="92"/>
      <c r="AH324" s="93">
        <v>62410.66</v>
      </c>
      <c r="AI324" s="306">
        <v>61485.99</v>
      </c>
    </row>
    <row r="325" spans="1:35" ht="15.75" thickBot="1" x14ac:dyDescent="0.3">
      <c r="A325" s="90" t="s">
        <v>1018</v>
      </c>
      <c r="B325" s="90" t="s">
        <v>1001</v>
      </c>
      <c r="C325" s="90" t="s">
        <v>1002</v>
      </c>
      <c r="D325" s="90" t="s">
        <v>663</v>
      </c>
      <c r="E325" s="90" t="s">
        <v>673</v>
      </c>
      <c r="F325" s="90" t="s">
        <v>643</v>
      </c>
      <c r="G325" s="305">
        <v>4</v>
      </c>
      <c r="H325" s="94"/>
      <c r="I325" s="94"/>
      <c r="J325" s="464">
        <f t="shared" si="7"/>
        <v>0</v>
      </c>
      <c r="K325" s="94"/>
      <c r="L325" s="94"/>
      <c r="M325" s="94"/>
      <c r="N325" s="94"/>
      <c r="O325" s="94"/>
      <c r="P325" s="94"/>
      <c r="Q325" s="94"/>
      <c r="R325" s="94"/>
      <c r="S325" s="95">
        <v>1038.1600000000001</v>
      </c>
      <c r="T325" s="94"/>
      <c r="U325" s="94"/>
      <c r="V325" s="94"/>
      <c r="W325" s="95">
        <v>1038.1600000000001</v>
      </c>
      <c r="X325" s="94"/>
      <c r="Y325" s="94"/>
      <c r="Z325" s="94"/>
      <c r="AA325" s="94"/>
      <c r="AB325" s="94"/>
      <c r="AC325" s="94"/>
      <c r="AD325" s="94"/>
      <c r="AE325" s="94"/>
      <c r="AF325" s="95">
        <v>23.36</v>
      </c>
      <c r="AG325" s="94"/>
      <c r="AH325" s="95">
        <v>1061.52</v>
      </c>
      <c r="AI325" s="95">
        <v>0</v>
      </c>
    </row>
    <row r="326" spans="1:35" ht="15.75" thickBot="1" x14ac:dyDescent="0.3">
      <c r="A326" s="90" t="s">
        <v>1018</v>
      </c>
      <c r="B326" s="90" t="s">
        <v>1001</v>
      </c>
      <c r="C326" s="90" t="s">
        <v>1002</v>
      </c>
      <c r="D326" s="90" t="s">
        <v>663</v>
      </c>
      <c r="E326" s="90" t="s">
        <v>530</v>
      </c>
      <c r="F326" s="90" t="s">
        <v>745</v>
      </c>
      <c r="G326" s="304">
        <v>4</v>
      </c>
      <c r="H326" s="92"/>
      <c r="I326" s="92"/>
      <c r="J326" s="464">
        <f t="shared" si="7"/>
        <v>0</v>
      </c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3">
        <v>436.92</v>
      </c>
      <c r="AG326" s="92"/>
      <c r="AH326" s="93">
        <v>29537.33</v>
      </c>
      <c r="AI326" s="306">
        <v>29100.41</v>
      </c>
    </row>
    <row r="327" spans="1:35" ht="15.75" thickBot="1" x14ac:dyDescent="0.3">
      <c r="A327" s="90" t="s">
        <v>1018</v>
      </c>
      <c r="B327" s="90" t="s">
        <v>1001</v>
      </c>
      <c r="C327" s="90" t="s">
        <v>1002</v>
      </c>
      <c r="D327" s="90" t="s">
        <v>663</v>
      </c>
      <c r="E327" s="90" t="s">
        <v>524</v>
      </c>
      <c r="F327" s="90" t="s">
        <v>746</v>
      </c>
      <c r="G327" s="305">
        <v>4</v>
      </c>
      <c r="H327" s="94"/>
      <c r="I327" s="94"/>
      <c r="J327" s="464">
        <f t="shared" si="7"/>
        <v>0</v>
      </c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95">
        <v>2200</v>
      </c>
      <c r="AE327" s="94"/>
      <c r="AF327" s="95">
        <v>49.5</v>
      </c>
      <c r="AG327" s="94"/>
      <c r="AH327" s="95">
        <v>2249.5</v>
      </c>
      <c r="AI327" s="95">
        <v>0</v>
      </c>
    </row>
    <row r="328" spans="1:35" ht="15.75" thickBot="1" x14ac:dyDescent="0.3">
      <c r="A328" s="90" t="s">
        <v>1018</v>
      </c>
      <c r="B328" s="90" t="s">
        <v>1001</v>
      </c>
      <c r="C328" s="90" t="s">
        <v>1002</v>
      </c>
      <c r="D328" s="90" t="s">
        <v>662</v>
      </c>
      <c r="E328" s="90" t="s">
        <v>729</v>
      </c>
      <c r="F328" s="90" t="s">
        <v>1017</v>
      </c>
      <c r="G328" s="305">
        <v>1</v>
      </c>
      <c r="H328" s="94"/>
      <c r="I328" s="94"/>
      <c r="J328" s="464">
        <f t="shared" si="7"/>
        <v>0</v>
      </c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5">
        <v>5661.4</v>
      </c>
      <c r="Z328" s="94"/>
      <c r="AA328" s="94"/>
      <c r="AB328" s="94"/>
      <c r="AC328" s="94"/>
      <c r="AD328" s="94"/>
      <c r="AE328" s="94"/>
      <c r="AF328" s="95">
        <v>0</v>
      </c>
      <c r="AG328" s="94"/>
      <c r="AH328" s="95">
        <v>5661.4</v>
      </c>
      <c r="AI328" s="95">
        <v>0</v>
      </c>
    </row>
    <row r="329" spans="1:35" ht="15.75" thickBot="1" x14ac:dyDescent="0.3">
      <c r="A329" s="90" t="s">
        <v>1018</v>
      </c>
      <c r="B329" s="90" t="s">
        <v>1001</v>
      </c>
      <c r="C329" s="90" t="s">
        <v>1002</v>
      </c>
      <c r="D329" s="90" t="s">
        <v>662</v>
      </c>
      <c r="E329" s="90" t="s">
        <v>528</v>
      </c>
      <c r="F329" s="90" t="s">
        <v>751</v>
      </c>
      <c r="G329" s="304">
        <v>1</v>
      </c>
      <c r="H329" s="92"/>
      <c r="I329" s="92"/>
      <c r="J329" s="464">
        <f t="shared" si="7"/>
        <v>0</v>
      </c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3">
        <v>0</v>
      </c>
      <c r="AG329" s="92"/>
      <c r="AH329" s="93">
        <v>180</v>
      </c>
      <c r="AI329" s="306">
        <v>180</v>
      </c>
    </row>
    <row r="330" spans="1:35" ht="15.75" thickBot="1" x14ac:dyDescent="0.3">
      <c r="A330" s="90" t="s">
        <v>1018</v>
      </c>
      <c r="B330" s="90" t="s">
        <v>1001</v>
      </c>
      <c r="C330" s="90" t="s">
        <v>1002</v>
      </c>
      <c r="D330" s="90" t="s">
        <v>662</v>
      </c>
      <c r="E330" s="90" t="s">
        <v>518</v>
      </c>
      <c r="F330" s="90" t="s">
        <v>522</v>
      </c>
      <c r="G330" s="305">
        <v>1</v>
      </c>
      <c r="H330" s="95">
        <v>1000</v>
      </c>
      <c r="I330" s="95">
        <v>120672</v>
      </c>
      <c r="J330" s="464">
        <f t="shared" si="7"/>
        <v>121672</v>
      </c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94"/>
      <c r="AE330" s="94"/>
      <c r="AF330" s="95">
        <v>0</v>
      </c>
      <c r="AG330" s="94"/>
      <c r="AH330" s="95">
        <v>21682.06</v>
      </c>
      <c r="AI330" s="306">
        <v>21682.06</v>
      </c>
    </row>
    <row r="331" spans="1:35" ht="15.75" thickBot="1" x14ac:dyDescent="0.3">
      <c r="A331" s="90" t="s">
        <v>1018</v>
      </c>
      <c r="B331" s="90" t="s">
        <v>1001</v>
      </c>
      <c r="C331" s="90" t="s">
        <v>1002</v>
      </c>
      <c r="D331" s="90" t="s">
        <v>662</v>
      </c>
      <c r="E331" s="90" t="s">
        <v>673</v>
      </c>
      <c r="F331" s="90" t="s">
        <v>643</v>
      </c>
      <c r="G331" s="304">
        <v>1</v>
      </c>
      <c r="H331" s="92"/>
      <c r="I331" s="92"/>
      <c r="J331" s="464">
        <f t="shared" si="7"/>
        <v>0</v>
      </c>
      <c r="K331" s="92"/>
      <c r="L331" s="92"/>
      <c r="M331" s="92"/>
      <c r="N331" s="92"/>
      <c r="O331" s="92"/>
      <c r="P331" s="92"/>
      <c r="Q331" s="92"/>
      <c r="R331" s="92"/>
      <c r="S331" s="93">
        <v>259.54000000000002</v>
      </c>
      <c r="T331" s="92"/>
      <c r="U331" s="92"/>
      <c r="V331" s="92"/>
      <c r="W331" s="93">
        <v>259.54000000000002</v>
      </c>
      <c r="X331" s="92"/>
      <c r="Y331" s="92"/>
      <c r="Z331" s="92"/>
      <c r="AA331" s="92"/>
      <c r="AB331" s="92"/>
      <c r="AC331" s="92"/>
      <c r="AD331" s="92"/>
      <c r="AE331" s="92"/>
      <c r="AF331" s="93">
        <v>0</v>
      </c>
      <c r="AG331" s="92"/>
      <c r="AH331" s="93">
        <v>259.54000000000002</v>
      </c>
      <c r="AI331" s="93">
        <v>0</v>
      </c>
    </row>
    <row r="332" spans="1:35" ht="15.75" thickBot="1" x14ac:dyDescent="0.3">
      <c r="A332" s="90" t="s">
        <v>1018</v>
      </c>
      <c r="B332" s="90" t="s">
        <v>1001</v>
      </c>
      <c r="C332" s="90" t="s">
        <v>1002</v>
      </c>
      <c r="D332" s="90" t="s">
        <v>662</v>
      </c>
      <c r="E332" s="90" t="s">
        <v>530</v>
      </c>
      <c r="F332" s="90" t="s">
        <v>745</v>
      </c>
      <c r="G332" s="305">
        <v>1</v>
      </c>
      <c r="H332" s="94"/>
      <c r="I332" s="94"/>
      <c r="J332" s="464">
        <f t="shared" si="7"/>
        <v>0</v>
      </c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94"/>
      <c r="AE332" s="94"/>
      <c r="AF332" s="95">
        <v>0</v>
      </c>
      <c r="AG332" s="94"/>
      <c r="AH332" s="95">
        <v>10271.549999999999</v>
      </c>
      <c r="AI332" s="306">
        <v>10271.549999999999</v>
      </c>
    </row>
    <row r="333" spans="1:35" ht="15.75" thickBot="1" x14ac:dyDescent="0.3">
      <c r="A333" s="90" t="s">
        <v>1018</v>
      </c>
      <c r="B333" s="90" t="s">
        <v>1001</v>
      </c>
      <c r="C333" s="90" t="s">
        <v>1002</v>
      </c>
      <c r="D333" s="90" t="s">
        <v>662</v>
      </c>
      <c r="E333" s="90" t="s">
        <v>524</v>
      </c>
      <c r="F333" s="90" t="s">
        <v>746</v>
      </c>
      <c r="G333" s="304">
        <v>1</v>
      </c>
      <c r="H333" s="92"/>
      <c r="I333" s="92"/>
      <c r="J333" s="464">
        <f t="shared" si="7"/>
        <v>0</v>
      </c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3">
        <v>550</v>
      </c>
      <c r="AE333" s="92"/>
      <c r="AF333" s="93">
        <v>0</v>
      </c>
      <c r="AG333" s="92"/>
      <c r="AH333" s="93">
        <v>550</v>
      </c>
      <c r="AI333" s="93">
        <v>0</v>
      </c>
    </row>
    <row r="334" spans="1:35" ht="15.75" thickBot="1" x14ac:dyDescent="0.3">
      <c r="A334" s="90" t="s">
        <v>1018</v>
      </c>
      <c r="B334" s="90" t="s">
        <v>1003</v>
      </c>
      <c r="C334" s="90" t="s">
        <v>1004</v>
      </c>
      <c r="D334" s="90" t="s">
        <v>663</v>
      </c>
      <c r="E334" s="90" t="s">
        <v>528</v>
      </c>
      <c r="F334" s="90" t="s">
        <v>751</v>
      </c>
      <c r="G334" s="305">
        <v>1</v>
      </c>
      <c r="H334" s="94"/>
      <c r="I334" s="94"/>
      <c r="J334" s="464">
        <f t="shared" si="7"/>
        <v>0</v>
      </c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4"/>
      <c r="AD334" s="94"/>
      <c r="AE334" s="94"/>
      <c r="AF334" s="95">
        <v>0</v>
      </c>
      <c r="AG334" s="94"/>
      <c r="AH334" s="95">
        <v>400</v>
      </c>
      <c r="AI334" s="306">
        <v>400</v>
      </c>
    </row>
    <row r="335" spans="1:35" ht="15.75" thickBot="1" x14ac:dyDescent="0.3">
      <c r="A335" s="90" t="s">
        <v>1018</v>
      </c>
      <c r="B335" s="90" t="s">
        <v>1003</v>
      </c>
      <c r="C335" s="90" t="s">
        <v>1004</v>
      </c>
      <c r="D335" s="90" t="s">
        <v>663</v>
      </c>
      <c r="E335" s="90" t="s">
        <v>518</v>
      </c>
      <c r="F335" s="90" t="s">
        <v>522</v>
      </c>
      <c r="G335" s="304">
        <v>1</v>
      </c>
      <c r="H335" s="93">
        <v>46592</v>
      </c>
      <c r="I335" s="92"/>
      <c r="J335" s="464">
        <f t="shared" si="7"/>
        <v>46592</v>
      </c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3">
        <v>0</v>
      </c>
      <c r="AG335" s="92"/>
      <c r="AH335" s="93">
        <v>3265.63</v>
      </c>
      <c r="AI335" s="306">
        <v>3265.63</v>
      </c>
    </row>
    <row r="336" spans="1:35" ht="15.75" thickBot="1" x14ac:dyDescent="0.3">
      <c r="A336" s="90" t="s">
        <v>1018</v>
      </c>
      <c r="B336" s="90" t="s">
        <v>1003</v>
      </c>
      <c r="C336" s="90" t="s">
        <v>1004</v>
      </c>
      <c r="D336" s="90" t="s">
        <v>663</v>
      </c>
      <c r="E336" s="90" t="s">
        <v>673</v>
      </c>
      <c r="F336" s="90" t="s">
        <v>643</v>
      </c>
      <c r="G336" s="305">
        <v>1</v>
      </c>
      <c r="H336" s="94"/>
      <c r="I336" s="94"/>
      <c r="J336" s="464">
        <f t="shared" si="7"/>
        <v>0</v>
      </c>
      <c r="K336" s="94"/>
      <c r="L336" s="94"/>
      <c r="M336" s="94"/>
      <c r="N336" s="94"/>
      <c r="O336" s="94"/>
      <c r="P336" s="94"/>
      <c r="Q336" s="94"/>
      <c r="R336" s="94"/>
      <c r="S336" s="95">
        <v>2838.87</v>
      </c>
      <c r="T336" s="94"/>
      <c r="U336" s="94"/>
      <c r="V336" s="94"/>
      <c r="W336" s="95">
        <v>2838.87</v>
      </c>
      <c r="X336" s="94"/>
      <c r="Y336" s="94"/>
      <c r="Z336" s="94"/>
      <c r="AA336" s="94"/>
      <c r="AB336" s="94"/>
      <c r="AC336" s="94"/>
      <c r="AD336" s="94"/>
      <c r="AE336" s="94"/>
      <c r="AF336" s="95">
        <v>0</v>
      </c>
      <c r="AG336" s="94"/>
      <c r="AH336" s="95">
        <v>2838.87</v>
      </c>
      <c r="AI336" s="95">
        <v>0</v>
      </c>
    </row>
    <row r="337" spans="1:35" ht="15.75" thickBot="1" x14ac:dyDescent="0.3">
      <c r="A337" s="90" t="s">
        <v>1018</v>
      </c>
      <c r="B337" s="90" t="s">
        <v>1003</v>
      </c>
      <c r="C337" s="90" t="s">
        <v>1004</v>
      </c>
      <c r="D337" s="90" t="s">
        <v>663</v>
      </c>
      <c r="E337" s="90" t="s">
        <v>530</v>
      </c>
      <c r="F337" s="90" t="s">
        <v>745</v>
      </c>
      <c r="G337" s="304">
        <v>1</v>
      </c>
      <c r="H337" s="92"/>
      <c r="I337" s="92"/>
      <c r="J337" s="464">
        <f t="shared" si="7"/>
        <v>0</v>
      </c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3">
        <v>0</v>
      </c>
      <c r="AG337" s="92"/>
      <c r="AH337" s="93">
        <v>3933.3</v>
      </c>
      <c r="AI337" s="306">
        <v>3933.3</v>
      </c>
    </row>
    <row r="338" spans="1:35" ht="15.75" thickBot="1" x14ac:dyDescent="0.3">
      <c r="A338" s="90" t="s">
        <v>1018</v>
      </c>
      <c r="B338" s="90" t="s">
        <v>1003</v>
      </c>
      <c r="C338" s="90" t="s">
        <v>1004</v>
      </c>
      <c r="D338" s="90" t="s">
        <v>663</v>
      </c>
      <c r="E338" s="90" t="s">
        <v>524</v>
      </c>
      <c r="F338" s="90" t="s">
        <v>746</v>
      </c>
      <c r="G338" s="305">
        <v>1</v>
      </c>
      <c r="H338" s="94"/>
      <c r="I338" s="94"/>
      <c r="J338" s="464">
        <f t="shared" si="7"/>
        <v>0</v>
      </c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4"/>
      <c r="AD338" s="95">
        <v>550</v>
      </c>
      <c r="AE338" s="94"/>
      <c r="AF338" s="95">
        <v>0</v>
      </c>
      <c r="AG338" s="94"/>
      <c r="AH338" s="95">
        <v>550</v>
      </c>
      <c r="AI338" s="95">
        <v>0</v>
      </c>
    </row>
    <row r="339" spans="1:35" ht="15.75" thickBot="1" x14ac:dyDescent="0.3">
      <c r="A339" s="90" t="s">
        <v>1018</v>
      </c>
      <c r="B339" s="90" t="s">
        <v>1003</v>
      </c>
      <c r="C339" s="90" t="s">
        <v>1004</v>
      </c>
      <c r="D339" s="90" t="s">
        <v>662</v>
      </c>
      <c r="E339" s="90" t="s">
        <v>729</v>
      </c>
      <c r="F339" s="90" t="s">
        <v>1017</v>
      </c>
      <c r="G339" s="305">
        <v>1</v>
      </c>
      <c r="H339" s="94"/>
      <c r="I339" s="94"/>
      <c r="J339" s="464">
        <f t="shared" si="7"/>
        <v>0</v>
      </c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5">
        <v>5540.23</v>
      </c>
      <c r="Z339" s="94"/>
      <c r="AA339" s="94"/>
      <c r="AB339" s="94"/>
      <c r="AC339" s="94"/>
      <c r="AD339" s="94"/>
      <c r="AE339" s="94"/>
      <c r="AF339" s="95">
        <v>0</v>
      </c>
      <c r="AG339" s="94"/>
      <c r="AH339" s="95">
        <v>5540.23</v>
      </c>
      <c r="AI339" s="95">
        <v>0</v>
      </c>
    </row>
    <row r="340" spans="1:35" ht="15.75" thickBot="1" x14ac:dyDescent="0.3">
      <c r="A340" s="90" t="s">
        <v>1018</v>
      </c>
      <c r="B340" s="90" t="s">
        <v>1003</v>
      </c>
      <c r="C340" s="90" t="s">
        <v>1004</v>
      </c>
      <c r="D340" s="90" t="s">
        <v>662</v>
      </c>
      <c r="E340" s="90" t="s">
        <v>528</v>
      </c>
      <c r="F340" s="90" t="s">
        <v>751</v>
      </c>
      <c r="G340" s="304">
        <v>1</v>
      </c>
      <c r="H340" s="92"/>
      <c r="I340" s="92"/>
      <c r="J340" s="464">
        <f t="shared" si="7"/>
        <v>0</v>
      </c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3">
        <v>0</v>
      </c>
      <c r="AG340" s="92"/>
      <c r="AH340" s="93">
        <v>400</v>
      </c>
      <c r="AI340" s="306">
        <v>400</v>
      </c>
    </row>
    <row r="341" spans="1:35" ht="15.75" thickBot="1" x14ac:dyDescent="0.3">
      <c r="A341" s="90" t="s">
        <v>1018</v>
      </c>
      <c r="B341" s="90" t="s">
        <v>1003</v>
      </c>
      <c r="C341" s="90" t="s">
        <v>1004</v>
      </c>
      <c r="D341" s="90" t="s">
        <v>662</v>
      </c>
      <c r="E341" s="90" t="s">
        <v>518</v>
      </c>
      <c r="F341" s="90" t="s">
        <v>522</v>
      </c>
      <c r="G341" s="305">
        <v>1</v>
      </c>
      <c r="H341" s="95">
        <v>119068</v>
      </c>
      <c r="I341" s="94"/>
      <c r="J341" s="464">
        <f t="shared" si="7"/>
        <v>119068</v>
      </c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4"/>
      <c r="AD341" s="94"/>
      <c r="AE341" s="94"/>
      <c r="AF341" s="95">
        <v>0</v>
      </c>
      <c r="AG341" s="94"/>
      <c r="AH341" s="95">
        <v>8345.48</v>
      </c>
      <c r="AI341" s="306">
        <v>8345.48</v>
      </c>
    </row>
    <row r="342" spans="1:35" ht="15.75" thickBot="1" x14ac:dyDescent="0.3">
      <c r="A342" s="90" t="s">
        <v>1018</v>
      </c>
      <c r="B342" s="90" t="s">
        <v>1003</v>
      </c>
      <c r="C342" s="90" t="s">
        <v>1004</v>
      </c>
      <c r="D342" s="90" t="s">
        <v>662</v>
      </c>
      <c r="E342" s="90" t="s">
        <v>673</v>
      </c>
      <c r="F342" s="90" t="s">
        <v>643</v>
      </c>
      <c r="G342" s="304">
        <v>1</v>
      </c>
      <c r="H342" s="92"/>
      <c r="I342" s="92"/>
      <c r="J342" s="464">
        <f t="shared" si="7"/>
        <v>0</v>
      </c>
      <c r="K342" s="92"/>
      <c r="L342" s="92"/>
      <c r="M342" s="92"/>
      <c r="N342" s="92"/>
      <c r="O342" s="92"/>
      <c r="P342" s="92"/>
      <c r="Q342" s="92"/>
      <c r="R342" s="92"/>
      <c r="S342" s="93">
        <v>2838.87</v>
      </c>
      <c r="T342" s="92"/>
      <c r="U342" s="92"/>
      <c r="V342" s="92"/>
      <c r="W342" s="93">
        <v>2838.87</v>
      </c>
      <c r="X342" s="92"/>
      <c r="Y342" s="92"/>
      <c r="Z342" s="92"/>
      <c r="AA342" s="92"/>
      <c r="AB342" s="92"/>
      <c r="AC342" s="92"/>
      <c r="AD342" s="92"/>
      <c r="AE342" s="92"/>
      <c r="AF342" s="93">
        <v>0</v>
      </c>
      <c r="AG342" s="92"/>
      <c r="AH342" s="93">
        <v>2838.87</v>
      </c>
      <c r="AI342" s="93">
        <v>0</v>
      </c>
    </row>
    <row r="343" spans="1:35" ht="15.75" thickBot="1" x14ac:dyDescent="0.3">
      <c r="A343" s="90" t="s">
        <v>1018</v>
      </c>
      <c r="B343" s="90" t="s">
        <v>1003</v>
      </c>
      <c r="C343" s="90" t="s">
        <v>1004</v>
      </c>
      <c r="D343" s="90" t="s">
        <v>662</v>
      </c>
      <c r="E343" s="90" t="s">
        <v>530</v>
      </c>
      <c r="F343" s="90" t="s">
        <v>745</v>
      </c>
      <c r="G343" s="305">
        <v>1</v>
      </c>
      <c r="H343" s="94"/>
      <c r="I343" s="94"/>
      <c r="J343" s="464">
        <f t="shared" si="7"/>
        <v>0</v>
      </c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94"/>
      <c r="AE343" s="94"/>
      <c r="AF343" s="95">
        <v>0</v>
      </c>
      <c r="AG343" s="94"/>
      <c r="AH343" s="95">
        <v>10051.719999999999</v>
      </c>
      <c r="AI343" s="306">
        <v>10051.719999999999</v>
      </c>
    </row>
    <row r="344" spans="1:35" ht="15.75" thickBot="1" x14ac:dyDescent="0.3">
      <c r="A344" s="90" t="s">
        <v>1018</v>
      </c>
      <c r="B344" s="90" t="s">
        <v>1003</v>
      </c>
      <c r="C344" s="90" t="s">
        <v>1004</v>
      </c>
      <c r="D344" s="90" t="s">
        <v>662</v>
      </c>
      <c r="E344" s="90" t="s">
        <v>524</v>
      </c>
      <c r="F344" s="90" t="s">
        <v>746</v>
      </c>
      <c r="G344" s="304">
        <v>1</v>
      </c>
      <c r="H344" s="92"/>
      <c r="I344" s="92"/>
      <c r="J344" s="464">
        <f t="shared" si="7"/>
        <v>0</v>
      </c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3">
        <v>550</v>
      </c>
      <c r="AE344" s="92"/>
      <c r="AF344" s="93">
        <v>0</v>
      </c>
      <c r="AG344" s="92"/>
      <c r="AH344" s="93">
        <v>550</v>
      </c>
      <c r="AI344" s="93">
        <v>0</v>
      </c>
    </row>
    <row r="345" spans="1:35" ht="15.75" thickBot="1" x14ac:dyDescent="0.3">
      <c r="A345" s="90" t="s">
        <v>1018</v>
      </c>
      <c r="B345" s="90" t="s">
        <v>933</v>
      </c>
      <c r="C345" s="90" t="s">
        <v>1005</v>
      </c>
      <c r="D345" s="90" t="s">
        <v>663</v>
      </c>
      <c r="E345" s="90" t="s">
        <v>525</v>
      </c>
      <c r="F345" s="90" t="s">
        <v>752</v>
      </c>
      <c r="G345" s="305">
        <v>1</v>
      </c>
      <c r="H345" s="94"/>
      <c r="I345" s="94"/>
      <c r="J345" s="464">
        <f t="shared" si="7"/>
        <v>0</v>
      </c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94"/>
      <c r="AE345" s="94"/>
      <c r="AF345" s="95">
        <v>-92</v>
      </c>
      <c r="AG345" s="94"/>
      <c r="AH345" s="95">
        <v>-1625.35</v>
      </c>
      <c r="AI345" s="306">
        <v>-1533.35</v>
      </c>
    </row>
    <row r="346" spans="1:35" ht="15.75" thickBot="1" x14ac:dyDescent="0.3">
      <c r="A346" s="90" t="s">
        <v>1018</v>
      </c>
      <c r="B346" s="90" t="s">
        <v>933</v>
      </c>
      <c r="C346" s="90" t="s">
        <v>1005</v>
      </c>
      <c r="D346" s="90" t="s">
        <v>663</v>
      </c>
      <c r="E346" s="90" t="s">
        <v>525</v>
      </c>
      <c r="F346" s="90" t="s">
        <v>750</v>
      </c>
      <c r="G346" s="304">
        <v>2</v>
      </c>
      <c r="H346" s="92"/>
      <c r="I346" s="92"/>
      <c r="J346" s="464">
        <f t="shared" si="7"/>
        <v>0</v>
      </c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3">
        <v>232.29</v>
      </c>
      <c r="AC346" s="92"/>
      <c r="AD346" s="92"/>
      <c r="AE346" s="92"/>
      <c r="AF346" s="93">
        <v>13.93</v>
      </c>
      <c r="AG346" s="92"/>
      <c r="AH346" s="93">
        <v>246.22</v>
      </c>
      <c r="AI346" s="93">
        <v>0</v>
      </c>
    </row>
    <row r="347" spans="1:35" ht="15.75" thickBot="1" x14ac:dyDescent="0.3">
      <c r="A347" s="90" t="s">
        <v>1018</v>
      </c>
      <c r="B347" s="90" t="s">
        <v>933</v>
      </c>
      <c r="C347" s="90" t="s">
        <v>1005</v>
      </c>
      <c r="D347" s="90" t="s">
        <v>663</v>
      </c>
      <c r="E347" s="90" t="s">
        <v>518</v>
      </c>
      <c r="F347" s="90" t="s">
        <v>526</v>
      </c>
      <c r="G347" s="304">
        <v>2</v>
      </c>
      <c r="H347" s="93">
        <v>783</v>
      </c>
      <c r="I347" s="92"/>
      <c r="J347" s="464">
        <f t="shared" si="7"/>
        <v>783</v>
      </c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3">
        <v>2.02</v>
      </c>
      <c r="AG347" s="92"/>
      <c r="AH347" s="93">
        <v>35.71</v>
      </c>
      <c r="AI347" s="306">
        <v>33.69</v>
      </c>
    </row>
    <row r="348" spans="1:35" ht="15.75" thickBot="1" x14ac:dyDescent="0.3">
      <c r="A348" s="90" t="s">
        <v>1018</v>
      </c>
      <c r="B348" s="90" t="s">
        <v>933</v>
      </c>
      <c r="C348" s="90" t="s">
        <v>1005</v>
      </c>
      <c r="D348" s="90" t="s">
        <v>663</v>
      </c>
      <c r="E348" s="90" t="s">
        <v>518</v>
      </c>
      <c r="F348" s="90" t="s">
        <v>522</v>
      </c>
      <c r="G348" s="305">
        <v>63</v>
      </c>
      <c r="H348" s="95">
        <v>6690383</v>
      </c>
      <c r="I348" s="94"/>
      <c r="J348" s="464">
        <f t="shared" si="7"/>
        <v>6690383</v>
      </c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4"/>
      <c r="AD348" s="94"/>
      <c r="AE348" s="94"/>
      <c r="AF348" s="95">
        <v>13048.27</v>
      </c>
      <c r="AG348" s="94"/>
      <c r="AH348" s="95">
        <v>300868.53000000003</v>
      </c>
      <c r="AI348" s="306">
        <v>287820.26</v>
      </c>
    </row>
    <row r="349" spans="1:35" ht="15.75" thickBot="1" x14ac:dyDescent="0.3">
      <c r="A349" s="90" t="s">
        <v>1018</v>
      </c>
      <c r="B349" s="90" t="s">
        <v>933</v>
      </c>
      <c r="C349" s="90" t="s">
        <v>1005</v>
      </c>
      <c r="D349" s="90" t="s">
        <v>663</v>
      </c>
      <c r="E349" s="90" t="s">
        <v>527</v>
      </c>
      <c r="F349" s="90" t="s">
        <v>1015</v>
      </c>
      <c r="G349" s="305">
        <v>1</v>
      </c>
      <c r="H349" s="94"/>
      <c r="I349" s="94"/>
      <c r="J349" s="464">
        <f t="shared" si="7"/>
        <v>0</v>
      </c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5">
        <v>243.63</v>
      </c>
      <c r="AC349" s="94"/>
      <c r="AD349" s="94"/>
      <c r="AE349" s="94"/>
      <c r="AF349" s="95">
        <v>14.62</v>
      </c>
      <c r="AG349" s="94"/>
      <c r="AH349" s="95">
        <v>258.25</v>
      </c>
      <c r="AI349" s="95">
        <v>0</v>
      </c>
    </row>
    <row r="350" spans="1:35" ht="15.75" thickBot="1" x14ac:dyDescent="0.3">
      <c r="A350" s="90" t="s">
        <v>1018</v>
      </c>
      <c r="B350" s="90" t="s">
        <v>933</v>
      </c>
      <c r="C350" s="90" t="s">
        <v>1005</v>
      </c>
      <c r="D350" s="90" t="s">
        <v>663</v>
      </c>
      <c r="E350" s="90" t="s">
        <v>527</v>
      </c>
      <c r="F350" s="90" t="s">
        <v>1016</v>
      </c>
      <c r="G350" s="304">
        <v>2</v>
      </c>
      <c r="H350" s="92"/>
      <c r="I350" s="92"/>
      <c r="J350" s="464">
        <f t="shared" si="7"/>
        <v>0</v>
      </c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3">
        <v>5.87</v>
      </c>
      <c r="AG350" s="92"/>
      <c r="AH350" s="93">
        <v>103.77</v>
      </c>
      <c r="AI350" s="306">
        <v>97.9</v>
      </c>
    </row>
    <row r="351" spans="1:35" ht="15.75" thickBot="1" x14ac:dyDescent="0.3">
      <c r="A351" s="90" t="s">
        <v>1018</v>
      </c>
      <c r="B351" s="90" t="s">
        <v>933</v>
      </c>
      <c r="C351" s="90" t="s">
        <v>1005</v>
      </c>
      <c r="D351" s="90" t="s">
        <v>663</v>
      </c>
      <c r="E351" s="90" t="s">
        <v>671</v>
      </c>
      <c r="F351" s="90" t="s">
        <v>703</v>
      </c>
      <c r="G351" s="304">
        <v>28</v>
      </c>
      <c r="H351" s="92"/>
      <c r="I351" s="92"/>
      <c r="J351" s="464">
        <f t="shared" si="7"/>
        <v>0</v>
      </c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3">
        <v>1558.97</v>
      </c>
      <c r="Y351" s="92"/>
      <c r="Z351" s="92"/>
      <c r="AA351" s="92"/>
      <c r="AB351" s="92"/>
      <c r="AC351" s="92"/>
      <c r="AD351" s="92"/>
      <c r="AE351" s="92"/>
      <c r="AF351" s="93">
        <v>79.510000000000005</v>
      </c>
      <c r="AG351" s="92"/>
      <c r="AH351" s="93">
        <v>1638.48</v>
      </c>
      <c r="AI351" s="93">
        <v>0</v>
      </c>
    </row>
    <row r="352" spans="1:35" ht="15.75" thickBot="1" x14ac:dyDescent="0.3">
      <c r="A352" s="90" t="s">
        <v>1018</v>
      </c>
      <c r="B352" s="90" t="s">
        <v>933</v>
      </c>
      <c r="C352" s="90" t="s">
        <v>1005</v>
      </c>
      <c r="D352" s="90" t="s">
        <v>663</v>
      </c>
      <c r="E352" s="90" t="s">
        <v>524</v>
      </c>
      <c r="F352" s="90" t="s">
        <v>746</v>
      </c>
      <c r="G352" s="305">
        <v>61</v>
      </c>
      <c r="H352" s="94"/>
      <c r="I352" s="94"/>
      <c r="J352" s="464">
        <f t="shared" si="7"/>
        <v>0</v>
      </c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4"/>
      <c r="AD352" s="95">
        <v>33550</v>
      </c>
      <c r="AE352" s="94"/>
      <c r="AF352" s="95">
        <v>1641.43</v>
      </c>
      <c r="AG352" s="94"/>
      <c r="AH352" s="95">
        <v>35191.43</v>
      </c>
      <c r="AI352" s="95">
        <v>0</v>
      </c>
    </row>
    <row r="353" spans="1:35" ht="15.75" thickBot="1" x14ac:dyDescent="0.3">
      <c r="A353" s="90" t="s">
        <v>1018</v>
      </c>
      <c r="B353" s="90" t="s">
        <v>933</v>
      </c>
      <c r="C353" s="90" t="s">
        <v>1005</v>
      </c>
      <c r="D353" s="90" t="s">
        <v>663</v>
      </c>
      <c r="E353" s="90" t="s">
        <v>676</v>
      </c>
      <c r="F353" s="90" t="s">
        <v>748</v>
      </c>
      <c r="G353" s="304">
        <v>3</v>
      </c>
      <c r="H353" s="92"/>
      <c r="I353" s="92"/>
      <c r="J353" s="464">
        <f t="shared" si="7"/>
        <v>0</v>
      </c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3">
        <v>450.35</v>
      </c>
      <c r="AF353" s="93">
        <v>27.02</v>
      </c>
      <c r="AG353" s="92"/>
      <c r="AH353" s="93">
        <v>477.37</v>
      </c>
      <c r="AI353" s="93">
        <v>0</v>
      </c>
    </row>
    <row r="354" spans="1:35" ht="15.75" thickBot="1" x14ac:dyDescent="0.3">
      <c r="A354" s="90" t="s">
        <v>1018</v>
      </c>
      <c r="B354" s="90" t="s">
        <v>933</v>
      </c>
      <c r="C354" s="90" t="s">
        <v>1005</v>
      </c>
      <c r="D354" s="90" t="s">
        <v>663</v>
      </c>
      <c r="E354" s="90" t="s">
        <v>677</v>
      </c>
      <c r="F354" s="90" t="s">
        <v>749</v>
      </c>
      <c r="G354" s="305">
        <v>3</v>
      </c>
      <c r="H354" s="94"/>
      <c r="I354" s="94"/>
      <c r="J354" s="464">
        <f t="shared" si="7"/>
        <v>0</v>
      </c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4"/>
      <c r="AD354" s="94"/>
      <c r="AE354" s="94"/>
      <c r="AF354" s="95">
        <v>29.61</v>
      </c>
      <c r="AG354" s="94"/>
      <c r="AH354" s="95">
        <v>523.04</v>
      </c>
      <c r="AI354" s="306">
        <v>493.43</v>
      </c>
    </row>
    <row r="355" spans="1:35" ht="15.75" thickBot="1" x14ac:dyDescent="0.3">
      <c r="A355" s="90" t="s">
        <v>1018</v>
      </c>
      <c r="B355" s="90" t="s">
        <v>933</v>
      </c>
      <c r="C355" s="90" t="s">
        <v>1005</v>
      </c>
      <c r="D355" s="90" t="s">
        <v>662</v>
      </c>
      <c r="E355" s="90" t="s">
        <v>518</v>
      </c>
      <c r="F355" s="90" t="s">
        <v>522</v>
      </c>
      <c r="G355" s="305">
        <v>1</v>
      </c>
      <c r="H355" s="95">
        <v>162421</v>
      </c>
      <c r="I355" s="94"/>
      <c r="J355" s="464">
        <f t="shared" si="7"/>
        <v>162421</v>
      </c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94"/>
      <c r="AE355" s="94"/>
      <c r="AF355" s="95">
        <v>0</v>
      </c>
      <c r="AG355" s="94"/>
      <c r="AH355" s="95">
        <v>6987.35</v>
      </c>
      <c r="AI355" s="306">
        <v>6987.35</v>
      </c>
    </row>
    <row r="356" spans="1:35" ht="15.75" thickBot="1" x14ac:dyDescent="0.3">
      <c r="A356" s="90" t="s">
        <v>1018</v>
      </c>
      <c r="B356" s="90" t="s">
        <v>933</v>
      </c>
      <c r="C356" s="90" t="s">
        <v>1005</v>
      </c>
      <c r="D356" s="90" t="s">
        <v>662</v>
      </c>
      <c r="E356" s="90" t="s">
        <v>524</v>
      </c>
      <c r="F356" s="90" t="s">
        <v>746</v>
      </c>
      <c r="G356" s="304">
        <v>1</v>
      </c>
      <c r="H356" s="92"/>
      <c r="I356" s="92"/>
      <c r="J356" s="464">
        <f t="shared" si="7"/>
        <v>0</v>
      </c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3">
        <v>550</v>
      </c>
      <c r="AE356" s="92"/>
      <c r="AF356" s="93">
        <v>0</v>
      </c>
      <c r="AG356" s="92"/>
      <c r="AH356" s="93">
        <v>550</v>
      </c>
      <c r="AI356" s="93">
        <v>0</v>
      </c>
    </row>
    <row r="357" spans="1:35" ht="15.75" thickBot="1" x14ac:dyDescent="0.3">
      <c r="A357" s="90" t="s">
        <v>1046</v>
      </c>
      <c r="B357" s="90" t="s">
        <v>50</v>
      </c>
      <c r="C357" s="90" t="s">
        <v>881</v>
      </c>
      <c r="D357" s="90" t="s">
        <v>661</v>
      </c>
      <c r="E357" s="90" t="s">
        <v>198</v>
      </c>
      <c r="F357" s="90" t="s">
        <v>743</v>
      </c>
      <c r="G357" s="304">
        <v>8</v>
      </c>
      <c r="H357" s="92"/>
      <c r="I357" s="92"/>
      <c r="J357" s="464">
        <f t="shared" si="7"/>
        <v>0</v>
      </c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3">
        <v>3.82</v>
      </c>
      <c r="AG357" s="92"/>
      <c r="AH357" s="93">
        <v>194.18</v>
      </c>
      <c r="AI357" s="306">
        <v>190.36</v>
      </c>
    </row>
    <row r="358" spans="1:35" ht="15.75" thickBot="1" x14ac:dyDescent="0.3">
      <c r="A358" s="90" t="s">
        <v>1046</v>
      </c>
      <c r="B358" s="90" t="s">
        <v>50</v>
      </c>
      <c r="C358" s="90" t="s">
        <v>881</v>
      </c>
      <c r="D358" s="90" t="s">
        <v>661</v>
      </c>
      <c r="E358" s="90" t="s">
        <v>518</v>
      </c>
      <c r="F358" s="90" t="s">
        <v>522</v>
      </c>
      <c r="G358" s="305">
        <v>8</v>
      </c>
      <c r="H358" s="95">
        <v>333986</v>
      </c>
      <c r="I358" s="94"/>
      <c r="J358" s="464">
        <f t="shared" si="7"/>
        <v>333986</v>
      </c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4"/>
      <c r="AD358" s="94"/>
      <c r="AE358" s="94"/>
      <c r="AF358" s="95">
        <v>288.20999999999998</v>
      </c>
      <c r="AG358" s="94"/>
      <c r="AH358" s="95">
        <v>14656.29</v>
      </c>
      <c r="AI358" s="306">
        <v>14368.08</v>
      </c>
    </row>
    <row r="359" spans="1:35" ht="15.75" thickBot="1" x14ac:dyDescent="0.3">
      <c r="A359" s="90" t="s">
        <v>1046</v>
      </c>
      <c r="B359" s="90" t="s">
        <v>50</v>
      </c>
      <c r="C359" s="90" t="s">
        <v>881</v>
      </c>
      <c r="D359" s="90" t="s">
        <v>661</v>
      </c>
      <c r="E359" s="90" t="s">
        <v>524</v>
      </c>
      <c r="F359" s="90" t="s">
        <v>746</v>
      </c>
      <c r="G359" s="304">
        <v>8</v>
      </c>
      <c r="H359" s="92"/>
      <c r="I359" s="92"/>
      <c r="J359" s="464">
        <f t="shared" si="7"/>
        <v>0</v>
      </c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3">
        <v>4400</v>
      </c>
      <c r="AE359" s="92"/>
      <c r="AF359" s="93">
        <v>66</v>
      </c>
      <c r="AG359" s="92"/>
      <c r="AH359" s="93">
        <v>4466</v>
      </c>
      <c r="AI359" s="93">
        <v>0</v>
      </c>
    </row>
    <row r="360" spans="1:35" ht="15.75" thickBot="1" x14ac:dyDescent="0.3">
      <c r="A360" s="90" t="s">
        <v>1046</v>
      </c>
      <c r="B360" s="90" t="s">
        <v>50</v>
      </c>
      <c r="C360" s="90" t="s">
        <v>881</v>
      </c>
      <c r="D360" s="90" t="s">
        <v>662</v>
      </c>
      <c r="E360" s="90" t="s">
        <v>198</v>
      </c>
      <c r="F360" s="90" t="s">
        <v>743</v>
      </c>
      <c r="G360" s="305">
        <v>2</v>
      </c>
      <c r="H360" s="94"/>
      <c r="I360" s="94"/>
      <c r="J360" s="464">
        <f t="shared" si="7"/>
        <v>0</v>
      </c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4"/>
      <c r="AD360" s="94"/>
      <c r="AE360" s="94"/>
      <c r="AF360" s="95">
        <v>0.69</v>
      </c>
      <c r="AG360" s="94"/>
      <c r="AH360" s="95">
        <v>41.68</v>
      </c>
      <c r="AI360" s="306">
        <v>40.99</v>
      </c>
    </row>
    <row r="361" spans="1:35" ht="15.75" thickBot="1" x14ac:dyDescent="0.3">
      <c r="A361" s="90" t="s">
        <v>1046</v>
      </c>
      <c r="B361" s="90" t="s">
        <v>50</v>
      </c>
      <c r="C361" s="90" t="s">
        <v>881</v>
      </c>
      <c r="D361" s="90" t="s">
        <v>662</v>
      </c>
      <c r="E361" s="90" t="s">
        <v>525</v>
      </c>
      <c r="F361" s="90" t="s">
        <v>752</v>
      </c>
      <c r="G361" s="304">
        <v>1</v>
      </c>
      <c r="H361" s="92"/>
      <c r="I361" s="92"/>
      <c r="J361" s="464">
        <f t="shared" si="7"/>
        <v>0</v>
      </c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3">
        <v>-49.46</v>
      </c>
      <c r="AG361" s="92"/>
      <c r="AH361" s="93">
        <v>-1698.22</v>
      </c>
      <c r="AI361" s="306">
        <v>-1648.76</v>
      </c>
    </row>
    <row r="362" spans="1:35" ht="15.75" thickBot="1" x14ac:dyDescent="0.3">
      <c r="A362" s="90" t="s">
        <v>1046</v>
      </c>
      <c r="B362" s="90" t="s">
        <v>50</v>
      </c>
      <c r="C362" s="90" t="s">
        <v>881</v>
      </c>
      <c r="D362" s="90" t="s">
        <v>662</v>
      </c>
      <c r="E362" s="90" t="s">
        <v>518</v>
      </c>
      <c r="F362" s="90" t="s">
        <v>522</v>
      </c>
      <c r="G362" s="305">
        <v>2</v>
      </c>
      <c r="H362" s="95">
        <v>71915</v>
      </c>
      <c r="I362" s="94"/>
      <c r="J362" s="464">
        <f t="shared" si="7"/>
        <v>71915</v>
      </c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5">
        <v>52.36</v>
      </c>
      <c r="AG362" s="94"/>
      <c r="AH362" s="95">
        <v>3146.14</v>
      </c>
      <c r="AI362" s="306">
        <v>3093.78</v>
      </c>
    </row>
    <row r="363" spans="1:35" ht="15.75" thickBot="1" x14ac:dyDescent="0.3">
      <c r="A363" s="90" t="s">
        <v>1046</v>
      </c>
      <c r="B363" s="90" t="s">
        <v>50</v>
      </c>
      <c r="C363" s="90" t="s">
        <v>881</v>
      </c>
      <c r="D363" s="90" t="s">
        <v>662</v>
      </c>
      <c r="E363" s="90" t="s">
        <v>527</v>
      </c>
      <c r="F363" s="90" t="s">
        <v>1015</v>
      </c>
      <c r="G363" s="304">
        <v>1</v>
      </c>
      <c r="H363" s="92"/>
      <c r="I363" s="92"/>
      <c r="J363" s="464">
        <f t="shared" si="7"/>
        <v>0</v>
      </c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3">
        <v>61.98</v>
      </c>
      <c r="AC363" s="92"/>
      <c r="AD363" s="92"/>
      <c r="AE363" s="92"/>
      <c r="AF363" s="93">
        <v>1.86</v>
      </c>
      <c r="AG363" s="92"/>
      <c r="AH363" s="93">
        <v>63.84</v>
      </c>
      <c r="AI363" s="93">
        <v>0</v>
      </c>
    </row>
    <row r="364" spans="1:35" ht="15.75" thickBot="1" x14ac:dyDescent="0.3">
      <c r="A364" s="90" t="s">
        <v>1046</v>
      </c>
      <c r="B364" s="90" t="s">
        <v>50</v>
      </c>
      <c r="C364" s="90" t="s">
        <v>881</v>
      </c>
      <c r="D364" s="90" t="s">
        <v>662</v>
      </c>
      <c r="E364" s="90" t="s">
        <v>671</v>
      </c>
      <c r="F364" s="90" t="s">
        <v>703</v>
      </c>
      <c r="G364" s="305">
        <v>1</v>
      </c>
      <c r="H364" s="94"/>
      <c r="I364" s="94"/>
      <c r="J364" s="464">
        <f t="shared" si="7"/>
        <v>0</v>
      </c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5">
        <v>47.15</v>
      </c>
      <c r="Y364" s="94"/>
      <c r="Z364" s="94"/>
      <c r="AA364" s="94"/>
      <c r="AB364" s="94"/>
      <c r="AC364" s="94"/>
      <c r="AD364" s="94"/>
      <c r="AE364" s="94"/>
      <c r="AF364" s="95">
        <v>0</v>
      </c>
      <c r="AG364" s="94"/>
      <c r="AH364" s="95">
        <v>47.15</v>
      </c>
      <c r="AI364" s="95">
        <v>0</v>
      </c>
    </row>
    <row r="365" spans="1:35" ht="15.75" thickBot="1" x14ac:dyDescent="0.3">
      <c r="A365" s="90" t="s">
        <v>1046</v>
      </c>
      <c r="B365" s="90" t="s">
        <v>50</v>
      </c>
      <c r="C365" s="90" t="s">
        <v>881</v>
      </c>
      <c r="D365" s="90" t="s">
        <v>662</v>
      </c>
      <c r="E365" s="90" t="s">
        <v>524</v>
      </c>
      <c r="F365" s="90" t="s">
        <v>746</v>
      </c>
      <c r="G365" s="304">
        <v>2</v>
      </c>
      <c r="H365" s="92"/>
      <c r="I365" s="92"/>
      <c r="J365" s="464">
        <f t="shared" si="7"/>
        <v>0</v>
      </c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3">
        <v>1100</v>
      </c>
      <c r="AE365" s="92"/>
      <c r="AF365" s="93">
        <v>16.489999999999998</v>
      </c>
      <c r="AG365" s="92"/>
      <c r="AH365" s="93">
        <v>1116.49</v>
      </c>
      <c r="AI365" s="93">
        <v>0</v>
      </c>
    </row>
    <row r="366" spans="1:35" ht="15.75" thickBot="1" x14ac:dyDescent="0.3">
      <c r="A366" s="90" t="s">
        <v>1046</v>
      </c>
      <c r="B366" s="90" t="s">
        <v>50</v>
      </c>
      <c r="C366" s="90" t="s">
        <v>881</v>
      </c>
      <c r="D366" s="90" t="s">
        <v>662</v>
      </c>
      <c r="E366" s="90" t="s">
        <v>676</v>
      </c>
      <c r="F366" s="90" t="s">
        <v>748</v>
      </c>
      <c r="G366" s="305">
        <v>1</v>
      </c>
      <c r="H366" s="94"/>
      <c r="I366" s="94"/>
      <c r="J366" s="464">
        <f t="shared" si="7"/>
        <v>0</v>
      </c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4"/>
      <c r="AD366" s="94"/>
      <c r="AE366" s="95">
        <v>100.56</v>
      </c>
      <c r="AF366" s="95">
        <v>3.02</v>
      </c>
      <c r="AG366" s="94"/>
      <c r="AH366" s="95">
        <v>103.58</v>
      </c>
      <c r="AI366" s="95">
        <v>0</v>
      </c>
    </row>
    <row r="367" spans="1:35" ht="15.75" thickBot="1" x14ac:dyDescent="0.3">
      <c r="A367" s="90" t="s">
        <v>1046</v>
      </c>
      <c r="B367" s="90" t="s">
        <v>50</v>
      </c>
      <c r="C367" s="90" t="s">
        <v>881</v>
      </c>
      <c r="D367" s="90" t="s">
        <v>662</v>
      </c>
      <c r="E367" s="90" t="s">
        <v>677</v>
      </c>
      <c r="F367" s="90" t="s">
        <v>749</v>
      </c>
      <c r="G367" s="304">
        <v>1</v>
      </c>
      <c r="H367" s="92"/>
      <c r="I367" s="92"/>
      <c r="J367" s="464">
        <f t="shared" si="7"/>
        <v>0</v>
      </c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3">
        <v>3.31</v>
      </c>
      <c r="AG367" s="92"/>
      <c r="AH367" s="93">
        <v>113.5</v>
      </c>
      <c r="AI367" s="306">
        <v>110.19</v>
      </c>
    </row>
    <row r="368" spans="1:35" ht="15.75" thickBot="1" x14ac:dyDescent="0.3">
      <c r="A368" s="90" t="s">
        <v>1046</v>
      </c>
      <c r="B368" s="90" t="s">
        <v>54</v>
      </c>
      <c r="C368" s="90" t="s">
        <v>55</v>
      </c>
      <c r="D368" s="90" t="s">
        <v>663</v>
      </c>
      <c r="E368" s="90" t="s">
        <v>525</v>
      </c>
      <c r="F368" s="90" t="s">
        <v>752</v>
      </c>
      <c r="G368" s="305">
        <v>3</v>
      </c>
      <c r="H368" s="94"/>
      <c r="I368" s="94"/>
      <c r="J368" s="464">
        <f t="shared" si="7"/>
        <v>0</v>
      </c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  <c r="AC368" s="94"/>
      <c r="AD368" s="94"/>
      <c r="AE368" s="94"/>
      <c r="AF368" s="95">
        <v>0</v>
      </c>
      <c r="AG368" s="94"/>
      <c r="AH368" s="95">
        <v>-45074.73</v>
      </c>
      <c r="AI368" s="306">
        <v>-45074.73</v>
      </c>
    </row>
    <row r="369" spans="1:35" ht="15.75" thickBot="1" x14ac:dyDescent="0.3">
      <c r="A369" s="90" t="s">
        <v>1046</v>
      </c>
      <c r="B369" s="90" t="s">
        <v>54</v>
      </c>
      <c r="C369" s="90" t="s">
        <v>55</v>
      </c>
      <c r="D369" s="90" t="s">
        <v>663</v>
      </c>
      <c r="E369" s="90" t="s">
        <v>525</v>
      </c>
      <c r="F369" s="90" t="s">
        <v>750</v>
      </c>
      <c r="G369" s="304">
        <v>2</v>
      </c>
      <c r="H369" s="92"/>
      <c r="I369" s="92"/>
      <c r="J369" s="464">
        <f t="shared" si="7"/>
        <v>0</v>
      </c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3">
        <v>1340.98</v>
      </c>
      <c r="AC369" s="92"/>
      <c r="AD369" s="92"/>
      <c r="AE369" s="92"/>
      <c r="AF369" s="93">
        <v>51.65</v>
      </c>
      <c r="AG369" s="92"/>
      <c r="AH369" s="93">
        <v>1392.63</v>
      </c>
      <c r="AI369" s="93">
        <v>0</v>
      </c>
    </row>
    <row r="370" spans="1:35" ht="15.75" thickBot="1" x14ac:dyDescent="0.3">
      <c r="A370" s="90" t="s">
        <v>1046</v>
      </c>
      <c r="B370" s="90" t="s">
        <v>54</v>
      </c>
      <c r="C370" s="90" t="s">
        <v>55</v>
      </c>
      <c r="D370" s="90" t="s">
        <v>663</v>
      </c>
      <c r="E370" s="90" t="s">
        <v>527</v>
      </c>
      <c r="F370" s="90" t="s">
        <v>1015</v>
      </c>
      <c r="G370" s="305">
        <v>3</v>
      </c>
      <c r="H370" s="94"/>
      <c r="I370" s="94"/>
      <c r="J370" s="464">
        <f t="shared" si="7"/>
        <v>0</v>
      </c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5">
        <v>5232.91</v>
      </c>
      <c r="AC370" s="94"/>
      <c r="AD370" s="94"/>
      <c r="AE370" s="94"/>
      <c r="AF370" s="95">
        <v>0</v>
      </c>
      <c r="AG370" s="94"/>
      <c r="AH370" s="95">
        <v>5232.91</v>
      </c>
      <c r="AI370" s="95">
        <v>0</v>
      </c>
    </row>
    <row r="371" spans="1:35" ht="15.75" thickBot="1" x14ac:dyDescent="0.3">
      <c r="A371" s="90" t="s">
        <v>1046</v>
      </c>
      <c r="B371" s="90" t="s">
        <v>54</v>
      </c>
      <c r="C371" s="90" t="s">
        <v>55</v>
      </c>
      <c r="D371" s="90" t="s">
        <v>663</v>
      </c>
      <c r="E371" s="90" t="s">
        <v>527</v>
      </c>
      <c r="F371" s="90" t="s">
        <v>1016</v>
      </c>
      <c r="G371" s="304">
        <v>2</v>
      </c>
      <c r="H371" s="92"/>
      <c r="I371" s="92"/>
      <c r="J371" s="464">
        <f t="shared" si="7"/>
        <v>0</v>
      </c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3">
        <v>78.75</v>
      </c>
      <c r="AG371" s="92"/>
      <c r="AH371" s="93">
        <v>1583.28</v>
      </c>
      <c r="AI371" s="306">
        <v>1504.53</v>
      </c>
    </row>
    <row r="372" spans="1:35" ht="15.75" thickBot="1" x14ac:dyDescent="0.3">
      <c r="A372" s="90" t="s">
        <v>1046</v>
      </c>
      <c r="B372" s="90" t="s">
        <v>54</v>
      </c>
      <c r="C372" s="90" t="s">
        <v>55</v>
      </c>
      <c r="D372" s="90" t="s">
        <v>663</v>
      </c>
      <c r="E372" s="90" t="s">
        <v>524</v>
      </c>
      <c r="F372" s="90" t="s">
        <v>746</v>
      </c>
      <c r="G372" s="305">
        <v>5</v>
      </c>
      <c r="H372" s="94"/>
      <c r="I372" s="94"/>
      <c r="J372" s="464">
        <f t="shared" si="7"/>
        <v>0</v>
      </c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4"/>
      <c r="AD372" s="95">
        <v>5250</v>
      </c>
      <c r="AE372" s="94"/>
      <c r="AF372" s="95">
        <v>9</v>
      </c>
      <c r="AG372" s="94"/>
      <c r="AH372" s="95">
        <v>5259</v>
      </c>
      <c r="AI372" s="95">
        <v>0</v>
      </c>
    </row>
    <row r="373" spans="1:35" ht="15.75" thickBot="1" x14ac:dyDescent="0.3">
      <c r="A373" s="90" t="s">
        <v>1046</v>
      </c>
      <c r="B373" s="90" t="s">
        <v>54</v>
      </c>
      <c r="C373" s="90" t="s">
        <v>55</v>
      </c>
      <c r="D373" s="90" t="s">
        <v>663</v>
      </c>
      <c r="E373" s="90" t="s">
        <v>676</v>
      </c>
      <c r="F373" s="90" t="s">
        <v>748</v>
      </c>
      <c r="G373" s="304">
        <v>5</v>
      </c>
      <c r="H373" s="92"/>
      <c r="I373" s="92"/>
      <c r="J373" s="464">
        <f t="shared" si="7"/>
        <v>0</v>
      </c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3">
        <v>10423.48</v>
      </c>
      <c r="AF373" s="93">
        <v>186.93</v>
      </c>
      <c r="AG373" s="92"/>
      <c r="AH373" s="93">
        <v>10610.41</v>
      </c>
      <c r="AI373" s="93">
        <v>0</v>
      </c>
    </row>
    <row r="374" spans="1:35" ht="15.75" thickBot="1" x14ac:dyDescent="0.3">
      <c r="A374" s="90" t="s">
        <v>1046</v>
      </c>
      <c r="B374" s="90" t="s">
        <v>54</v>
      </c>
      <c r="C374" s="90" t="s">
        <v>55</v>
      </c>
      <c r="D374" s="90" t="s">
        <v>663</v>
      </c>
      <c r="E374" s="90" t="s">
        <v>677</v>
      </c>
      <c r="F374" s="90" t="s">
        <v>749</v>
      </c>
      <c r="G374" s="305">
        <v>5</v>
      </c>
      <c r="H374" s="94"/>
      <c r="I374" s="94"/>
      <c r="J374" s="464">
        <f t="shared" si="7"/>
        <v>0</v>
      </c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4"/>
      <c r="AD374" s="94"/>
      <c r="AE374" s="94"/>
      <c r="AF374" s="95">
        <v>204.81</v>
      </c>
      <c r="AG374" s="94"/>
      <c r="AH374" s="95">
        <v>11625.14</v>
      </c>
      <c r="AI374" s="306">
        <v>11420.33</v>
      </c>
    </row>
    <row r="375" spans="1:35" ht="15.75" thickBot="1" x14ac:dyDescent="0.3">
      <c r="A375" s="90" t="s">
        <v>1046</v>
      </c>
      <c r="B375" s="90" t="s">
        <v>57</v>
      </c>
      <c r="C375" s="90" t="s">
        <v>58</v>
      </c>
      <c r="D375" s="90" t="s">
        <v>664</v>
      </c>
      <c r="E375" s="90" t="s">
        <v>525</v>
      </c>
      <c r="F375" s="90" t="s">
        <v>752</v>
      </c>
      <c r="G375" s="304">
        <v>1</v>
      </c>
      <c r="H375" s="92"/>
      <c r="I375" s="92"/>
      <c r="J375" s="464">
        <f t="shared" si="7"/>
        <v>0</v>
      </c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3">
        <v>0</v>
      </c>
      <c r="AG375" s="92"/>
      <c r="AH375" s="93">
        <v>-12078.28</v>
      </c>
      <c r="AI375" s="306">
        <v>-12078.28</v>
      </c>
    </row>
    <row r="376" spans="1:35" ht="15.75" thickBot="1" x14ac:dyDescent="0.3">
      <c r="A376" s="90" t="s">
        <v>1046</v>
      </c>
      <c r="B376" s="90" t="s">
        <v>57</v>
      </c>
      <c r="C376" s="90" t="s">
        <v>58</v>
      </c>
      <c r="D376" s="90" t="s">
        <v>664</v>
      </c>
      <c r="E376" s="90" t="s">
        <v>528</v>
      </c>
      <c r="F376" s="90" t="s">
        <v>751</v>
      </c>
      <c r="G376" s="305">
        <v>1</v>
      </c>
      <c r="H376" s="94"/>
      <c r="I376" s="94"/>
      <c r="J376" s="464">
        <f t="shared" si="7"/>
        <v>0</v>
      </c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4"/>
      <c r="AD376" s="94"/>
      <c r="AE376" s="94"/>
      <c r="AF376" s="95">
        <v>0</v>
      </c>
      <c r="AG376" s="94"/>
      <c r="AH376" s="95">
        <v>800</v>
      </c>
      <c r="AI376" s="306">
        <v>800</v>
      </c>
    </row>
    <row r="377" spans="1:35" ht="15.75" thickBot="1" x14ac:dyDescent="0.3">
      <c r="A377" s="90" t="s">
        <v>1046</v>
      </c>
      <c r="B377" s="90" t="s">
        <v>57</v>
      </c>
      <c r="C377" s="90" t="s">
        <v>58</v>
      </c>
      <c r="D377" s="90" t="s">
        <v>664</v>
      </c>
      <c r="E377" s="90" t="s">
        <v>518</v>
      </c>
      <c r="F377" s="90" t="s">
        <v>522</v>
      </c>
      <c r="G377" s="304">
        <v>1</v>
      </c>
      <c r="H377" s="93">
        <v>2705296</v>
      </c>
      <c r="I377" s="92"/>
      <c r="J377" s="464">
        <f t="shared" si="7"/>
        <v>2705296</v>
      </c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3">
        <v>0</v>
      </c>
      <c r="AG377" s="92"/>
      <c r="AH377" s="93">
        <v>13445.32</v>
      </c>
      <c r="AI377" s="306">
        <v>13445.32</v>
      </c>
    </row>
    <row r="378" spans="1:35" ht="15.75" thickBot="1" x14ac:dyDescent="0.3">
      <c r="A378" s="90" t="s">
        <v>1046</v>
      </c>
      <c r="B378" s="90" t="s">
        <v>57</v>
      </c>
      <c r="C378" s="90" t="s">
        <v>58</v>
      </c>
      <c r="D378" s="90" t="s">
        <v>664</v>
      </c>
      <c r="E378" s="90" t="s">
        <v>527</v>
      </c>
      <c r="F378" s="90" t="s">
        <v>1015</v>
      </c>
      <c r="G378" s="305">
        <v>1</v>
      </c>
      <c r="H378" s="94"/>
      <c r="I378" s="94"/>
      <c r="J378" s="464">
        <f t="shared" si="7"/>
        <v>0</v>
      </c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5">
        <v>2581.4299999999998</v>
      </c>
      <c r="AC378" s="94"/>
      <c r="AD378" s="94"/>
      <c r="AE378" s="94"/>
      <c r="AF378" s="95">
        <v>0</v>
      </c>
      <c r="AG378" s="94"/>
      <c r="AH378" s="95">
        <v>2581.4299999999998</v>
      </c>
      <c r="AI378" s="95">
        <v>0</v>
      </c>
    </row>
    <row r="379" spans="1:35" ht="15.75" thickBot="1" x14ac:dyDescent="0.3">
      <c r="A379" s="90" t="s">
        <v>1046</v>
      </c>
      <c r="B379" s="90" t="s">
        <v>57</v>
      </c>
      <c r="C379" s="90" t="s">
        <v>58</v>
      </c>
      <c r="D379" s="90" t="s">
        <v>664</v>
      </c>
      <c r="E379" s="90" t="s">
        <v>529</v>
      </c>
      <c r="F379" s="90" t="s">
        <v>522</v>
      </c>
      <c r="G379" s="304">
        <v>1</v>
      </c>
      <c r="H379" s="92"/>
      <c r="I379" s="92"/>
      <c r="J379" s="464">
        <f t="shared" si="7"/>
        <v>0</v>
      </c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3">
        <v>0</v>
      </c>
      <c r="AG379" s="92"/>
      <c r="AH379" s="93">
        <v>107140.32</v>
      </c>
      <c r="AI379" s="306">
        <v>107140.32</v>
      </c>
    </row>
    <row r="380" spans="1:35" ht="15.75" thickBot="1" x14ac:dyDescent="0.3">
      <c r="A380" s="90" t="s">
        <v>1046</v>
      </c>
      <c r="B380" s="90" t="s">
        <v>57</v>
      </c>
      <c r="C380" s="90" t="s">
        <v>58</v>
      </c>
      <c r="D380" s="90" t="s">
        <v>664</v>
      </c>
      <c r="E380" s="90" t="s">
        <v>676</v>
      </c>
      <c r="F380" s="90" t="s">
        <v>748</v>
      </c>
      <c r="G380" s="305">
        <v>1</v>
      </c>
      <c r="H380" s="94"/>
      <c r="I380" s="94"/>
      <c r="J380" s="464">
        <f t="shared" si="7"/>
        <v>0</v>
      </c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4"/>
      <c r="AD380" s="94"/>
      <c r="AE380" s="95">
        <v>80.760000000000005</v>
      </c>
      <c r="AF380" s="95">
        <v>0</v>
      </c>
      <c r="AG380" s="94"/>
      <c r="AH380" s="95">
        <v>80.760000000000005</v>
      </c>
      <c r="AI380" s="95">
        <v>0</v>
      </c>
    </row>
    <row r="381" spans="1:35" ht="15.75" thickBot="1" x14ac:dyDescent="0.3">
      <c r="A381" s="90" t="s">
        <v>1046</v>
      </c>
      <c r="B381" s="90" t="s">
        <v>57</v>
      </c>
      <c r="C381" s="90" t="s">
        <v>58</v>
      </c>
      <c r="D381" s="90" t="s">
        <v>664</v>
      </c>
      <c r="E381" s="90" t="s">
        <v>677</v>
      </c>
      <c r="F381" s="90" t="s">
        <v>749</v>
      </c>
      <c r="G381" s="304">
        <v>1</v>
      </c>
      <c r="H381" s="92"/>
      <c r="I381" s="92"/>
      <c r="J381" s="464">
        <f t="shared" si="7"/>
        <v>0</v>
      </c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3">
        <v>0</v>
      </c>
      <c r="AG381" s="92"/>
      <c r="AH381" s="93">
        <v>88.47</v>
      </c>
      <c r="AI381" s="306">
        <v>88.47</v>
      </c>
    </row>
    <row r="382" spans="1:35" ht="15.75" thickBot="1" x14ac:dyDescent="0.3">
      <c r="A382" s="90" t="s">
        <v>1046</v>
      </c>
      <c r="B382" s="90" t="s">
        <v>93</v>
      </c>
      <c r="C382" s="90" t="s">
        <v>719</v>
      </c>
      <c r="D382" s="90" t="s">
        <v>663</v>
      </c>
      <c r="E382" s="90" t="s">
        <v>525</v>
      </c>
      <c r="F382" s="90" t="s">
        <v>752</v>
      </c>
      <c r="G382" s="305">
        <v>1</v>
      </c>
      <c r="H382" s="94"/>
      <c r="I382" s="94"/>
      <c r="J382" s="464">
        <f t="shared" si="7"/>
        <v>0</v>
      </c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  <c r="AF382" s="95">
        <v>0</v>
      </c>
      <c r="AG382" s="94"/>
      <c r="AH382" s="95">
        <v>-289.94</v>
      </c>
      <c r="AI382" s="306">
        <v>-289.94</v>
      </c>
    </row>
    <row r="383" spans="1:35" ht="15.75" thickBot="1" x14ac:dyDescent="0.3">
      <c r="A383" s="90" t="s">
        <v>1046</v>
      </c>
      <c r="B383" s="90" t="s">
        <v>93</v>
      </c>
      <c r="C383" s="90" t="s">
        <v>719</v>
      </c>
      <c r="D383" s="90" t="s">
        <v>663</v>
      </c>
      <c r="E383" s="90" t="s">
        <v>525</v>
      </c>
      <c r="F383" s="90" t="s">
        <v>750</v>
      </c>
      <c r="G383" s="304">
        <v>1</v>
      </c>
      <c r="H383" s="92"/>
      <c r="I383" s="92"/>
      <c r="J383" s="464">
        <f t="shared" si="7"/>
        <v>0</v>
      </c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3">
        <v>2457.58</v>
      </c>
      <c r="AC383" s="92"/>
      <c r="AD383" s="92"/>
      <c r="AE383" s="92"/>
      <c r="AF383" s="93">
        <v>0</v>
      </c>
      <c r="AG383" s="92"/>
      <c r="AH383" s="93">
        <v>2457.58</v>
      </c>
      <c r="AI383" s="93">
        <v>0</v>
      </c>
    </row>
    <row r="384" spans="1:35" ht="15.75" thickBot="1" x14ac:dyDescent="0.3">
      <c r="A384" s="90" t="s">
        <v>1046</v>
      </c>
      <c r="B384" s="90" t="s">
        <v>93</v>
      </c>
      <c r="C384" s="90" t="s">
        <v>719</v>
      </c>
      <c r="D384" s="90" t="s">
        <v>663</v>
      </c>
      <c r="E384" s="90" t="s">
        <v>527</v>
      </c>
      <c r="F384" s="90" t="s">
        <v>1015</v>
      </c>
      <c r="G384" s="305">
        <v>1</v>
      </c>
      <c r="H384" s="94"/>
      <c r="I384" s="94"/>
      <c r="J384" s="464">
        <f t="shared" si="7"/>
        <v>0</v>
      </c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5">
        <v>83.53</v>
      </c>
      <c r="AC384" s="94"/>
      <c r="AD384" s="94"/>
      <c r="AE384" s="94"/>
      <c r="AF384" s="95">
        <v>0</v>
      </c>
      <c r="AG384" s="94"/>
      <c r="AH384" s="95">
        <v>83.53</v>
      </c>
      <c r="AI384" s="95">
        <v>0</v>
      </c>
    </row>
    <row r="385" spans="1:35" ht="15.75" thickBot="1" x14ac:dyDescent="0.3">
      <c r="A385" s="90" t="s">
        <v>1046</v>
      </c>
      <c r="B385" s="90" t="s">
        <v>93</v>
      </c>
      <c r="C385" s="90" t="s">
        <v>719</v>
      </c>
      <c r="D385" s="90" t="s">
        <v>663</v>
      </c>
      <c r="E385" s="90" t="s">
        <v>527</v>
      </c>
      <c r="F385" s="90" t="s">
        <v>1016</v>
      </c>
      <c r="G385" s="304">
        <v>1</v>
      </c>
      <c r="H385" s="92"/>
      <c r="I385" s="92"/>
      <c r="J385" s="464">
        <f t="shared" ref="J385:J448" si="8">H385+I385</f>
        <v>0</v>
      </c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3">
        <v>0</v>
      </c>
      <c r="AG385" s="92"/>
      <c r="AH385" s="93">
        <v>526.73</v>
      </c>
      <c r="AI385" s="306">
        <v>526.73</v>
      </c>
    </row>
    <row r="386" spans="1:35" ht="15.75" thickBot="1" x14ac:dyDescent="0.3">
      <c r="A386" s="90" t="s">
        <v>1046</v>
      </c>
      <c r="B386" s="90" t="s">
        <v>93</v>
      </c>
      <c r="C386" s="90" t="s">
        <v>719</v>
      </c>
      <c r="D386" s="90" t="s">
        <v>663</v>
      </c>
      <c r="E386" s="90" t="s">
        <v>524</v>
      </c>
      <c r="F386" s="90" t="s">
        <v>746</v>
      </c>
      <c r="G386" s="305">
        <v>2</v>
      </c>
      <c r="H386" s="94"/>
      <c r="I386" s="94"/>
      <c r="J386" s="464">
        <f t="shared" si="8"/>
        <v>0</v>
      </c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  <c r="AC386" s="94"/>
      <c r="AD386" s="95">
        <v>525</v>
      </c>
      <c r="AE386" s="94"/>
      <c r="AF386" s="95">
        <v>0</v>
      </c>
      <c r="AG386" s="94"/>
      <c r="AH386" s="95">
        <v>525</v>
      </c>
      <c r="AI386" s="95">
        <v>0</v>
      </c>
    </row>
    <row r="387" spans="1:35" ht="15.75" thickBot="1" x14ac:dyDescent="0.3">
      <c r="A387" s="90" t="s">
        <v>1046</v>
      </c>
      <c r="B387" s="90" t="s">
        <v>1001</v>
      </c>
      <c r="C387" s="90" t="s">
        <v>1002</v>
      </c>
      <c r="D387" s="90" t="s">
        <v>663</v>
      </c>
      <c r="E387" s="90" t="s">
        <v>729</v>
      </c>
      <c r="F387" s="90" t="s">
        <v>1017</v>
      </c>
      <c r="G387" s="304">
        <v>2</v>
      </c>
      <c r="H387" s="92"/>
      <c r="I387" s="92"/>
      <c r="J387" s="464">
        <f t="shared" si="8"/>
        <v>0</v>
      </c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3">
        <v>5454.62</v>
      </c>
      <c r="Z387" s="92"/>
      <c r="AA387" s="92"/>
      <c r="AB387" s="92"/>
      <c r="AC387" s="92"/>
      <c r="AD387" s="92"/>
      <c r="AE387" s="92"/>
      <c r="AF387" s="93">
        <v>34.909999999999997</v>
      </c>
      <c r="AG387" s="92"/>
      <c r="AH387" s="93">
        <v>5489.53</v>
      </c>
      <c r="AI387" s="93">
        <v>0</v>
      </c>
    </row>
    <row r="388" spans="1:35" ht="15.75" thickBot="1" x14ac:dyDescent="0.3">
      <c r="A388" s="90" t="s">
        <v>1046</v>
      </c>
      <c r="B388" s="90" t="s">
        <v>1001</v>
      </c>
      <c r="C388" s="90" t="s">
        <v>1002</v>
      </c>
      <c r="D388" s="90" t="s">
        <v>663</v>
      </c>
      <c r="E388" s="90" t="s">
        <v>528</v>
      </c>
      <c r="F388" s="90" t="s">
        <v>751</v>
      </c>
      <c r="G388" s="305">
        <v>4</v>
      </c>
      <c r="H388" s="94"/>
      <c r="I388" s="94"/>
      <c r="J388" s="464">
        <f t="shared" si="8"/>
        <v>0</v>
      </c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4"/>
      <c r="AD388" s="94"/>
      <c r="AE388" s="94"/>
      <c r="AF388" s="95">
        <v>16.190000000000001</v>
      </c>
      <c r="AG388" s="94"/>
      <c r="AH388" s="95">
        <v>736.19</v>
      </c>
      <c r="AI388" s="306">
        <v>720</v>
      </c>
    </row>
    <row r="389" spans="1:35" ht="15.75" thickBot="1" x14ac:dyDescent="0.3">
      <c r="A389" s="90" t="s">
        <v>1046</v>
      </c>
      <c r="B389" s="90" t="s">
        <v>1001</v>
      </c>
      <c r="C389" s="90" t="s">
        <v>1002</v>
      </c>
      <c r="D389" s="90" t="s">
        <v>663</v>
      </c>
      <c r="E389" s="90" t="s">
        <v>518</v>
      </c>
      <c r="F389" s="90" t="s">
        <v>522</v>
      </c>
      <c r="G389" s="304">
        <v>4</v>
      </c>
      <c r="H389" s="93">
        <v>4000</v>
      </c>
      <c r="I389" s="93">
        <v>338815</v>
      </c>
      <c r="J389" s="464">
        <f t="shared" si="8"/>
        <v>342815</v>
      </c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3">
        <v>927.76</v>
      </c>
      <c r="AG389" s="92"/>
      <c r="AH389" s="93">
        <v>62076.84</v>
      </c>
      <c r="AI389" s="306">
        <v>61149.08</v>
      </c>
    </row>
    <row r="390" spans="1:35" ht="15.75" thickBot="1" x14ac:dyDescent="0.3">
      <c r="A390" s="90" t="s">
        <v>1046</v>
      </c>
      <c r="B390" s="90" t="s">
        <v>1001</v>
      </c>
      <c r="C390" s="90" t="s">
        <v>1002</v>
      </c>
      <c r="D390" s="90" t="s">
        <v>663</v>
      </c>
      <c r="E390" s="90" t="s">
        <v>673</v>
      </c>
      <c r="F390" s="90" t="s">
        <v>643</v>
      </c>
      <c r="G390" s="305">
        <v>4</v>
      </c>
      <c r="H390" s="94"/>
      <c r="I390" s="94"/>
      <c r="J390" s="464">
        <f t="shared" si="8"/>
        <v>0</v>
      </c>
      <c r="K390" s="94"/>
      <c r="L390" s="94"/>
      <c r="M390" s="94"/>
      <c r="N390" s="94"/>
      <c r="O390" s="94"/>
      <c r="P390" s="94"/>
      <c r="Q390" s="94"/>
      <c r="R390" s="94"/>
      <c r="S390" s="95">
        <v>1038.1600000000001</v>
      </c>
      <c r="T390" s="94"/>
      <c r="U390" s="94"/>
      <c r="V390" s="94"/>
      <c r="W390" s="95">
        <v>1038.1600000000001</v>
      </c>
      <c r="X390" s="94"/>
      <c r="Y390" s="94"/>
      <c r="Z390" s="94"/>
      <c r="AA390" s="94"/>
      <c r="AB390" s="94"/>
      <c r="AC390" s="94"/>
      <c r="AD390" s="94"/>
      <c r="AE390" s="94"/>
      <c r="AF390" s="95">
        <v>23.36</v>
      </c>
      <c r="AG390" s="94"/>
      <c r="AH390" s="95">
        <v>1061.52</v>
      </c>
      <c r="AI390" s="95">
        <v>0</v>
      </c>
    </row>
    <row r="391" spans="1:35" ht="15.75" thickBot="1" x14ac:dyDescent="0.3">
      <c r="A391" s="90" t="s">
        <v>1046</v>
      </c>
      <c r="B391" s="90" t="s">
        <v>1001</v>
      </c>
      <c r="C391" s="90" t="s">
        <v>1002</v>
      </c>
      <c r="D391" s="90" t="s">
        <v>663</v>
      </c>
      <c r="E391" s="90" t="s">
        <v>530</v>
      </c>
      <c r="F391" s="90" t="s">
        <v>745</v>
      </c>
      <c r="G391" s="304">
        <v>4</v>
      </c>
      <c r="H391" s="92"/>
      <c r="I391" s="92"/>
      <c r="J391" s="464">
        <f t="shared" si="8"/>
        <v>0</v>
      </c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3">
        <v>438.39</v>
      </c>
      <c r="AG391" s="92"/>
      <c r="AH391" s="93">
        <v>29378.84</v>
      </c>
      <c r="AI391" s="306">
        <v>28940.45</v>
      </c>
    </row>
    <row r="392" spans="1:35" ht="15.75" thickBot="1" x14ac:dyDescent="0.3">
      <c r="A392" s="90" t="s">
        <v>1046</v>
      </c>
      <c r="B392" s="90" t="s">
        <v>1001</v>
      </c>
      <c r="C392" s="90" t="s">
        <v>1002</v>
      </c>
      <c r="D392" s="90" t="s">
        <v>663</v>
      </c>
      <c r="E392" s="90" t="s">
        <v>524</v>
      </c>
      <c r="F392" s="90" t="s">
        <v>746</v>
      </c>
      <c r="G392" s="305">
        <v>4</v>
      </c>
      <c r="H392" s="94"/>
      <c r="I392" s="94"/>
      <c r="J392" s="464">
        <f t="shared" si="8"/>
        <v>0</v>
      </c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4"/>
      <c r="AD392" s="95">
        <v>2200</v>
      </c>
      <c r="AE392" s="94"/>
      <c r="AF392" s="95">
        <v>49.5</v>
      </c>
      <c r="AG392" s="94"/>
      <c r="AH392" s="95">
        <v>2249.5</v>
      </c>
      <c r="AI392" s="95">
        <v>0</v>
      </c>
    </row>
    <row r="393" spans="1:35" ht="15.75" thickBot="1" x14ac:dyDescent="0.3">
      <c r="A393" s="90" t="s">
        <v>1046</v>
      </c>
      <c r="B393" s="90" t="s">
        <v>1001</v>
      </c>
      <c r="C393" s="90" t="s">
        <v>1002</v>
      </c>
      <c r="D393" s="90" t="s">
        <v>662</v>
      </c>
      <c r="E393" s="90" t="s">
        <v>729</v>
      </c>
      <c r="F393" s="90" t="s">
        <v>1017</v>
      </c>
      <c r="G393" s="304">
        <v>1</v>
      </c>
      <c r="H393" s="92"/>
      <c r="I393" s="92"/>
      <c r="J393" s="464">
        <f t="shared" si="8"/>
        <v>0</v>
      </c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3">
        <v>5932.9</v>
      </c>
      <c r="Z393" s="92"/>
      <c r="AA393" s="92"/>
      <c r="AB393" s="92"/>
      <c r="AC393" s="92"/>
      <c r="AD393" s="92"/>
      <c r="AE393" s="92"/>
      <c r="AF393" s="93">
        <v>0</v>
      </c>
      <c r="AG393" s="92"/>
      <c r="AH393" s="93">
        <v>5932.9</v>
      </c>
      <c r="AI393" s="93">
        <v>0</v>
      </c>
    </row>
    <row r="394" spans="1:35" ht="15.75" thickBot="1" x14ac:dyDescent="0.3">
      <c r="A394" s="90" t="s">
        <v>1046</v>
      </c>
      <c r="B394" s="90" t="s">
        <v>1001</v>
      </c>
      <c r="C394" s="90" t="s">
        <v>1002</v>
      </c>
      <c r="D394" s="90" t="s">
        <v>662</v>
      </c>
      <c r="E394" s="90" t="s">
        <v>528</v>
      </c>
      <c r="F394" s="90" t="s">
        <v>751</v>
      </c>
      <c r="G394" s="305">
        <v>1</v>
      </c>
      <c r="H394" s="94"/>
      <c r="I394" s="94"/>
      <c r="J394" s="464">
        <f t="shared" si="8"/>
        <v>0</v>
      </c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  <c r="AC394" s="94"/>
      <c r="AD394" s="94"/>
      <c r="AE394" s="94"/>
      <c r="AF394" s="95">
        <v>0</v>
      </c>
      <c r="AG394" s="94"/>
      <c r="AH394" s="95">
        <v>180</v>
      </c>
      <c r="AI394" s="306">
        <v>180</v>
      </c>
    </row>
    <row r="395" spans="1:35" ht="15.75" thickBot="1" x14ac:dyDescent="0.3">
      <c r="A395" s="90" t="s">
        <v>1046</v>
      </c>
      <c r="B395" s="90" t="s">
        <v>1001</v>
      </c>
      <c r="C395" s="90" t="s">
        <v>1002</v>
      </c>
      <c r="D395" s="90" t="s">
        <v>662</v>
      </c>
      <c r="E395" s="90" t="s">
        <v>518</v>
      </c>
      <c r="F395" s="90" t="s">
        <v>522</v>
      </c>
      <c r="G395" s="304">
        <v>1</v>
      </c>
      <c r="H395" s="93">
        <v>1000</v>
      </c>
      <c r="I395" s="93">
        <v>126507</v>
      </c>
      <c r="J395" s="464">
        <f t="shared" si="8"/>
        <v>127507</v>
      </c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3">
        <v>0</v>
      </c>
      <c r="AG395" s="92"/>
      <c r="AH395" s="93">
        <v>22719.47</v>
      </c>
      <c r="AI395" s="306">
        <v>22719.47</v>
      </c>
    </row>
    <row r="396" spans="1:35" ht="15.75" thickBot="1" x14ac:dyDescent="0.3">
      <c r="A396" s="90" t="s">
        <v>1046</v>
      </c>
      <c r="B396" s="90" t="s">
        <v>1001</v>
      </c>
      <c r="C396" s="90" t="s">
        <v>1002</v>
      </c>
      <c r="D396" s="90" t="s">
        <v>662</v>
      </c>
      <c r="E396" s="90" t="s">
        <v>673</v>
      </c>
      <c r="F396" s="90" t="s">
        <v>643</v>
      </c>
      <c r="G396" s="305">
        <v>1</v>
      </c>
      <c r="H396" s="94"/>
      <c r="I396" s="94"/>
      <c r="J396" s="464">
        <f t="shared" si="8"/>
        <v>0</v>
      </c>
      <c r="K396" s="94"/>
      <c r="L396" s="94"/>
      <c r="M396" s="94"/>
      <c r="N396" s="94"/>
      <c r="O396" s="94"/>
      <c r="P396" s="94"/>
      <c r="Q396" s="94"/>
      <c r="R396" s="94"/>
      <c r="S396" s="95">
        <v>259.54000000000002</v>
      </c>
      <c r="T396" s="94"/>
      <c r="U396" s="94"/>
      <c r="V396" s="94"/>
      <c r="W396" s="95">
        <v>259.54000000000002</v>
      </c>
      <c r="X396" s="94"/>
      <c r="Y396" s="94"/>
      <c r="Z396" s="94"/>
      <c r="AA396" s="94"/>
      <c r="AB396" s="94"/>
      <c r="AC396" s="94"/>
      <c r="AD396" s="94"/>
      <c r="AE396" s="94"/>
      <c r="AF396" s="95">
        <v>0</v>
      </c>
      <c r="AG396" s="94"/>
      <c r="AH396" s="95">
        <v>259.54000000000002</v>
      </c>
      <c r="AI396" s="95">
        <v>0</v>
      </c>
    </row>
    <row r="397" spans="1:35" ht="15.75" thickBot="1" x14ac:dyDescent="0.3">
      <c r="A397" s="90" t="s">
        <v>1046</v>
      </c>
      <c r="B397" s="90" t="s">
        <v>1001</v>
      </c>
      <c r="C397" s="90" t="s">
        <v>1002</v>
      </c>
      <c r="D397" s="90" t="s">
        <v>662</v>
      </c>
      <c r="E397" s="90" t="s">
        <v>530</v>
      </c>
      <c r="F397" s="90" t="s">
        <v>745</v>
      </c>
      <c r="G397" s="304">
        <v>1</v>
      </c>
      <c r="H397" s="92"/>
      <c r="I397" s="92"/>
      <c r="J397" s="464">
        <f t="shared" si="8"/>
        <v>0</v>
      </c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3">
        <v>0</v>
      </c>
      <c r="AG397" s="92"/>
      <c r="AH397" s="93">
        <v>10764.14</v>
      </c>
      <c r="AI397" s="306">
        <v>10764.14</v>
      </c>
    </row>
    <row r="398" spans="1:35" ht="15.75" thickBot="1" x14ac:dyDescent="0.3">
      <c r="A398" s="90" t="s">
        <v>1046</v>
      </c>
      <c r="B398" s="90" t="s">
        <v>1001</v>
      </c>
      <c r="C398" s="90" t="s">
        <v>1002</v>
      </c>
      <c r="D398" s="90" t="s">
        <v>662</v>
      </c>
      <c r="E398" s="90" t="s">
        <v>524</v>
      </c>
      <c r="F398" s="90" t="s">
        <v>746</v>
      </c>
      <c r="G398" s="305">
        <v>1</v>
      </c>
      <c r="H398" s="94"/>
      <c r="I398" s="94"/>
      <c r="J398" s="464">
        <f t="shared" si="8"/>
        <v>0</v>
      </c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4"/>
      <c r="AD398" s="95">
        <v>550</v>
      </c>
      <c r="AE398" s="94"/>
      <c r="AF398" s="95">
        <v>0</v>
      </c>
      <c r="AG398" s="94"/>
      <c r="AH398" s="95">
        <v>550</v>
      </c>
      <c r="AI398" s="95">
        <v>0</v>
      </c>
    </row>
    <row r="399" spans="1:35" ht="15.75" thickBot="1" x14ac:dyDescent="0.3">
      <c r="A399" s="90" t="s">
        <v>1046</v>
      </c>
      <c r="B399" s="90" t="s">
        <v>1003</v>
      </c>
      <c r="C399" s="90" t="s">
        <v>1004</v>
      </c>
      <c r="D399" s="90" t="s">
        <v>663</v>
      </c>
      <c r="E399" s="90" t="s">
        <v>528</v>
      </c>
      <c r="F399" s="90" t="s">
        <v>751</v>
      </c>
      <c r="G399" s="304">
        <v>1</v>
      </c>
      <c r="H399" s="92"/>
      <c r="I399" s="92"/>
      <c r="J399" s="464">
        <f t="shared" si="8"/>
        <v>0</v>
      </c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3">
        <v>0</v>
      </c>
      <c r="AG399" s="92"/>
      <c r="AH399" s="93">
        <v>400</v>
      </c>
      <c r="AI399" s="306">
        <v>400</v>
      </c>
    </row>
    <row r="400" spans="1:35" ht="15.75" thickBot="1" x14ac:dyDescent="0.3">
      <c r="A400" s="90" t="s">
        <v>1046</v>
      </c>
      <c r="B400" s="90" t="s">
        <v>1003</v>
      </c>
      <c r="C400" s="90" t="s">
        <v>1004</v>
      </c>
      <c r="D400" s="90" t="s">
        <v>663</v>
      </c>
      <c r="E400" s="90" t="s">
        <v>518</v>
      </c>
      <c r="F400" s="90" t="s">
        <v>522</v>
      </c>
      <c r="G400" s="305">
        <v>1</v>
      </c>
      <c r="H400" s="95">
        <v>59261</v>
      </c>
      <c r="I400" s="94"/>
      <c r="J400" s="464">
        <f t="shared" si="8"/>
        <v>59261</v>
      </c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  <c r="AC400" s="94"/>
      <c r="AD400" s="94"/>
      <c r="AE400" s="94"/>
      <c r="AF400" s="95">
        <v>0</v>
      </c>
      <c r="AG400" s="94"/>
      <c r="AH400" s="95">
        <v>4153.6000000000004</v>
      </c>
      <c r="AI400" s="306">
        <v>4153.6000000000004</v>
      </c>
    </row>
    <row r="401" spans="1:35" ht="15.75" thickBot="1" x14ac:dyDescent="0.3">
      <c r="A401" s="90" t="s">
        <v>1046</v>
      </c>
      <c r="B401" s="90" t="s">
        <v>1003</v>
      </c>
      <c r="C401" s="90" t="s">
        <v>1004</v>
      </c>
      <c r="D401" s="90" t="s">
        <v>663</v>
      </c>
      <c r="E401" s="90" t="s">
        <v>673</v>
      </c>
      <c r="F401" s="90" t="s">
        <v>643</v>
      </c>
      <c r="G401" s="304">
        <v>1</v>
      </c>
      <c r="H401" s="92"/>
      <c r="I401" s="92"/>
      <c r="J401" s="464">
        <f t="shared" si="8"/>
        <v>0</v>
      </c>
      <c r="K401" s="92"/>
      <c r="L401" s="92"/>
      <c r="M401" s="92"/>
      <c r="N401" s="92"/>
      <c r="O401" s="92"/>
      <c r="P401" s="92"/>
      <c r="Q401" s="92"/>
      <c r="R401" s="92"/>
      <c r="S401" s="93">
        <v>2838.87</v>
      </c>
      <c r="T401" s="92"/>
      <c r="U401" s="92"/>
      <c r="V401" s="92"/>
      <c r="W401" s="93">
        <v>2838.87</v>
      </c>
      <c r="X401" s="92"/>
      <c r="Y401" s="92"/>
      <c r="Z401" s="92"/>
      <c r="AA401" s="92"/>
      <c r="AB401" s="92"/>
      <c r="AC401" s="92"/>
      <c r="AD401" s="92"/>
      <c r="AE401" s="92"/>
      <c r="AF401" s="93">
        <v>0</v>
      </c>
      <c r="AG401" s="92"/>
      <c r="AH401" s="93">
        <v>2838.87</v>
      </c>
      <c r="AI401" s="93">
        <v>0</v>
      </c>
    </row>
    <row r="402" spans="1:35" ht="15.75" thickBot="1" x14ac:dyDescent="0.3">
      <c r="A402" s="90" t="s">
        <v>1046</v>
      </c>
      <c r="B402" s="90" t="s">
        <v>1003</v>
      </c>
      <c r="C402" s="90" t="s">
        <v>1004</v>
      </c>
      <c r="D402" s="90" t="s">
        <v>663</v>
      </c>
      <c r="E402" s="90" t="s">
        <v>530</v>
      </c>
      <c r="F402" s="90" t="s">
        <v>745</v>
      </c>
      <c r="G402" s="305">
        <v>1</v>
      </c>
      <c r="H402" s="94"/>
      <c r="I402" s="94"/>
      <c r="J402" s="464">
        <f t="shared" si="8"/>
        <v>0</v>
      </c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  <c r="AC402" s="94"/>
      <c r="AD402" s="94"/>
      <c r="AE402" s="94"/>
      <c r="AF402" s="95">
        <v>0</v>
      </c>
      <c r="AG402" s="94"/>
      <c r="AH402" s="95">
        <v>5002.8100000000004</v>
      </c>
      <c r="AI402" s="306">
        <v>5002.8100000000004</v>
      </c>
    </row>
    <row r="403" spans="1:35" ht="15.75" thickBot="1" x14ac:dyDescent="0.3">
      <c r="A403" s="90" t="s">
        <v>1046</v>
      </c>
      <c r="B403" s="90" t="s">
        <v>1003</v>
      </c>
      <c r="C403" s="90" t="s">
        <v>1004</v>
      </c>
      <c r="D403" s="90" t="s">
        <v>663</v>
      </c>
      <c r="E403" s="90" t="s">
        <v>524</v>
      </c>
      <c r="F403" s="90" t="s">
        <v>746</v>
      </c>
      <c r="G403" s="304">
        <v>1</v>
      </c>
      <c r="H403" s="92"/>
      <c r="I403" s="92"/>
      <c r="J403" s="464">
        <f t="shared" si="8"/>
        <v>0</v>
      </c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3">
        <v>550</v>
      </c>
      <c r="AE403" s="92"/>
      <c r="AF403" s="93">
        <v>0</v>
      </c>
      <c r="AG403" s="92"/>
      <c r="AH403" s="93">
        <v>550</v>
      </c>
      <c r="AI403" s="93">
        <v>0</v>
      </c>
    </row>
    <row r="404" spans="1:35" ht="15.75" thickBot="1" x14ac:dyDescent="0.3">
      <c r="A404" s="90" t="s">
        <v>1046</v>
      </c>
      <c r="B404" s="90" t="s">
        <v>1003</v>
      </c>
      <c r="C404" s="90" t="s">
        <v>1004</v>
      </c>
      <c r="D404" s="90" t="s">
        <v>662</v>
      </c>
      <c r="E404" s="90" t="s">
        <v>729</v>
      </c>
      <c r="F404" s="90" t="s">
        <v>1017</v>
      </c>
      <c r="G404" s="305">
        <v>1</v>
      </c>
      <c r="H404" s="94"/>
      <c r="I404" s="94"/>
      <c r="J404" s="464">
        <f t="shared" si="8"/>
        <v>0</v>
      </c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5">
        <v>6248.33</v>
      </c>
      <c r="Z404" s="94"/>
      <c r="AA404" s="94"/>
      <c r="AB404" s="94"/>
      <c r="AC404" s="94"/>
      <c r="AD404" s="94"/>
      <c r="AE404" s="94"/>
      <c r="AF404" s="95">
        <v>0</v>
      </c>
      <c r="AG404" s="94"/>
      <c r="AH404" s="95">
        <v>6248.33</v>
      </c>
      <c r="AI404" s="95">
        <v>0</v>
      </c>
    </row>
    <row r="405" spans="1:35" ht="15.75" thickBot="1" x14ac:dyDescent="0.3">
      <c r="A405" s="90" t="s">
        <v>1046</v>
      </c>
      <c r="B405" s="90" t="s">
        <v>1003</v>
      </c>
      <c r="C405" s="90" t="s">
        <v>1004</v>
      </c>
      <c r="D405" s="90" t="s">
        <v>662</v>
      </c>
      <c r="E405" s="90" t="s">
        <v>528</v>
      </c>
      <c r="F405" s="90" t="s">
        <v>751</v>
      </c>
      <c r="G405" s="304">
        <v>1</v>
      </c>
      <c r="H405" s="92"/>
      <c r="I405" s="92"/>
      <c r="J405" s="464">
        <f t="shared" si="8"/>
        <v>0</v>
      </c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3">
        <v>0</v>
      </c>
      <c r="AG405" s="92"/>
      <c r="AH405" s="93">
        <v>400</v>
      </c>
      <c r="AI405" s="306">
        <v>400</v>
      </c>
    </row>
    <row r="406" spans="1:35" ht="15.75" thickBot="1" x14ac:dyDescent="0.3">
      <c r="A406" s="90" t="s">
        <v>1046</v>
      </c>
      <c r="B406" s="90" t="s">
        <v>1003</v>
      </c>
      <c r="C406" s="90" t="s">
        <v>1004</v>
      </c>
      <c r="D406" s="90" t="s">
        <v>662</v>
      </c>
      <c r="E406" s="90" t="s">
        <v>518</v>
      </c>
      <c r="F406" s="90" t="s">
        <v>522</v>
      </c>
      <c r="G406" s="305">
        <v>1</v>
      </c>
      <c r="H406" s="95">
        <v>134286</v>
      </c>
      <c r="I406" s="94"/>
      <c r="J406" s="464">
        <f t="shared" si="8"/>
        <v>134286</v>
      </c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  <c r="AC406" s="94"/>
      <c r="AD406" s="94"/>
      <c r="AE406" s="94"/>
      <c r="AF406" s="95">
        <v>0</v>
      </c>
      <c r="AG406" s="94"/>
      <c r="AH406" s="95">
        <v>9412.11</v>
      </c>
      <c r="AI406" s="306">
        <v>9412.11</v>
      </c>
    </row>
    <row r="407" spans="1:35" ht="15.75" thickBot="1" x14ac:dyDescent="0.3">
      <c r="A407" s="90" t="s">
        <v>1046</v>
      </c>
      <c r="B407" s="90" t="s">
        <v>1003</v>
      </c>
      <c r="C407" s="90" t="s">
        <v>1004</v>
      </c>
      <c r="D407" s="90" t="s">
        <v>662</v>
      </c>
      <c r="E407" s="90" t="s">
        <v>673</v>
      </c>
      <c r="F407" s="90" t="s">
        <v>643</v>
      </c>
      <c r="G407" s="304">
        <v>1</v>
      </c>
      <c r="H407" s="92"/>
      <c r="I407" s="92"/>
      <c r="J407" s="464">
        <f t="shared" si="8"/>
        <v>0</v>
      </c>
      <c r="K407" s="92"/>
      <c r="L407" s="92"/>
      <c r="M407" s="92"/>
      <c r="N407" s="92"/>
      <c r="O407" s="92"/>
      <c r="P407" s="92"/>
      <c r="Q407" s="92"/>
      <c r="R407" s="92"/>
      <c r="S407" s="93">
        <v>2838.87</v>
      </c>
      <c r="T407" s="92"/>
      <c r="U407" s="92"/>
      <c r="V407" s="92"/>
      <c r="W407" s="93">
        <v>2838.87</v>
      </c>
      <c r="X407" s="92"/>
      <c r="Y407" s="92"/>
      <c r="Z407" s="92"/>
      <c r="AA407" s="92"/>
      <c r="AB407" s="92"/>
      <c r="AC407" s="92"/>
      <c r="AD407" s="92"/>
      <c r="AE407" s="92"/>
      <c r="AF407" s="93">
        <v>0</v>
      </c>
      <c r="AG407" s="92"/>
      <c r="AH407" s="93">
        <v>2838.87</v>
      </c>
      <c r="AI407" s="93">
        <v>0</v>
      </c>
    </row>
    <row r="408" spans="1:35" ht="15.75" thickBot="1" x14ac:dyDescent="0.3">
      <c r="A408" s="90" t="s">
        <v>1046</v>
      </c>
      <c r="B408" s="90" t="s">
        <v>1003</v>
      </c>
      <c r="C408" s="90" t="s">
        <v>1004</v>
      </c>
      <c r="D408" s="90" t="s">
        <v>662</v>
      </c>
      <c r="E408" s="90" t="s">
        <v>530</v>
      </c>
      <c r="F408" s="90" t="s">
        <v>745</v>
      </c>
      <c r="G408" s="305">
        <v>1</v>
      </c>
      <c r="H408" s="94"/>
      <c r="I408" s="94"/>
      <c r="J408" s="464">
        <f t="shared" si="8"/>
        <v>0</v>
      </c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  <c r="AC408" s="94"/>
      <c r="AD408" s="94"/>
      <c r="AE408" s="94"/>
      <c r="AF408" s="95">
        <v>0</v>
      </c>
      <c r="AG408" s="94"/>
      <c r="AH408" s="95">
        <v>11336.42</v>
      </c>
      <c r="AI408" s="306">
        <v>11336.42</v>
      </c>
    </row>
    <row r="409" spans="1:35" ht="15.75" thickBot="1" x14ac:dyDescent="0.3">
      <c r="A409" s="90" t="s">
        <v>1046</v>
      </c>
      <c r="B409" s="90" t="s">
        <v>1003</v>
      </c>
      <c r="C409" s="90" t="s">
        <v>1004</v>
      </c>
      <c r="D409" s="90" t="s">
        <v>662</v>
      </c>
      <c r="E409" s="90" t="s">
        <v>524</v>
      </c>
      <c r="F409" s="90" t="s">
        <v>746</v>
      </c>
      <c r="G409" s="304">
        <v>1</v>
      </c>
      <c r="H409" s="92"/>
      <c r="I409" s="92"/>
      <c r="J409" s="464">
        <f t="shared" si="8"/>
        <v>0</v>
      </c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3">
        <v>550</v>
      </c>
      <c r="AE409" s="92"/>
      <c r="AF409" s="93">
        <v>0</v>
      </c>
      <c r="AG409" s="92"/>
      <c r="AH409" s="93">
        <v>550</v>
      </c>
      <c r="AI409" s="93">
        <v>0</v>
      </c>
    </row>
    <row r="410" spans="1:35" ht="15.75" thickBot="1" x14ac:dyDescent="0.3">
      <c r="A410" s="90" t="s">
        <v>1046</v>
      </c>
      <c r="B410" s="90" t="s">
        <v>933</v>
      </c>
      <c r="C410" s="90" t="s">
        <v>1005</v>
      </c>
      <c r="D410" s="90" t="s">
        <v>663</v>
      </c>
      <c r="E410" s="90" t="s">
        <v>525</v>
      </c>
      <c r="F410" s="90" t="s">
        <v>752</v>
      </c>
      <c r="G410" s="305">
        <v>3</v>
      </c>
      <c r="H410" s="94"/>
      <c r="I410" s="94"/>
      <c r="J410" s="464">
        <f t="shared" si="8"/>
        <v>0</v>
      </c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  <c r="AC410" s="94"/>
      <c r="AD410" s="94"/>
      <c r="AE410" s="94"/>
      <c r="AF410" s="95">
        <v>-195.06</v>
      </c>
      <c r="AG410" s="94"/>
      <c r="AH410" s="95">
        <v>-3446.04</v>
      </c>
      <c r="AI410" s="306">
        <v>-3250.98</v>
      </c>
    </row>
    <row r="411" spans="1:35" ht="15.75" thickBot="1" x14ac:dyDescent="0.3">
      <c r="A411" s="90" t="s">
        <v>1046</v>
      </c>
      <c r="B411" s="90" t="s">
        <v>933</v>
      </c>
      <c r="C411" s="90" t="s">
        <v>1005</v>
      </c>
      <c r="D411" s="90" t="s">
        <v>663</v>
      </c>
      <c r="E411" s="90" t="s">
        <v>518</v>
      </c>
      <c r="F411" s="90" t="s">
        <v>522</v>
      </c>
      <c r="G411" s="304">
        <v>63</v>
      </c>
      <c r="H411" s="93">
        <v>6250353</v>
      </c>
      <c r="I411" s="92"/>
      <c r="J411" s="464">
        <f t="shared" si="8"/>
        <v>6250353</v>
      </c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3">
        <v>12146.09</v>
      </c>
      <c r="AG411" s="92"/>
      <c r="AH411" s="93">
        <v>281036.3</v>
      </c>
      <c r="AI411" s="306">
        <v>268890.21000000002</v>
      </c>
    </row>
    <row r="412" spans="1:35" ht="15.75" thickBot="1" x14ac:dyDescent="0.3">
      <c r="A412" s="90" t="s">
        <v>1046</v>
      </c>
      <c r="B412" s="90" t="s">
        <v>933</v>
      </c>
      <c r="C412" s="90" t="s">
        <v>1005</v>
      </c>
      <c r="D412" s="90" t="s">
        <v>663</v>
      </c>
      <c r="E412" s="90" t="s">
        <v>527</v>
      </c>
      <c r="F412" s="90" t="s">
        <v>1015</v>
      </c>
      <c r="G412" s="305">
        <v>3</v>
      </c>
      <c r="H412" s="94"/>
      <c r="I412" s="94"/>
      <c r="J412" s="464">
        <f t="shared" si="8"/>
        <v>0</v>
      </c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5">
        <v>218.26</v>
      </c>
      <c r="AC412" s="94"/>
      <c r="AD412" s="94"/>
      <c r="AE412" s="94"/>
      <c r="AF412" s="95">
        <v>13.1</v>
      </c>
      <c r="AG412" s="94"/>
      <c r="AH412" s="95">
        <v>231.36</v>
      </c>
      <c r="AI412" s="95">
        <v>0</v>
      </c>
    </row>
    <row r="413" spans="1:35" ht="15.75" thickBot="1" x14ac:dyDescent="0.3">
      <c r="A413" s="90" t="s">
        <v>1046</v>
      </c>
      <c r="B413" s="90" t="s">
        <v>933</v>
      </c>
      <c r="C413" s="90" t="s">
        <v>1005</v>
      </c>
      <c r="D413" s="90" t="s">
        <v>663</v>
      </c>
      <c r="E413" s="90" t="s">
        <v>671</v>
      </c>
      <c r="F413" s="90" t="s">
        <v>703</v>
      </c>
      <c r="G413" s="304">
        <v>36</v>
      </c>
      <c r="H413" s="92"/>
      <c r="I413" s="92"/>
      <c r="J413" s="464">
        <f t="shared" si="8"/>
        <v>0</v>
      </c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3">
        <v>3709.53</v>
      </c>
      <c r="Y413" s="92"/>
      <c r="Z413" s="92"/>
      <c r="AA413" s="92"/>
      <c r="AB413" s="92"/>
      <c r="AC413" s="92"/>
      <c r="AD413" s="92"/>
      <c r="AE413" s="92"/>
      <c r="AF413" s="93">
        <v>166.32</v>
      </c>
      <c r="AG413" s="92"/>
      <c r="AH413" s="93">
        <v>3875.85</v>
      </c>
      <c r="AI413" s="93">
        <v>0</v>
      </c>
    </row>
    <row r="414" spans="1:35" ht="15.75" thickBot="1" x14ac:dyDescent="0.3">
      <c r="A414" s="90" t="s">
        <v>1046</v>
      </c>
      <c r="B414" s="90" t="s">
        <v>933</v>
      </c>
      <c r="C414" s="90" t="s">
        <v>1005</v>
      </c>
      <c r="D414" s="90" t="s">
        <v>663</v>
      </c>
      <c r="E414" s="90" t="s">
        <v>524</v>
      </c>
      <c r="F414" s="90" t="s">
        <v>746</v>
      </c>
      <c r="G414" s="305">
        <v>63</v>
      </c>
      <c r="H414" s="94"/>
      <c r="I414" s="94"/>
      <c r="J414" s="464">
        <f t="shared" si="8"/>
        <v>0</v>
      </c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  <c r="AC414" s="94"/>
      <c r="AD414" s="95">
        <v>34650</v>
      </c>
      <c r="AE414" s="94"/>
      <c r="AF414" s="95">
        <v>1707.42</v>
      </c>
      <c r="AG414" s="94"/>
      <c r="AH414" s="95">
        <v>36357.42</v>
      </c>
      <c r="AI414" s="95">
        <v>0</v>
      </c>
    </row>
    <row r="415" spans="1:35" ht="15.75" thickBot="1" x14ac:dyDescent="0.3">
      <c r="A415" s="90" t="s">
        <v>1046</v>
      </c>
      <c r="B415" s="90" t="s">
        <v>933</v>
      </c>
      <c r="C415" s="90" t="s">
        <v>1005</v>
      </c>
      <c r="D415" s="90" t="s">
        <v>663</v>
      </c>
      <c r="E415" s="90" t="s">
        <v>676</v>
      </c>
      <c r="F415" s="90" t="s">
        <v>748</v>
      </c>
      <c r="G415" s="304">
        <v>3</v>
      </c>
      <c r="H415" s="92"/>
      <c r="I415" s="92"/>
      <c r="J415" s="464">
        <f t="shared" si="8"/>
        <v>0</v>
      </c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3">
        <v>548.91</v>
      </c>
      <c r="AF415" s="93">
        <v>32.94</v>
      </c>
      <c r="AG415" s="92"/>
      <c r="AH415" s="93">
        <v>581.85</v>
      </c>
      <c r="AI415" s="93">
        <v>0</v>
      </c>
    </row>
    <row r="416" spans="1:35" ht="15.75" thickBot="1" x14ac:dyDescent="0.3">
      <c r="A416" s="90" t="s">
        <v>1046</v>
      </c>
      <c r="B416" s="90" t="s">
        <v>933</v>
      </c>
      <c r="C416" s="90" t="s">
        <v>1005</v>
      </c>
      <c r="D416" s="90" t="s">
        <v>663</v>
      </c>
      <c r="E416" s="90" t="s">
        <v>677</v>
      </c>
      <c r="F416" s="90" t="s">
        <v>749</v>
      </c>
      <c r="G416" s="305">
        <v>3</v>
      </c>
      <c r="H416" s="94"/>
      <c r="I416" s="94"/>
      <c r="J416" s="464">
        <f t="shared" si="8"/>
        <v>0</v>
      </c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  <c r="AC416" s="94"/>
      <c r="AD416" s="94"/>
      <c r="AE416" s="94"/>
      <c r="AF416" s="95">
        <v>36.090000000000003</v>
      </c>
      <c r="AG416" s="94"/>
      <c r="AH416" s="95">
        <v>637.5</v>
      </c>
      <c r="AI416" s="306">
        <v>601.41</v>
      </c>
    </row>
    <row r="417" spans="1:35" ht="15.75" thickBot="1" x14ac:dyDescent="0.3">
      <c r="A417" s="90" t="s">
        <v>1046</v>
      </c>
      <c r="B417" s="90" t="s">
        <v>933</v>
      </c>
      <c r="C417" s="90" t="s">
        <v>1005</v>
      </c>
      <c r="D417" s="90" t="s">
        <v>662</v>
      </c>
      <c r="E417" s="90" t="s">
        <v>518</v>
      </c>
      <c r="F417" s="90" t="s">
        <v>522</v>
      </c>
      <c r="G417" s="304">
        <v>1</v>
      </c>
      <c r="H417" s="93">
        <v>189149</v>
      </c>
      <c r="I417" s="92"/>
      <c r="J417" s="464">
        <f t="shared" si="8"/>
        <v>189149</v>
      </c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3">
        <v>0</v>
      </c>
      <c r="AG417" s="92"/>
      <c r="AH417" s="93">
        <v>8137.19</v>
      </c>
      <c r="AI417" s="306">
        <v>8137.19</v>
      </c>
    </row>
    <row r="418" spans="1:35" ht="15.75" thickBot="1" x14ac:dyDescent="0.3">
      <c r="A418" s="90" t="s">
        <v>1046</v>
      </c>
      <c r="B418" s="90" t="s">
        <v>933</v>
      </c>
      <c r="C418" s="90" t="s">
        <v>1005</v>
      </c>
      <c r="D418" s="90" t="s">
        <v>662</v>
      </c>
      <c r="E418" s="90" t="s">
        <v>524</v>
      </c>
      <c r="F418" s="90" t="s">
        <v>746</v>
      </c>
      <c r="G418" s="305">
        <v>1</v>
      </c>
      <c r="H418" s="94"/>
      <c r="I418" s="94"/>
      <c r="J418" s="464">
        <f t="shared" si="8"/>
        <v>0</v>
      </c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  <c r="AC418" s="94"/>
      <c r="AD418" s="95">
        <v>550</v>
      </c>
      <c r="AE418" s="94"/>
      <c r="AF418" s="95">
        <v>0</v>
      </c>
      <c r="AG418" s="94"/>
      <c r="AH418" s="95">
        <v>550</v>
      </c>
      <c r="AI418" s="95">
        <v>0</v>
      </c>
    </row>
    <row r="419" spans="1:35" ht="15.75" thickBot="1" x14ac:dyDescent="0.3">
      <c r="A419" s="90" t="s">
        <v>1056</v>
      </c>
      <c r="B419" s="90" t="s">
        <v>50</v>
      </c>
      <c r="C419" s="90" t="s">
        <v>881</v>
      </c>
      <c r="D419" s="90" t="s">
        <v>661</v>
      </c>
      <c r="E419" s="90" t="s">
        <v>198</v>
      </c>
      <c r="F419" s="90" t="s">
        <v>743</v>
      </c>
      <c r="G419" s="304">
        <v>8</v>
      </c>
      <c r="H419" s="92"/>
      <c r="I419" s="92"/>
      <c r="J419" s="464">
        <f t="shared" si="8"/>
        <v>0</v>
      </c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3">
        <v>3.61</v>
      </c>
      <c r="AG419" s="92"/>
      <c r="AH419" s="93">
        <v>189.78</v>
      </c>
      <c r="AI419" s="306">
        <v>186.17</v>
      </c>
    </row>
    <row r="420" spans="1:35" ht="15.75" thickBot="1" x14ac:dyDescent="0.3">
      <c r="A420" s="90" t="s">
        <v>1056</v>
      </c>
      <c r="B420" s="90" t="s">
        <v>50</v>
      </c>
      <c r="C420" s="90" t="s">
        <v>881</v>
      </c>
      <c r="D420" s="90" t="s">
        <v>661</v>
      </c>
      <c r="E420" s="90" t="s">
        <v>518</v>
      </c>
      <c r="F420" s="90" t="s">
        <v>522</v>
      </c>
      <c r="G420" s="305">
        <v>8</v>
      </c>
      <c r="H420" s="95">
        <v>326640</v>
      </c>
      <c r="I420" s="94"/>
      <c r="J420" s="464">
        <f t="shared" si="8"/>
        <v>326640</v>
      </c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  <c r="AC420" s="94"/>
      <c r="AD420" s="94"/>
      <c r="AE420" s="94"/>
      <c r="AF420" s="95">
        <v>272.95999999999998</v>
      </c>
      <c r="AG420" s="94"/>
      <c r="AH420" s="95">
        <v>14325.01</v>
      </c>
      <c r="AI420" s="306">
        <v>14052.05</v>
      </c>
    </row>
    <row r="421" spans="1:35" ht="15.75" thickBot="1" x14ac:dyDescent="0.3">
      <c r="A421" s="90" t="s">
        <v>1056</v>
      </c>
      <c r="B421" s="90" t="s">
        <v>50</v>
      </c>
      <c r="C421" s="90" t="s">
        <v>881</v>
      </c>
      <c r="D421" s="90" t="s">
        <v>661</v>
      </c>
      <c r="E421" s="90" t="s">
        <v>524</v>
      </c>
      <c r="F421" s="90" t="s">
        <v>746</v>
      </c>
      <c r="G421" s="304">
        <v>8</v>
      </c>
      <c r="H421" s="92"/>
      <c r="I421" s="92"/>
      <c r="J421" s="464">
        <f t="shared" si="8"/>
        <v>0</v>
      </c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3">
        <v>4400</v>
      </c>
      <c r="AE421" s="92"/>
      <c r="AF421" s="93">
        <v>66</v>
      </c>
      <c r="AG421" s="92"/>
      <c r="AH421" s="93">
        <v>4466</v>
      </c>
      <c r="AI421" s="93">
        <v>0</v>
      </c>
    </row>
    <row r="422" spans="1:35" ht="15.75" thickBot="1" x14ac:dyDescent="0.3">
      <c r="A422" s="90" t="s">
        <v>1056</v>
      </c>
      <c r="B422" s="90" t="s">
        <v>50</v>
      </c>
      <c r="C422" s="90" t="s">
        <v>881</v>
      </c>
      <c r="D422" s="90" t="s">
        <v>662</v>
      </c>
      <c r="E422" s="90" t="s">
        <v>198</v>
      </c>
      <c r="F422" s="90" t="s">
        <v>743</v>
      </c>
      <c r="G422" s="305">
        <v>2</v>
      </c>
      <c r="H422" s="94"/>
      <c r="I422" s="94"/>
      <c r="J422" s="464">
        <f t="shared" si="8"/>
        <v>0</v>
      </c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  <c r="AC422" s="94"/>
      <c r="AD422" s="94"/>
      <c r="AE422" s="94"/>
      <c r="AF422" s="95">
        <v>0.43</v>
      </c>
      <c r="AG422" s="94"/>
      <c r="AH422" s="95">
        <v>34.200000000000003</v>
      </c>
      <c r="AI422" s="306">
        <v>33.770000000000003</v>
      </c>
    </row>
    <row r="423" spans="1:35" ht="15.75" thickBot="1" x14ac:dyDescent="0.3">
      <c r="A423" s="90" t="s">
        <v>1056</v>
      </c>
      <c r="B423" s="90" t="s">
        <v>50</v>
      </c>
      <c r="C423" s="90" t="s">
        <v>881</v>
      </c>
      <c r="D423" s="90" t="s">
        <v>662</v>
      </c>
      <c r="E423" s="90" t="s">
        <v>525</v>
      </c>
      <c r="F423" s="90" t="s">
        <v>752</v>
      </c>
      <c r="G423" s="304">
        <v>1</v>
      </c>
      <c r="H423" s="92"/>
      <c r="I423" s="92"/>
      <c r="J423" s="464">
        <f t="shared" si="8"/>
        <v>0</v>
      </c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3">
        <v>-9.41</v>
      </c>
      <c r="AG423" s="92"/>
      <c r="AH423" s="93">
        <v>-322.89</v>
      </c>
      <c r="AI423" s="306">
        <v>-313.48</v>
      </c>
    </row>
    <row r="424" spans="1:35" ht="15.75" thickBot="1" x14ac:dyDescent="0.3">
      <c r="A424" s="90" t="s">
        <v>1056</v>
      </c>
      <c r="B424" s="90" t="s">
        <v>50</v>
      </c>
      <c r="C424" s="90" t="s">
        <v>881</v>
      </c>
      <c r="D424" s="90" t="s">
        <v>662</v>
      </c>
      <c r="E424" s="90" t="s">
        <v>518</v>
      </c>
      <c r="F424" s="90" t="s">
        <v>522</v>
      </c>
      <c r="G424" s="305">
        <v>2</v>
      </c>
      <c r="H424" s="95">
        <v>59251</v>
      </c>
      <c r="I424" s="94"/>
      <c r="J424" s="464">
        <f t="shared" si="8"/>
        <v>59251</v>
      </c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  <c r="AC424" s="94"/>
      <c r="AD424" s="94"/>
      <c r="AE424" s="94"/>
      <c r="AF424" s="95">
        <v>32.68</v>
      </c>
      <c r="AG424" s="94"/>
      <c r="AH424" s="95">
        <v>2581.66</v>
      </c>
      <c r="AI424" s="306">
        <v>2548.98</v>
      </c>
    </row>
    <row r="425" spans="1:35" ht="15.75" thickBot="1" x14ac:dyDescent="0.3">
      <c r="A425" s="90" t="s">
        <v>1056</v>
      </c>
      <c r="B425" s="90" t="s">
        <v>50</v>
      </c>
      <c r="C425" s="90" t="s">
        <v>881</v>
      </c>
      <c r="D425" s="90" t="s">
        <v>662</v>
      </c>
      <c r="E425" s="90" t="s">
        <v>527</v>
      </c>
      <c r="F425" s="90" t="s">
        <v>1015</v>
      </c>
      <c r="G425" s="304">
        <v>1</v>
      </c>
      <c r="H425" s="92"/>
      <c r="I425" s="92"/>
      <c r="J425" s="464">
        <f t="shared" si="8"/>
        <v>0</v>
      </c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3">
        <v>192.91</v>
      </c>
      <c r="AC425" s="92"/>
      <c r="AD425" s="92"/>
      <c r="AE425" s="92"/>
      <c r="AF425" s="93">
        <v>5.79</v>
      </c>
      <c r="AG425" s="92"/>
      <c r="AH425" s="93">
        <v>198.7</v>
      </c>
      <c r="AI425" s="93">
        <v>0</v>
      </c>
    </row>
    <row r="426" spans="1:35" ht="15.75" thickBot="1" x14ac:dyDescent="0.3">
      <c r="A426" s="90" t="s">
        <v>1056</v>
      </c>
      <c r="B426" s="90" t="s">
        <v>50</v>
      </c>
      <c r="C426" s="90" t="s">
        <v>881</v>
      </c>
      <c r="D426" s="90" t="s">
        <v>662</v>
      </c>
      <c r="E426" s="90" t="s">
        <v>671</v>
      </c>
      <c r="F426" s="90" t="s">
        <v>703</v>
      </c>
      <c r="G426" s="305">
        <v>1</v>
      </c>
      <c r="H426" s="94"/>
      <c r="I426" s="94"/>
      <c r="J426" s="464">
        <f t="shared" si="8"/>
        <v>0</v>
      </c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5">
        <v>56.83</v>
      </c>
      <c r="Y426" s="94"/>
      <c r="Z426" s="94"/>
      <c r="AA426" s="94"/>
      <c r="AB426" s="94"/>
      <c r="AC426" s="94"/>
      <c r="AD426" s="94"/>
      <c r="AE426" s="94"/>
      <c r="AF426" s="95">
        <v>0</v>
      </c>
      <c r="AG426" s="94"/>
      <c r="AH426" s="95">
        <v>56.83</v>
      </c>
      <c r="AI426" s="95">
        <v>0</v>
      </c>
    </row>
    <row r="427" spans="1:35" ht="15.75" thickBot="1" x14ac:dyDescent="0.3">
      <c r="A427" s="90" t="s">
        <v>1056</v>
      </c>
      <c r="B427" s="90" t="s">
        <v>50</v>
      </c>
      <c r="C427" s="90" t="s">
        <v>881</v>
      </c>
      <c r="D427" s="90" t="s">
        <v>662</v>
      </c>
      <c r="E427" s="90" t="s">
        <v>524</v>
      </c>
      <c r="F427" s="90" t="s">
        <v>746</v>
      </c>
      <c r="G427" s="304">
        <v>2</v>
      </c>
      <c r="H427" s="92"/>
      <c r="I427" s="92"/>
      <c r="J427" s="464">
        <f t="shared" si="8"/>
        <v>0</v>
      </c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3">
        <v>1100</v>
      </c>
      <c r="AE427" s="92"/>
      <c r="AF427" s="93">
        <v>16.510000000000002</v>
      </c>
      <c r="AG427" s="92"/>
      <c r="AH427" s="93">
        <v>1116.51</v>
      </c>
      <c r="AI427" s="93">
        <v>0</v>
      </c>
    </row>
    <row r="428" spans="1:35" ht="15.75" thickBot="1" x14ac:dyDescent="0.3">
      <c r="A428" s="90" t="s">
        <v>1056</v>
      </c>
      <c r="B428" s="90" t="s">
        <v>50</v>
      </c>
      <c r="C428" s="90" t="s">
        <v>881</v>
      </c>
      <c r="D428" s="90" t="s">
        <v>662</v>
      </c>
      <c r="E428" s="90" t="s">
        <v>676</v>
      </c>
      <c r="F428" s="90" t="s">
        <v>748</v>
      </c>
      <c r="G428" s="305">
        <v>1</v>
      </c>
      <c r="H428" s="94"/>
      <c r="I428" s="94"/>
      <c r="J428" s="464">
        <f t="shared" si="8"/>
        <v>0</v>
      </c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  <c r="AC428" s="94"/>
      <c r="AD428" s="94"/>
      <c r="AE428" s="95">
        <v>8.2799999999999994</v>
      </c>
      <c r="AF428" s="95">
        <v>0.25</v>
      </c>
      <c r="AG428" s="94"/>
      <c r="AH428" s="95">
        <v>8.5299999999999994</v>
      </c>
      <c r="AI428" s="95">
        <v>0</v>
      </c>
    </row>
    <row r="429" spans="1:35" ht="15.75" thickBot="1" x14ac:dyDescent="0.3">
      <c r="A429" s="90" t="s">
        <v>1056</v>
      </c>
      <c r="B429" s="90" t="s">
        <v>50</v>
      </c>
      <c r="C429" s="90" t="s">
        <v>881</v>
      </c>
      <c r="D429" s="90" t="s">
        <v>662</v>
      </c>
      <c r="E429" s="90" t="s">
        <v>677</v>
      </c>
      <c r="F429" s="90" t="s">
        <v>749</v>
      </c>
      <c r="G429" s="304">
        <v>1</v>
      </c>
      <c r="H429" s="92"/>
      <c r="I429" s="92"/>
      <c r="J429" s="464">
        <f t="shared" si="8"/>
        <v>0</v>
      </c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3">
        <v>0.27</v>
      </c>
      <c r="AG429" s="92"/>
      <c r="AH429" s="93">
        <v>9.4</v>
      </c>
      <c r="AI429" s="306">
        <v>9.1300000000000008</v>
      </c>
    </row>
    <row r="430" spans="1:35" ht="15.75" thickBot="1" x14ac:dyDescent="0.3">
      <c r="A430" s="90" t="s">
        <v>1056</v>
      </c>
      <c r="B430" s="90" t="s">
        <v>54</v>
      </c>
      <c r="C430" s="90" t="s">
        <v>55</v>
      </c>
      <c r="D430" s="90" t="s">
        <v>663</v>
      </c>
      <c r="E430" s="90" t="s">
        <v>525</v>
      </c>
      <c r="F430" s="90" t="s">
        <v>752</v>
      </c>
      <c r="G430" s="305">
        <v>4</v>
      </c>
      <c r="H430" s="94"/>
      <c r="I430" s="94"/>
      <c r="J430" s="464">
        <f t="shared" si="8"/>
        <v>0</v>
      </c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  <c r="AC430" s="94"/>
      <c r="AD430" s="94"/>
      <c r="AE430" s="94"/>
      <c r="AF430" s="95">
        <v>0</v>
      </c>
      <c r="AG430" s="94"/>
      <c r="AH430" s="95">
        <v>-18749.75</v>
      </c>
      <c r="AI430" s="306">
        <v>-18749.75</v>
      </c>
    </row>
    <row r="431" spans="1:35" ht="15.75" thickBot="1" x14ac:dyDescent="0.3">
      <c r="A431" s="90" t="s">
        <v>1056</v>
      </c>
      <c r="B431" s="90" t="s">
        <v>54</v>
      </c>
      <c r="C431" s="90" t="s">
        <v>55</v>
      </c>
      <c r="D431" s="90" t="s">
        <v>663</v>
      </c>
      <c r="E431" s="90" t="s">
        <v>525</v>
      </c>
      <c r="F431" s="90" t="s">
        <v>750</v>
      </c>
      <c r="G431" s="304">
        <v>2</v>
      </c>
      <c r="H431" s="92"/>
      <c r="I431" s="92"/>
      <c r="J431" s="464">
        <f t="shared" si="8"/>
        <v>0</v>
      </c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3">
        <v>2619.66</v>
      </c>
      <c r="AC431" s="92"/>
      <c r="AD431" s="92"/>
      <c r="AE431" s="92"/>
      <c r="AF431" s="93">
        <v>12</v>
      </c>
      <c r="AG431" s="92"/>
      <c r="AH431" s="93">
        <v>2631.66</v>
      </c>
      <c r="AI431" s="93">
        <v>0</v>
      </c>
    </row>
    <row r="432" spans="1:35" ht="15.75" thickBot="1" x14ac:dyDescent="0.3">
      <c r="A432" s="90" t="s">
        <v>1056</v>
      </c>
      <c r="B432" s="90" t="s">
        <v>54</v>
      </c>
      <c r="C432" s="90" t="s">
        <v>55</v>
      </c>
      <c r="D432" s="90" t="s">
        <v>663</v>
      </c>
      <c r="E432" s="90" t="s">
        <v>527</v>
      </c>
      <c r="F432" s="90" t="s">
        <v>1015</v>
      </c>
      <c r="G432" s="305">
        <v>3</v>
      </c>
      <c r="H432" s="94"/>
      <c r="I432" s="94"/>
      <c r="J432" s="464">
        <f t="shared" si="8"/>
        <v>0</v>
      </c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5">
        <v>23674.3</v>
      </c>
      <c r="AC432" s="94"/>
      <c r="AD432" s="94"/>
      <c r="AE432" s="94"/>
      <c r="AF432" s="95">
        <v>0</v>
      </c>
      <c r="AG432" s="94"/>
      <c r="AH432" s="95">
        <v>23674.3</v>
      </c>
      <c r="AI432" s="95">
        <v>0</v>
      </c>
    </row>
    <row r="433" spans="1:35" ht="15.75" thickBot="1" x14ac:dyDescent="0.3">
      <c r="A433" s="90" t="s">
        <v>1056</v>
      </c>
      <c r="B433" s="90" t="s">
        <v>54</v>
      </c>
      <c r="C433" s="90" t="s">
        <v>55</v>
      </c>
      <c r="D433" s="90" t="s">
        <v>663</v>
      </c>
      <c r="E433" s="90" t="s">
        <v>527</v>
      </c>
      <c r="F433" s="90" t="s">
        <v>1016</v>
      </c>
      <c r="G433" s="304">
        <v>2</v>
      </c>
      <c r="H433" s="92"/>
      <c r="I433" s="92"/>
      <c r="J433" s="464">
        <f t="shared" si="8"/>
        <v>0</v>
      </c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3">
        <v>238.89</v>
      </c>
      <c r="AG433" s="92"/>
      <c r="AH433" s="93">
        <v>6875.69</v>
      </c>
      <c r="AI433" s="306">
        <v>6636.8</v>
      </c>
    </row>
    <row r="434" spans="1:35" ht="15.75" thickBot="1" x14ac:dyDescent="0.3">
      <c r="A434" s="90" t="s">
        <v>1056</v>
      </c>
      <c r="B434" s="90" t="s">
        <v>54</v>
      </c>
      <c r="C434" s="90" t="s">
        <v>55</v>
      </c>
      <c r="D434" s="90" t="s">
        <v>663</v>
      </c>
      <c r="E434" s="90" t="s">
        <v>524</v>
      </c>
      <c r="F434" s="90" t="s">
        <v>746</v>
      </c>
      <c r="G434" s="305">
        <v>6</v>
      </c>
      <c r="H434" s="94"/>
      <c r="I434" s="94"/>
      <c r="J434" s="464">
        <f t="shared" si="8"/>
        <v>0</v>
      </c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  <c r="AC434" s="94"/>
      <c r="AD434" s="95">
        <v>5250</v>
      </c>
      <c r="AE434" s="94"/>
      <c r="AF434" s="95">
        <v>8.99</v>
      </c>
      <c r="AG434" s="94"/>
      <c r="AH434" s="95">
        <v>5258.99</v>
      </c>
      <c r="AI434" s="95">
        <v>0</v>
      </c>
    </row>
    <row r="435" spans="1:35" ht="15.75" thickBot="1" x14ac:dyDescent="0.3">
      <c r="A435" s="90" t="s">
        <v>1056</v>
      </c>
      <c r="B435" s="90" t="s">
        <v>54</v>
      </c>
      <c r="C435" s="90" t="s">
        <v>55</v>
      </c>
      <c r="D435" s="90" t="s">
        <v>663</v>
      </c>
      <c r="E435" s="90" t="s">
        <v>676</v>
      </c>
      <c r="F435" s="90" t="s">
        <v>748</v>
      </c>
      <c r="G435" s="304">
        <v>6</v>
      </c>
      <c r="H435" s="92"/>
      <c r="I435" s="92"/>
      <c r="J435" s="464">
        <f t="shared" si="8"/>
        <v>0</v>
      </c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3">
        <v>5132.8100000000004</v>
      </c>
      <c r="AF435" s="93">
        <v>33.5</v>
      </c>
      <c r="AG435" s="92"/>
      <c r="AH435" s="93">
        <v>5166.3100000000004</v>
      </c>
      <c r="AI435" s="93">
        <v>0</v>
      </c>
    </row>
    <row r="436" spans="1:35" ht="15.75" thickBot="1" x14ac:dyDescent="0.3">
      <c r="A436" s="90" t="s">
        <v>1056</v>
      </c>
      <c r="B436" s="90" t="s">
        <v>54</v>
      </c>
      <c r="C436" s="90" t="s">
        <v>55</v>
      </c>
      <c r="D436" s="90" t="s">
        <v>663</v>
      </c>
      <c r="E436" s="90" t="s">
        <v>677</v>
      </c>
      <c r="F436" s="90" t="s">
        <v>749</v>
      </c>
      <c r="G436" s="305">
        <v>6</v>
      </c>
      <c r="H436" s="94"/>
      <c r="I436" s="94"/>
      <c r="J436" s="464">
        <f t="shared" si="8"/>
        <v>0</v>
      </c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  <c r="AC436" s="94"/>
      <c r="AD436" s="94"/>
      <c r="AE436" s="94"/>
      <c r="AF436" s="95">
        <v>36.950000000000003</v>
      </c>
      <c r="AG436" s="94"/>
      <c r="AH436" s="95">
        <v>5697.85</v>
      </c>
      <c r="AI436" s="306">
        <v>5660.9</v>
      </c>
    </row>
    <row r="437" spans="1:35" ht="15.75" thickBot="1" x14ac:dyDescent="0.3">
      <c r="A437" s="90" t="s">
        <v>1056</v>
      </c>
      <c r="B437" s="90" t="s">
        <v>57</v>
      </c>
      <c r="C437" s="90" t="s">
        <v>58</v>
      </c>
      <c r="D437" s="90" t="s">
        <v>664</v>
      </c>
      <c r="E437" s="90" t="s">
        <v>525</v>
      </c>
      <c r="F437" s="90" t="s">
        <v>752</v>
      </c>
      <c r="G437" s="304">
        <v>1</v>
      </c>
      <c r="H437" s="92"/>
      <c r="I437" s="92"/>
      <c r="J437" s="464">
        <f t="shared" si="8"/>
        <v>0</v>
      </c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3">
        <v>0</v>
      </c>
      <c r="AG437" s="92"/>
      <c r="AH437" s="93">
        <v>-102.35</v>
      </c>
      <c r="AI437" s="306">
        <v>-102.35</v>
      </c>
    </row>
    <row r="438" spans="1:35" ht="15.75" thickBot="1" x14ac:dyDescent="0.3">
      <c r="A438" s="90" t="s">
        <v>1056</v>
      </c>
      <c r="B438" s="90" t="s">
        <v>57</v>
      </c>
      <c r="C438" s="90" t="s">
        <v>58</v>
      </c>
      <c r="D438" s="90" t="s">
        <v>664</v>
      </c>
      <c r="E438" s="90" t="s">
        <v>528</v>
      </c>
      <c r="F438" s="90" t="s">
        <v>751</v>
      </c>
      <c r="G438" s="305">
        <v>1</v>
      </c>
      <c r="H438" s="94"/>
      <c r="I438" s="94"/>
      <c r="J438" s="464">
        <f t="shared" si="8"/>
        <v>0</v>
      </c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  <c r="AC438" s="94"/>
      <c r="AD438" s="94"/>
      <c r="AE438" s="94"/>
      <c r="AF438" s="95">
        <v>0</v>
      </c>
      <c r="AG438" s="94"/>
      <c r="AH438" s="95">
        <v>800</v>
      </c>
      <c r="AI438" s="306">
        <v>800</v>
      </c>
    </row>
    <row r="439" spans="1:35" ht="15.75" thickBot="1" x14ac:dyDescent="0.3">
      <c r="A439" s="90" t="s">
        <v>1056</v>
      </c>
      <c r="B439" s="90" t="s">
        <v>57</v>
      </c>
      <c r="C439" s="90" t="s">
        <v>58</v>
      </c>
      <c r="D439" s="90" t="s">
        <v>664</v>
      </c>
      <c r="E439" s="90" t="s">
        <v>518</v>
      </c>
      <c r="F439" s="90" t="s">
        <v>522</v>
      </c>
      <c r="G439" s="304">
        <v>1</v>
      </c>
      <c r="H439" s="93">
        <v>1296348</v>
      </c>
      <c r="I439" s="92"/>
      <c r="J439" s="464">
        <f t="shared" si="8"/>
        <v>1296348</v>
      </c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3">
        <v>0</v>
      </c>
      <c r="AG439" s="92"/>
      <c r="AH439" s="93">
        <v>6442.85</v>
      </c>
      <c r="AI439" s="306">
        <v>6442.85</v>
      </c>
    </row>
    <row r="440" spans="1:35" ht="15.75" thickBot="1" x14ac:dyDescent="0.3">
      <c r="A440" s="90" t="s">
        <v>1056</v>
      </c>
      <c r="B440" s="90" t="s">
        <v>57</v>
      </c>
      <c r="C440" s="90" t="s">
        <v>58</v>
      </c>
      <c r="D440" s="90" t="s">
        <v>664</v>
      </c>
      <c r="E440" s="90" t="s">
        <v>527</v>
      </c>
      <c r="F440" s="90" t="s">
        <v>1015</v>
      </c>
      <c r="G440" s="305">
        <v>1</v>
      </c>
      <c r="H440" s="94"/>
      <c r="I440" s="94"/>
      <c r="J440" s="464">
        <f t="shared" si="8"/>
        <v>0</v>
      </c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5">
        <v>12051.49</v>
      </c>
      <c r="AC440" s="94"/>
      <c r="AD440" s="94"/>
      <c r="AE440" s="94"/>
      <c r="AF440" s="95">
        <v>0</v>
      </c>
      <c r="AG440" s="94"/>
      <c r="AH440" s="95">
        <v>12051.49</v>
      </c>
      <c r="AI440" s="95">
        <v>0</v>
      </c>
    </row>
    <row r="441" spans="1:35" ht="15.75" thickBot="1" x14ac:dyDescent="0.3">
      <c r="A441" s="90" t="s">
        <v>1056</v>
      </c>
      <c r="B441" s="90" t="s">
        <v>57</v>
      </c>
      <c r="C441" s="90" t="s">
        <v>58</v>
      </c>
      <c r="D441" s="90" t="s">
        <v>664</v>
      </c>
      <c r="E441" s="90" t="s">
        <v>529</v>
      </c>
      <c r="F441" s="90" t="s">
        <v>522</v>
      </c>
      <c r="G441" s="304">
        <v>1</v>
      </c>
      <c r="H441" s="92"/>
      <c r="I441" s="92"/>
      <c r="J441" s="464">
        <f t="shared" si="8"/>
        <v>0</v>
      </c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3">
        <v>0</v>
      </c>
      <c r="AG441" s="92"/>
      <c r="AH441" s="93">
        <v>107140.32</v>
      </c>
      <c r="AI441" s="306">
        <v>107140.32</v>
      </c>
    </row>
    <row r="442" spans="1:35" ht="15.75" thickBot="1" x14ac:dyDescent="0.3">
      <c r="A442" s="90" t="s">
        <v>1056</v>
      </c>
      <c r="B442" s="90" t="s">
        <v>57</v>
      </c>
      <c r="C442" s="90" t="s">
        <v>58</v>
      </c>
      <c r="D442" s="90" t="s">
        <v>664</v>
      </c>
      <c r="E442" s="90" t="s">
        <v>676</v>
      </c>
      <c r="F442" s="90" t="s">
        <v>748</v>
      </c>
      <c r="G442" s="305">
        <v>1</v>
      </c>
      <c r="H442" s="94"/>
      <c r="I442" s="94"/>
      <c r="J442" s="464">
        <f t="shared" si="8"/>
        <v>0</v>
      </c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  <c r="AC442" s="94"/>
      <c r="AD442" s="94"/>
      <c r="AE442" s="95">
        <v>158.97</v>
      </c>
      <c r="AF442" s="95">
        <v>0</v>
      </c>
      <c r="AG442" s="94"/>
      <c r="AH442" s="95">
        <v>158.97</v>
      </c>
      <c r="AI442" s="95">
        <v>0</v>
      </c>
    </row>
    <row r="443" spans="1:35" ht="15.75" thickBot="1" x14ac:dyDescent="0.3">
      <c r="A443" s="90" t="s">
        <v>1056</v>
      </c>
      <c r="B443" s="90" t="s">
        <v>57</v>
      </c>
      <c r="C443" s="90" t="s">
        <v>58</v>
      </c>
      <c r="D443" s="90" t="s">
        <v>664</v>
      </c>
      <c r="E443" s="90" t="s">
        <v>677</v>
      </c>
      <c r="F443" s="90" t="s">
        <v>749</v>
      </c>
      <c r="G443" s="304">
        <v>1</v>
      </c>
      <c r="H443" s="92"/>
      <c r="I443" s="92"/>
      <c r="J443" s="464">
        <f t="shared" si="8"/>
        <v>0</v>
      </c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3">
        <v>0</v>
      </c>
      <c r="AG443" s="92"/>
      <c r="AH443" s="93">
        <v>175.33</v>
      </c>
      <c r="AI443" s="306">
        <v>175.33</v>
      </c>
    </row>
    <row r="444" spans="1:35" ht="15.75" thickBot="1" x14ac:dyDescent="0.3">
      <c r="A444" s="90" t="s">
        <v>1056</v>
      </c>
      <c r="B444" s="90" t="s">
        <v>93</v>
      </c>
      <c r="C444" s="90" t="s">
        <v>719</v>
      </c>
      <c r="D444" s="90" t="s">
        <v>663</v>
      </c>
      <c r="E444" s="90" t="s">
        <v>525</v>
      </c>
      <c r="F444" s="90" t="s">
        <v>752</v>
      </c>
      <c r="G444" s="305">
        <v>1</v>
      </c>
      <c r="H444" s="94"/>
      <c r="I444" s="94"/>
      <c r="J444" s="464">
        <f t="shared" si="8"/>
        <v>0</v>
      </c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  <c r="AC444" s="94"/>
      <c r="AD444" s="94"/>
      <c r="AE444" s="94"/>
      <c r="AF444" s="95">
        <v>0</v>
      </c>
      <c r="AG444" s="94"/>
      <c r="AH444" s="95">
        <v>-3478.27</v>
      </c>
      <c r="AI444" s="306">
        <v>-3478.27</v>
      </c>
    </row>
    <row r="445" spans="1:35" ht="15.75" thickBot="1" x14ac:dyDescent="0.3">
      <c r="A445" s="90" t="s">
        <v>1056</v>
      </c>
      <c r="B445" s="90" t="s">
        <v>93</v>
      </c>
      <c r="C445" s="90" t="s">
        <v>719</v>
      </c>
      <c r="D445" s="90" t="s">
        <v>663</v>
      </c>
      <c r="E445" s="90" t="s">
        <v>525</v>
      </c>
      <c r="F445" s="90" t="s">
        <v>750</v>
      </c>
      <c r="G445" s="304">
        <v>1</v>
      </c>
      <c r="H445" s="92"/>
      <c r="I445" s="92"/>
      <c r="J445" s="464">
        <f t="shared" si="8"/>
        <v>0</v>
      </c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3">
        <v>2831.35</v>
      </c>
      <c r="AC445" s="92"/>
      <c r="AD445" s="92"/>
      <c r="AE445" s="92"/>
      <c r="AF445" s="93">
        <v>0</v>
      </c>
      <c r="AG445" s="92"/>
      <c r="AH445" s="93">
        <v>2831.35</v>
      </c>
      <c r="AI445" s="93">
        <v>0</v>
      </c>
    </row>
    <row r="446" spans="1:35" ht="15.75" thickBot="1" x14ac:dyDescent="0.3">
      <c r="A446" s="90" t="s">
        <v>1056</v>
      </c>
      <c r="B446" s="90" t="s">
        <v>93</v>
      </c>
      <c r="C446" s="90" t="s">
        <v>719</v>
      </c>
      <c r="D446" s="90" t="s">
        <v>663</v>
      </c>
      <c r="E446" s="90" t="s">
        <v>527</v>
      </c>
      <c r="F446" s="90" t="s">
        <v>1015</v>
      </c>
      <c r="G446" s="305">
        <v>1</v>
      </c>
      <c r="H446" s="94"/>
      <c r="I446" s="94"/>
      <c r="J446" s="464">
        <f t="shared" si="8"/>
        <v>0</v>
      </c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5">
        <v>2392.61</v>
      </c>
      <c r="AC446" s="94"/>
      <c r="AD446" s="94"/>
      <c r="AE446" s="94"/>
      <c r="AF446" s="95">
        <v>0</v>
      </c>
      <c r="AG446" s="94"/>
      <c r="AH446" s="95">
        <v>2392.61</v>
      </c>
      <c r="AI446" s="95">
        <v>0</v>
      </c>
    </row>
    <row r="447" spans="1:35" ht="15.75" thickBot="1" x14ac:dyDescent="0.3">
      <c r="A447" s="90" t="s">
        <v>1056</v>
      </c>
      <c r="B447" s="90" t="s">
        <v>93</v>
      </c>
      <c r="C447" s="90" t="s">
        <v>719</v>
      </c>
      <c r="D447" s="90" t="s">
        <v>663</v>
      </c>
      <c r="E447" s="90" t="s">
        <v>527</v>
      </c>
      <c r="F447" s="90" t="s">
        <v>1016</v>
      </c>
      <c r="G447" s="304">
        <v>1</v>
      </c>
      <c r="H447" s="92"/>
      <c r="I447" s="92"/>
      <c r="J447" s="464">
        <f t="shared" si="8"/>
        <v>0</v>
      </c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3">
        <v>0</v>
      </c>
      <c r="AG447" s="92"/>
      <c r="AH447" s="93">
        <v>536.54999999999995</v>
      </c>
      <c r="AI447" s="306">
        <v>536.54999999999995</v>
      </c>
    </row>
    <row r="448" spans="1:35" ht="15.75" thickBot="1" x14ac:dyDescent="0.3">
      <c r="A448" s="90" t="s">
        <v>1056</v>
      </c>
      <c r="B448" s="90" t="s">
        <v>93</v>
      </c>
      <c r="C448" s="90" t="s">
        <v>719</v>
      </c>
      <c r="D448" s="90" t="s">
        <v>663</v>
      </c>
      <c r="E448" s="90" t="s">
        <v>524</v>
      </c>
      <c r="F448" s="90" t="s">
        <v>746</v>
      </c>
      <c r="G448" s="305">
        <v>2</v>
      </c>
      <c r="H448" s="94"/>
      <c r="I448" s="94"/>
      <c r="J448" s="464">
        <f t="shared" si="8"/>
        <v>0</v>
      </c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  <c r="AC448" s="94"/>
      <c r="AD448" s="95">
        <v>525</v>
      </c>
      <c r="AE448" s="94"/>
      <c r="AF448" s="95">
        <v>0</v>
      </c>
      <c r="AG448" s="94"/>
      <c r="AH448" s="95">
        <v>525</v>
      </c>
      <c r="AI448" s="95">
        <v>0</v>
      </c>
    </row>
    <row r="449" spans="1:35" ht="15.75" thickBot="1" x14ac:dyDescent="0.3">
      <c r="A449" s="90" t="s">
        <v>1056</v>
      </c>
      <c r="B449" s="90" t="s">
        <v>1001</v>
      </c>
      <c r="C449" s="90" t="s">
        <v>1002</v>
      </c>
      <c r="D449" s="90" t="s">
        <v>663</v>
      </c>
      <c r="E449" s="90" t="s">
        <v>729</v>
      </c>
      <c r="F449" s="90" t="s">
        <v>947</v>
      </c>
      <c r="G449" s="304">
        <v>2</v>
      </c>
      <c r="H449" s="92"/>
      <c r="I449" s="92"/>
      <c r="J449" s="464">
        <f t="shared" ref="J449:J480" si="9">H449+I449</f>
        <v>0</v>
      </c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3">
        <v>-1764.27</v>
      </c>
      <c r="Z449" s="92"/>
      <c r="AA449" s="92"/>
      <c r="AB449" s="92"/>
      <c r="AC449" s="92"/>
      <c r="AD449" s="92"/>
      <c r="AE449" s="92"/>
      <c r="AF449" s="93">
        <v>-11.76</v>
      </c>
      <c r="AG449" s="92"/>
      <c r="AH449" s="93">
        <v>-1776.03</v>
      </c>
      <c r="AI449" s="93">
        <v>0</v>
      </c>
    </row>
    <row r="450" spans="1:35" ht="15.75" thickBot="1" x14ac:dyDescent="0.3">
      <c r="A450" s="90" t="s">
        <v>1056</v>
      </c>
      <c r="B450" s="90" t="s">
        <v>1001</v>
      </c>
      <c r="C450" s="90" t="s">
        <v>1002</v>
      </c>
      <c r="D450" s="90" t="s">
        <v>663</v>
      </c>
      <c r="E450" s="90" t="s">
        <v>528</v>
      </c>
      <c r="F450" s="90" t="s">
        <v>751</v>
      </c>
      <c r="G450" s="305">
        <v>4</v>
      </c>
      <c r="H450" s="94"/>
      <c r="I450" s="94"/>
      <c r="J450" s="464">
        <f t="shared" si="9"/>
        <v>0</v>
      </c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  <c r="AC450" s="94"/>
      <c r="AD450" s="94"/>
      <c r="AE450" s="94"/>
      <c r="AF450" s="95">
        <v>16.190000000000001</v>
      </c>
      <c r="AG450" s="94"/>
      <c r="AH450" s="95">
        <v>736.19</v>
      </c>
      <c r="AI450" s="306">
        <v>720</v>
      </c>
    </row>
    <row r="451" spans="1:35" ht="15.75" thickBot="1" x14ac:dyDescent="0.3">
      <c r="A451" s="90" t="s">
        <v>1056</v>
      </c>
      <c r="B451" s="90" t="s">
        <v>1001</v>
      </c>
      <c r="C451" s="90" t="s">
        <v>1002</v>
      </c>
      <c r="D451" s="90" t="s">
        <v>663</v>
      </c>
      <c r="E451" s="90" t="s">
        <v>518</v>
      </c>
      <c r="F451" s="90" t="s">
        <v>522</v>
      </c>
      <c r="G451" s="304">
        <v>4</v>
      </c>
      <c r="H451" s="93">
        <v>4000</v>
      </c>
      <c r="I451" s="93">
        <v>408940</v>
      </c>
      <c r="J451" s="464">
        <f t="shared" si="9"/>
        <v>412940</v>
      </c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3">
        <v>1202.8599999999999</v>
      </c>
      <c r="AG451" s="92"/>
      <c r="AH451" s="93">
        <v>74819.47</v>
      </c>
      <c r="AI451" s="306">
        <v>73616.61</v>
      </c>
    </row>
    <row r="452" spans="1:35" ht="15.75" thickBot="1" x14ac:dyDescent="0.3">
      <c r="A452" s="90" t="s">
        <v>1056</v>
      </c>
      <c r="B452" s="90" t="s">
        <v>1001</v>
      </c>
      <c r="C452" s="90" t="s">
        <v>1002</v>
      </c>
      <c r="D452" s="90" t="s">
        <v>663</v>
      </c>
      <c r="E452" s="90" t="s">
        <v>673</v>
      </c>
      <c r="F452" s="90" t="s">
        <v>643</v>
      </c>
      <c r="G452" s="305">
        <v>4</v>
      </c>
      <c r="H452" s="94"/>
      <c r="I452" s="94"/>
      <c r="J452" s="464">
        <f t="shared" si="9"/>
        <v>0</v>
      </c>
      <c r="K452" s="94"/>
      <c r="L452" s="94"/>
      <c r="M452" s="94"/>
      <c r="N452" s="94"/>
      <c r="O452" s="94"/>
      <c r="P452" s="94"/>
      <c r="Q452" s="94"/>
      <c r="R452" s="94"/>
      <c r="S452" s="95">
        <v>1038.1600000000001</v>
      </c>
      <c r="T452" s="94"/>
      <c r="U452" s="94"/>
      <c r="V452" s="94"/>
      <c r="W452" s="95">
        <v>1038.1600000000001</v>
      </c>
      <c r="X452" s="94"/>
      <c r="Y452" s="94"/>
      <c r="Z452" s="94"/>
      <c r="AA452" s="94"/>
      <c r="AB452" s="94"/>
      <c r="AC452" s="94"/>
      <c r="AD452" s="94"/>
      <c r="AE452" s="94"/>
      <c r="AF452" s="95">
        <v>23.36</v>
      </c>
      <c r="AG452" s="94"/>
      <c r="AH452" s="95">
        <v>1061.52</v>
      </c>
      <c r="AI452" s="95">
        <v>0</v>
      </c>
    </row>
    <row r="453" spans="1:35" ht="15.75" thickBot="1" x14ac:dyDescent="0.3">
      <c r="A453" s="90" t="s">
        <v>1056</v>
      </c>
      <c r="B453" s="90" t="s">
        <v>1001</v>
      </c>
      <c r="C453" s="90" t="s">
        <v>1002</v>
      </c>
      <c r="D453" s="90" t="s">
        <v>663</v>
      </c>
      <c r="E453" s="90" t="s">
        <v>530</v>
      </c>
      <c r="F453" s="90" t="s">
        <v>745</v>
      </c>
      <c r="G453" s="304">
        <v>4</v>
      </c>
      <c r="H453" s="92"/>
      <c r="I453" s="92"/>
      <c r="J453" s="464">
        <f t="shared" si="9"/>
        <v>0</v>
      </c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3">
        <v>565.58000000000004</v>
      </c>
      <c r="AG453" s="92"/>
      <c r="AH453" s="93">
        <v>35215.379999999997</v>
      </c>
      <c r="AI453" s="306">
        <v>34649.800000000003</v>
      </c>
    </row>
    <row r="454" spans="1:35" ht="15.75" thickBot="1" x14ac:dyDescent="0.3">
      <c r="A454" s="90" t="s">
        <v>1056</v>
      </c>
      <c r="B454" s="90" t="s">
        <v>1001</v>
      </c>
      <c r="C454" s="90" t="s">
        <v>1002</v>
      </c>
      <c r="D454" s="90" t="s">
        <v>663</v>
      </c>
      <c r="E454" s="90" t="s">
        <v>524</v>
      </c>
      <c r="F454" s="90" t="s">
        <v>746</v>
      </c>
      <c r="G454" s="305">
        <v>4</v>
      </c>
      <c r="H454" s="94"/>
      <c r="I454" s="94"/>
      <c r="J454" s="464">
        <f t="shared" si="9"/>
        <v>0</v>
      </c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5">
        <v>2200</v>
      </c>
      <c r="AE454" s="94"/>
      <c r="AF454" s="95">
        <v>49.5</v>
      </c>
      <c r="AG454" s="94"/>
      <c r="AH454" s="95">
        <v>2249.5</v>
      </c>
      <c r="AI454" s="95">
        <v>0</v>
      </c>
    </row>
    <row r="455" spans="1:35" ht="15.75" thickBot="1" x14ac:dyDescent="0.3">
      <c r="A455" s="90" t="s">
        <v>1056</v>
      </c>
      <c r="B455" s="90" t="s">
        <v>1001</v>
      </c>
      <c r="C455" s="90" t="s">
        <v>1002</v>
      </c>
      <c r="D455" s="90" t="s">
        <v>662</v>
      </c>
      <c r="E455" s="90" t="s">
        <v>729</v>
      </c>
      <c r="F455" s="90" t="s">
        <v>947</v>
      </c>
      <c r="G455" s="304">
        <v>1</v>
      </c>
      <c r="H455" s="92"/>
      <c r="I455" s="92"/>
      <c r="J455" s="464">
        <f t="shared" si="9"/>
        <v>0</v>
      </c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3">
        <v>-1404.23</v>
      </c>
      <c r="Z455" s="92"/>
      <c r="AA455" s="92"/>
      <c r="AB455" s="92"/>
      <c r="AC455" s="92"/>
      <c r="AD455" s="92"/>
      <c r="AE455" s="92"/>
      <c r="AF455" s="93">
        <v>0</v>
      </c>
      <c r="AG455" s="92"/>
      <c r="AH455" s="93">
        <v>-1404.23</v>
      </c>
      <c r="AI455" s="93">
        <v>0</v>
      </c>
    </row>
    <row r="456" spans="1:35" ht="15.75" thickBot="1" x14ac:dyDescent="0.3">
      <c r="A456" s="90" t="s">
        <v>1056</v>
      </c>
      <c r="B456" s="90" t="s">
        <v>1001</v>
      </c>
      <c r="C456" s="90" t="s">
        <v>1002</v>
      </c>
      <c r="D456" s="90" t="s">
        <v>662</v>
      </c>
      <c r="E456" s="90" t="s">
        <v>528</v>
      </c>
      <c r="F456" s="90" t="s">
        <v>751</v>
      </c>
      <c r="G456" s="305">
        <v>1</v>
      </c>
      <c r="H456" s="94"/>
      <c r="I456" s="94"/>
      <c r="J456" s="464">
        <f t="shared" si="9"/>
        <v>0</v>
      </c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5">
        <v>0</v>
      </c>
      <c r="AG456" s="94"/>
      <c r="AH456" s="95">
        <v>180</v>
      </c>
      <c r="AI456" s="306">
        <v>180</v>
      </c>
    </row>
    <row r="457" spans="1:35" ht="15.75" thickBot="1" x14ac:dyDescent="0.3">
      <c r="A457" s="90" t="s">
        <v>1056</v>
      </c>
      <c r="B457" s="90" t="s">
        <v>1001</v>
      </c>
      <c r="C457" s="90" t="s">
        <v>1002</v>
      </c>
      <c r="D457" s="90" t="s">
        <v>662</v>
      </c>
      <c r="E457" s="90" t="s">
        <v>518</v>
      </c>
      <c r="F457" s="90" t="s">
        <v>522</v>
      </c>
      <c r="G457" s="304">
        <v>1</v>
      </c>
      <c r="H457" s="93">
        <v>1000</v>
      </c>
      <c r="I457" s="93">
        <v>121320</v>
      </c>
      <c r="J457" s="464">
        <f t="shared" si="9"/>
        <v>122320</v>
      </c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3">
        <v>0</v>
      </c>
      <c r="AG457" s="92"/>
      <c r="AH457" s="93">
        <v>21797.27</v>
      </c>
      <c r="AI457" s="306">
        <v>21797.27</v>
      </c>
    </row>
    <row r="458" spans="1:35" ht="15.75" thickBot="1" x14ac:dyDescent="0.3">
      <c r="A458" s="90" t="s">
        <v>1056</v>
      </c>
      <c r="B458" s="90" t="s">
        <v>1001</v>
      </c>
      <c r="C458" s="90" t="s">
        <v>1002</v>
      </c>
      <c r="D458" s="90" t="s">
        <v>662</v>
      </c>
      <c r="E458" s="90" t="s">
        <v>673</v>
      </c>
      <c r="F458" s="90" t="s">
        <v>643</v>
      </c>
      <c r="G458" s="305">
        <v>1</v>
      </c>
      <c r="H458" s="94"/>
      <c r="I458" s="94"/>
      <c r="J458" s="464">
        <f t="shared" si="9"/>
        <v>0</v>
      </c>
      <c r="K458" s="94"/>
      <c r="L458" s="94"/>
      <c r="M458" s="94"/>
      <c r="N458" s="94"/>
      <c r="O458" s="94"/>
      <c r="P458" s="94"/>
      <c r="Q458" s="94"/>
      <c r="R458" s="94"/>
      <c r="S458" s="95">
        <v>259.54000000000002</v>
      </c>
      <c r="T458" s="94"/>
      <c r="U458" s="94"/>
      <c r="V458" s="94"/>
      <c r="W458" s="95">
        <v>259.54000000000002</v>
      </c>
      <c r="X458" s="94"/>
      <c r="Y458" s="94"/>
      <c r="Z458" s="94"/>
      <c r="AA458" s="94"/>
      <c r="AB458" s="94"/>
      <c r="AC458" s="94"/>
      <c r="AD458" s="94"/>
      <c r="AE458" s="94"/>
      <c r="AF458" s="95">
        <v>0</v>
      </c>
      <c r="AG458" s="94"/>
      <c r="AH458" s="95">
        <v>259.54000000000002</v>
      </c>
      <c r="AI458" s="95">
        <v>0</v>
      </c>
    </row>
    <row r="459" spans="1:35" ht="15.75" thickBot="1" x14ac:dyDescent="0.3">
      <c r="A459" s="90" t="s">
        <v>1056</v>
      </c>
      <c r="B459" s="90" t="s">
        <v>1001</v>
      </c>
      <c r="C459" s="90" t="s">
        <v>1002</v>
      </c>
      <c r="D459" s="90" t="s">
        <v>662</v>
      </c>
      <c r="E459" s="90" t="s">
        <v>530</v>
      </c>
      <c r="F459" s="90" t="s">
        <v>745</v>
      </c>
      <c r="G459" s="304">
        <v>1</v>
      </c>
      <c r="H459" s="92"/>
      <c r="I459" s="92"/>
      <c r="J459" s="464">
        <f t="shared" si="9"/>
        <v>0</v>
      </c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3">
        <v>0</v>
      </c>
      <c r="AG459" s="92"/>
      <c r="AH459" s="93">
        <v>10263.870000000001</v>
      </c>
      <c r="AI459" s="306">
        <v>10263.870000000001</v>
      </c>
    </row>
    <row r="460" spans="1:35" ht="15.75" thickBot="1" x14ac:dyDescent="0.3">
      <c r="A460" s="90" t="s">
        <v>1056</v>
      </c>
      <c r="B460" s="90" t="s">
        <v>1001</v>
      </c>
      <c r="C460" s="90" t="s">
        <v>1002</v>
      </c>
      <c r="D460" s="90" t="s">
        <v>662</v>
      </c>
      <c r="E460" s="90" t="s">
        <v>524</v>
      </c>
      <c r="F460" s="90" t="s">
        <v>746</v>
      </c>
      <c r="G460" s="305">
        <v>1</v>
      </c>
      <c r="H460" s="94"/>
      <c r="I460" s="94"/>
      <c r="J460" s="464">
        <f t="shared" si="9"/>
        <v>0</v>
      </c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  <c r="AC460" s="94"/>
      <c r="AD460" s="95">
        <v>550</v>
      </c>
      <c r="AE460" s="94"/>
      <c r="AF460" s="95">
        <v>0</v>
      </c>
      <c r="AG460" s="94"/>
      <c r="AH460" s="95">
        <v>550</v>
      </c>
      <c r="AI460" s="95">
        <v>0</v>
      </c>
    </row>
    <row r="461" spans="1:35" ht="15.75" thickBot="1" x14ac:dyDescent="0.3">
      <c r="A461" s="90" t="s">
        <v>1056</v>
      </c>
      <c r="B461" s="90" t="s">
        <v>1003</v>
      </c>
      <c r="C461" s="90" t="s">
        <v>1004</v>
      </c>
      <c r="D461" s="90" t="s">
        <v>663</v>
      </c>
      <c r="E461" s="90" t="s">
        <v>528</v>
      </c>
      <c r="F461" s="90" t="s">
        <v>751</v>
      </c>
      <c r="G461" s="304">
        <v>1</v>
      </c>
      <c r="H461" s="92"/>
      <c r="I461" s="92"/>
      <c r="J461" s="464">
        <f t="shared" si="9"/>
        <v>0</v>
      </c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3">
        <v>0</v>
      </c>
      <c r="AG461" s="92"/>
      <c r="AH461" s="93">
        <v>400</v>
      </c>
      <c r="AI461" s="306">
        <v>400</v>
      </c>
    </row>
    <row r="462" spans="1:35" ht="15.75" thickBot="1" x14ac:dyDescent="0.3">
      <c r="A462" s="90" t="s">
        <v>1056</v>
      </c>
      <c r="B462" s="90" t="s">
        <v>1003</v>
      </c>
      <c r="C462" s="90" t="s">
        <v>1004</v>
      </c>
      <c r="D462" s="90" t="s">
        <v>663</v>
      </c>
      <c r="E462" s="90" t="s">
        <v>518</v>
      </c>
      <c r="F462" s="90" t="s">
        <v>522</v>
      </c>
      <c r="G462" s="305">
        <v>1</v>
      </c>
      <c r="H462" s="95">
        <v>15983</v>
      </c>
      <c r="I462" s="94"/>
      <c r="J462" s="464">
        <f t="shared" si="9"/>
        <v>15983</v>
      </c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  <c r="AC462" s="94"/>
      <c r="AD462" s="94"/>
      <c r="AE462" s="94"/>
      <c r="AF462" s="95">
        <v>0</v>
      </c>
      <c r="AG462" s="94"/>
      <c r="AH462" s="95">
        <v>1120.25</v>
      </c>
      <c r="AI462" s="306">
        <v>1120.25</v>
      </c>
    </row>
    <row r="463" spans="1:35" ht="15.75" thickBot="1" x14ac:dyDescent="0.3">
      <c r="A463" s="90" t="s">
        <v>1056</v>
      </c>
      <c r="B463" s="90" t="s">
        <v>1003</v>
      </c>
      <c r="C463" s="90" t="s">
        <v>1004</v>
      </c>
      <c r="D463" s="90" t="s">
        <v>663</v>
      </c>
      <c r="E463" s="90" t="s">
        <v>673</v>
      </c>
      <c r="F463" s="90" t="s">
        <v>643</v>
      </c>
      <c r="G463" s="304">
        <v>1</v>
      </c>
      <c r="H463" s="92"/>
      <c r="I463" s="92"/>
      <c r="J463" s="464">
        <f t="shared" si="9"/>
        <v>0</v>
      </c>
      <c r="K463" s="92"/>
      <c r="L463" s="92"/>
      <c r="M463" s="92"/>
      <c r="N463" s="92"/>
      <c r="O463" s="92"/>
      <c r="P463" s="92"/>
      <c r="Q463" s="92"/>
      <c r="R463" s="92"/>
      <c r="S463" s="93">
        <v>2838.87</v>
      </c>
      <c r="T463" s="92"/>
      <c r="U463" s="92"/>
      <c r="V463" s="92"/>
      <c r="W463" s="93">
        <v>2838.87</v>
      </c>
      <c r="X463" s="92"/>
      <c r="Y463" s="92"/>
      <c r="Z463" s="92"/>
      <c r="AA463" s="92"/>
      <c r="AB463" s="92"/>
      <c r="AC463" s="92"/>
      <c r="AD463" s="92"/>
      <c r="AE463" s="92"/>
      <c r="AF463" s="93">
        <v>0</v>
      </c>
      <c r="AG463" s="92"/>
      <c r="AH463" s="93">
        <v>2838.87</v>
      </c>
      <c r="AI463" s="93">
        <v>0</v>
      </c>
    </row>
    <row r="464" spans="1:35" ht="15.75" thickBot="1" x14ac:dyDescent="0.3">
      <c r="A464" s="90" t="s">
        <v>1056</v>
      </c>
      <c r="B464" s="90" t="s">
        <v>1003</v>
      </c>
      <c r="C464" s="90" t="s">
        <v>1004</v>
      </c>
      <c r="D464" s="90" t="s">
        <v>663</v>
      </c>
      <c r="E464" s="90" t="s">
        <v>530</v>
      </c>
      <c r="F464" s="90" t="s">
        <v>745</v>
      </c>
      <c r="G464" s="305">
        <v>1</v>
      </c>
      <c r="H464" s="94"/>
      <c r="I464" s="94"/>
      <c r="J464" s="464">
        <f t="shared" si="9"/>
        <v>0</v>
      </c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  <c r="AC464" s="94"/>
      <c r="AD464" s="94"/>
      <c r="AE464" s="94"/>
      <c r="AF464" s="95">
        <v>0</v>
      </c>
      <c r="AG464" s="94"/>
      <c r="AH464" s="95">
        <v>1341.13</v>
      </c>
      <c r="AI464" s="306">
        <v>1341.13</v>
      </c>
    </row>
    <row r="465" spans="1:35" ht="15.75" thickBot="1" x14ac:dyDescent="0.3">
      <c r="A465" s="90" t="s">
        <v>1056</v>
      </c>
      <c r="B465" s="90" t="s">
        <v>1003</v>
      </c>
      <c r="C465" s="90" t="s">
        <v>1004</v>
      </c>
      <c r="D465" s="90" t="s">
        <v>663</v>
      </c>
      <c r="E465" s="90" t="s">
        <v>524</v>
      </c>
      <c r="F465" s="90" t="s">
        <v>746</v>
      </c>
      <c r="G465" s="304">
        <v>1</v>
      </c>
      <c r="H465" s="92"/>
      <c r="I465" s="92"/>
      <c r="J465" s="464">
        <f t="shared" si="9"/>
        <v>0</v>
      </c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3">
        <v>550</v>
      </c>
      <c r="AE465" s="92"/>
      <c r="AF465" s="93">
        <v>0</v>
      </c>
      <c r="AG465" s="92"/>
      <c r="AH465" s="93">
        <v>550</v>
      </c>
      <c r="AI465" s="93">
        <v>0</v>
      </c>
    </row>
    <row r="466" spans="1:35" ht="15.75" thickBot="1" x14ac:dyDescent="0.3">
      <c r="A466" s="90" t="s">
        <v>1056</v>
      </c>
      <c r="B466" s="90" t="s">
        <v>1003</v>
      </c>
      <c r="C466" s="90" t="s">
        <v>1004</v>
      </c>
      <c r="D466" s="90" t="s">
        <v>662</v>
      </c>
      <c r="E466" s="90" t="s">
        <v>729</v>
      </c>
      <c r="F466" s="90" t="s">
        <v>947</v>
      </c>
      <c r="G466" s="305">
        <v>1</v>
      </c>
      <c r="H466" s="94"/>
      <c r="I466" s="94"/>
      <c r="J466" s="464">
        <f t="shared" si="9"/>
        <v>0</v>
      </c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5">
        <v>-1491.23</v>
      </c>
      <c r="Z466" s="94"/>
      <c r="AA466" s="94"/>
      <c r="AB466" s="94"/>
      <c r="AC466" s="94"/>
      <c r="AD466" s="94"/>
      <c r="AE466" s="94"/>
      <c r="AF466" s="95">
        <v>0</v>
      </c>
      <c r="AG466" s="94"/>
      <c r="AH466" s="95">
        <v>-1491.23</v>
      </c>
      <c r="AI466" s="95">
        <v>0</v>
      </c>
    </row>
    <row r="467" spans="1:35" ht="15.75" thickBot="1" x14ac:dyDescent="0.3">
      <c r="A467" s="90" t="s">
        <v>1056</v>
      </c>
      <c r="B467" s="90" t="s">
        <v>1003</v>
      </c>
      <c r="C467" s="90" t="s">
        <v>1004</v>
      </c>
      <c r="D467" s="90" t="s">
        <v>662</v>
      </c>
      <c r="E467" s="90" t="s">
        <v>528</v>
      </c>
      <c r="F467" s="90" t="s">
        <v>751</v>
      </c>
      <c r="G467" s="304">
        <v>1</v>
      </c>
      <c r="H467" s="92"/>
      <c r="I467" s="92"/>
      <c r="J467" s="464">
        <f t="shared" si="9"/>
        <v>0</v>
      </c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3">
        <v>0</v>
      </c>
      <c r="AG467" s="92"/>
      <c r="AH467" s="93">
        <v>400</v>
      </c>
      <c r="AI467" s="306">
        <v>400</v>
      </c>
    </row>
    <row r="468" spans="1:35" ht="15.75" thickBot="1" x14ac:dyDescent="0.3">
      <c r="A468" s="90" t="s">
        <v>1056</v>
      </c>
      <c r="B468" s="90" t="s">
        <v>1003</v>
      </c>
      <c r="C468" s="90" t="s">
        <v>1004</v>
      </c>
      <c r="D468" s="90" t="s">
        <v>662</v>
      </c>
      <c r="E468" s="90" t="s">
        <v>518</v>
      </c>
      <c r="F468" s="90" t="s">
        <v>522</v>
      </c>
      <c r="G468" s="305">
        <v>1</v>
      </c>
      <c r="H468" s="95">
        <v>129898</v>
      </c>
      <c r="I468" s="94"/>
      <c r="J468" s="464">
        <f t="shared" si="9"/>
        <v>129898</v>
      </c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  <c r="AC468" s="94"/>
      <c r="AD468" s="94"/>
      <c r="AE468" s="94"/>
      <c r="AF468" s="95">
        <v>0</v>
      </c>
      <c r="AG468" s="94"/>
      <c r="AH468" s="95">
        <v>9104.5499999999993</v>
      </c>
      <c r="AI468" s="306">
        <v>9104.5499999999993</v>
      </c>
    </row>
    <row r="469" spans="1:35" ht="15.75" thickBot="1" x14ac:dyDescent="0.3">
      <c r="A469" s="90" t="s">
        <v>1056</v>
      </c>
      <c r="B469" s="90" t="s">
        <v>1003</v>
      </c>
      <c r="C469" s="90" t="s">
        <v>1004</v>
      </c>
      <c r="D469" s="90" t="s">
        <v>662</v>
      </c>
      <c r="E469" s="90" t="s">
        <v>673</v>
      </c>
      <c r="F469" s="90" t="s">
        <v>643</v>
      </c>
      <c r="G469" s="304">
        <v>1</v>
      </c>
      <c r="H469" s="92"/>
      <c r="I469" s="92"/>
      <c r="J469" s="464">
        <f t="shared" si="9"/>
        <v>0</v>
      </c>
      <c r="K469" s="92"/>
      <c r="L469" s="92"/>
      <c r="M469" s="92"/>
      <c r="N469" s="92"/>
      <c r="O469" s="92"/>
      <c r="P469" s="92"/>
      <c r="Q469" s="92"/>
      <c r="R469" s="92"/>
      <c r="S469" s="93">
        <v>2838.87</v>
      </c>
      <c r="T469" s="92"/>
      <c r="U469" s="92"/>
      <c r="V469" s="92"/>
      <c r="W469" s="93">
        <v>2838.87</v>
      </c>
      <c r="X469" s="92"/>
      <c r="Y469" s="92"/>
      <c r="Z469" s="92"/>
      <c r="AA469" s="92"/>
      <c r="AB469" s="92"/>
      <c r="AC469" s="92"/>
      <c r="AD469" s="92"/>
      <c r="AE469" s="92"/>
      <c r="AF469" s="93">
        <v>0</v>
      </c>
      <c r="AG469" s="92"/>
      <c r="AH469" s="93">
        <v>2838.87</v>
      </c>
      <c r="AI469" s="93">
        <v>0</v>
      </c>
    </row>
    <row r="470" spans="1:35" ht="15.75" thickBot="1" x14ac:dyDescent="0.3">
      <c r="A470" s="90" t="s">
        <v>1056</v>
      </c>
      <c r="B470" s="90" t="s">
        <v>1003</v>
      </c>
      <c r="C470" s="90" t="s">
        <v>1004</v>
      </c>
      <c r="D470" s="90" t="s">
        <v>662</v>
      </c>
      <c r="E470" s="90" t="s">
        <v>530</v>
      </c>
      <c r="F470" s="90" t="s">
        <v>745</v>
      </c>
      <c r="G470" s="305">
        <v>1</v>
      </c>
      <c r="H470" s="94"/>
      <c r="I470" s="94"/>
      <c r="J470" s="464">
        <f t="shared" si="9"/>
        <v>0</v>
      </c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  <c r="AE470" s="94"/>
      <c r="AF470" s="95">
        <v>0</v>
      </c>
      <c r="AG470" s="94"/>
      <c r="AH470" s="95">
        <v>10899.74</v>
      </c>
      <c r="AI470" s="306">
        <v>10899.74</v>
      </c>
    </row>
    <row r="471" spans="1:35" ht="15.75" thickBot="1" x14ac:dyDescent="0.3">
      <c r="A471" s="90" t="s">
        <v>1056</v>
      </c>
      <c r="B471" s="90" t="s">
        <v>1003</v>
      </c>
      <c r="C471" s="90" t="s">
        <v>1004</v>
      </c>
      <c r="D471" s="90" t="s">
        <v>662</v>
      </c>
      <c r="E471" s="90" t="s">
        <v>524</v>
      </c>
      <c r="F471" s="90" t="s">
        <v>746</v>
      </c>
      <c r="G471" s="304">
        <v>1</v>
      </c>
      <c r="H471" s="92"/>
      <c r="I471" s="92"/>
      <c r="J471" s="464">
        <f t="shared" si="9"/>
        <v>0</v>
      </c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3">
        <v>550</v>
      </c>
      <c r="AE471" s="92"/>
      <c r="AF471" s="93">
        <v>0</v>
      </c>
      <c r="AG471" s="92"/>
      <c r="AH471" s="93">
        <v>550</v>
      </c>
      <c r="AI471" s="93">
        <v>0</v>
      </c>
    </row>
    <row r="472" spans="1:35" ht="15.75" thickBot="1" x14ac:dyDescent="0.3">
      <c r="A472" s="90" t="s">
        <v>1056</v>
      </c>
      <c r="B472" s="90" t="s">
        <v>933</v>
      </c>
      <c r="C472" s="90" t="s">
        <v>1005</v>
      </c>
      <c r="D472" s="90" t="s">
        <v>663</v>
      </c>
      <c r="E472" s="90" t="s">
        <v>525</v>
      </c>
      <c r="F472" s="90" t="s">
        <v>752</v>
      </c>
      <c r="G472" s="305">
        <v>3</v>
      </c>
      <c r="H472" s="94"/>
      <c r="I472" s="94"/>
      <c r="J472" s="464">
        <f t="shared" si="9"/>
        <v>0</v>
      </c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4"/>
      <c r="AF472" s="95">
        <v>-128.13</v>
      </c>
      <c r="AG472" s="94"/>
      <c r="AH472" s="95">
        <v>-2263.5300000000002</v>
      </c>
      <c r="AI472" s="306">
        <v>-2135.4</v>
      </c>
    </row>
    <row r="473" spans="1:35" ht="15.75" thickBot="1" x14ac:dyDescent="0.3">
      <c r="A473" s="90" t="s">
        <v>1056</v>
      </c>
      <c r="B473" s="90" t="s">
        <v>933</v>
      </c>
      <c r="C473" s="90" t="s">
        <v>1005</v>
      </c>
      <c r="D473" s="90" t="s">
        <v>663</v>
      </c>
      <c r="E473" s="90" t="s">
        <v>518</v>
      </c>
      <c r="F473" s="90" t="s">
        <v>522</v>
      </c>
      <c r="G473" s="304">
        <v>63</v>
      </c>
      <c r="H473" s="93">
        <v>6883016</v>
      </c>
      <c r="I473" s="92"/>
      <c r="J473" s="464">
        <f t="shared" si="9"/>
        <v>6883016</v>
      </c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3">
        <v>13280.9</v>
      </c>
      <c r="AG473" s="92"/>
      <c r="AH473" s="93">
        <v>309388.25</v>
      </c>
      <c r="AI473" s="306">
        <v>296107.34999999998</v>
      </c>
    </row>
    <row r="474" spans="1:35" ht="15.75" thickBot="1" x14ac:dyDescent="0.3">
      <c r="A474" s="90" t="s">
        <v>1056</v>
      </c>
      <c r="B474" s="90" t="s">
        <v>933</v>
      </c>
      <c r="C474" s="90" t="s">
        <v>1005</v>
      </c>
      <c r="D474" s="90" t="s">
        <v>663</v>
      </c>
      <c r="E474" s="90" t="s">
        <v>527</v>
      </c>
      <c r="F474" s="90" t="s">
        <v>1015</v>
      </c>
      <c r="G474" s="305">
        <v>3</v>
      </c>
      <c r="H474" s="94"/>
      <c r="I474" s="94"/>
      <c r="J474" s="464">
        <f t="shared" si="9"/>
        <v>0</v>
      </c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5">
        <v>1020.81</v>
      </c>
      <c r="AC474" s="94"/>
      <c r="AD474" s="94"/>
      <c r="AE474" s="94"/>
      <c r="AF474" s="95">
        <v>61.24</v>
      </c>
      <c r="AG474" s="94"/>
      <c r="AH474" s="95">
        <v>1082.05</v>
      </c>
      <c r="AI474" s="95">
        <v>0</v>
      </c>
    </row>
    <row r="475" spans="1:35" ht="15.75" thickBot="1" x14ac:dyDescent="0.3">
      <c r="A475" s="90" t="s">
        <v>1056</v>
      </c>
      <c r="B475" s="90" t="s">
        <v>933</v>
      </c>
      <c r="C475" s="90" t="s">
        <v>1005</v>
      </c>
      <c r="D475" s="90" t="s">
        <v>663</v>
      </c>
      <c r="E475" s="90" t="s">
        <v>671</v>
      </c>
      <c r="F475" s="90" t="s">
        <v>703</v>
      </c>
      <c r="G475" s="304">
        <v>31</v>
      </c>
      <c r="H475" s="92"/>
      <c r="I475" s="92"/>
      <c r="J475" s="464">
        <f t="shared" si="9"/>
        <v>0</v>
      </c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3">
        <v>2367.5700000000002</v>
      </c>
      <c r="Y475" s="92"/>
      <c r="Z475" s="92"/>
      <c r="AA475" s="92"/>
      <c r="AB475" s="92"/>
      <c r="AC475" s="92"/>
      <c r="AD475" s="92"/>
      <c r="AE475" s="92"/>
      <c r="AF475" s="93">
        <v>91.17</v>
      </c>
      <c r="AG475" s="92"/>
      <c r="AH475" s="93">
        <v>2458.7399999999998</v>
      </c>
      <c r="AI475" s="93">
        <v>0</v>
      </c>
    </row>
    <row r="476" spans="1:35" ht="15.75" thickBot="1" x14ac:dyDescent="0.3">
      <c r="A476" s="90" t="s">
        <v>1056</v>
      </c>
      <c r="B476" s="90" t="s">
        <v>933</v>
      </c>
      <c r="C476" s="90" t="s">
        <v>1005</v>
      </c>
      <c r="D476" s="90" t="s">
        <v>663</v>
      </c>
      <c r="E476" s="90" t="s">
        <v>524</v>
      </c>
      <c r="F476" s="90" t="s">
        <v>746</v>
      </c>
      <c r="G476" s="305">
        <v>63</v>
      </c>
      <c r="H476" s="94"/>
      <c r="I476" s="94"/>
      <c r="J476" s="464">
        <f t="shared" si="9"/>
        <v>0</v>
      </c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  <c r="AC476" s="94"/>
      <c r="AD476" s="95">
        <v>34650</v>
      </c>
      <c r="AE476" s="94"/>
      <c r="AF476" s="95">
        <v>1707.44</v>
      </c>
      <c r="AG476" s="94"/>
      <c r="AH476" s="95">
        <v>36357.440000000002</v>
      </c>
      <c r="AI476" s="95">
        <v>0</v>
      </c>
    </row>
    <row r="477" spans="1:35" ht="15.75" thickBot="1" x14ac:dyDescent="0.3">
      <c r="A477" s="90" t="s">
        <v>1056</v>
      </c>
      <c r="B477" s="90" t="s">
        <v>933</v>
      </c>
      <c r="C477" s="90" t="s">
        <v>1005</v>
      </c>
      <c r="D477" s="90" t="s">
        <v>663</v>
      </c>
      <c r="E477" s="90" t="s">
        <v>676</v>
      </c>
      <c r="F477" s="90" t="s">
        <v>748</v>
      </c>
      <c r="G477" s="304">
        <v>3</v>
      </c>
      <c r="H477" s="92"/>
      <c r="I477" s="92"/>
      <c r="J477" s="464">
        <f t="shared" si="9"/>
        <v>0</v>
      </c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3">
        <v>190.64</v>
      </c>
      <c r="AF477" s="93">
        <v>11.44</v>
      </c>
      <c r="AG477" s="92"/>
      <c r="AH477" s="93">
        <v>202.08</v>
      </c>
      <c r="AI477" s="93">
        <v>0</v>
      </c>
    </row>
    <row r="478" spans="1:35" ht="15.75" thickBot="1" x14ac:dyDescent="0.3">
      <c r="A478" s="90" t="s">
        <v>1056</v>
      </c>
      <c r="B478" s="90" t="s">
        <v>933</v>
      </c>
      <c r="C478" s="90" t="s">
        <v>1005</v>
      </c>
      <c r="D478" s="90" t="s">
        <v>663</v>
      </c>
      <c r="E478" s="90" t="s">
        <v>677</v>
      </c>
      <c r="F478" s="90" t="s">
        <v>749</v>
      </c>
      <c r="G478" s="305">
        <v>3</v>
      </c>
      <c r="H478" s="94"/>
      <c r="I478" s="94"/>
      <c r="J478" s="464">
        <f t="shared" si="9"/>
        <v>0</v>
      </c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  <c r="AC478" s="94"/>
      <c r="AD478" s="94"/>
      <c r="AE478" s="94"/>
      <c r="AF478" s="95">
        <v>12.61</v>
      </c>
      <c r="AG478" s="94"/>
      <c r="AH478" s="95">
        <v>222.88</v>
      </c>
      <c r="AI478" s="306">
        <v>210.27</v>
      </c>
    </row>
    <row r="479" spans="1:35" ht="15.75" thickBot="1" x14ac:dyDescent="0.3">
      <c r="A479" s="90" t="s">
        <v>1056</v>
      </c>
      <c r="B479" s="90" t="s">
        <v>933</v>
      </c>
      <c r="C479" s="90" t="s">
        <v>1005</v>
      </c>
      <c r="D479" s="90" t="s">
        <v>662</v>
      </c>
      <c r="E479" s="90" t="s">
        <v>518</v>
      </c>
      <c r="F479" s="90" t="s">
        <v>522</v>
      </c>
      <c r="G479" s="304">
        <v>1</v>
      </c>
      <c r="H479" s="93">
        <v>196926</v>
      </c>
      <c r="I479" s="92"/>
      <c r="J479" s="464">
        <f t="shared" si="9"/>
        <v>196926</v>
      </c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3">
        <v>0</v>
      </c>
      <c r="AG479" s="92"/>
      <c r="AH479" s="93">
        <v>8471.76</v>
      </c>
      <c r="AI479" s="306">
        <v>8471.76</v>
      </c>
    </row>
    <row r="480" spans="1:35" ht="15.75" thickBot="1" x14ac:dyDescent="0.3">
      <c r="A480" s="90" t="s">
        <v>1056</v>
      </c>
      <c r="B480" s="90" t="s">
        <v>933</v>
      </c>
      <c r="C480" s="90" t="s">
        <v>1005</v>
      </c>
      <c r="D480" s="90" t="s">
        <v>662</v>
      </c>
      <c r="E480" s="90" t="s">
        <v>524</v>
      </c>
      <c r="F480" s="90" t="s">
        <v>746</v>
      </c>
      <c r="G480" s="305">
        <v>1</v>
      </c>
      <c r="H480" s="94"/>
      <c r="I480" s="94"/>
      <c r="J480" s="464">
        <f t="shared" si="9"/>
        <v>0</v>
      </c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  <c r="AC480" s="94"/>
      <c r="AD480" s="95">
        <v>550</v>
      </c>
      <c r="AE480" s="94"/>
      <c r="AF480" s="95">
        <v>0</v>
      </c>
      <c r="AG480" s="94"/>
      <c r="AH480" s="95">
        <v>550</v>
      </c>
      <c r="AI480" s="95">
        <v>0</v>
      </c>
    </row>
  </sheetData>
  <mergeCells count="2">
    <mergeCell ref="A1:E1"/>
    <mergeCell ref="B2:C2"/>
  </mergeCells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9" tint="0.39997558519241921"/>
  </sheetPr>
  <dimension ref="A1:AH75"/>
  <sheetViews>
    <sheetView workbookViewId="0">
      <selection activeCell="D25" sqref="D25"/>
    </sheetView>
  </sheetViews>
  <sheetFormatPr defaultRowHeight="15" x14ac:dyDescent="0.25"/>
  <cols>
    <col min="1" max="1" width="14.7109375" customWidth="1"/>
    <col min="2" max="2" width="11.5703125" customWidth="1"/>
    <col min="3" max="3" width="28.42578125" customWidth="1"/>
    <col min="4" max="4" width="23.28515625" customWidth="1"/>
    <col min="5" max="5" width="14.85546875" bestFit="1" customWidth="1"/>
    <col min="6" max="6" width="30.140625" customWidth="1"/>
    <col min="7" max="7" width="14.42578125" bestFit="1" customWidth="1"/>
    <col min="8" max="8" width="10.7109375" bestFit="1" customWidth="1"/>
    <col min="9" max="9" width="10" bestFit="1" customWidth="1"/>
    <col min="10" max="10" width="10.7109375" bestFit="1" customWidth="1"/>
  </cols>
  <sheetData>
    <row r="1" spans="1:34" ht="15.75" thickBot="1" x14ac:dyDescent="0.3"/>
    <row r="2" spans="1:34" s="714" customFormat="1" ht="25.5" customHeight="1" thickBot="1" x14ac:dyDescent="0.3">
      <c r="A2" s="717"/>
      <c r="B2" s="718"/>
      <c r="C2" s="718"/>
      <c r="D2" s="718"/>
      <c r="E2" s="719"/>
      <c r="F2" s="313"/>
      <c r="G2" s="313" t="s">
        <v>1</v>
      </c>
      <c r="H2" s="313" t="s">
        <v>14</v>
      </c>
      <c r="I2" s="313" t="s">
        <v>678</v>
      </c>
      <c r="J2" s="313" t="s">
        <v>286</v>
      </c>
      <c r="K2" s="313" t="s">
        <v>2</v>
      </c>
      <c r="L2" s="313" t="s">
        <v>679</v>
      </c>
      <c r="M2" s="313" t="s">
        <v>693</v>
      </c>
      <c r="N2" s="313" t="s">
        <v>694</v>
      </c>
      <c r="O2" s="313" t="s">
        <v>198</v>
      </c>
      <c r="P2" s="313" t="s">
        <v>196</v>
      </c>
      <c r="Q2" s="313" t="s">
        <v>695</v>
      </c>
      <c r="R2" s="313" t="s">
        <v>589</v>
      </c>
      <c r="S2" s="313" t="s">
        <v>681</v>
      </c>
      <c r="T2" s="313" t="s">
        <v>682</v>
      </c>
      <c r="U2" s="313" t="s">
        <v>683</v>
      </c>
      <c r="V2" s="313" t="s">
        <v>677</v>
      </c>
      <c r="W2" s="313" t="s">
        <v>684</v>
      </c>
      <c r="X2" s="313" t="s">
        <v>643</v>
      </c>
      <c r="Y2" s="313" t="s">
        <v>294</v>
      </c>
      <c r="Z2" s="313" t="s">
        <v>6</v>
      </c>
      <c r="AA2" s="313" t="s">
        <v>647</v>
      </c>
      <c r="AB2" s="313" t="s">
        <v>7</v>
      </c>
      <c r="AC2" s="313" t="s">
        <v>685</v>
      </c>
      <c r="AD2" s="313" t="s">
        <v>157</v>
      </c>
      <c r="AE2" s="313" t="s">
        <v>696</v>
      </c>
      <c r="AF2" s="313" t="s">
        <v>158</v>
      </c>
      <c r="AG2" s="313" t="s">
        <v>159</v>
      </c>
      <c r="AH2" s="313" t="s">
        <v>160</v>
      </c>
    </row>
    <row r="3" spans="1:34" s="714" customFormat="1" ht="15.75" thickBot="1" x14ac:dyDescent="0.3">
      <c r="A3" s="313" t="s">
        <v>161</v>
      </c>
      <c r="B3" s="720" t="s">
        <v>12</v>
      </c>
      <c r="C3" s="721"/>
      <c r="D3" s="313" t="s">
        <v>11</v>
      </c>
      <c r="E3" s="313" t="s">
        <v>523</v>
      </c>
      <c r="F3" s="313" t="s">
        <v>699</v>
      </c>
      <c r="G3" s="313" t="s">
        <v>15</v>
      </c>
      <c r="H3" s="313" t="s">
        <v>14</v>
      </c>
      <c r="I3" s="313" t="s">
        <v>15</v>
      </c>
      <c r="J3" s="313" t="s">
        <v>15</v>
      </c>
      <c r="K3" s="313" t="s">
        <v>15</v>
      </c>
      <c r="L3" s="313" t="s">
        <v>15</v>
      </c>
      <c r="M3" s="315"/>
      <c r="N3" s="315"/>
      <c r="O3" s="313" t="s">
        <v>15</v>
      </c>
      <c r="P3" s="313" t="s">
        <v>15</v>
      </c>
      <c r="Q3" s="313" t="s">
        <v>15</v>
      </c>
      <c r="R3" s="313" t="s">
        <v>15</v>
      </c>
      <c r="S3" s="313" t="s">
        <v>15</v>
      </c>
      <c r="T3" s="313" t="s">
        <v>15</v>
      </c>
      <c r="U3" s="313" t="s">
        <v>15</v>
      </c>
      <c r="V3" s="313" t="s">
        <v>15</v>
      </c>
      <c r="W3" s="313" t="s">
        <v>15</v>
      </c>
      <c r="X3" s="313" t="s">
        <v>15</v>
      </c>
      <c r="Y3" s="313" t="s">
        <v>15</v>
      </c>
      <c r="Z3" s="313" t="s">
        <v>15</v>
      </c>
      <c r="AA3" s="315"/>
      <c r="AB3" s="315"/>
      <c r="AC3" s="315"/>
      <c r="AD3" s="313" t="s">
        <v>15</v>
      </c>
      <c r="AE3" s="315"/>
      <c r="AF3" s="315"/>
      <c r="AG3" s="313" t="s">
        <v>15</v>
      </c>
      <c r="AH3" s="313" t="s">
        <v>15</v>
      </c>
    </row>
    <row r="4" spans="1:34" ht="15.75" thickBot="1" x14ac:dyDescent="0.3">
      <c r="A4" s="90" t="s">
        <v>869</v>
      </c>
      <c r="B4" s="90" t="s">
        <v>45</v>
      </c>
      <c r="C4" s="90" t="s">
        <v>46</v>
      </c>
      <c r="D4" s="90" t="s">
        <v>165</v>
      </c>
      <c r="E4" s="90" t="s">
        <v>726</v>
      </c>
      <c r="F4" s="90" t="s">
        <v>511</v>
      </c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3">
        <v>7278.5</v>
      </c>
      <c r="AD4" s="93">
        <v>0</v>
      </c>
      <c r="AE4" s="92"/>
      <c r="AF4" s="92"/>
      <c r="AG4" s="93">
        <v>7278.5</v>
      </c>
      <c r="AH4" s="93">
        <v>0</v>
      </c>
    </row>
    <row r="5" spans="1:34" ht="15.75" thickBot="1" x14ac:dyDescent="0.3">
      <c r="A5" s="90" t="s">
        <v>869</v>
      </c>
      <c r="B5" s="90" t="s">
        <v>45</v>
      </c>
      <c r="C5" s="90" t="s">
        <v>46</v>
      </c>
      <c r="D5" s="90" t="s">
        <v>165</v>
      </c>
      <c r="E5" s="90" t="s">
        <v>726</v>
      </c>
      <c r="F5" s="90" t="s">
        <v>697</v>
      </c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5">
        <v>7278.5</v>
      </c>
      <c r="AD5" s="95">
        <v>0</v>
      </c>
      <c r="AE5" s="94"/>
      <c r="AF5" s="94"/>
      <c r="AG5" s="95">
        <v>7278.5</v>
      </c>
      <c r="AH5" s="95">
        <v>0</v>
      </c>
    </row>
    <row r="6" spans="1:34" ht="15.75" thickBot="1" x14ac:dyDescent="0.3">
      <c r="A6" s="90" t="s">
        <v>869</v>
      </c>
      <c r="B6" s="90" t="s">
        <v>45</v>
      </c>
      <c r="C6" s="90" t="s">
        <v>46</v>
      </c>
      <c r="D6" s="90" t="s">
        <v>165</v>
      </c>
      <c r="E6" s="90" t="s">
        <v>528</v>
      </c>
      <c r="F6" s="90" t="s">
        <v>698</v>
      </c>
      <c r="G6" s="93">
        <v>180</v>
      </c>
      <c r="H6" s="92"/>
      <c r="I6" s="93">
        <v>180</v>
      </c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3">
        <v>0</v>
      </c>
      <c r="AE6" s="92"/>
      <c r="AF6" s="92"/>
      <c r="AG6" s="93">
        <v>180</v>
      </c>
      <c r="AH6" s="93">
        <v>0</v>
      </c>
    </row>
    <row r="7" spans="1:34" ht="15.75" thickBot="1" x14ac:dyDescent="0.3">
      <c r="A7" s="90" t="s">
        <v>869</v>
      </c>
      <c r="B7" s="90" t="s">
        <v>45</v>
      </c>
      <c r="C7" s="90" t="s">
        <v>46</v>
      </c>
      <c r="D7" s="90" t="s">
        <v>165</v>
      </c>
      <c r="E7" s="90" t="s">
        <v>528</v>
      </c>
      <c r="F7" s="90" t="s">
        <v>697</v>
      </c>
      <c r="G7" s="95">
        <v>180</v>
      </c>
      <c r="H7" s="94"/>
      <c r="I7" s="95">
        <v>180</v>
      </c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5">
        <v>0</v>
      </c>
      <c r="AE7" s="94"/>
      <c r="AF7" s="94"/>
      <c r="AG7" s="95">
        <v>180</v>
      </c>
      <c r="AH7" s="95">
        <v>0</v>
      </c>
    </row>
    <row r="8" spans="1:34" ht="15.75" thickBot="1" x14ac:dyDescent="0.3">
      <c r="A8" s="90" t="s">
        <v>869</v>
      </c>
      <c r="B8" s="90" t="s">
        <v>45</v>
      </c>
      <c r="C8" s="90" t="s">
        <v>46</v>
      </c>
      <c r="D8" s="90" t="s">
        <v>165</v>
      </c>
      <c r="E8" s="90" t="s">
        <v>547</v>
      </c>
      <c r="F8" s="90" t="s">
        <v>698</v>
      </c>
      <c r="G8" s="93">
        <v>186513.62</v>
      </c>
      <c r="H8" s="92"/>
      <c r="I8" s="92"/>
      <c r="J8" s="93">
        <v>186513.62</v>
      </c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3">
        <v>0</v>
      </c>
      <c r="AE8" s="92"/>
      <c r="AF8" s="92"/>
      <c r="AG8" s="93">
        <v>186513.62</v>
      </c>
      <c r="AH8" s="93">
        <v>0</v>
      </c>
    </row>
    <row r="9" spans="1:34" ht="15.75" thickBot="1" x14ac:dyDescent="0.3">
      <c r="A9" s="90" t="s">
        <v>869</v>
      </c>
      <c r="B9" s="90" t="s">
        <v>45</v>
      </c>
      <c r="C9" s="90" t="s">
        <v>46</v>
      </c>
      <c r="D9" s="90" t="s">
        <v>165</v>
      </c>
      <c r="E9" s="90" t="s">
        <v>547</v>
      </c>
      <c r="F9" s="90" t="s">
        <v>697</v>
      </c>
      <c r="G9" s="95">
        <v>186513.62</v>
      </c>
      <c r="H9" s="94"/>
      <c r="I9" s="94"/>
      <c r="J9" s="95">
        <v>186513.62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5">
        <v>0</v>
      </c>
      <c r="AE9" s="94"/>
      <c r="AF9" s="94"/>
      <c r="AG9" s="95">
        <v>186513.62</v>
      </c>
      <c r="AH9" s="95">
        <v>0</v>
      </c>
    </row>
    <row r="10" spans="1:34" ht="15.75" thickBot="1" x14ac:dyDescent="0.3">
      <c r="A10" s="90" t="s">
        <v>869</v>
      </c>
      <c r="B10" s="90" t="s">
        <v>45</v>
      </c>
      <c r="C10" s="90" t="s">
        <v>46</v>
      </c>
      <c r="D10" s="90" t="s">
        <v>165</v>
      </c>
      <c r="E10" s="90" t="s">
        <v>518</v>
      </c>
      <c r="F10" s="90" t="s">
        <v>698</v>
      </c>
      <c r="G10" s="93">
        <v>16516.8</v>
      </c>
      <c r="H10" s="93">
        <v>496149</v>
      </c>
      <c r="I10" s="92"/>
      <c r="J10" s="92"/>
      <c r="K10" s="93">
        <v>16516.8</v>
      </c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3">
        <v>0</v>
      </c>
      <c r="AE10" s="92"/>
      <c r="AF10" s="92"/>
      <c r="AG10" s="93">
        <v>16516.8</v>
      </c>
      <c r="AH10" s="93">
        <v>0</v>
      </c>
    </row>
    <row r="11" spans="1:34" ht="15.75" thickBot="1" x14ac:dyDescent="0.3">
      <c r="A11" s="90" t="s">
        <v>869</v>
      </c>
      <c r="B11" s="90" t="s">
        <v>45</v>
      </c>
      <c r="C11" s="90" t="s">
        <v>46</v>
      </c>
      <c r="D11" s="90" t="s">
        <v>165</v>
      </c>
      <c r="E11" s="90" t="s">
        <v>518</v>
      </c>
      <c r="F11" s="90" t="s">
        <v>697</v>
      </c>
      <c r="G11" s="95">
        <v>16516.8</v>
      </c>
      <c r="H11" s="305">
        <v>496149</v>
      </c>
      <c r="I11" s="94"/>
      <c r="J11" s="94"/>
      <c r="K11" s="95">
        <v>16516.8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5">
        <v>0</v>
      </c>
      <c r="AE11" s="94"/>
      <c r="AF11" s="94"/>
      <c r="AG11" s="95">
        <v>16516.8</v>
      </c>
      <c r="AH11" s="95">
        <v>0</v>
      </c>
    </row>
    <row r="12" spans="1:34" ht="15.75" thickBot="1" x14ac:dyDescent="0.3">
      <c r="A12" s="90" t="s">
        <v>869</v>
      </c>
      <c r="B12" s="90" t="s">
        <v>45</v>
      </c>
      <c r="C12" s="90" t="s">
        <v>46</v>
      </c>
      <c r="D12" s="90" t="s">
        <v>165</v>
      </c>
      <c r="E12" s="90" t="s">
        <v>673</v>
      </c>
      <c r="F12" s="90" t="s">
        <v>511</v>
      </c>
      <c r="G12" s="93">
        <v>245.08</v>
      </c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3">
        <v>245.08</v>
      </c>
      <c r="Y12" s="92"/>
      <c r="Z12" s="92"/>
      <c r="AA12" s="92"/>
      <c r="AB12" s="92"/>
      <c r="AC12" s="92"/>
      <c r="AD12" s="93">
        <v>0</v>
      </c>
      <c r="AE12" s="92"/>
      <c r="AF12" s="92"/>
      <c r="AG12" s="93">
        <v>245.08</v>
      </c>
      <c r="AH12" s="93">
        <v>0</v>
      </c>
    </row>
    <row r="13" spans="1:34" ht="15.75" thickBot="1" x14ac:dyDescent="0.3">
      <c r="A13" s="90" t="s">
        <v>869</v>
      </c>
      <c r="B13" s="90" t="s">
        <v>45</v>
      </c>
      <c r="C13" s="90" t="s">
        <v>46</v>
      </c>
      <c r="D13" s="90" t="s">
        <v>165</v>
      </c>
      <c r="E13" s="90" t="s">
        <v>673</v>
      </c>
      <c r="F13" s="90" t="s">
        <v>697</v>
      </c>
      <c r="G13" s="95">
        <v>245.08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5">
        <v>245.08</v>
      </c>
      <c r="Y13" s="94"/>
      <c r="Z13" s="94"/>
      <c r="AA13" s="94"/>
      <c r="AB13" s="94"/>
      <c r="AC13" s="94"/>
      <c r="AD13" s="95">
        <v>0</v>
      </c>
      <c r="AE13" s="94"/>
      <c r="AF13" s="94"/>
      <c r="AG13" s="95">
        <v>245.08</v>
      </c>
      <c r="AH13" s="95">
        <v>0</v>
      </c>
    </row>
    <row r="14" spans="1:34" ht="15.75" thickBot="1" x14ac:dyDescent="0.3">
      <c r="A14" s="90" t="s">
        <v>869</v>
      </c>
      <c r="B14" s="90" t="s">
        <v>45</v>
      </c>
      <c r="C14" s="90" t="s">
        <v>46</v>
      </c>
      <c r="D14" s="90" t="s">
        <v>165</v>
      </c>
      <c r="E14" s="90" t="s">
        <v>196</v>
      </c>
      <c r="F14" s="90" t="s">
        <v>511</v>
      </c>
      <c r="G14" s="93">
        <v>160469.47</v>
      </c>
      <c r="H14" s="92"/>
      <c r="I14" s="92"/>
      <c r="J14" s="92"/>
      <c r="K14" s="92"/>
      <c r="L14" s="92"/>
      <c r="M14" s="92"/>
      <c r="N14" s="92"/>
      <c r="O14" s="92"/>
      <c r="P14" s="93">
        <v>160469.47</v>
      </c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3">
        <v>0</v>
      </c>
      <c r="AE14" s="92"/>
      <c r="AF14" s="92"/>
      <c r="AG14" s="93">
        <v>160469.47</v>
      </c>
      <c r="AH14" s="93">
        <v>0</v>
      </c>
    </row>
    <row r="15" spans="1:34" ht="15.75" thickBot="1" x14ac:dyDescent="0.3">
      <c r="A15" s="90" t="s">
        <v>869</v>
      </c>
      <c r="B15" s="90" t="s">
        <v>45</v>
      </c>
      <c r="C15" s="90" t="s">
        <v>46</v>
      </c>
      <c r="D15" s="90" t="s">
        <v>165</v>
      </c>
      <c r="E15" s="90" t="s">
        <v>196</v>
      </c>
      <c r="F15" s="90" t="s">
        <v>697</v>
      </c>
      <c r="G15" s="95">
        <v>160469.47</v>
      </c>
      <c r="H15" s="94"/>
      <c r="I15" s="94"/>
      <c r="J15" s="94"/>
      <c r="K15" s="94"/>
      <c r="L15" s="94"/>
      <c r="M15" s="94"/>
      <c r="N15" s="94"/>
      <c r="O15" s="94"/>
      <c r="P15" s="95">
        <v>160469.47</v>
      </c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5">
        <v>0</v>
      </c>
      <c r="AE15" s="94"/>
      <c r="AF15" s="94"/>
      <c r="AG15" s="95">
        <v>160469.47</v>
      </c>
      <c r="AH15" s="95">
        <v>0</v>
      </c>
    </row>
    <row r="16" spans="1:34" ht="15.75" thickBot="1" x14ac:dyDescent="0.3">
      <c r="A16" s="90" t="s">
        <v>885</v>
      </c>
      <c r="B16" s="90" t="s">
        <v>45</v>
      </c>
      <c r="C16" s="90" t="s">
        <v>46</v>
      </c>
      <c r="D16" s="90" t="s">
        <v>165</v>
      </c>
      <c r="E16" s="90" t="s">
        <v>528</v>
      </c>
      <c r="F16" s="90" t="s">
        <v>698</v>
      </c>
      <c r="G16" s="95">
        <v>180</v>
      </c>
      <c r="H16" s="94"/>
      <c r="I16" s="95">
        <v>180</v>
      </c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5">
        <v>0</v>
      </c>
      <c r="AE16" s="94"/>
      <c r="AF16" s="94"/>
      <c r="AG16" s="95">
        <v>180</v>
      </c>
      <c r="AH16" s="95">
        <v>0</v>
      </c>
    </row>
    <row r="17" spans="1:34" ht="15.75" thickBot="1" x14ac:dyDescent="0.3">
      <c r="A17" s="90" t="s">
        <v>885</v>
      </c>
      <c r="B17" s="90" t="s">
        <v>45</v>
      </c>
      <c r="C17" s="90" t="s">
        <v>46</v>
      </c>
      <c r="D17" s="90" t="s">
        <v>165</v>
      </c>
      <c r="E17" s="90" t="s">
        <v>528</v>
      </c>
      <c r="F17" s="90" t="s">
        <v>697</v>
      </c>
      <c r="G17" s="93">
        <v>180</v>
      </c>
      <c r="H17" s="92"/>
      <c r="I17" s="93">
        <v>180</v>
      </c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3">
        <v>0</v>
      </c>
      <c r="AE17" s="92"/>
      <c r="AF17" s="92"/>
      <c r="AG17" s="93">
        <v>180</v>
      </c>
      <c r="AH17" s="93">
        <v>0</v>
      </c>
    </row>
    <row r="18" spans="1:34" ht="15.75" thickBot="1" x14ac:dyDescent="0.3">
      <c r="A18" s="90" t="s">
        <v>885</v>
      </c>
      <c r="B18" s="90" t="s">
        <v>45</v>
      </c>
      <c r="C18" s="90" t="s">
        <v>46</v>
      </c>
      <c r="D18" s="90" t="s">
        <v>165</v>
      </c>
      <c r="E18" s="90" t="s">
        <v>547</v>
      </c>
      <c r="F18" s="90" t="s">
        <v>698</v>
      </c>
      <c r="G18" s="95">
        <v>186513.62</v>
      </c>
      <c r="H18" s="94"/>
      <c r="I18" s="94"/>
      <c r="J18" s="95">
        <v>186513.62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5">
        <v>0</v>
      </c>
      <c r="AE18" s="94"/>
      <c r="AF18" s="94"/>
      <c r="AG18" s="95">
        <v>186513.62</v>
      </c>
      <c r="AH18" s="95">
        <v>0</v>
      </c>
    </row>
    <row r="19" spans="1:34" ht="15.75" thickBot="1" x14ac:dyDescent="0.3">
      <c r="A19" s="90" t="s">
        <v>885</v>
      </c>
      <c r="B19" s="90" t="s">
        <v>45</v>
      </c>
      <c r="C19" s="90" t="s">
        <v>46</v>
      </c>
      <c r="D19" s="90" t="s">
        <v>165</v>
      </c>
      <c r="E19" s="90" t="s">
        <v>547</v>
      </c>
      <c r="F19" s="90" t="s">
        <v>697</v>
      </c>
      <c r="G19" s="93">
        <v>186513.62</v>
      </c>
      <c r="H19" s="92"/>
      <c r="I19" s="92"/>
      <c r="J19" s="93">
        <v>186513.62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3">
        <v>0</v>
      </c>
      <c r="AE19" s="92"/>
      <c r="AF19" s="92"/>
      <c r="AG19" s="93">
        <v>186513.62</v>
      </c>
      <c r="AH19" s="93">
        <v>0</v>
      </c>
    </row>
    <row r="20" spans="1:34" ht="15.75" thickBot="1" x14ac:dyDescent="0.3">
      <c r="A20" s="90" t="s">
        <v>885</v>
      </c>
      <c r="B20" s="90" t="s">
        <v>45</v>
      </c>
      <c r="C20" s="90" t="s">
        <v>46</v>
      </c>
      <c r="D20" s="90" t="s">
        <v>165</v>
      </c>
      <c r="E20" s="90" t="s">
        <v>518</v>
      </c>
      <c r="F20" s="90" t="s">
        <v>698</v>
      </c>
      <c r="G20" s="95">
        <v>4919.33</v>
      </c>
      <c r="H20" s="95">
        <v>147772</v>
      </c>
      <c r="I20" s="94"/>
      <c r="J20" s="94"/>
      <c r="K20" s="95">
        <v>4919.33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5">
        <v>0</v>
      </c>
      <c r="AE20" s="94"/>
      <c r="AF20" s="94"/>
      <c r="AG20" s="95">
        <v>4919.33</v>
      </c>
      <c r="AH20" s="95">
        <v>0</v>
      </c>
    </row>
    <row r="21" spans="1:34" ht="15.75" thickBot="1" x14ac:dyDescent="0.3">
      <c r="A21" s="90" t="s">
        <v>885</v>
      </c>
      <c r="B21" s="90" t="s">
        <v>45</v>
      </c>
      <c r="C21" s="90" t="s">
        <v>46</v>
      </c>
      <c r="D21" s="90" t="s">
        <v>165</v>
      </c>
      <c r="E21" s="90" t="s">
        <v>518</v>
      </c>
      <c r="F21" s="90" t="s">
        <v>697</v>
      </c>
      <c r="G21" s="93">
        <v>4919.33</v>
      </c>
      <c r="H21" s="304">
        <v>147772</v>
      </c>
      <c r="I21" s="92"/>
      <c r="J21" s="92"/>
      <c r="K21" s="93">
        <v>4919.33</v>
      </c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3">
        <v>0</v>
      </c>
      <c r="AE21" s="92"/>
      <c r="AF21" s="92"/>
      <c r="AG21" s="93">
        <v>4919.33</v>
      </c>
      <c r="AH21" s="93">
        <v>0</v>
      </c>
    </row>
    <row r="22" spans="1:34" ht="15.75" thickBot="1" x14ac:dyDescent="0.3">
      <c r="A22" s="90" t="s">
        <v>885</v>
      </c>
      <c r="B22" s="90" t="s">
        <v>45</v>
      </c>
      <c r="C22" s="90" t="s">
        <v>46</v>
      </c>
      <c r="D22" s="90" t="s">
        <v>165</v>
      </c>
      <c r="E22" s="90" t="s">
        <v>673</v>
      </c>
      <c r="F22" s="90" t="s">
        <v>511</v>
      </c>
      <c r="G22" s="95">
        <v>246.04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5">
        <v>246.04</v>
      </c>
      <c r="Y22" s="94"/>
      <c r="Z22" s="94"/>
      <c r="AA22" s="94"/>
      <c r="AB22" s="94"/>
      <c r="AC22" s="94"/>
      <c r="AD22" s="95">
        <v>0</v>
      </c>
      <c r="AE22" s="94"/>
      <c r="AF22" s="94"/>
      <c r="AG22" s="95">
        <v>246.04</v>
      </c>
      <c r="AH22" s="95">
        <v>0</v>
      </c>
    </row>
    <row r="23" spans="1:34" ht="15.75" thickBot="1" x14ac:dyDescent="0.3">
      <c r="A23" s="90" t="s">
        <v>885</v>
      </c>
      <c r="B23" s="90" t="s">
        <v>45</v>
      </c>
      <c r="C23" s="90" t="s">
        <v>46</v>
      </c>
      <c r="D23" s="90" t="s">
        <v>165</v>
      </c>
      <c r="E23" s="90" t="s">
        <v>673</v>
      </c>
      <c r="F23" s="90" t="s">
        <v>697</v>
      </c>
      <c r="G23" s="93">
        <v>246.04</v>
      </c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3">
        <v>246.04</v>
      </c>
      <c r="Y23" s="92"/>
      <c r="Z23" s="92"/>
      <c r="AA23" s="92"/>
      <c r="AB23" s="92"/>
      <c r="AC23" s="92"/>
      <c r="AD23" s="93">
        <v>0</v>
      </c>
      <c r="AE23" s="92"/>
      <c r="AF23" s="92"/>
      <c r="AG23" s="93">
        <v>246.04</v>
      </c>
      <c r="AH23" s="93">
        <v>0</v>
      </c>
    </row>
    <row r="24" spans="1:34" ht="15.75" thickBot="1" x14ac:dyDescent="0.3">
      <c r="A24" s="90" t="s">
        <v>885</v>
      </c>
      <c r="B24" s="90" t="s">
        <v>45</v>
      </c>
      <c r="C24" s="90" t="s">
        <v>46</v>
      </c>
      <c r="D24" s="90" t="s">
        <v>165</v>
      </c>
      <c r="E24" s="90" t="s">
        <v>196</v>
      </c>
      <c r="F24" s="90" t="s">
        <v>511</v>
      </c>
      <c r="G24" s="95">
        <v>47793.9</v>
      </c>
      <c r="H24" s="94"/>
      <c r="I24" s="94"/>
      <c r="J24" s="94"/>
      <c r="K24" s="94"/>
      <c r="L24" s="94"/>
      <c r="M24" s="94"/>
      <c r="N24" s="94"/>
      <c r="O24" s="94"/>
      <c r="P24" s="95">
        <v>47793.9</v>
      </c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5">
        <v>0</v>
      </c>
      <c r="AE24" s="94"/>
      <c r="AF24" s="94"/>
      <c r="AG24" s="95">
        <v>47793.9</v>
      </c>
      <c r="AH24" s="95">
        <v>0</v>
      </c>
    </row>
    <row r="25" spans="1:34" ht="15.75" thickBot="1" x14ac:dyDescent="0.3">
      <c r="A25" s="90" t="s">
        <v>885</v>
      </c>
      <c r="B25" s="90" t="s">
        <v>45</v>
      </c>
      <c r="C25" s="90" t="s">
        <v>46</v>
      </c>
      <c r="D25" s="90" t="s">
        <v>165</v>
      </c>
      <c r="E25" s="90" t="s">
        <v>196</v>
      </c>
      <c r="F25" s="90" t="s">
        <v>697</v>
      </c>
      <c r="G25" s="93">
        <v>47793.9</v>
      </c>
      <c r="H25" s="92"/>
      <c r="I25" s="92"/>
      <c r="J25" s="92"/>
      <c r="K25" s="92"/>
      <c r="L25" s="92"/>
      <c r="M25" s="92"/>
      <c r="N25" s="92"/>
      <c r="O25" s="92"/>
      <c r="P25" s="93">
        <v>47793.9</v>
      </c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3">
        <v>0</v>
      </c>
      <c r="AE25" s="92"/>
      <c r="AF25" s="92"/>
      <c r="AG25" s="93">
        <v>47793.9</v>
      </c>
      <c r="AH25" s="93">
        <v>0</v>
      </c>
    </row>
    <row r="26" spans="1:34" ht="15.75" thickBot="1" x14ac:dyDescent="0.3">
      <c r="A26" s="90" t="s">
        <v>871</v>
      </c>
      <c r="B26" s="90" t="s">
        <v>45</v>
      </c>
      <c r="C26" s="90" t="s">
        <v>46</v>
      </c>
      <c r="D26" s="90" t="s">
        <v>165</v>
      </c>
      <c r="E26" s="90" t="s">
        <v>528</v>
      </c>
      <c r="F26" s="90" t="s">
        <v>698</v>
      </c>
      <c r="G26" s="95">
        <v>180</v>
      </c>
      <c r="H26" s="94"/>
      <c r="I26" s="95">
        <v>180</v>
      </c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5">
        <v>0</v>
      </c>
      <c r="AE26" s="94"/>
      <c r="AF26" s="94"/>
      <c r="AG26" s="95">
        <v>180</v>
      </c>
      <c r="AH26" s="95">
        <v>0</v>
      </c>
    </row>
    <row r="27" spans="1:34" ht="15.75" thickBot="1" x14ac:dyDescent="0.3">
      <c r="A27" s="90" t="s">
        <v>871</v>
      </c>
      <c r="B27" s="90" t="s">
        <v>45</v>
      </c>
      <c r="C27" s="90" t="s">
        <v>46</v>
      </c>
      <c r="D27" s="90" t="s">
        <v>165</v>
      </c>
      <c r="E27" s="90" t="s">
        <v>528</v>
      </c>
      <c r="F27" s="90" t="s">
        <v>697</v>
      </c>
      <c r="G27" s="93">
        <v>180</v>
      </c>
      <c r="H27" s="92"/>
      <c r="I27" s="93">
        <v>180</v>
      </c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3">
        <v>0</v>
      </c>
      <c r="AE27" s="92"/>
      <c r="AF27" s="92"/>
      <c r="AG27" s="93">
        <v>180</v>
      </c>
      <c r="AH27" s="93">
        <v>0</v>
      </c>
    </row>
    <row r="28" spans="1:34" ht="15.75" thickBot="1" x14ac:dyDescent="0.3">
      <c r="A28" s="90" t="s">
        <v>871</v>
      </c>
      <c r="B28" s="90" t="s">
        <v>45</v>
      </c>
      <c r="C28" s="90" t="s">
        <v>46</v>
      </c>
      <c r="D28" s="90" t="s">
        <v>165</v>
      </c>
      <c r="E28" s="90" t="s">
        <v>547</v>
      </c>
      <c r="F28" s="90" t="s">
        <v>698</v>
      </c>
      <c r="G28" s="95">
        <v>186513.62</v>
      </c>
      <c r="H28" s="94"/>
      <c r="I28" s="94"/>
      <c r="J28" s="95">
        <v>186513.62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5">
        <v>0</v>
      </c>
      <c r="AE28" s="94"/>
      <c r="AF28" s="94"/>
      <c r="AG28" s="95">
        <v>186513.62</v>
      </c>
      <c r="AH28" s="95">
        <v>0</v>
      </c>
    </row>
    <row r="29" spans="1:34" ht="15.75" thickBot="1" x14ac:dyDescent="0.3">
      <c r="A29" s="90" t="s">
        <v>871</v>
      </c>
      <c r="B29" s="90" t="s">
        <v>45</v>
      </c>
      <c r="C29" s="90" t="s">
        <v>46</v>
      </c>
      <c r="D29" s="90" t="s">
        <v>165</v>
      </c>
      <c r="E29" s="90" t="s">
        <v>547</v>
      </c>
      <c r="F29" s="90" t="s">
        <v>697</v>
      </c>
      <c r="G29" s="93">
        <v>186513.62</v>
      </c>
      <c r="H29" s="92"/>
      <c r="I29" s="92"/>
      <c r="J29" s="93">
        <v>186513.62</v>
      </c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3">
        <v>0</v>
      </c>
      <c r="AE29" s="92"/>
      <c r="AF29" s="92"/>
      <c r="AG29" s="93">
        <v>186513.62</v>
      </c>
      <c r="AH29" s="93">
        <v>0</v>
      </c>
    </row>
    <row r="30" spans="1:34" ht="15.75" thickBot="1" x14ac:dyDescent="0.3">
      <c r="A30" s="90" t="s">
        <v>871</v>
      </c>
      <c r="B30" s="90" t="s">
        <v>45</v>
      </c>
      <c r="C30" s="90" t="s">
        <v>46</v>
      </c>
      <c r="D30" s="90" t="s">
        <v>165</v>
      </c>
      <c r="E30" s="90" t="s">
        <v>518</v>
      </c>
      <c r="F30" s="90" t="s">
        <v>698</v>
      </c>
      <c r="G30" s="95">
        <v>6702.68</v>
      </c>
      <c r="H30" s="95">
        <v>201342</v>
      </c>
      <c r="I30" s="94"/>
      <c r="J30" s="94"/>
      <c r="K30" s="95">
        <v>6702.68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5">
        <v>0</v>
      </c>
      <c r="AE30" s="94"/>
      <c r="AF30" s="94"/>
      <c r="AG30" s="95">
        <v>6702.68</v>
      </c>
      <c r="AH30" s="95">
        <v>0</v>
      </c>
    </row>
    <row r="31" spans="1:34" ht="15.75" thickBot="1" x14ac:dyDescent="0.3">
      <c r="A31" s="90" t="s">
        <v>871</v>
      </c>
      <c r="B31" s="90" t="s">
        <v>45</v>
      </c>
      <c r="C31" s="90" t="s">
        <v>46</v>
      </c>
      <c r="D31" s="90" t="s">
        <v>165</v>
      </c>
      <c r="E31" s="90" t="s">
        <v>518</v>
      </c>
      <c r="F31" s="90" t="s">
        <v>697</v>
      </c>
      <c r="G31" s="93">
        <v>6702.68</v>
      </c>
      <c r="H31" s="304">
        <v>201342</v>
      </c>
      <c r="I31" s="92"/>
      <c r="J31" s="92"/>
      <c r="K31" s="93">
        <v>6702.68</v>
      </c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3">
        <v>0</v>
      </c>
      <c r="AE31" s="92"/>
      <c r="AF31" s="92"/>
      <c r="AG31" s="93">
        <v>6702.68</v>
      </c>
      <c r="AH31" s="93">
        <v>0</v>
      </c>
    </row>
    <row r="32" spans="1:34" ht="15.75" thickBot="1" x14ac:dyDescent="0.3">
      <c r="A32" s="90" t="s">
        <v>871</v>
      </c>
      <c r="B32" s="90" t="s">
        <v>45</v>
      </c>
      <c r="C32" s="90" t="s">
        <v>46</v>
      </c>
      <c r="D32" s="90" t="s">
        <v>165</v>
      </c>
      <c r="E32" s="90" t="s">
        <v>673</v>
      </c>
      <c r="F32" s="90" t="s">
        <v>511</v>
      </c>
      <c r="G32" s="95">
        <v>259.54000000000002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5">
        <v>259.54000000000002</v>
      </c>
      <c r="Y32" s="94"/>
      <c r="Z32" s="94"/>
      <c r="AA32" s="94"/>
      <c r="AB32" s="94"/>
      <c r="AC32" s="94"/>
      <c r="AD32" s="95">
        <v>0</v>
      </c>
      <c r="AE32" s="94"/>
      <c r="AF32" s="94"/>
      <c r="AG32" s="95">
        <v>259.54000000000002</v>
      </c>
      <c r="AH32" s="95">
        <v>0</v>
      </c>
    </row>
    <row r="33" spans="1:34" ht="15.75" thickBot="1" x14ac:dyDescent="0.3">
      <c r="A33" s="90" t="s">
        <v>871</v>
      </c>
      <c r="B33" s="90" t="s">
        <v>45</v>
      </c>
      <c r="C33" s="90" t="s">
        <v>46</v>
      </c>
      <c r="D33" s="90" t="s">
        <v>165</v>
      </c>
      <c r="E33" s="90" t="s">
        <v>673</v>
      </c>
      <c r="F33" s="90" t="s">
        <v>697</v>
      </c>
      <c r="G33" s="93">
        <v>259.54000000000002</v>
      </c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3">
        <v>259.54000000000002</v>
      </c>
      <c r="Y33" s="92"/>
      <c r="Z33" s="92"/>
      <c r="AA33" s="92"/>
      <c r="AB33" s="92"/>
      <c r="AC33" s="92"/>
      <c r="AD33" s="93">
        <v>0</v>
      </c>
      <c r="AE33" s="92"/>
      <c r="AF33" s="92"/>
      <c r="AG33" s="93">
        <v>259.54000000000002</v>
      </c>
      <c r="AH33" s="93">
        <v>0</v>
      </c>
    </row>
    <row r="34" spans="1:34" ht="15.75" thickBot="1" x14ac:dyDescent="0.3">
      <c r="A34" s="90" t="s">
        <v>871</v>
      </c>
      <c r="B34" s="90" t="s">
        <v>45</v>
      </c>
      <c r="C34" s="90" t="s">
        <v>46</v>
      </c>
      <c r="D34" s="90" t="s">
        <v>165</v>
      </c>
      <c r="E34" s="90" t="s">
        <v>196</v>
      </c>
      <c r="F34" s="90" t="s">
        <v>511</v>
      </c>
      <c r="G34" s="95">
        <v>70731.44</v>
      </c>
      <c r="H34" s="94"/>
      <c r="I34" s="94"/>
      <c r="J34" s="94"/>
      <c r="K34" s="94"/>
      <c r="L34" s="94"/>
      <c r="M34" s="94"/>
      <c r="N34" s="94"/>
      <c r="O34" s="94"/>
      <c r="P34" s="95">
        <v>70731.44</v>
      </c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5">
        <v>0</v>
      </c>
      <c r="AE34" s="94"/>
      <c r="AF34" s="94"/>
      <c r="AG34" s="95">
        <v>70731.44</v>
      </c>
      <c r="AH34" s="95">
        <v>0</v>
      </c>
    </row>
    <row r="35" spans="1:34" ht="15.75" thickBot="1" x14ac:dyDescent="0.3">
      <c r="A35" s="90" t="s">
        <v>871</v>
      </c>
      <c r="B35" s="90" t="s">
        <v>45</v>
      </c>
      <c r="C35" s="90" t="s">
        <v>46</v>
      </c>
      <c r="D35" s="90" t="s">
        <v>165</v>
      </c>
      <c r="E35" s="90" t="s">
        <v>196</v>
      </c>
      <c r="F35" s="90" t="s">
        <v>697</v>
      </c>
      <c r="G35" s="93">
        <v>70731.44</v>
      </c>
      <c r="H35" s="92"/>
      <c r="I35" s="92"/>
      <c r="J35" s="92"/>
      <c r="K35" s="92"/>
      <c r="L35" s="92"/>
      <c r="M35" s="92"/>
      <c r="N35" s="92"/>
      <c r="O35" s="92"/>
      <c r="P35" s="93">
        <v>70731.44</v>
      </c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3">
        <v>0</v>
      </c>
      <c r="AE35" s="92"/>
      <c r="AF35" s="92"/>
      <c r="AG35" s="93">
        <v>70731.44</v>
      </c>
      <c r="AH35" s="93">
        <v>0</v>
      </c>
    </row>
    <row r="36" spans="1:34" ht="15.75" thickBot="1" x14ac:dyDescent="0.3">
      <c r="A36" s="90" t="s">
        <v>999</v>
      </c>
      <c r="B36" s="90" t="s">
        <v>45</v>
      </c>
      <c r="C36" s="90" t="s">
        <v>46</v>
      </c>
      <c r="D36" s="90" t="s">
        <v>165</v>
      </c>
      <c r="E36" s="90" t="s">
        <v>528</v>
      </c>
      <c r="F36" s="90" t="s">
        <v>698</v>
      </c>
      <c r="G36" s="93">
        <v>180</v>
      </c>
      <c r="H36" s="92"/>
      <c r="I36" s="93">
        <v>180</v>
      </c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3">
        <v>0</v>
      </c>
      <c r="AE36" s="92"/>
      <c r="AF36" s="92"/>
      <c r="AG36" s="93">
        <v>180</v>
      </c>
      <c r="AH36" s="93">
        <v>0</v>
      </c>
    </row>
    <row r="37" spans="1:34" ht="15.75" thickBot="1" x14ac:dyDescent="0.3">
      <c r="A37" s="90" t="s">
        <v>999</v>
      </c>
      <c r="B37" s="90" t="s">
        <v>45</v>
      </c>
      <c r="C37" s="90" t="s">
        <v>46</v>
      </c>
      <c r="D37" s="90" t="s">
        <v>165</v>
      </c>
      <c r="E37" s="90" t="s">
        <v>528</v>
      </c>
      <c r="F37" s="90" t="s">
        <v>697</v>
      </c>
      <c r="G37" s="95">
        <v>180</v>
      </c>
      <c r="H37" s="94"/>
      <c r="I37" s="95">
        <v>180</v>
      </c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5">
        <v>0</v>
      </c>
      <c r="AE37" s="94"/>
      <c r="AF37" s="94"/>
      <c r="AG37" s="95">
        <v>180</v>
      </c>
      <c r="AH37" s="95">
        <v>0</v>
      </c>
    </row>
    <row r="38" spans="1:34" ht="15.75" thickBot="1" x14ac:dyDescent="0.3">
      <c r="A38" s="90" t="s">
        <v>999</v>
      </c>
      <c r="B38" s="90" t="s">
        <v>45</v>
      </c>
      <c r="C38" s="90" t="s">
        <v>46</v>
      </c>
      <c r="D38" s="90" t="s">
        <v>165</v>
      </c>
      <c r="E38" s="90" t="s">
        <v>547</v>
      </c>
      <c r="F38" s="90" t="s">
        <v>698</v>
      </c>
      <c r="G38" s="93">
        <v>186513.62</v>
      </c>
      <c r="H38" s="92"/>
      <c r="I38" s="92"/>
      <c r="J38" s="93">
        <v>186513.62</v>
      </c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3">
        <v>0</v>
      </c>
      <c r="AE38" s="92"/>
      <c r="AF38" s="92"/>
      <c r="AG38" s="93">
        <v>186513.62</v>
      </c>
      <c r="AH38" s="93">
        <v>0</v>
      </c>
    </row>
    <row r="39" spans="1:34" ht="15.75" thickBot="1" x14ac:dyDescent="0.3">
      <c r="A39" s="90" t="s">
        <v>999</v>
      </c>
      <c r="B39" s="90" t="s">
        <v>45</v>
      </c>
      <c r="C39" s="90" t="s">
        <v>46</v>
      </c>
      <c r="D39" s="90" t="s">
        <v>165</v>
      </c>
      <c r="E39" s="90" t="s">
        <v>547</v>
      </c>
      <c r="F39" s="90" t="s">
        <v>697</v>
      </c>
      <c r="G39" s="95">
        <v>186513.62</v>
      </c>
      <c r="H39" s="94"/>
      <c r="I39" s="94"/>
      <c r="J39" s="95">
        <v>186513.62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5">
        <v>0</v>
      </c>
      <c r="AE39" s="94"/>
      <c r="AF39" s="94"/>
      <c r="AG39" s="95">
        <v>186513.62</v>
      </c>
      <c r="AH39" s="95">
        <v>0</v>
      </c>
    </row>
    <row r="40" spans="1:34" ht="15.75" thickBot="1" x14ac:dyDescent="0.3">
      <c r="A40" s="90" t="s">
        <v>999</v>
      </c>
      <c r="B40" s="90" t="s">
        <v>45</v>
      </c>
      <c r="C40" s="90" t="s">
        <v>46</v>
      </c>
      <c r="D40" s="90" t="s">
        <v>165</v>
      </c>
      <c r="E40" s="90" t="s">
        <v>518</v>
      </c>
      <c r="F40" s="90" t="s">
        <v>698</v>
      </c>
      <c r="G40" s="93">
        <v>8926.11</v>
      </c>
      <c r="H40" s="93">
        <v>268132</v>
      </c>
      <c r="I40" s="92"/>
      <c r="J40" s="92"/>
      <c r="K40" s="93">
        <v>8926.11</v>
      </c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3">
        <v>0</v>
      </c>
      <c r="AE40" s="92"/>
      <c r="AF40" s="92"/>
      <c r="AG40" s="93">
        <v>8926.11</v>
      </c>
      <c r="AH40" s="93">
        <v>0</v>
      </c>
    </row>
    <row r="41" spans="1:34" ht="15.75" thickBot="1" x14ac:dyDescent="0.3">
      <c r="A41" s="90" t="s">
        <v>999</v>
      </c>
      <c r="B41" s="90" t="s">
        <v>45</v>
      </c>
      <c r="C41" s="90" t="s">
        <v>46</v>
      </c>
      <c r="D41" s="90" t="s">
        <v>165</v>
      </c>
      <c r="E41" s="90" t="s">
        <v>518</v>
      </c>
      <c r="F41" s="90" t="s">
        <v>697</v>
      </c>
      <c r="G41" s="95">
        <v>8926.11</v>
      </c>
      <c r="H41" s="305">
        <v>268132</v>
      </c>
      <c r="I41" s="94"/>
      <c r="J41" s="94"/>
      <c r="K41" s="95">
        <v>8926.11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5">
        <v>0</v>
      </c>
      <c r="AE41" s="94"/>
      <c r="AF41" s="94"/>
      <c r="AG41" s="95">
        <v>8926.11</v>
      </c>
      <c r="AH41" s="95">
        <v>0</v>
      </c>
    </row>
    <row r="42" spans="1:34" ht="15.75" thickBot="1" x14ac:dyDescent="0.3">
      <c r="A42" s="90" t="s">
        <v>999</v>
      </c>
      <c r="B42" s="90" t="s">
        <v>45</v>
      </c>
      <c r="C42" s="90" t="s">
        <v>46</v>
      </c>
      <c r="D42" s="90" t="s">
        <v>165</v>
      </c>
      <c r="E42" s="90" t="s">
        <v>673</v>
      </c>
      <c r="F42" s="90" t="s">
        <v>511</v>
      </c>
      <c r="G42" s="93">
        <v>259.54000000000002</v>
      </c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3">
        <v>259.54000000000002</v>
      </c>
      <c r="Y42" s="92"/>
      <c r="Z42" s="92"/>
      <c r="AA42" s="92"/>
      <c r="AB42" s="92"/>
      <c r="AC42" s="92"/>
      <c r="AD42" s="93">
        <v>0</v>
      </c>
      <c r="AE42" s="92"/>
      <c r="AF42" s="92"/>
      <c r="AG42" s="93">
        <v>259.54000000000002</v>
      </c>
      <c r="AH42" s="93">
        <v>0</v>
      </c>
    </row>
    <row r="43" spans="1:34" ht="15.75" thickBot="1" x14ac:dyDescent="0.3">
      <c r="A43" s="90" t="s">
        <v>999</v>
      </c>
      <c r="B43" s="90" t="s">
        <v>45</v>
      </c>
      <c r="C43" s="90" t="s">
        <v>46</v>
      </c>
      <c r="D43" s="90" t="s">
        <v>165</v>
      </c>
      <c r="E43" s="90" t="s">
        <v>673</v>
      </c>
      <c r="F43" s="90" t="s">
        <v>697</v>
      </c>
      <c r="G43" s="95">
        <v>259.54000000000002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5">
        <v>259.54000000000002</v>
      </c>
      <c r="Y43" s="94"/>
      <c r="Z43" s="94"/>
      <c r="AA43" s="94"/>
      <c r="AB43" s="94"/>
      <c r="AC43" s="94"/>
      <c r="AD43" s="95">
        <v>0</v>
      </c>
      <c r="AE43" s="94"/>
      <c r="AF43" s="94"/>
      <c r="AG43" s="95">
        <v>259.54000000000002</v>
      </c>
      <c r="AH43" s="95">
        <v>0</v>
      </c>
    </row>
    <row r="44" spans="1:34" ht="15.75" thickBot="1" x14ac:dyDescent="0.3">
      <c r="A44" s="90" t="s">
        <v>999</v>
      </c>
      <c r="B44" s="90" t="s">
        <v>45</v>
      </c>
      <c r="C44" s="90" t="s">
        <v>46</v>
      </c>
      <c r="D44" s="90" t="s">
        <v>165</v>
      </c>
      <c r="E44" s="90" t="s">
        <v>196</v>
      </c>
      <c r="F44" s="90" t="s">
        <v>511</v>
      </c>
      <c r="G44" s="93">
        <v>94194.77</v>
      </c>
      <c r="H44" s="92"/>
      <c r="I44" s="92"/>
      <c r="J44" s="92"/>
      <c r="K44" s="92"/>
      <c r="L44" s="92"/>
      <c r="M44" s="92"/>
      <c r="N44" s="92"/>
      <c r="O44" s="92"/>
      <c r="P44" s="93">
        <v>94194.77</v>
      </c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3">
        <v>0</v>
      </c>
      <c r="AE44" s="92"/>
      <c r="AF44" s="92"/>
      <c r="AG44" s="93">
        <v>94194.77</v>
      </c>
      <c r="AH44" s="93">
        <v>0</v>
      </c>
    </row>
    <row r="45" spans="1:34" ht="15.75" thickBot="1" x14ac:dyDescent="0.3">
      <c r="A45" s="90" t="s">
        <v>999</v>
      </c>
      <c r="B45" s="90" t="s">
        <v>45</v>
      </c>
      <c r="C45" s="90" t="s">
        <v>46</v>
      </c>
      <c r="D45" s="90" t="s">
        <v>165</v>
      </c>
      <c r="E45" s="90" t="s">
        <v>196</v>
      </c>
      <c r="F45" s="90" t="s">
        <v>697</v>
      </c>
      <c r="G45" s="95">
        <v>94194.77</v>
      </c>
      <c r="H45" s="94"/>
      <c r="I45" s="94"/>
      <c r="J45" s="94"/>
      <c r="K45" s="94"/>
      <c r="L45" s="94"/>
      <c r="M45" s="94"/>
      <c r="N45" s="94"/>
      <c r="O45" s="94"/>
      <c r="P45" s="95">
        <v>94194.77</v>
      </c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5">
        <v>0</v>
      </c>
      <c r="AE45" s="94"/>
      <c r="AF45" s="94"/>
      <c r="AG45" s="95">
        <v>94194.77</v>
      </c>
      <c r="AH45" s="95">
        <v>0</v>
      </c>
    </row>
    <row r="46" spans="1:34" ht="15.75" thickBot="1" x14ac:dyDescent="0.3">
      <c r="A46" s="90" t="s">
        <v>1018</v>
      </c>
      <c r="B46" s="90" t="s">
        <v>45</v>
      </c>
      <c r="C46" s="90" t="s">
        <v>46</v>
      </c>
      <c r="D46" s="90" t="s">
        <v>165</v>
      </c>
      <c r="E46" s="90" t="s">
        <v>528</v>
      </c>
      <c r="F46" s="90" t="s">
        <v>698</v>
      </c>
      <c r="G46" s="95">
        <v>180</v>
      </c>
      <c r="H46" s="94"/>
      <c r="I46" s="95">
        <v>180</v>
      </c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5">
        <v>0</v>
      </c>
      <c r="AE46" s="94"/>
      <c r="AF46" s="94"/>
      <c r="AG46" s="95">
        <v>180</v>
      </c>
      <c r="AH46" s="95">
        <v>0</v>
      </c>
    </row>
    <row r="47" spans="1:34" ht="15.75" thickBot="1" x14ac:dyDescent="0.3">
      <c r="A47" s="90" t="s">
        <v>1018</v>
      </c>
      <c r="B47" s="90" t="s">
        <v>45</v>
      </c>
      <c r="C47" s="90" t="s">
        <v>46</v>
      </c>
      <c r="D47" s="90" t="s">
        <v>165</v>
      </c>
      <c r="E47" s="90" t="s">
        <v>528</v>
      </c>
      <c r="F47" s="90" t="s">
        <v>697</v>
      </c>
      <c r="G47" s="93">
        <v>180</v>
      </c>
      <c r="H47" s="92"/>
      <c r="I47" s="93">
        <v>180</v>
      </c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3">
        <v>0</v>
      </c>
      <c r="AE47" s="92"/>
      <c r="AF47" s="92"/>
      <c r="AG47" s="93">
        <v>180</v>
      </c>
      <c r="AH47" s="93">
        <v>0</v>
      </c>
    </row>
    <row r="48" spans="1:34" ht="15.75" thickBot="1" x14ac:dyDescent="0.3">
      <c r="A48" s="90" t="s">
        <v>1018</v>
      </c>
      <c r="B48" s="90" t="s">
        <v>45</v>
      </c>
      <c r="C48" s="90" t="s">
        <v>46</v>
      </c>
      <c r="D48" s="90" t="s">
        <v>165</v>
      </c>
      <c r="E48" s="90" t="s">
        <v>547</v>
      </c>
      <c r="F48" s="90" t="s">
        <v>698</v>
      </c>
      <c r="G48" s="95">
        <v>186513.62</v>
      </c>
      <c r="H48" s="94"/>
      <c r="I48" s="94"/>
      <c r="J48" s="95">
        <v>186513.62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5">
        <v>0</v>
      </c>
      <c r="AE48" s="94"/>
      <c r="AF48" s="94"/>
      <c r="AG48" s="95">
        <v>186513.62</v>
      </c>
      <c r="AH48" s="95">
        <v>0</v>
      </c>
    </row>
    <row r="49" spans="1:34" ht="15.75" thickBot="1" x14ac:dyDescent="0.3">
      <c r="A49" s="90" t="s">
        <v>1018</v>
      </c>
      <c r="B49" s="90" t="s">
        <v>45</v>
      </c>
      <c r="C49" s="90" t="s">
        <v>46</v>
      </c>
      <c r="D49" s="90" t="s">
        <v>165</v>
      </c>
      <c r="E49" s="90" t="s">
        <v>547</v>
      </c>
      <c r="F49" s="90" t="s">
        <v>697</v>
      </c>
      <c r="G49" s="93">
        <v>186513.62</v>
      </c>
      <c r="H49" s="92"/>
      <c r="I49" s="92"/>
      <c r="J49" s="93">
        <v>186513.62</v>
      </c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3">
        <v>0</v>
      </c>
      <c r="AE49" s="92"/>
      <c r="AF49" s="92"/>
      <c r="AG49" s="93">
        <v>186513.62</v>
      </c>
      <c r="AH49" s="93">
        <v>0</v>
      </c>
    </row>
    <row r="50" spans="1:34" ht="15.75" thickBot="1" x14ac:dyDescent="0.3">
      <c r="A50" s="90" t="s">
        <v>1018</v>
      </c>
      <c r="B50" s="90" t="s">
        <v>45</v>
      </c>
      <c r="C50" s="90" t="s">
        <v>46</v>
      </c>
      <c r="D50" s="90" t="s">
        <v>165</v>
      </c>
      <c r="E50" s="90" t="s">
        <v>518</v>
      </c>
      <c r="F50" s="90" t="s">
        <v>698</v>
      </c>
      <c r="G50" s="95">
        <v>7901.31</v>
      </c>
      <c r="H50" s="95">
        <v>237348</v>
      </c>
      <c r="I50" s="94"/>
      <c r="J50" s="94"/>
      <c r="K50" s="95">
        <v>7901.31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5">
        <v>0</v>
      </c>
      <c r="AE50" s="94"/>
      <c r="AF50" s="94"/>
      <c r="AG50" s="95">
        <v>7901.31</v>
      </c>
      <c r="AH50" s="95">
        <v>0</v>
      </c>
    </row>
    <row r="51" spans="1:34" ht="15.75" thickBot="1" x14ac:dyDescent="0.3">
      <c r="A51" s="90" t="s">
        <v>1018</v>
      </c>
      <c r="B51" s="90" t="s">
        <v>45</v>
      </c>
      <c r="C51" s="90" t="s">
        <v>46</v>
      </c>
      <c r="D51" s="90" t="s">
        <v>165</v>
      </c>
      <c r="E51" s="90" t="s">
        <v>518</v>
      </c>
      <c r="F51" s="90" t="s">
        <v>697</v>
      </c>
      <c r="G51" s="93">
        <v>7901.31</v>
      </c>
      <c r="H51" s="304">
        <v>237348</v>
      </c>
      <c r="I51" s="92"/>
      <c r="J51" s="92"/>
      <c r="K51" s="93">
        <v>7901.31</v>
      </c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3">
        <v>0</v>
      </c>
      <c r="AE51" s="92"/>
      <c r="AF51" s="92"/>
      <c r="AG51" s="93">
        <v>7901.31</v>
      </c>
      <c r="AH51" s="93">
        <v>0</v>
      </c>
    </row>
    <row r="52" spans="1:34" ht="15.75" thickBot="1" x14ac:dyDescent="0.3">
      <c r="A52" s="90" t="s">
        <v>1018</v>
      </c>
      <c r="B52" s="90" t="s">
        <v>45</v>
      </c>
      <c r="C52" s="90" t="s">
        <v>46</v>
      </c>
      <c r="D52" s="90" t="s">
        <v>165</v>
      </c>
      <c r="E52" s="90" t="s">
        <v>673</v>
      </c>
      <c r="F52" s="90" t="s">
        <v>511</v>
      </c>
      <c r="G52" s="95">
        <v>259.54000000000002</v>
      </c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5">
        <v>259.54000000000002</v>
      </c>
      <c r="Y52" s="94"/>
      <c r="Z52" s="94"/>
      <c r="AA52" s="94"/>
      <c r="AB52" s="94"/>
      <c r="AC52" s="94"/>
      <c r="AD52" s="95">
        <v>0</v>
      </c>
      <c r="AE52" s="94"/>
      <c r="AF52" s="94"/>
      <c r="AG52" s="95">
        <v>259.54000000000002</v>
      </c>
      <c r="AH52" s="95">
        <v>0</v>
      </c>
    </row>
    <row r="53" spans="1:34" ht="15.75" thickBot="1" x14ac:dyDescent="0.3">
      <c r="A53" s="90" t="s">
        <v>1018</v>
      </c>
      <c r="B53" s="90" t="s">
        <v>45</v>
      </c>
      <c r="C53" s="90" t="s">
        <v>46</v>
      </c>
      <c r="D53" s="90" t="s">
        <v>165</v>
      </c>
      <c r="E53" s="90" t="s">
        <v>673</v>
      </c>
      <c r="F53" s="90" t="s">
        <v>697</v>
      </c>
      <c r="G53" s="93">
        <v>259.54000000000002</v>
      </c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3">
        <v>259.54000000000002</v>
      </c>
      <c r="Y53" s="92"/>
      <c r="Z53" s="92"/>
      <c r="AA53" s="92"/>
      <c r="AB53" s="92"/>
      <c r="AC53" s="92"/>
      <c r="AD53" s="93">
        <v>0</v>
      </c>
      <c r="AE53" s="92"/>
      <c r="AF53" s="92"/>
      <c r="AG53" s="93">
        <v>259.54000000000002</v>
      </c>
      <c r="AH53" s="93">
        <v>0</v>
      </c>
    </row>
    <row r="54" spans="1:34" ht="15.75" thickBot="1" x14ac:dyDescent="0.3">
      <c r="A54" s="90" t="s">
        <v>1018</v>
      </c>
      <c r="B54" s="90" t="s">
        <v>45</v>
      </c>
      <c r="C54" s="90" t="s">
        <v>46</v>
      </c>
      <c r="D54" s="90" t="s">
        <v>165</v>
      </c>
      <c r="E54" s="90" t="s">
        <v>196</v>
      </c>
      <c r="F54" s="90" t="s">
        <v>511</v>
      </c>
      <c r="G54" s="95">
        <v>83380.350000000006</v>
      </c>
      <c r="H54" s="94"/>
      <c r="I54" s="94"/>
      <c r="J54" s="94"/>
      <c r="K54" s="94"/>
      <c r="L54" s="94"/>
      <c r="M54" s="94"/>
      <c r="N54" s="94"/>
      <c r="O54" s="94"/>
      <c r="P54" s="95">
        <v>83380.350000000006</v>
      </c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5">
        <v>0</v>
      </c>
      <c r="AE54" s="94"/>
      <c r="AF54" s="94"/>
      <c r="AG54" s="95">
        <v>83380.350000000006</v>
      </c>
      <c r="AH54" s="95">
        <v>0</v>
      </c>
    </row>
    <row r="55" spans="1:34" ht="15.75" thickBot="1" x14ac:dyDescent="0.3">
      <c r="A55" s="90" t="s">
        <v>1018</v>
      </c>
      <c r="B55" s="90" t="s">
        <v>45</v>
      </c>
      <c r="C55" s="90" t="s">
        <v>46</v>
      </c>
      <c r="D55" s="90" t="s">
        <v>165</v>
      </c>
      <c r="E55" s="90" t="s">
        <v>196</v>
      </c>
      <c r="F55" s="90" t="s">
        <v>697</v>
      </c>
      <c r="G55" s="93">
        <v>83380.350000000006</v>
      </c>
      <c r="H55" s="92"/>
      <c r="I55" s="92"/>
      <c r="J55" s="92"/>
      <c r="K55" s="92"/>
      <c r="L55" s="92"/>
      <c r="M55" s="92"/>
      <c r="N55" s="92"/>
      <c r="O55" s="92"/>
      <c r="P55" s="93">
        <v>83380.350000000006</v>
      </c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3">
        <v>0</v>
      </c>
      <c r="AE55" s="92"/>
      <c r="AF55" s="92"/>
      <c r="AG55" s="93">
        <v>83380.350000000006</v>
      </c>
      <c r="AH55" s="93">
        <v>0</v>
      </c>
    </row>
    <row r="56" spans="1:34" ht="15.75" thickBot="1" x14ac:dyDescent="0.3">
      <c r="A56" s="90" t="s">
        <v>1046</v>
      </c>
      <c r="B56" s="90" t="s">
        <v>45</v>
      </c>
      <c r="C56" s="90" t="s">
        <v>46</v>
      </c>
      <c r="D56" s="90" t="s">
        <v>165</v>
      </c>
      <c r="E56" s="90" t="s">
        <v>528</v>
      </c>
      <c r="F56" s="90" t="s">
        <v>698</v>
      </c>
      <c r="G56" s="93">
        <v>180</v>
      </c>
      <c r="H56" s="92"/>
      <c r="I56" s="93">
        <v>180</v>
      </c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3">
        <v>0</v>
      </c>
      <c r="AE56" s="92"/>
      <c r="AF56" s="92"/>
      <c r="AG56" s="93">
        <v>180</v>
      </c>
      <c r="AH56" s="93">
        <v>0</v>
      </c>
    </row>
    <row r="57" spans="1:34" ht="15.75" thickBot="1" x14ac:dyDescent="0.3">
      <c r="A57" s="90" t="s">
        <v>1046</v>
      </c>
      <c r="B57" s="90" t="s">
        <v>45</v>
      </c>
      <c r="C57" s="90" t="s">
        <v>46</v>
      </c>
      <c r="D57" s="90" t="s">
        <v>165</v>
      </c>
      <c r="E57" s="90" t="s">
        <v>528</v>
      </c>
      <c r="F57" s="90" t="s">
        <v>697</v>
      </c>
      <c r="G57" s="95">
        <v>180</v>
      </c>
      <c r="H57" s="94"/>
      <c r="I57" s="95">
        <v>180</v>
      </c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5">
        <v>0</v>
      </c>
      <c r="AE57" s="94"/>
      <c r="AF57" s="94"/>
      <c r="AG57" s="95">
        <v>180</v>
      </c>
      <c r="AH57" s="95">
        <v>0</v>
      </c>
    </row>
    <row r="58" spans="1:34" ht="15.75" thickBot="1" x14ac:dyDescent="0.3">
      <c r="A58" s="90" t="s">
        <v>1046</v>
      </c>
      <c r="B58" s="90" t="s">
        <v>45</v>
      </c>
      <c r="C58" s="90" t="s">
        <v>46</v>
      </c>
      <c r="D58" s="90" t="s">
        <v>165</v>
      </c>
      <c r="E58" s="90" t="s">
        <v>547</v>
      </c>
      <c r="F58" s="90" t="s">
        <v>698</v>
      </c>
      <c r="G58" s="93">
        <v>186513.62</v>
      </c>
      <c r="H58" s="92"/>
      <c r="I58" s="92"/>
      <c r="J58" s="93">
        <v>186513.62</v>
      </c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3">
        <v>0</v>
      </c>
      <c r="AE58" s="92"/>
      <c r="AF58" s="92"/>
      <c r="AG58" s="93">
        <v>186513.62</v>
      </c>
      <c r="AH58" s="93">
        <v>0</v>
      </c>
    </row>
    <row r="59" spans="1:34" ht="15.75" thickBot="1" x14ac:dyDescent="0.3">
      <c r="A59" s="90" t="s">
        <v>1046</v>
      </c>
      <c r="B59" s="90" t="s">
        <v>45</v>
      </c>
      <c r="C59" s="90" t="s">
        <v>46</v>
      </c>
      <c r="D59" s="90" t="s">
        <v>165</v>
      </c>
      <c r="E59" s="90" t="s">
        <v>547</v>
      </c>
      <c r="F59" s="90" t="s">
        <v>697</v>
      </c>
      <c r="G59" s="95">
        <v>186513.62</v>
      </c>
      <c r="H59" s="94"/>
      <c r="I59" s="94"/>
      <c r="J59" s="95">
        <v>186513.62</v>
      </c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5">
        <v>0</v>
      </c>
      <c r="AE59" s="94"/>
      <c r="AF59" s="94"/>
      <c r="AG59" s="95">
        <v>186513.62</v>
      </c>
      <c r="AH59" s="95">
        <v>0</v>
      </c>
    </row>
    <row r="60" spans="1:34" ht="15.75" thickBot="1" x14ac:dyDescent="0.3">
      <c r="A60" s="90" t="s">
        <v>1046</v>
      </c>
      <c r="B60" s="90" t="s">
        <v>45</v>
      </c>
      <c r="C60" s="90" t="s">
        <v>46</v>
      </c>
      <c r="D60" s="90" t="s">
        <v>165</v>
      </c>
      <c r="E60" s="90" t="s">
        <v>518</v>
      </c>
      <c r="F60" s="90" t="s">
        <v>698</v>
      </c>
      <c r="G60" s="93">
        <v>7949.62</v>
      </c>
      <c r="H60" s="93">
        <v>238799</v>
      </c>
      <c r="I60" s="92"/>
      <c r="J60" s="92"/>
      <c r="K60" s="93">
        <v>7949.62</v>
      </c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3">
        <v>0</v>
      </c>
      <c r="AE60" s="92"/>
      <c r="AF60" s="92"/>
      <c r="AG60" s="93">
        <v>7949.62</v>
      </c>
      <c r="AH60" s="93">
        <v>0</v>
      </c>
    </row>
    <row r="61" spans="1:34" ht="15.75" thickBot="1" x14ac:dyDescent="0.3">
      <c r="A61" s="90" t="s">
        <v>1046</v>
      </c>
      <c r="B61" s="90" t="s">
        <v>45</v>
      </c>
      <c r="C61" s="90" t="s">
        <v>46</v>
      </c>
      <c r="D61" s="90" t="s">
        <v>165</v>
      </c>
      <c r="E61" s="90" t="s">
        <v>518</v>
      </c>
      <c r="F61" s="90" t="s">
        <v>697</v>
      </c>
      <c r="G61" s="95">
        <v>7949.62</v>
      </c>
      <c r="H61" s="305">
        <v>238799</v>
      </c>
      <c r="I61" s="94"/>
      <c r="J61" s="94"/>
      <c r="K61" s="95">
        <v>7949.62</v>
      </c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5">
        <v>0</v>
      </c>
      <c r="AE61" s="94"/>
      <c r="AF61" s="94"/>
      <c r="AG61" s="95">
        <v>7949.62</v>
      </c>
      <c r="AH61" s="95">
        <v>0</v>
      </c>
    </row>
    <row r="62" spans="1:34" ht="15.75" thickBot="1" x14ac:dyDescent="0.3">
      <c r="A62" s="90" t="s">
        <v>1046</v>
      </c>
      <c r="B62" s="90" t="s">
        <v>45</v>
      </c>
      <c r="C62" s="90" t="s">
        <v>46</v>
      </c>
      <c r="D62" s="90" t="s">
        <v>165</v>
      </c>
      <c r="E62" s="90" t="s">
        <v>673</v>
      </c>
      <c r="F62" s="90" t="s">
        <v>511</v>
      </c>
      <c r="G62" s="93">
        <v>259.54000000000002</v>
      </c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3">
        <v>259.54000000000002</v>
      </c>
      <c r="Y62" s="92"/>
      <c r="Z62" s="92"/>
      <c r="AA62" s="92"/>
      <c r="AB62" s="92"/>
      <c r="AC62" s="92"/>
      <c r="AD62" s="93">
        <v>0</v>
      </c>
      <c r="AE62" s="92"/>
      <c r="AF62" s="92"/>
      <c r="AG62" s="93">
        <v>259.54000000000002</v>
      </c>
      <c r="AH62" s="93">
        <v>0</v>
      </c>
    </row>
    <row r="63" spans="1:34" ht="15.75" thickBot="1" x14ac:dyDescent="0.3">
      <c r="A63" s="90" t="s">
        <v>1046</v>
      </c>
      <c r="B63" s="90" t="s">
        <v>45</v>
      </c>
      <c r="C63" s="90" t="s">
        <v>46</v>
      </c>
      <c r="D63" s="90" t="s">
        <v>165</v>
      </c>
      <c r="E63" s="90" t="s">
        <v>673</v>
      </c>
      <c r="F63" s="90" t="s">
        <v>697</v>
      </c>
      <c r="G63" s="95">
        <v>259.54000000000002</v>
      </c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5">
        <v>259.54000000000002</v>
      </c>
      <c r="Y63" s="94"/>
      <c r="Z63" s="94"/>
      <c r="AA63" s="94"/>
      <c r="AB63" s="94"/>
      <c r="AC63" s="94"/>
      <c r="AD63" s="95">
        <v>0</v>
      </c>
      <c r="AE63" s="94"/>
      <c r="AF63" s="94"/>
      <c r="AG63" s="95">
        <v>259.54000000000002</v>
      </c>
      <c r="AH63" s="95">
        <v>0</v>
      </c>
    </row>
    <row r="64" spans="1:34" ht="15.75" thickBot="1" x14ac:dyDescent="0.3">
      <c r="A64" s="90" t="s">
        <v>1046</v>
      </c>
      <c r="B64" s="90" t="s">
        <v>45</v>
      </c>
      <c r="C64" s="90" t="s">
        <v>46</v>
      </c>
      <c r="D64" s="90" t="s">
        <v>165</v>
      </c>
      <c r="E64" s="90" t="s">
        <v>196</v>
      </c>
      <c r="F64" s="90" t="s">
        <v>511</v>
      </c>
      <c r="G64" s="93">
        <v>91259.43</v>
      </c>
      <c r="H64" s="92"/>
      <c r="I64" s="92"/>
      <c r="J64" s="92"/>
      <c r="K64" s="92"/>
      <c r="L64" s="92"/>
      <c r="M64" s="92"/>
      <c r="N64" s="92"/>
      <c r="O64" s="92"/>
      <c r="P64" s="93">
        <v>91259.43</v>
      </c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3">
        <v>0</v>
      </c>
      <c r="AE64" s="92"/>
      <c r="AF64" s="92"/>
      <c r="AG64" s="93">
        <v>91259.43</v>
      </c>
      <c r="AH64" s="93">
        <v>0</v>
      </c>
    </row>
    <row r="65" spans="1:34" ht="15.75" thickBot="1" x14ac:dyDescent="0.3">
      <c r="A65" s="90" t="s">
        <v>1046</v>
      </c>
      <c r="B65" s="90" t="s">
        <v>45</v>
      </c>
      <c r="C65" s="90" t="s">
        <v>46</v>
      </c>
      <c r="D65" s="90" t="s">
        <v>165</v>
      </c>
      <c r="E65" s="90" t="s">
        <v>196</v>
      </c>
      <c r="F65" s="90" t="s">
        <v>697</v>
      </c>
      <c r="G65" s="95">
        <v>91259.43</v>
      </c>
      <c r="H65" s="94"/>
      <c r="I65" s="94"/>
      <c r="J65" s="94"/>
      <c r="K65" s="94"/>
      <c r="L65" s="94"/>
      <c r="M65" s="94"/>
      <c r="N65" s="94"/>
      <c r="O65" s="94"/>
      <c r="P65" s="95">
        <v>91259.43</v>
      </c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5">
        <v>0</v>
      </c>
      <c r="AE65" s="94"/>
      <c r="AF65" s="94"/>
      <c r="AG65" s="95">
        <v>91259.43</v>
      </c>
      <c r="AH65" s="95">
        <v>0</v>
      </c>
    </row>
    <row r="66" spans="1:34" ht="15.75" thickBot="1" x14ac:dyDescent="0.3">
      <c r="A66" s="90" t="s">
        <v>1056</v>
      </c>
      <c r="B66" s="90" t="s">
        <v>45</v>
      </c>
      <c r="C66" s="90" t="s">
        <v>46</v>
      </c>
      <c r="D66" s="90" t="s">
        <v>165</v>
      </c>
      <c r="E66" s="90" t="s">
        <v>528</v>
      </c>
      <c r="F66" s="90" t="s">
        <v>698</v>
      </c>
      <c r="G66" s="93">
        <v>180</v>
      </c>
      <c r="H66" s="92"/>
      <c r="I66" s="93">
        <v>180</v>
      </c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3">
        <v>0</v>
      </c>
      <c r="AE66" s="92"/>
      <c r="AF66" s="92"/>
      <c r="AG66" s="93">
        <v>180</v>
      </c>
      <c r="AH66" s="93">
        <v>0</v>
      </c>
    </row>
    <row r="67" spans="1:34" ht="15.75" thickBot="1" x14ac:dyDescent="0.3">
      <c r="A67" s="90" t="s">
        <v>1056</v>
      </c>
      <c r="B67" s="90" t="s">
        <v>45</v>
      </c>
      <c r="C67" s="90" t="s">
        <v>46</v>
      </c>
      <c r="D67" s="90" t="s">
        <v>165</v>
      </c>
      <c r="E67" s="90" t="s">
        <v>528</v>
      </c>
      <c r="F67" s="90" t="s">
        <v>697</v>
      </c>
      <c r="G67" s="95">
        <v>180</v>
      </c>
      <c r="H67" s="94"/>
      <c r="I67" s="95">
        <v>180</v>
      </c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5">
        <v>0</v>
      </c>
      <c r="AE67" s="94"/>
      <c r="AF67" s="94"/>
      <c r="AG67" s="95">
        <v>180</v>
      </c>
      <c r="AH67" s="95">
        <v>0</v>
      </c>
    </row>
    <row r="68" spans="1:34" ht="15.75" thickBot="1" x14ac:dyDescent="0.3">
      <c r="A68" s="90" t="s">
        <v>1056</v>
      </c>
      <c r="B68" s="90" t="s">
        <v>45</v>
      </c>
      <c r="C68" s="90" t="s">
        <v>46</v>
      </c>
      <c r="D68" s="90" t="s">
        <v>165</v>
      </c>
      <c r="E68" s="90" t="s">
        <v>547</v>
      </c>
      <c r="F68" s="90" t="s">
        <v>698</v>
      </c>
      <c r="G68" s="93">
        <v>186513.62</v>
      </c>
      <c r="H68" s="92"/>
      <c r="I68" s="92"/>
      <c r="J68" s="93">
        <v>186513.62</v>
      </c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3">
        <v>0</v>
      </c>
      <c r="AE68" s="92"/>
      <c r="AF68" s="92"/>
      <c r="AG68" s="93">
        <v>186513.62</v>
      </c>
      <c r="AH68" s="93">
        <v>0</v>
      </c>
    </row>
    <row r="69" spans="1:34" ht="15.75" thickBot="1" x14ac:dyDescent="0.3">
      <c r="A69" s="90" t="s">
        <v>1056</v>
      </c>
      <c r="B69" s="90" t="s">
        <v>45</v>
      </c>
      <c r="C69" s="90" t="s">
        <v>46</v>
      </c>
      <c r="D69" s="90" t="s">
        <v>165</v>
      </c>
      <c r="E69" s="90" t="s">
        <v>547</v>
      </c>
      <c r="F69" s="90" t="s">
        <v>697</v>
      </c>
      <c r="G69" s="95">
        <v>186513.62</v>
      </c>
      <c r="H69" s="94"/>
      <c r="I69" s="94"/>
      <c r="J69" s="95">
        <v>186513.62</v>
      </c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5">
        <v>0</v>
      </c>
      <c r="AE69" s="94"/>
      <c r="AF69" s="94"/>
      <c r="AG69" s="95">
        <v>186513.62</v>
      </c>
      <c r="AH69" s="95">
        <v>0</v>
      </c>
    </row>
    <row r="70" spans="1:34" ht="15.75" thickBot="1" x14ac:dyDescent="0.3">
      <c r="A70" s="90" t="s">
        <v>1056</v>
      </c>
      <c r="B70" s="90" t="s">
        <v>45</v>
      </c>
      <c r="C70" s="90" t="s">
        <v>46</v>
      </c>
      <c r="D70" s="90" t="s">
        <v>165</v>
      </c>
      <c r="E70" s="90" t="s">
        <v>518</v>
      </c>
      <c r="F70" s="90" t="s">
        <v>698</v>
      </c>
      <c r="G70" s="93">
        <v>16966.349999999999</v>
      </c>
      <c r="H70" s="93">
        <v>509653</v>
      </c>
      <c r="I70" s="92"/>
      <c r="J70" s="92"/>
      <c r="K70" s="93">
        <v>16966.349999999999</v>
      </c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3">
        <v>0</v>
      </c>
      <c r="AE70" s="92"/>
      <c r="AF70" s="92"/>
      <c r="AG70" s="93">
        <v>16966.349999999999</v>
      </c>
      <c r="AH70" s="93">
        <v>0</v>
      </c>
    </row>
    <row r="71" spans="1:34" ht="15.75" thickBot="1" x14ac:dyDescent="0.3">
      <c r="A71" s="90" t="s">
        <v>1056</v>
      </c>
      <c r="B71" s="90" t="s">
        <v>45</v>
      </c>
      <c r="C71" s="90" t="s">
        <v>46</v>
      </c>
      <c r="D71" s="90" t="s">
        <v>165</v>
      </c>
      <c r="E71" s="90" t="s">
        <v>518</v>
      </c>
      <c r="F71" s="90" t="s">
        <v>697</v>
      </c>
      <c r="G71" s="95">
        <v>16966.349999999999</v>
      </c>
      <c r="H71" s="305">
        <v>509653</v>
      </c>
      <c r="I71" s="94"/>
      <c r="J71" s="94"/>
      <c r="K71" s="95">
        <v>16966.349999999999</v>
      </c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5">
        <v>0</v>
      </c>
      <c r="AE71" s="94"/>
      <c r="AF71" s="94"/>
      <c r="AG71" s="95">
        <v>16966.349999999999</v>
      </c>
      <c r="AH71" s="95">
        <v>0</v>
      </c>
    </row>
    <row r="72" spans="1:34" ht="15.75" thickBot="1" x14ac:dyDescent="0.3">
      <c r="A72" s="90" t="s">
        <v>1056</v>
      </c>
      <c r="B72" s="90" t="s">
        <v>45</v>
      </c>
      <c r="C72" s="90" t="s">
        <v>46</v>
      </c>
      <c r="D72" s="90" t="s">
        <v>165</v>
      </c>
      <c r="E72" s="90" t="s">
        <v>673</v>
      </c>
      <c r="F72" s="90" t="s">
        <v>511</v>
      </c>
      <c r="G72" s="93">
        <v>259.54000000000002</v>
      </c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3">
        <v>259.54000000000002</v>
      </c>
      <c r="Y72" s="92"/>
      <c r="Z72" s="92"/>
      <c r="AA72" s="92"/>
      <c r="AB72" s="92"/>
      <c r="AC72" s="92"/>
      <c r="AD72" s="93">
        <v>0</v>
      </c>
      <c r="AE72" s="92"/>
      <c r="AF72" s="92"/>
      <c r="AG72" s="93">
        <v>259.54000000000002</v>
      </c>
      <c r="AH72" s="93">
        <v>0</v>
      </c>
    </row>
    <row r="73" spans="1:34" ht="15.75" thickBot="1" x14ac:dyDescent="0.3">
      <c r="A73" s="90" t="s">
        <v>1056</v>
      </c>
      <c r="B73" s="90" t="s">
        <v>45</v>
      </c>
      <c r="C73" s="90" t="s">
        <v>46</v>
      </c>
      <c r="D73" s="90" t="s">
        <v>165</v>
      </c>
      <c r="E73" s="90" t="s">
        <v>673</v>
      </c>
      <c r="F73" s="90" t="s">
        <v>697</v>
      </c>
      <c r="G73" s="95">
        <v>259.54000000000002</v>
      </c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5">
        <v>259.54000000000002</v>
      </c>
      <c r="Y73" s="94"/>
      <c r="Z73" s="94"/>
      <c r="AA73" s="94"/>
      <c r="AB73" s="94"/>
      <c r="AC73" s="94"/>
      <c r="AD73" s="95">
        <v>0</v>
      </c>
      <c r="AE73" s="94"/>
      <c r="AF73" s="94"/>
      <c r="AG73" s="95">
        <v>259.54000000000002</v>
      </c>
      <c r="AH73" s="95">
        <v>0</v>
      </c>
    </row>
    <row r="74" spans="1:34" ht="15.75" thickBot="1" x14ac:dyDescent="0.3">
      <c r="A74" s="90" t="s">
        <v>1056</v>
      </c>
      <c r="B74" s="90" t="s">
        <v>45</v>
      </c>
      <c r="C74" s="90" t="s">
        <v>46</v>
      </c>
      <c r="D74" s="90" t="s">
        <v>165</v>
      </c>
      <c r="E74" s="90" t="s">
        <v>196</v>
      </c>
      <c r="F74" s="90" t="s">
        <v>511</v>
      </c>
      <c r="G74" s="93">
        <v>194768.99</v>
      </c>
      <c r="H74" s="92"/>
      <c r="I74" s="92"/>
      <c r="J74" s="92"/>
      <c r="K74" s="92"/>
      <c r="L74" s="92"/>
      <c r="M74" s="92"/>
      <c r="N74" s="92"/>
      <c r="O74" s="92"/>
      <c r="P74" s="93">
        <v>194768.99</v>
      </c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3">
        <v>0</v>
      </c>
      <c r="AE74" s="92"/>
      <c r="AF74" s="92"/>
      <c r="AG74" s="93">
        <v>194768.99</v>
      </c>
      <c r="AH74" s="93">
        <v>0</v>
      </c>
    </row>
    <row r="75" spans="1:34" ht="15.75" thickBot="1" x14ac:dyDescent="0.3">
      <c r="A75" s="90" t="s">
        <v>1056</v>
      </c>
      <c r="B75" s="90" t="s">
        <v>45</v>
      </c>
      <c r="C75" s="90" t="s">
        <v>46</v>
      </c>
      <c r="D75" s="90" t="s">
        <v>165</v>
      </c>
      <c r="E75" s="90" t="s">
        <v>196</v>
      </c>
      <c r="F75" s="90" t="s">
        <v>697</v>
      </c>
      <c r="G75" s="95">
        <v>194768.99</v>
      </c>
      <c r="H75" s="94"/>
      <c r="I75" s="94"/>
      <c r="J75" s="94"/>
      <c r="K75" s="94"/>
      <c r="L75" s="94"/>
      <c r="M75" s="94"/>
      <c r="N75" s="94"/>
      <c r="O75" s="94"/>
      <c r="P75" s="95">
        <v>194768.99</v>
      </c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5">
        <v>0</v>
      </c>
      <c r="AE75" s="94"/>
      <c r="AF75" s="94"/>
      <c r="AG75" s="95">
        <v>194768.99</v>
      </c>
      <c r="AH75" s="95">
        <v>0</v>
      </c>
    </row>
  </sheetData>
  <pageMargins left="0.75" right="0.75" top="1" bottom="1" header="0.5" footer="0.5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9" tint="0.39997558519241921"/>
    <pageSetUpPr fitToPage="1"/>
  </sheetPr>
  <dimension ref="A2:T76"/>
  <sheetViews>
    <sheetView workbookViewId="0"/>
  </sheetViews>
  <sheetFormatPr defaultRowHeight="15" x14ac:dyDescent="0.25"/>
  <cols>
    <col min="1" max="1" width="34" style="73" bestFit="1" customWidth="1"/>
    <col min="2" max="2" width="15.7109375" style="73" bestFit="1" customWidth="1"/>
    <col min="3" max="3" width="9.140625" style="73"/>
    <col min="4" max="4" width="24" style="73" bestFit="1" customWidth="1"/>
    <col min="5" max="5" width="57.5703125" style="73" customWidth="1"/>
    <col min="6" max="7" width="10.42578125" style="73" customWidth="1"/>
    <col min="8" max="8" width="12" style="73" customWidth="1"/>
    <col min="9" max="9" width="12.140625" style="73" customWidth="1"/>
    <col min="10" max="10" width="10.7109375" style="73" bestFit="1" customWidth="1"/>
    <col min="11" max="11" width="10.7109375" style="73" customWidth="1"/>
    <col min="12" max="12" width="9.140625" style="73"/>
    <col min="13" max="13" width="11.140625" style="73" customWidth="1"/>
    <col min="14" max="14" width="13.5703125" style="73" customWidth="1"/>
    <col min="15" max="15" width="34" style="73" bestFit="1" customWidth="1"/>
    <col min="16" max="16" width="8.28515625" style="73" bestFit="1" customWidth="1"/>
    <col min="17" max="17" width="18.28515625" style="73" bestFit="1" customWidth="1"/>
    <col min="18" max="18" width="35.28515625" style="73" bestFit="1" customWidth="1"/>
    <col min="19" max="19" width="27.7109375" style="73" bestFit="1" customWidth="1"/>
    <col min="20" max="16384" width="9.140625" style="73"/>
  </cols>
  <sheetData>
    <row r="2" spans="1:14" x14ac:dyDescent="0.25">
      <c r="B2" s="73">
        <v>1</v>
      </c>
      <c r="C2" s="73">
        <f>+B2+1</f>
        <v>2</v>
      </c>
      <c r="D2" s="73">
        <f t="shared" ref="D2:L2" si="0">+C2+1</f>
        <v>3</v>
      </c>
      <c r="E2" s="73">
        <f t="shared" si="0"/>
        <v>4</v>
      </c>
      <c r="F2" s="73">
        <f t="shared" si="0"/>
        <v>5</v>
      </c>
      <c r="G2" s="73">
        <f t="shared" si="0"/>
        <v>6</v>
      </c>
      <c r="H2" s="73">
        <f t="shared" si="0"/>
        <v>7</v>
      </c>
      <c r="I2" s="73">
        <f t="shared" si="0"/>
        <v>8</v>
      </c>
      <c r="J2" s="73">
        <f t="shared" si="0"/>
        <v>9</v>
      </c>
      <c r="K2" s="73">
        <f t="shared" si="0"/>
        <v>10</v>
      </c>
      <c r="L2" s="73">
        <f t="shared" si="0"/>
        <v>11</v>
      </c>
      <c r="M2" s="73">
        <v>12</v>
      </c>
      <c r="N2" s="73">
        <v>13</v>
      </c>
    </row>
    <row r="3" spans="1:14" ht="15.75" thickBot="1" x14ac:dyDescent="0.3">
      <c r="F3" s="1162" t="s">
        <v>886</v>
      </c>
      <c r="G3" s="1162"/>
      <c r="H3" s="1162"/>
      <c r="I3" s="1162"/>
      <c r="J3" s="1162"/>
      <c r="K3" s="1162"/>
      <c r="L3" s="1162"/>
    </row>
    <row r="4" spans="1:14" x14ac:dyDescent="0.25">
      <c r="B4" s="484" t="s">
        <v>502</v>
      </c>
    </row>
    <row r="5" spans="1:14" ht="15.75" thickBot="1" x14ac:dyDescent="0.3">
      <c r="B5" s="485" t="s">
        <v>503</v>
      </c>
      <c r="H5" s="1132" t="s">
        <v>14</v>
      </c>
      <c r="I5" s="1132" t="s">
        <v>14</v>
      </c>
      <c r="J5" s="625"/>
      <c r="K5" s="625"/>
      <c r="L5" s="1132" t="s">
        <v>14</v>
      </c>
    </row>
    <row r="6" spans="1:14" ht="30" x14ac:dyDescent="0.25">
      <c r="B6" s="486" t="s">
        <v>12</v>
      </c>
      <c r="C6" s="487" t="s">
        <v>167</v>
      </c>
      <c r="D6" s="488" t="s">
        <v>168</v>
      </c>
      <c r="E6" s="73" t="s">
        <v>61</v>
      </c>
      <c r="F6" s="19" t="s">
        <v>169</v>
      </c>
      <c r="G6" s="19" t="s">
        <v>169</v>
      </c>
      <c r="H6" s="20" t="s">
        <v>638</v>
      </c>
      <c r="I6" s="20" t="s">
        <v>639</v>
      </c>
      <c r="J6" s="19" t="s">
        <v>170</v>
      </c>
      <c r="K6" s="20" t="s">
        <v>171</v>
      </c>
      <c r="L6" s="20" t="s">
        <v>172</v>
      </c>
      <c r="M6" s="489"/>
    </row>
    <row r="7" spans="1:14" x14ac:dyDescent="0.25">
      <c r="A7" s="78" t="s">
        <v>445</v>
      </c>
      <c r="B7" s="73" t="s">
        <v>18</v>
      </c>
      <c r="C7" s="490" t="str">
        <f t="shared" ref="C7:C34" si="1">MID(B7,6,3)</f>
        <v>865</v>
      </c>
      <c r="D7" s="73" t="s">
        <v>110</v>
      </c>
      <c r="E7" s="73" t="s">
        <v>19</v>
      </c>
      <c r="F7" s="491">
        <v>400</v>
      </c>
      <c r="G7" s="491"/>
      <c r="H7" s="73">
        <v>7.009E-2</v>
      </c>
    </row>
    <row r="8" spans="1:14" x14ac:dyDescent="0.25">
      <c r="B8" s="73" t="s">
        <v>75</v>
      </c>
      <c r="C8" s="490" t="str">
        <f t="shared" si="1"/>
        <v>891</v>
      </c>
      <c r="D8" s="73" t="s">
        <v>887</v>
      </c>
      <c r="E8" s="73" t="s">
        <v>634</v>
      </c>
      <c r="F8" s="491">
        <v>400</v>
      </c>
      <c r="G8" s="491"/>
      <c r="H8" s="73">
        <v>7.009E-2</v>
      </c>
      <c r="J8" s="491">
        <v>550</v>
      </c>
    </row>
    <row r="9" spans="1:14" x14ac:dyDescent="0.25">
      <c r="A9" s="78"/>
      <c r="B9" s="73" t="s">
        <v>78</v>
      </c>
      <c r="C9" s="490" t="str">
        <f t="shared" si="1"/>
        <v>891</v>
      </c>
      <c r="D9" s="78" t="s">
        <v>888</v>
      </c>
      <c r="E9" s="73" t="s">
        <v>635</v>
      </c>
      <c r="F9" s="491"/>
      <c r="J9" s="491">
        <v>75</v>
      </c>
    </row>
    <row r="10" spans="1:14" x14ac:dyDescent="0.25">
      <c r="A10" s="198"/>
      <c r="B10" s="73" t="s">
        <v>22</v>
      </c>
      <c r="C10" s="490" t="str">
        <f t="shared" si="1"/>
        <v>866</v>
      </c>
      <c r="D10" s="198" t="s">
        <v>119</v>
      </c>
      <c r="E10" s="73" t="s">
        <v>998</v>
      </c>
      <c r="F10" s="491">
        <v>400</v>
      </c>
      <c r="H10" s="73">
        <v>7.009E-2</v>
      </c>
    </row>
    <row r="11" spans="1:14" x14ac:dyDescent="0.25">
      <c r="A11" s="198"/>
      <c r="B11" s="73" t="s">
        <v>872</v>
      </c>
      <c r="C11" s="490" t="str">
        <f>MID(B11,6,3)</f>
        <v>866</v>
      </c>
      <c r="D11" s="198" t="s">
        <v>119</v>
      </c>
      <c r="E11" s="73" t="s">
        <v>23</v>
      </c>
      <c r="F11" s="491">
        <v>400</v>
      </c>
      <c r="H11" s="73">
        <v>7.009E-2</v>
      </c>
    </row>
    <row r="12" spans="1:14" x14ac:dyDescent="0.25">
      <c r="A12" s="78"/>
      <c r="B12" s="73" t="s">
        <v>96</v>
      </c>
      <c r="C12" s="490" t="str">
        <f t="shared" si="1"/>
        <v>892</v>
      </c>
      <c r="D12" s="78" t="s">
        <v>889</v>
      </c>
      <c r="E12" s="73" t="s">
        <v>636</v>
      </c>
      <c r="F12" s="491">
        <v>400</v>
      </c>
      <c r="H12" s="73">
        <v>7.009E-2</v>
      </c>
      <c r="J12" s="491">
        <v>550</v>
      </c>
    </row>
    <row r="13" spans="1:14" x14ac:dyDescent="0.25">
      <c r="A13" s="78"/>
      <c r="B13" s="73" t="s">
        <v>1003</v>
      </c>
      <c r="C13" s="490" t="str">
        <f t="shared" si="1"/>
        <v>892</v>
      </c>
      <c r="D13" s="78" t="s">
        <v>889</v>
      </c>
      <c r="E13" s="73" t="s">
        <v>636</v>
      </c>
      <c r="F13" s="491">
        <v>400</v>
      </c>
      <c r="H13" s="73">
        <v>7.009E-2</v>
      </c>
      <c r="J13" s="491">
        <v>550</v>
      </c>
    </row>
    <row r="14" spans="1:14" x14ac:dyDescent="0.25">
      <c r="A14" s="78"/>
      <c r="B14" s="73" t="s">
        <v>99</v>
      </c>
      <c r="C14" s="490" t="str">
        <f t="shared" si="1"/>
        <v>892</v>
      </c>
      <c r="D14" s="78" t="s">
        <v>890</v>
      </c>
      <c r="E14" s="73" t="s">
        <v>637</v>
      </c>
      <c r="F14" s="491"/>
      <c r="J14" s="491">
        <v>75</v>
      </c>
    </row>
    <row r="15" spans="1:14" x14ac:dyDescent="0.25">
      <c r="A15" s="73" t="s">
        <v>109</v>
      </c>
      <c r="B15" s="73" t="s">
        <v>26</v>
      </c>
      <c r="C15" s="490" t="str">
        <f t="shared" si="1"/>
        <v>851</v>
      </c>
      <c r="D15" s="73" t="s">
        <v>109</v>
      </c>
      <c r="E15" s="73" t="s">
        <v>27</v>
      </c>
      <c r="F15" s="491">
        <v>40</v>
      </c>
      <c r="G15" s="491">
        <v>180</v>
      </c>
      <c r="H15" s="73">
        <v>0.21504000000000001</v>
      </c>
      <c r="I15" s="73">
        <f>+H15-0.05</f>
        <v>0.16504000000000002</v>
      </c>
    </row>
    <row r="16" spans="1:14" x14ac:dyDescent="0.25">
      <c r="A16" s="198"/>
      <c r="B16" s="73" t="s">
        <v>29</v>
      </c>
      <c r="C16" s="490" t="str">
        <f t="shared" si="1"/>
        <v>861</v>
      </c>
      <c r="D16" s="198" t="s">
        <v>109</v>
      </c>
      <c r="E16" s="73" t="s">
        <v>30</v>
      </c>
      <c r="F16" s="491">
        <v>40</v>
      </c>
      <c r="G16" s="491">
        <v>180</v>
      </c>
      <c r="H16" s="73">
        <v>0.21504000000000001</v>
      </c>
      <c r="I16" s="73">
        <f>+H16-0.05</f>
        <v>0.16504000000000002</v>
      </c>
    </row>
    <row r="17" spans="1:12" x14ac:dyDescent="0.25">
      <c r="A17" s="78" t="s">
        <v>112</v>
      </c>
      <c r="B17" s="73" t="s">
        <v>39</v>
      </c>
      <c r="C17" s="490" t="str">
        <f t="shared" si="1"/>
        <v>881</v>
      </c>
      <c r="D17" s="78" t="s">
        <v>891</v>
      </c>
      <c r="E17" s="73" t="s">
        <v>640</v>
      </c>
      <c r="F17" s="491">
        <v>40</v>
      </c>
      <c r="G17" s="491">
        <v>180</v>
      </c>
      <c r="H17" s="73">
        <v>0.21504000000000001</v>
      </c>
      <c r="I17" s="73">
        <f>+H17-0.05</f>
        <v>0.16504000000000002</v>
      </c>
      <c r="J17" s="491">
        <v>550</v>
      </c>
    </row>
    <row r="18" spans="1:12" x14ac:dyDescent="0.25">
      <c r="A18" s="78" t="s">
        <v>113</v>
      </c>
      <c r="B18" s="73" t="s">
        <v>72</v>
      </c>
      <c r="C18" s="490" t="str">
        <f t="shared" si="1"/>
        <v>881</v>
      </c>
      <c r="D18" s="78" t="s">
        <v>892</v>
      </c>
      <c r="E18" s="73" t="s">
        <v>74</v>
      </c>
      <c r="J18" s="491">
        <v>75</v>
      </c>
    </row>
    <row r="19" spans="1:12" x14ac:dyDescent="0.25">
      <c r="A19" s="78" t="s">
        <v>706</v>
      </c>
      <c r="B19" s="73" t="s">
        <v>707</v>
      </c>
      <c r="C19" s="490" t="str">
        <f t="shared" si="1"/>
        <v>851</v>
      </c>
      <c r="D19" s="78" t="s">
        <v>109</v>
      </c>
      <c r="E19" s="73" t="s">
        <v>708</v>
      </c>
      <c r="F19" s="491">
        <v>40</v>
      </c>
      <c r="G19" s="491">
        <v>180</v>
      </c>
      <c r="H19" s="73">
        <v>0.21504000000000001</v>
      </c>
      <c r="I19" s="73">
        <f>+H19-0.05</f>
        <v>0.16504000000000002</v>
      </c>
      <c r="J19" s="491"/>
    </row>
    <row r="20" spans="1:12" x14ac:dyDescent="0.25">
      <c r="A20" s="73" t="s">
        <v>111</v>
      </c>
      <c r="B20" s="73" t="s">
        <v>68</v>
      </c>
      <c r="C20" s="490" t="str">
        <f t="shared" si="1"/>
        <v>875</v>
      </c>
      <c r="D20" s="73" t="s">
        <v>111</v>
      </c>
      <c r="E20" s="73" t="s">
        <v>69</v>
      </c>
      <c r="F20" s="491">
        <v>40</v>
      </c>
      <c r="G20" s="491">
        <v>180</v>
      </c>
      <c r="H20" s="492">
        <v>3.329E-2</v>
      </c>
      <c r="L20" s="73">
        <v>1.1263000000000001</v>
      </c>
    </row>
    <row r="21" spans="1:12" x14ac:dyDescent="0.25">
      <c r="A21" s="78" t="s">
        <v>116</v>
      </c>
      <c r="B21" s="73" t="s">
        <v>50</v>
      </c>
      <c r="C21" s="490" t="str">
        <f t="shared" si="1"/>
        <v>895</v>
      </c>
      <c r="D21" s="78" t="s">
        <v>116</v>
      </c>
      <c r="E21" s="73" t="s">
        <v>51</v>
      </c>
      <c r="F21" s="491"/>
      <c r="H21" s="492">
        <v>4.3020000000000003E-2</v>
      </c>
      <c r="J21" s="491">
        <v>550</v>
      </c>
      <c r="K21" s="73">
        <v>1.8329999999999999E-2</v>
      </c>
    </row>
    <row r="22" spans="1:12" x14ac:dyDescent="0.25">
      <c r="A22" s="78" t="s">
        <v>117</v>
      </c>
      <c r="B22" s="73" t="s">
        <v>82</v>
      </c>
      <c r="C22" s="490" t="str">
        <f t="shared" si="1"/>
        <v>895</v>
      </c>
      <c r="D22" s="78" t="s">
        <v>117</v>
      </c>
      <c r="E22" s="73" t="s">
        <v>84</v>
      </c>
      <c r="H22" s="492"/>
      <c r="J22" s="491"/>
    </row>
    <row r="23" spans="1:12" x14ac:dyDescent="0.25">
      <c r="A23" s="78" t="s">
        <v>124</v>
      </c>
      <c r="B23" s="73" t="s">
        <v>52</v>
      </c>
      <c r="C23" s="490" t="str">
        <f t="shared" si="1"/>
        <v>896</v>
      </c>
      <c r="D23" s="78" t="s">
        <v>124</v>
      </c>
      <c r="E23" s="73" t="s">
        <v>53</v>
      </c>
      <c r="H23" s="492">
        <v>4.3020000000000003E-2</v>
      </c>
      <c r="J23" s="491">
        <v>550</v>
      </c>
      <c r="K23" s="73">
        <v>1.8329999999999999E-2</v>
      </c>
    </row>
    <row r="24" spans="1:12" x14ac:dyDescent="0.25">
      <c r="A24" s="78" t="s">
        <v>124</v>
      </c>
      <c r="B24" s="73" t="s">
        <v>933</v>
      </c>
      <c r="C24" s="490" t="str">
        <f>MID(B24,6,3)</f>
        <v>896</v>
      </c>
      <c r="D24" s="78" t="s">
        <v>124</v>
      </c>
      <c r="E24" s="73" t="s">
        <v>53</v>
      </c>
      <c r="H24" s="492">
        <v>4.3020000000000003E-2</v>
      </c>
      <c r="J24" s="491">
        <v>550</v>
      </c>
      <c r="K24" s="73">
        <v>1.8329999999999999E-2</v>
      </c>
    </row>
    <row r="25" spans="1:12" x14ac:dyDescent="0.25">
      <c r="A25" s="78" t="s">
        <v>125</v>
      </c>
      <c r="B25" s="73" t="s">
        <v>54</v>
      </c>
      <c r="C25" s="490" t="str">
        <f t="shared" si="1"/>
        <v>896</v>
      </c>
      <c r="D25" s="78" t="s">
        <v>125</v>
      </c>
      <c r="E25" s="73" t="s">
        <v>55</v>
      </c>
      <c r="J25" s="491">
        <v>75</v>
      </c>
    </row>
    <row r="26" spans="1:12" x14ac:dyDescent="0.25">
      <c r="A26" s="198" t="s">
        <v>118</v>
      </c>
      <c r="B26" s="73" t="s">
        <v>31</v>
      </c>
      <c r="C26" s="490" t="str">
        <f t="shared" si="1"/>
        <v>855</v>
      </c>
      <c r="D26" s="198" t="s">
        <v>997</v>
      </c>
      <c r="E26" s="73" t="s">
        <v>32</v>
      </c>
      <c r="F26" s="491">
        <v>40</v>
      </c>
      <c r="G26" s="491">
        <v>180</v>
      </c>
      <c r="H26" s="73">
        <v>0.22778999999999999</v>
      </c>
      <c r="I26" s="73">
        <f>+H26-0.05</f>
        <v>0.17779</v>
      </c>
    </row>
    <row r="27" spans="1:12" x14ac:dyDescent="0.25">
      <c r="A27" s="198" t="s">
        <v>118</v>
      </c>
      <c r="B27" s="73" t="s">
        <v>878</v>
      </c>
      <c r="C27" s="490" t="str">
        <f>MID(B27,6,3)</f>
        <v>855</v>
      </c>
      <c r="D27" s="198" t="s">
        <v>118</v>
      </c>
      <c r="E27" s="73" t="s">
        <v>32</v>
      </c>
      <c r="F27" s="491">
        <v>40</v>
      </c>
      <c r="G27" s="491">
        <v>180</v>
      </c>
      <c r="H27" s="73">
        <v>0.22778999999999999</v>
      </c>
      <c r="I27" s="73">
        <f>+H27-0.05</f>
        <v>0.17779</v>
      </c>
    </row>
    <row r="28" spans="1:12" x14ac:dyDescent="0.25">
      <c r="A28" s="78" t="s">
        <v>120</v>
      </c>
      <c r="B28" s="73" t="s">
        <v>42</v>
      </c>
      <c r="C28" s="490" t="str">
        <f t="shared" si="1"/>
        <v>882</v>
      </c>
      <c r="D28" s="78" t="s">
        <v>893</v>
      </c>
      <c r="E28" s="73" t="s">
        <v>641</v>
      </c>
      <c r="F28" s="491">
        <v>40</v>
      </c>
      <c r="G28" s="491">
        <v>180</v>
      </c>
      <c r="H28" s="73">
        <v>0.22778999999999999</v>
      </c>
      <c r="I28" s="73">
        <f>+H28-0.05</f>
        <v>0.17779</v>
      </c>
      <c r="J28" s="491">
        <v>550</v>
      </c>
    </row>
    <row r="29" spans="1:12" x14ac:dyDescent="0.25">
      <c r="A29" s="78" t="s">
        <v>120</v>
      </c>
      <c r="B29" s="73" t="s">
        <v>1001</v>
      </c>
      <c r="C29" s="490" t="str">
        <f t="shared" si="1"/>
        <v>882</v>
      </c>
      <c r="D29" s="78" t="s">
        <v>893</v>
      </c>
      <c r="E29" s="73" t="s">
        <v>641</v>
      </c>
      <c r="F29" s="491">
        <v>40</v>
      </c>
      <c r="G29" s="491">
        <v>180</v>
      </c>
      <c r="H29" s="73">
        <v>0.22778999999999999</v>
      </c>
      <c r="I29" s="73">
        <f>+H29-0.05</f>
        <v>0.17779</v>
      </c>
      <c r="J29" s="491">
        <v>550</v>
      </c>
    </row>
    <row r="30" spans="1:12" x14ac:dyDescent="0.25">
      <c r="A30" s="78" t="s">
        <v>121</v>
      </c>
      <c r="B30" s="73" t="s">
        <v>93</v>
      </c>
      <c r="C30" s="490" t="str">
        <f t="shared" si="1"/>
        <v>882</v>
      </c>
      <c r="D30" s="78" t="s">
        <v>894</v>
      </c>
      <c r="E30" s="73" t="s">
        <v>642</v>
      </c>
      <c r="J30" s="491">
        <v>75</v>
      </c>
    </row>
    <row r="31" spans="1:12" x14ac:dyDescent="0.25">
      <c r="A31" s="198" t="s">
        <v>129</v>
      </c>
      <c r="B31" s="73" t="s">
        <v>35</v>
      </c>
      <c r="C31" s="490" t="str">
        <f t="shared" si="1"/>
        <v>811</v>
      </c>
      <c r="D31" s="198" t="s">
        <v>129</v>
      </c>
      <c r="E31" s="73" t="s">
        <v>36</v>
      </c>
      <c r="F31" s="491">
        <v>13.5</v>
      </c>
      <c r="G31" s="491"/>
      <c r="H31" s="73">
        <v>0.28693000000000002</v>
      </c>
    </row>
    <row r="32" spans="1:12" x14ac:dyDescent="0.25">
      <c r="A32" s="198"/>
      <c r="B32" s="73" t="s">
        <v>37</v>
      </c>
      <c r="C32" s="490" t="str">
        <f t="shared" si="1"/>
        <v>840</v>
      </c>
      <c r="D32" s="198" t="s">
        <v>129</v>
      </c>
      <c r="E32" s="73" t="s">
        <v>38</v>
      </c>
      <c r="F32" s="491">
        <v>13.5</v>
      </c>
      <c r="G32" s="491"/>
      <c r="H32" s="73">
        <v>0.28693000000000002</v>
      </c>
    </row>
    <row r="33" spans="1:20" x14ac:dyDescent="0.25">
      <c r="A33" s="198" t="s">
        <v>128</v>
      </c>
      <c r="B33" s="73" t="s">
        <v>45</v>
      </c>
      <c r="C33" s="490" t="str">
        <f t="shared" si="1"/>
        <v>996</v>
      </c>
      <c r="D33" s="198" t="s">
        <v>128</v>
      </c>
      <c r="E33" s="73" t="s">
        <v>46</v>
      </c>
      <c r="F33" s="491">
        <v>180</v>
      </c>
      <c r="H33" s="492">
        <v>3.329E-2</v>
      </c>
      <c r="L33" s="73">
        <v>1.12629</v>
      </c>
    </row>
    <row r="34" spans="1:20" x14ac:dyDescent="0.25">
      <c r="A34" s="198" t="s">
        <v>1231</v>
      </c>
      <c r="B34" s="73" t="s">
        <v>57</v>
      </c>
      <c r="C34" s="490" t="str">
        <f t="shared" si="1"/>
        <v>997</v>
      </c>
      <c r="D34" s="198" t="s">
        <v>1231</v>
      </c>
      <c r="E34" s="73" t="s">
        <v>1229</v>
      </c>
      <c r="F34" s="491">
        <v>800</v>
      </c>
      <c r="H34" s="73">
        <v>4.9699999999999996E-3</v>
      </c>
      <c r="K34" s="73">
        <v>1.8329999999999999E-2</v>
      </c>
      <c r="L34" s="73">
        <v>0.24801000000000001</v>
      </c>
    </row>
    <row r="39" spans="1:20" x14ac:dyDescent="0.25">
      <c r="B39" s="1133">
        <v>1</v>
      </c>
      <c r="C39" s="1133">
        <f t="shared" ref="C39:L39" si="2">+B39+1</f>
        <v>2</v>
      </c>
      <c r="D39" s="1133">
        <f t="shared" si="2"/>
        <v>3</v>
      </c>
      <c r="E39" s="1133">
        <f t="shared" si="2"/>
        <v>4</v>
      </c>
      <c r="F39" s="1133">
        <f t="shared" si="2"/>
        <v>5</v>
      </c>
      <c r="G39" s="1133">
        <f t="shared" si="2"/>
        <v>6</v>
      </c>
      <c r="H39" s="1133">
        <f t="shared" si="2"/>
        <v>7</v>
      </c>
      <c r="I39" s="1133">
        <f t="shared" si="2"/>
        <v>8</v>
      </c>
      <c r="J39" s="1133">
        <f t="shared" si="2"/>
        <v>9</v>
      </c>
      <c r="K39" s="1133">
        <f t="shared" si="2"/>
        <v>10</v>
      </c>
      <c r="L39" s="1133">
        <f t="shared" si="2"/>
        <v>11</v>
      </c>
      <c r="M39" s="1133"/>
      <c r="N39" s="1133"/>
      <c r="O39" s="1133" t="e">
        <f>+#REF!+1</f>
        <v>#REF!</v>
      </c>
    </row>
    <row r="40" spans="1:20" x14ac:dyDescent="0.25">
      <c r="B40" s="445"/>
      <c r="C40" s="445"/>
      <c r="D40" s="445"/>
      <c r="E40" s="445"/>
      <c r="F40" s="1162" t="s">
        <v>886</v>
      </c>
      <c r="G40" s="1162"/>
      <c r="H40" s="1162"/>
      <c r="I40" s="1162"/>
      <c r="J40" s="1162"/>
      <c r="K40" s="1162"/>
      <c r="L40" s="1162"/>
      <c r="M40" s="445"/>
      <c r="N40" s="445"/>
    </row>
    <row r="41" spans="1:20" x14ac:dyDescent="0.25">
      <c r="A41" s="445"/>
      <c r="B41" s="445"/>
      <c r="C41" s="445"/>
      <c r="D41" s="445"/>
      <c r="E41" s="445"/>
      <c r="F41" s="445"/>
      <c r="G41" s="445"/>
      <c r="H41" s="445"/>
      <c r="I41" s="445"/>
      <c r="J41" s="445"/>
      <c r="K41" s="445"/>
      <c r="L41" s="445"/>
      <c r="M41" s="445"/>
      <c r="N41" s="445"/>
    </row>
    <row r="42" spans="1:20" x14ac:dyDescent="0.25">
      <c r="A42" s="445"/>
      <c r="B42" s="445"/>
      <c r="C42" s="445"/>
      <c r="D42" s="445"/>
      <c r="E42" s="445"/>
      <c r="F42" s="445"/>
      <c r="G42" s="445"/>
      <c r="H42" s="1134" t="s">
        <v>162</v>
      </c>
      <c r="I42" s="1134" t="s">
        <v>162</v>
      </c>
      <c r="J42" s="445"/>
      <c r="K42" s="445"/>
      <c r="L42" s="1134" t="s">
        <v>162</v>
      </c>
      <c r="M42" s="445"/>
      <c r="N42" s="445"/>
    </row>
    <row r="43" spans="1:20" ht="37.5" customHeight="1" x14ac:dyDescent="0.35">
      <c r="A43" s="1135" t="s">
        <v>512</v>
      </c>
      <c r="B43" s="445"/>
      <c r="C43" s="1136"/>
      <c r="D43" s="445"/>
      <c r="E43" s="445"/>
      <c r="F43" s="96" t="s">
        <v>596</v>
      </c>
      <c r="G43" s="97" t="s">
        <v>931</v>
      </c>
      <c r="H43" s="20" t="s">
        <v>638</v>
      </c>
      <c r="I43" s="20" t="s">
        <v>639</v>
      </c>
      <c r="J43" s="96" t="s">
        <v>531</v>
      </c>
      <c r="K43" s="96" t="s">
        <v>171</v>
      </c>
      <c r="L43" s="96" t="s">
        <v>172</v>
      </c>
      <c r="M43" s="445"/>
      <c r="N43" s="445"/>
    </row>
    <row r="44" spans="1:20" x14ac:dyDescent="0.25">
      <c r="A44" s="1137" t="s">
        <v>516</v>
      </c>
      <c r="B44" s="1138" t="s">
        <v>12</v>
      </c>
      <c r="C44" s="445"/>
      <c r="D44" s="1139" t="s">
        <v>168</v>
      </c>
      <c r="E44" s="1137" t="s">
        <v>61</v>
      </c>
      <c r="F44" s="1137"/>
      <c r="G44" s="1137"/>
      <c r="H44" s="1137"/>
      <c r="I44" s="1137"/>
      <c r="J44" s="1137"/>
      <c r="K44" s="1137"/>
      <c r="L44" s="1137"/>
      <c r="M44" s="445"/>
      <c r="N44" s="445"/>
      <c r="O44" s="1137" t="s">
        <v>516</v>
      </c>
    </row>
    <row r="45" spans="1:20" x14ac:dyDescent="0.25">
      <c r="A45" s="445" t="s">
        <v>926</v>
      </c>
      <c r="B45" s="73" t="s">
        <v>42</v>
      </c>
      <c r="C45" s="445"/>
      <c r="D45" s="78" t="s">
        <v>120</v>
      </c>
      <c r="E45" s="73" t="s">
        <v>930</v>
      </c>
      <c r="F45" s="491">
        <f>G28</f>
        <v>180</v>
      </c>
      <c r="G45" s="491">
        <v>550</v>
      </c>
      <c r="H45" s="73">
        <f>H28*10</f>
        <v>2.2778999999999998</v>
      </c>
      <c r="I45" s="73">
        <f>H45-0.5</f>
        <v>1.7778999999999998</v>
      </c>
      <c r="J45" s="491"/>
      <c r="K45" s="445"/>
      <c r="L45" s="445"/>
      <c r="M45" s="445"/>
      <c r="N45" s="445"/>
      <c r="O45" s="445" t="s">
        <v>44</v>
      </c>
      <c r="Q45" s="84"/>
      <c r="R45" s="84"/>
      <c r="S45" s="84"/>
      <c r="T45" s="85"/>
    </row>
    <row r="46" spans="1:20" x14ac:dyDescent="0.25">
      <c r="A46" s="445" t="s">
        <v>925</v>
      </c>
      <c r="B46" s="73" t="s">
        <v>39</v>
      </c>
      <c r="C46" s="445"/>
      <c r="D46" s="78" t="s">
        <v>112</v>
      </c>
      <c r="E46" s="73" t="s">
        <v>929</v>
      </c>
      <c r="F46" s="491">
        <f>G17</f>
        <v>180</v>
      </c>
      <c r="G46" s="491">
        <v>550</v>
      </c>
      <c r="H46" s="73">
        <f>H17*10</f>
        <v>2.1504000000000003</v>
      </c>
      <c r="I46" s="73">
        <f>H46-0.5</f>
        <v>1.6504000000000003</v>
      </c>
      <c r="J46" s="491"/>
      <c r="K46" s="445"/>
      <c r="L46" s="445"/>
      <c r="M46" s="445"/>
      <c r="N46" s="445"/>
      <c r="O46" s="445" t="s">
        <v>41</v>
      </c>
      <c r="Q46" s="84"/>
      <c r="R46" s="84"/>
      <c r="S46" s="84"/>
      <c r="T46" s="85"/>
    </row>
    <row r="47" spans="1:20" x14ac:dyDescent="0.25">
      <c r="A47" s="445" t="s">
        <v>506</v>
      </c>
      <c r="B47" s="73" t="s">
        <v>50</v>
      </c>
      <c r="C47" s="445"/>
      <c r="D47" s="78" t="s">
        <v>116</v>
      </c>
      <c r="E47" s="73" t="s">
        <v>51</v>
      </c>
      <c r="G47" s="491">
        <v>550</v>
      </c>
      <c r="H47" s="86">
        <f>H21*10</f>
        <v>0.43020000000000003</v>
      </c>
      <c r="I47" s="445"/>
      <c r="J47" s="445"/>
      <c r="K47" s="86">
        <v>0.18329999999999999</v>
      </c>
      <c r="L47" s="445"/>
      <c r="M47" s="445"/>
      <c r="N47" s="445"/>
      <c r="O47" s="445" t="s">
        <v>506</v>
      </c>
      <c r="Q47" s="84"/>
      <c r="R47" s="84"/>
      <c r="S47" s="84"/>
      <c r="T47" s="85"/>
    </row>
    <row r="48" spans="1:20" x14ac:dyDescent="0.25">
      <c r="A48" s="445" t="s">
        <v>506</v>
      </c>
      <c r="B48" s="73" t="s">
        <v>82</v>
      </c>
      <c r="C48" s="445"/>
      <c r="D48" s="78" t="s">
        <v>117</v>
      </c>
      <c r="E48" s="73" t="s">
        <v>51</v>
      </c>
      <c r="G48" s="491"/>
      <c r="H48" s="86"/>
      <c r="I48" s="445"/>
      <c r="J48" s="491">
        <v>75</v>
      </c>
      <c r="K48" s="86"/>
      <c r="L48" s="445"/>
      <c r="M48" s="445"/>
      <c r="N48" s="445"/>
      <c r="O48" s="445" t="s">
        <v>506</v>
      </c>
      <c r="Q48" s="84"/>
      <c r="R48" s="84"/>
      <c r="S48" s="84"/>
      <c r="T48" s="85"/>
    </row>
    <row r="49" spans="1:20" x14ac:dyDescent="0.25">
      <c r="A49" s="445" t="s">
        <v>507</v>
      </c>
      <c r="B49" s="73" t="s">
        <v>52</v>
      </c>
      <c r="C49" s="445"/>
      <c r="D49" s="78" t="s">
        <v>124</v>
      </c>
      <c r="E49" s="73" t="s">
        <v>53</v>
      </c>
      <c r="G49" s="491">
        <v>550</v>
      </c>
      <c r="H49" s="86">
        <f>H23*10</f>
        <v>0.43020000000000003</v>
      </c>
      <c r="I49" s="445"/>
      <c r="J49" s="445"/>
      <c r="K49" s="86">
        <v>0.18329999999999999</v>
      </c>
      <c r="L49" s="445"/>
      <c r="M49" s="445"/>
      <c r="N49" s="445"/>
      <c r="O49" s="445" t="s">
        <v>507</v>
      </c>
      <c r="Q49" s="84"/>
      <c r="R49" s="84"/>
      <c r="S49" s="84"/>
      <c r="T49" s="85"/>
    </row>
    <row r="50" spans="1:20" x14ac:dyDescent="0.25">
      <c r="A50" s="445" t="s">
        <v>508</v>
      </c>
      <c r="B50" s="73" t="s">
        <v>54</v>
      </c>
      <c r="C50" s="445"/>
      <c r="D50" s="78" t="s">
        <v>125</v>
      </c>
      <c r="E50" s="73" t="s">
        <v>55</v>
      </c>
      <c r="F50" s="491"/>
      <c r="G50" s="445"/>
      <c r="H50" s="86"/>
      <c r="I50" s="445"/>
      <c r="J50" s="491">
        <f>J25</f>
        <v>75</v>
      </c>
      <c r="K50" s="86">
        <v>0.18329999999999999</v>
      </c>
      <c r="L50" s="445"/>
      <c r="M50" s="445"/>
      <c r="N50" s="445"/>
      <c r="O50" s="445" t="s">
        <v>508</v>
      </c>
      <c r="Q50" s="84"/>
      <c r="R50" s="84"/>
      <c r="S50" s="84"/>
      <c r="T50" s="85"/>
    </row>
    <row r="51" spans="1:20" x14ac:dyDescent="0.25">
      <c r="A51" s="445" t="s">
        <v>509</v>
      </c>
      <c r="B51" s="73" t="s">
        <v>52</v>
      </c>
      <c r="C51" s="445"/>
      <c r="D51" s="78" t="s">
        <v>124</v>
      </c>
      <c r="E51" s="73" t="s">
        <v>53</v>
      </c>
      <c r="G51" s="491">
        <v>550</v>
      </c>
      <c r="H51" s="86">
        <f>H23*10</f>
        <v>0.43020000000000003</v>
      </c>
      <c r="I51" s="445"/>
      <c r="J51" s="445"/>
      <c r="K51" s="86">
        <v>0.18329999999999999</v>
      </c>
      <c r="L51" s="445"/>
      <c r="M51" s="445"/>
      <c r="N51" s="445"/>
      <c r="O51" s="445" t="s">
        <v>509</v>
      </c>
      <c r="Q51" s="84"/>
      <c r="R51" s="84"/>
      <c r="S51" s="84"/>
      <c r="T51" s="85"/>
    </row>
    <row r="52" spans="1:20" x14ac:dyDescent="0.25">
      <c r="A52" s="445" t="s">
        <v>510</v>
      </c>
      <c r="B52" s="73" t="s">
        <v>50</v>
      </c>
      <c r="C52" s="445"/>
      <c r="D52" s="78" t="s">
        <v>116</v>
      </c>
      <c r="E52" s="73" t="s">
        <v>51</v>
      </c>
      <c r="G52" s="491">
        <v>550</v>
      </c>
      <c r="H52" s="86">
        <f>H21*10</f>
        <v>0.43020000000000003</v>
      </c>
      <c r="I52" s="445"/>
      <c r="J52" s="445"/>
      <c r="K52" s="86">
        <v>0.18329999999999999</v>
      </c>
      <c r="L52" s="445"/>
      <c r="M52" s="445"/>
      <c r="N52" s="445"/>
      <c r="O52" s="445" t="s">
        <v>510</v>
      </c>
      <c r="Q52" s="84"/>
      <c r="R52" s="84"/>
      <c r="S52" s="84"/>
      <c r="T52" s="85"/>
    </row>
    <row r="53" spans="1:20" x14ac:dyDescent="0.25">
      <c r="A53" s="445" t="s">
        <v>511</v>
      </c>
      <c r="B53" s="73" t="s">
        <v>57</v>
      </c>
      <c r="C53" s="445"/>
      <c r="D53" s="198" t="s">
        <v>1013</v>
      </c>
      <c r="E53" s="73" t="s">
        <v>1228</v>
      </c>
      <c r="F53" s="491">
        <v>800</v>
      </c>
      <c r="G53" s="445"/>
      <c r="H53" s="86">
        <f>H34*10</f>
        <v>4.9699999999999994E-2</v>
      </c>
      <c r="I53" s="445"/>
      <c r="J53" s="491"/>
      <c r="K53" s="86">
        <v>0.18329999999999999</v>
      </c>
      <c r="L53" s="445">
        <v>2.4801000000000002</v>
      </c>
      <c r="M53" s="445"/>
      <c r="N53" s="445"/>
      <c r="O53" s="445" t="s">
        <v>511</v>
      </c>
      <c r="Q53" s="84"/>
      <c r="R53" s="84"/>
      <c r="S53" s="84"/>
      <c r="T53" s="85"/>
    </row>
    <row r="54" spans="1:20" x14ac:dyDescent="0.25">
      <c r="A54" s="445" t="s">
        <v>938</v>
      </c>
      <c r="B54" s="73" t="s">
        <v>72</v>
      </c>
      <c r="C54" s="445"/>
      <c r="D54" s="198" t="s">
        <v>892</v>
      </c>
      <c r="E54" s="73" t="s">
        <v>929</v>
      </c>
      <c r="F54" s="491"/>
      <c r="G54" s="445"/>
      <c r="H54" s="86"/>
      <c r="I54" s="445"/>
      <c r="J54" s="491">
        <v>75</v>
      </c>
      <c r="K54" s="86"/>
      <c r="L54" s="445"/>
      <c r="M54" s="445"/>
      <c r="N54" s="445"/>
      <c r="O54" s="445"/>
      <c r="Q54" s="84"/>
      <c r="R54" s="84"/>
      <c r="S54" s="84"/>
      <c r="T54" s="85"/>
    </row>
    <row r="55" spans="1:20" x14ac:dyDescent="0.25">
      <c r="A55" s="445" t="s">
        <v>924</v>
      </c>
      <c r="B55" s="73" t="s">
        <v>93</v>
      </c>
      <c r="D55" s="1140" t="s">
        <v>121</v>
      </c>
      <c r="E55" s="445" t="s">
        <v>730</v>
      </c>
      <c r="F55" s="491"/>
      <c r="J55" s="491">
        <f>J30</f>
        <v>75</v>
      </c>
      <c r="O55" s="445" t="s">
        <v>44</v>
      </c>
      <c r="Q55" s="84"/>
      <c r="R55" s="84"/>
      <c r="S55" s="84"/>
      <c r="T55" s="85"/>
    </row>
    <row r="56" spans="1:20" x14ac:dyDescent="0.25">
      <c r="A56" s="445" t="s">
        <v>968</v>
      </c>
      <c r="B56" s="73" t="s">
        <v>75</v>
      </c>
      <c r="D56" s="198" t="s">
        <v>927</v>
      </c>
      <c r="E56" s="445" t="s">
        <v>928</v>
      </c>
      <c r="F56" s="491">
        <v>400</v>
      </c>
      <c r="G56" s="491">
        <v>550</v>
      </c>
      <c r="H56" s="492">
        <v>0.70089999999999997</v>
      </c>
      <c r="J56" s="491"/>
      <c r="O56" s="445"/>
      <c r="Q56" s="84"/>
      <c r="R56" s="84"/>
      <c r="S56" s="84"/>
      <c r="T56" s="85"/>
    </row>
    <row r="57" spans="1:20" x14ac:dyDescent="0.25">
      <c r="A57" s="445" t="s">
        <v>968</v>
      </c>
      <c r="B57" s="73" t="s">
        <v>78</v>
      </c>
      <c r="D57" s="198" t="s">
        <v>935</v>
      </c>
      <c r="E57" s="445" t="s">
        <v>928</v>
      </c>
      <c r="F57" s="491"/>
      <c r="J57" s="491">
        <v>75</v>
      </c>
      <c r="O57" s="445"/>
      <c r="Q57" s="84"/>
      <c r="R57" s="84"/>
      <c r="S57" s="84"/>
      <c r="T57" s="85"/>
    </row>
    <row r="58" spans="1:20" x14ac:dyDescent="0.25">
      <c r="A58" s="445" t="s">
        <v>969</v>
      </c>
      <c r="B58" s="73" t="s">
        <v>96</v>
      </c>
      <c r="D58" s="198" t="s">
        <v>927</v>
      </c>
      <c r="E58" s="445" t="s">
        <v>928</v>
      </c>
      <c r="F58" s="491">
        <v>400</v>
      </c>
      <c r="G58" s="491">
        <v>550</v>
      </c>
      <c r="H58" s="86">
        <v>0.70089999999999997</v>
      </c>
      <c r="O58" s="445" t="s">
        <v>936</v>
      </c>
      <c r="Q58" s="84"/>
      <c r="R58" s="84"/>
      <c r="S58" s="84"/>
      <c r="T58" s="85"/>
    </row>
    <row r="59" spans="1:20" x14ac:dyDescent="0.25">
      <c r="A59" s="445" t="s">
        <v>923</v>
      </c>
      <c r="B59" s="73" t="s">
        <v>99</v>
      </c>
      <c r="D59" s="198" t="s">
        <v>935</v>
      </c>
      <c r="E59" s="445" t="s">
        <v>928</v>
      </c>
      <c r="F59" s="491"/>
      <c r="G59" s="491"/>
      <c r="J59" s="491">
        <v>75</v>
      </c>
      <c r="O59" s="445" t="s">
        <v>936</v>
      </c>
      <c r="Q59" s="84"/>
      <c r="R59" s="84"/>
      <c r="S59" s="84"/>
      <c r="T59" s="85"/>
    </row>
    <row r="60" spans="1:20" x14ac:dyDescent="0.25">
      <c r="D60" s="84"/>
      <c r="Q60" s="84"/>
      <c r="R60" s="84"/>
      <c r="S60" s="84"/>
      <c r="T60" s="85"/>
    </row>
    <row r="61" spans="1:20" x14ac:dyDescent="0.25">
      <c r="D61" s="84"/>
      <c r="Q61" s="84"/>
      <c r="R61" s="84"/>
      <c r="S61" s="84"/>
      <c r="T61" s="85"/>
    </row>
    <row r="62" spans="1:20" x14ac:dyDescent="0.25">
      <c r="D62" s="84"/>
      <c r="Q62" s="84"/>
      <c r="R62" s="84"/>
      <c r="S62" s="84"/>
      <c r="T62" s="85"/>
    </row>
    <row r="63" spans="1:20" x14ac:dyDescent="0.25">
      <c r="D63" s="84"/>
      <c r="Q63" s="84"/>
      <c r="R63" s="84"/>
      <c r="S63" s="84"/>
      <c r="T63" s="85"/>
    </row>
    <row r="64" spans="1:20" x14ac:dyDescent="0.25">
      <c r="D64" s="84"/>
      <c r="Q64" s="84"/>
      <c r="R64" s="84"/>
      <c r="S64" s="84"/>
      <c r="T64" s="85"/>
    </row>
    <row r="65" spans="1:20" x14ac:dyDescent="0.25">
      <c r="D65" s="84"/>
      <c r="Q65" s="84"/>
      <c r="R65" s="84"/>
      <c r="S65" s="84"/>
      <c r="T65" s="85"/>
    </row>
    <row r="66" spans="1:20" x14ac:dyDescent="0.25">
      <c r="D66" s="84"/>
      <c r="Q66" s="84"/>
      <c r="R66" s="84"/>
      <c r="S66" s="84"/>
      <c r="T66" s="85"/>
    </row>
    <row r="67" spans="1:20" x14ac:dyDescent="0.25">
      <c r="A67" s="1141"/>
      <c r="D67" s="84"/>
      <c r="Q67" s="84"/>
      <c r="R67" s="84"/>
      <c r="S67" s="84"/>
      <c r="T67" s="85"/>
    </row>
    <row r="68" spans="1:20" x14ac:dyDescent="0.25">
      <c r="A68" s="1141"/>
      <c r="D68" s="84"/>
      <c r="Q68" s="84"/>
      <c r="R68" s="84"/>
      <c r="S68" s="84"/>
      <c r="T68" s="85"/>
    </row>
    <row r="69" spans="1:20" x14ac:dyDescent="0.25">
      <c r="A69" s="1141"/>
      <c r="D69" s="84"/>
      <c r="Q69" s="84"/>
      <c r="R69" s="84"/>
      <c r="S69" s="84"/>
      <c r="T69" s="85"/>
    </row>
    <row r="70" spans="1:20" x14ac:dyDescent="0.25">
      <c r="A70" s="1141"/>
      <c r="D70" s="84"/>
      <c r="Q70" s="1140"/>
      <c r="R70" s="1140"/>
      <c r="S70" s="1140"/>
    </row>
    <row r="71" spans="1:20" x14ac:dyDescent="0.25">
      <c r="A71" s="1141"/>
      <c r="D71" s="84"/>
      <c r="Q71" s="1140"/>
      <c r="R71" s="1140"/>
      <c r="S71" s="1140"/>
    </row>
    <row r="72" spans="1:20" x14ac:dyDescent="0.25">
      <c r="A72" s="1141"/>
      <c r="D72" s="84"/>
      <c r="Q72" s="1140"/>
      <c r="R72" s="1140"/>
    </row>
    <row r="73" spans="1:20" x14ac:dyDescent="0.25">
      <c r="A73" s="1141"/>
      <c r="D73" s="84"/>
      <c r="Q73" s="1140"/>
      <c r="R73" s="1140"/>
    </row>
    <row r="74" spans="1:20" x14ac:dyDescent="0.25">
      <c r="D74" s="84"/>
    </row>
    <row r="75" spans="1:20" x14ac:dyDescent="0.25">
      <c r="D75" s="84"/>
    </row>
    <row r="76" spans="1:20" x14ac:dyDescent="0.25">
      <c r="D76" s="84"/>
    </row>
  </sheetData>
  <sortState ref="P16:S23">
    <sortCondition ref="P16:P23"/>
    <sortCondition ref="Q16:Q23"/>
  </sortState>
  <mergeCells count="2">
    <mergeCell ref="F3:L3"/>
    <mergeCell ref="F40:L40"/>
  </mergeCells>
  <pageMargins left="0.45" right="0.45" top="0.5" bottom="0.5" header="0.3" footer="0.3"/>
  <pageSetup scale="3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9" tint="0.39997558519241921"/>
  </sheetPr>
  <dimension ref="A1:J53"/>
  <sheetViews>
    <sheetView workbookViewId="0"/>
  </sheetViews>
  <sheetFormatPr defaultRowHeight="15" x14ac:dyDescent="0.25"/>
  <cols>
    <col min="1" max="1" width="14.5703125" customWidth="1"/>
    <col min="2" max="2" width="11.140625" customWidth="1"/>
    <col min="3" max="3" width="22.42578125" customWidth="1"/>
    <col min="4" max="4" width="7.42578125" customWidth="1"/>
    <col min="5" max="5" width="9.140625" customWidth="1"/>
    <col min="6" max="6" width="40.5703125" bestFit="1" customWidth="1"/>
    <col min="7" max="7" width="11.28515625" customWidth="1"/>
    <col min="9" max="9" width="13.85546875" bestFit="1" customWidth="1"/>
  </cols>
  <sheetData>
    <row r="1" spans="1:10" ht="30" x14ac:dyDescent="0.25">
      <c r="A1" t="s">
        <v>12</v>
      </c>
      <c r="B1" s="2" t="s">
        <v>108</v>
      </c>
      <c r="C1" s="1" t="s">
        <v>13</v>
      </c>
      <c r="D1" t="s">
        <v>59</v>
      </c>
      <c r="E1" t="s">
        <v>60</v>
      </c>
      <c r="F1" t="s">
        <v>61</v>
      </c>
      <c r="G1" t="s">
        <v>62</v>
      </c>
    </row>
    <row r="2" spans="1:10" x14ac:dyDescent="0.25">
      <c r="A2" t="s">
        <v>26</v>
      </c>
      <c r="B2" s="1" t="str">
        <f t="shared" ref="B2:B28" si="0">MID(A2,6,3)</f>
        <v>851</v>
      </c>
      <c r="C2" t="s">
        <v>109</v>
      </c>
      <c r="D2">
        <v>2</v>
      </c>
      <c r="E2" t="s">
        <v>63</v>
      </c>
      <c r="F2" t="s">
        <v>27</v>
      </c>
      <c r="G2" t="s">
        <v>65</v>
      </c>
      <c r="J2" s="1"/>
    </row>
    <row r="3" spans="1:10" x14ac:dyDescent="0.25">
      <c r="A3" t="s">
        <v>18</v>
      </c>
      <c r="B3" s="1" t="str">
        <f t="shared" si="0"/>
        <v>865</v>
      </c>
      <c r="C3" t="s">
        <v>110</v>
      </c>
      <c r="D3">
        <v>2</v>
      </c>
      <c r="E3" t="s">
        <v>63</v>
      </c>
      <c r="F3" t="s">
        <v>19</v>
      </c>
      <c r="G3" t="s">
        <v>65</v>
      </c>
      <c r="J3" s="1"/>
    </row>
    <row r="4" spans="1:10" x14ac:dyDescent="0.25">
      <c r="A4" t="s">
        <v>68</v>
      </c>
      <c r="B4" s="1" t="str">
        <f t="shared" si="0"/>
        <v>875</v>
      </c>
      <c r="C4" t="s">
        <v>111</v>
      </c>
      <c r="D4">
        <v>2</v>
      </c>
      <c r="E4" t="s">
        <v>63</v>
      </c>
      <c r="F4" t="s">
        <v>69</v>
      </c>
      <c r="G4" t="s">
        <v>65</v>
      </c>
      <c r="J4" s="1"/>
    </row>
    <row r="5" spans="1:10" x14ac:dyDescent="0.25">
      <c r="A5" t="s">
        <v>39</v>
      </c>
      <c r="B5" s="1" t="str">
        <f t="shared" si="0"/>
        <v>881</v>
      </c>
      <c r="C5" t="s">
        <v>112</v>
      </c>
      <c r="D5">
        <v>2</v>
      </c>
      <c r="E5" t="s">
        <v>63</v>
      </c>
      <c r="F5" t="s">
        <v>40</v>
      </c>
      <c r="G5" t="s">
        <v>65</v>
      </c>
      <c r="J5" s="1"/>
    </row>
    <row r="6" spans="1:10" x14ac:dyDescent="0.25">
      <c r="A6" t="s">
        <v>72</v>
      </c>
      <c r="B6" s="1" t="str">
        <f t="shared" si="0"/>
        <v>881</v>
      </c>
      <c r="C6" s="3" t="s">
        <v>113</v>
      </c>
      <c r="D6">
        <v>2</v>
      </c>
      <c r="E6" t="s">
        <v>63</v>
      </c>
      <c r="F6" t="s">
        <v>74</v>
      </c>
      <c r="G6" t="s">
        <v>65</v>
      </c>
      <c r="J6" s="1"/>
    </row>
    <row r="7" spans="1:10" x14ac:dyDescent="0.25">
      <c r="A7" t="s">
        <v>75</v>
      </c>
      <c r="B7" s="1" t="str">
        <f t="shared" si="0"/>
        <v>891</v>
      </c>
      <c r="C7" t="s">
        <v>114</v>
      </c>
      <c r="D7">
        <v>2</v>
      </c>
      <c r="E7" t="s">
        <v>63</v>
      </c>
      <c r="F7" t="s">
        <v>77</v>
      </c>
      <c r="G7" t="s">
        <v>65</v>
      </c>
      <c r="J7" s="1"/>
    </row>
    <row r="8" spans="1:10" x14ac:dyDescent="0.25">
      <c r="A8" t="s">
        <v>78</v>
      </c>
      <c r="B8" s="1" t="str">
        <f t="shared" si="0"/>
        <v>891</v>
      </c>
      <c r="C8" s="3" t="s">
        <v>115</v>
      </c>
      <c r="D8">
        <v>2</v>
      </c>
      <c r="E8" t="s">
        <v>63</v>
      </c>
      <c r="F8" t="s">
        <v>80</v>
      </c>
      <c r="G8" t="s">
        <v>65</v>
      </c>
      <c r="J8" s="1"/>
    </row>
    <row r="9" spans="1:10" x14ac:dyDescent="0.25">
      <c r="A9" t="s">
        <v>50</v>
      </c>
      <c r="B9" s="1" t="str">
        <f t="shared" si="0"/>
        <v>895</v>
      </c>
      <c r="C9" s="4" t="s">
        <v>116</v>
      </c>
      <c r="D9">
        <v>2</v>
      </c>
      <c r="E9" t="s">
        <v>63</v>
      </c>
      <c r="F9" t="s">
        <v>51</v>
      </c>
      <c r="G9" t="s">
        <v>65</v>
      </c>
      <c r="J9" s="1"/>
    </row>
    <row r="10" spans="1:10" x14ac:dyDescent="0.25">
      <c r="A10" t="s">
        <v>82</v>
      </c>
      <c r="B10" s="1" t="str">
        <f t="shared" si="0"/>
        <v>895</v>
      </c>
      <c r="C10" s="3" t="s">
        <v>117</v>
      </c>
      <c r="D10">
        <v>2</v>
      </c>
      <c r="E10" t="s">
        <v>63</v>
      </c>
      <c r="F10" t="s">
        <v>84</v>
      </c>
      <c r="G10" t="s">
        <v>65</v>
      </c>
      <c r="J10" s="1"/>
    </row>
    <row r="11" spans="1:10" x14ac:dyDescent="0.25">
      <c r="A11" t="s">
        <v>85</v>
      </c>
      <c r="B11" s="1" t="str">
        <f t="shared" si="0"/>
        <v>995</v>
      </c>
      <c r="C11" s="3" t="s">
        <v>127</v>
      </c>
      <c r="D11">
        <v>2</v>
      </c>
      <c r="E11" t="s">
        <v>63</v>
      </c>
      <c r="F11" t="s">
        <v>86</v>
      </c>
      <c r="G11" t="s">
        <v>65</v>
      </c>
      <c r="J11" s="1"/>
    </row>
    <row r="12" spans="1:10" x14ac:dyDescent="0.25">
      <c r="A12" t="s">
        <v>87</v>
      </c>
      <c r="B12" s="1" t="str">
        <f t="shared" si="0"/>
        <v>994</v>
      </c>
      <c r="C12" s="4" t="s">
        <v>130</v>
      </c>
      <c r="D12">
        <v>2</v>
      </c>
      <c r="E12" t="s">
        <v>63</v>
      </c>
      <c r="F12" t="s">
        <v>88</v>
      </c>
      <c r="G12" t="s">
        <v>65</v>
      </c>
      <c r="J12" s="1"/>
    </row>
    <row r="13" spans="1:10" x14ac:dyDescent="0.25">
      <c r="A13" t="s">
        <v>31</v>
      </c>
      <c r="B13" s="1" t="str">
        <f t="shared" si="0"/>
        <v>855</v>
      </c>
      <c r="C13" s="4" t="s">
        <v>118</v>
      </c>
      <c r="D13">
        <v>2</v>
      </c>
      <c r="E13" t="s">
        <v>63</v>
      </c>
      <c r="F13" t="s">
        <v>32</v>
      </c>
      <c r="G13" t="s">
        <v>65</v>
      </c>
      <c r="J13" s="1"/>
    </row>
    <row r="14" spans="1:10" x14ac:dyDescent="0.25">
      <c r="A14" t="s">
        <v>22</v>
      </c>
      <c r="B14" s="1" t="str">
        <f t="shared" si="0"/>
        <v>866</v>
      </c>
      <c r="C14" s="4" t="s">
        <v>119</v>
      </c>
      <c r="D14">
        <v>2</v>
      </c>
      <c r="E14" t="s">
        <v>63</v>
      </c>
      <c r="F14" t="s">
        <v>23</v>
      </c>
      <c r="G14" t="s">
        <v>65</v>
      </c>
      <c r="J14" s="1"/>
    </row>
    <row r="15" spans="1:10" x14ac:dyDescent="0.25">
      <c r="A15" t="s">
        <v>42</v>
      </c>
      <c r="B15" s="1" t="str">
        <f t="shared" si="0"/>
        <v>882</v>
      </c>
      <c r="C15" s="4" t="s">
        <v>120</v>
      </c>
      <c r="D15">
        <v>2</v>
      </c>
      <c r="E15" t="s">
        <v>63</v>
      </c>
      <c r="F15" t="s">
        <v>43</v>
      </c>
      <c r="G15" t="s">
        <v>65</v>
      </c>
      <c r="J15" s="1"/>
    </row>
    <row r="16" spans="1:10" x14ac:dyDescent="0.25">
      <c r="A16" t="s">
        <v>93</v>
      </c>
      <c r="B16" s="1" t="str">
        <f t="shared" si="0"/>
        <v>882</v>
      </c>
      <c r="C16" s="3" t="s">
        <v>121</v>
      </c>
      <c r="D16">
        <v>2</v>
      </c>
      <c r="E16" t="s">
        <v>63</v>
      </c>
      <c r="F16" t="s">
        <v>95</v>
      </c>
      <c r="G16" t="s">
        <v>65</v>
      </c>
      <c r="J16" s="1"/>
    </row>
    <row r="17" spans="1:10" x14ac:dyDescent="0.25">
      <c r="A17" t="s">
        <v>96</v>
      </c>
      <c r="B17" s="1" t="str">
        <f t="shared" si="0"/>
        <v>892</v>
      </c>
      <c r="C17" s="3" t="s">
        <v>122</v>
      </c>
      <c r="D17">
        <v>2</v>
      </c>
      <c r="E17" t="s">
        <v>63</v>
      </c>
      <c r="F17" t="s">
        <v>98</v>
      </c>
      <c r="G17" t="s">
        <v>65</v>
      </c>
      <c r="J17" s="1"/>
    </row>
    <row r="18" spans="1:10" x14ac:dyDescent="0.25">
      <c r="A18" t="s">
        <v>99</v>
      </c>
      <c r="B18" s="1" t="str">
        <f t="shared" si="0"/>
        <v>892</v>
      </c>
      <c r="C18" s="3" t="s">
        <v>123</v>
      </c>
      <c r="D18">
        <v>2</v>
      </c>
      <c r="E18" t="s">
        <v>63</v>
      </c>
      <c r="F18" t="s">
        <v>101</v>
      </c>
      <c r="G18" t="s">
        <v>65</v>
      </c>
      <c r="J18" s="1"/>
    </row>
    <row r="19" spans="1:10" x14ac:dyDescent="0.25">
      <c r="A19" t="s">
        <v>52</v>
      </c>
      <c r="B19" s="1" t="str">
        <f t="shared" si="0"/>
        <v>896</v>
      </c>
      <c r="C19" s="3" t="s">
        <v>124</v>
      </c>
      <c r="D19">
        <v>2</v>
      </c>
      <c r="E19" t="s">
        <v>63</v>
      </c>
      <c r="F19" t="s">
        <v>53</v>
      </c>
      <c r="G19" t="s">
        <v>65</v>
      </c>
      <c r="J19" s="1"/>
    </row>
    <row r="20" spans="1:10" x14ac:dyDescent="0.25">
      <c r="A20" t="s">
        <v>54</v>
      </c>
      <c r="B20" s="1" t="str">
        <f t="shared" si="0"/>
        <v>896</v>
      </c>
      <c r="C20" s="4" t="s">
        <v>125</v>
      </c>
      <c r="D20">
        <v>2</v>
      </c>
      <c r="E20" t="s">
        <v>63</v>
      </c>
      <c r="F20" t="s">
        <v>55</v>
      </c>
      <c r="G20" t="s">
        <v>65</v>
      </c>
      <c r="J20" s="1"/>
    </row>
    <row r="21" spans="1:10" x14ac:dyDescent="0.25">
      <c r="A21" t="s">
        <v>104</v>
      </c>
      <c r="B21" s="1" t="str">
        <f t="shared" si="0"/>
        <v>995</v>
      </c>
      <c r="C21" s="4" t="s">
        <v>126</v>
      </c>
      <c r="D21">
        <v>2</v>
      </c>
      <c r="E21" t="s">
        <v>63</v>
      </c>
      <c r="F21" t="s">
        <v>86</v>
      </c>
      <c r="G21" t="s">
        <v>65</v>
      </c>
      <c r="J21" s="1"/>
    </row>
    <row r="22" spans="1:10" x14ac:dyDescent="0.25">
      <c r="A22" t="s">
        <v>45</v>
      </c>
      <c r="B22" s="1" t="str">
        <f t="shared" si="0"/>
        <v>996</v>
      </c>
      <c r="C22" s="4" t="s">
        <v>128</v>
      </c>
      <c r="D22">
        <v>2</v>
      </c>
      <c r="E22" t="s">
        <v>63</v>
      </c>
      <c r="F22" t="s">
        <v>46</v>
      </c>
      <c r="G22" t="s">
        <v>65</v>
      </c>
      <c r="J22" s="1"/>
    </row>
    <row r="23" spans="1:10" x14ac:dyDescent="0.25">
      <c r="A23" t="s">
        <v>57</v>
      </c>
      <c r="B23" s="1" t="str">
        <f t="shared" si="0"/>
        <v>997</v>
      </c>
      <c r="C23" s="4" t="s">
        <v>1230</v>
      </c>
      <c r="D23">
        <v>2</v>
      </c>
      <c r="E23" t="s">
        <v>63</v>
      </c>
      <c r="F23" t="s">
        <v>1229</v>
      </c>
      <c r="G23" t="s">
        <v>65</v>
      </c>
      <c r="J23" s="1"/>
    </row>
    <row r="24" spans="1:10" x14ac:dyDescent="0.25">
      <c r="A24" t="s">
        <v>35</v>
      </c>
      <c r="B24" s="1" t="str">
        <f t="shared" si="0"/>
        <v>811</v>
      </c>
      <c r="C24" s="4" t="s">
        <v>129</v>
      </c>
      <c r="D24">
        <v>2</v>
      </c>
      <c r="E24" t="s">
        <v>105</v>
      </c>
      <c r="F24" t="s">
        <v>36</v>
      </c>
      <c r="G24" t="s">
        <v>65</v>
      </c>
      <c r="J24" s="1"/>
    </row>
    <row r="25" spans="1:10" x14ac:dyDescent="0.25">
      <c r="A25" t="s">
        <v>37</v>
      </c>
      <c r="B25" s="1" t="str">
        <f t="shared" si="0"/>
        <v>840</v>
      </c>
      <c r="C25" s="4" t="s">
        <v>129</v>
      </c>
      <c r="D25">
        <v>2</v>
      </c>
      <c r="E25" t="s">
        <v>105</v>
      </c>
      <c r="F25" t="s">
        <v>38</v>
      </c>
      <c r="G25" t="s">
        <v>65</v>
      </c>
      <c r="J25" s="1"/>
    </row>
    <row r="26" spans="1:10" x14ac:dyDescent="0.25">
      <c r="A26" t="s">
        <v>33</v>
      </c>
      <c r="B26" s="1" t="str">
        <f t="shared" si="0"/>
        <v>830</v>
      </c>
      <c r="C26" s="4" t="s">
        <v>129</v>
      </c>
      <c r="D26">
        <v>2</v>
      </c>
      <c r="E26" t="s">
        <v>107</v>
      </c>
      <c r="F26" t="s">
        <v>34</v>
      </c>
      <c r="G26" t="s">
        <v>65</v>
      </c>
      <c r="J26" s="1"/>
    </row>
    <row r="27" spans="1:10" x14ac:dyDescent="0.25">
      <c r="A27" t="s">
        <v>24</v>
      </c>
      <c r="B27" s="1" t="str">
        <f t="shared" si="0"/>
        <v>860</v>
      </c>
      <c r="C27" s="4" t="s">
        <v>109</v>
      </c>
      <c r="D27">
        <v>2</v>
      </c>
      <c r="E27" t="s">
        <v>107</v>
      </c>
      <c r="F27" t="s">
        <v>25</v>
      </c>
      <c r="G27" t="s">
        <v>65</v>
      </c>
      <c r="J27" s="1"/>
    </row>
    <row r="28" spans="1:10" x14ac:dyDescent="0.25">
      <c r="A28" t="s">
        <v>29</v>
      </c>
      <c r="B28" s="1" t="str">
        <f t="shared" si="0"/>
        <v>861</v>
      </c>
      <c r="C28" s="4" t="s">
        <v>109</v>
      </c>
      <c r="D28">
        <v>2</v>
      </c>
      <c r="E28" t="s">
        <v>107</v>
      </c>
      <c r="F28" t="s">
        <v>30</v>
      </c>
      <c r="G28" t="s">
        <v>65</v>
      </c>
      <c r="J28" s="1"/>
    </row>
    <row r="29" spans="1:10" x14ac:dyDescent="0.25">
      <c r="A29" t="s">
        <v>26</v>
      </c>
      <c r="B29" s="1" t="s">
        <v>131</v>
      </c>
      <c r="C29" t="s">
        <v>109</v>
      </c>
      <c r="D29">
        <v>2</v>
      </c>
      <c r="E29" t="s">
        <v>63</v>
      </c>
      <c r="F29" t="s">
        <v>66</v>
      </c>
      <c r="G29" t="s">
        <v>64</v>
      </c>
    </row>
    <row r="30" spans="1:10" x14ac:dyDescent="0.25">
      <c r="A30" t="s">
        <v>18</v>
      </c>
      <c r="B30" s="1" t="s">
        <v>132</v>
      </c>
      <c r="C30" t="s">
        <v>110</v>
      </c>
      <c r="D30">
        <v>2</v>
      </c>
      <c r="E30" t="s">
        <v>63</v>
      </c>
      <c r="F30" t="s">
        <v>67</v>
      </c>
      <c r="G30" t="s">
        <v>64</v>
      </c>
    </row>
    <row r="31" spans="1:10" x14ac:dyDescent="0.25">
      <c r="A31" t="s">
        <v>68</v>
      </c>
      <c r="B31" s="1" t="s">
        <v>133</v>
      </c>
      <c r="C31" t="s">
        <v>111</v>
      </c>
      <c r="D31">
        <v>2</v>
      </c>
      <c r="E31" t="s">
        <v>63</v>
      </c>
      <c r="F31" t="s">
        <v>70</v>
      </c>
      <c r="G31" t="s">
        <v>64</v>
      </c>
    </row>
    <row r="32" spans="1:10" x14ac:dyDescent="0.25">
      <c r="A32" t="s">
        <v>39</v>
      </c>
      <c r="B32" s="1" t="s">
        <v>134</v>
      </c>
      <c r="C32" t="s">
        <v>112</v>
      </c>
      <c r="D32">
        <v>2</v>
      </c>
      <c r="E32" t="s">
        <v>63</v>
      </c>
      <c r="F32" t="s">
        <v>71</v>
      </c>
      <c r="G32" t="s">
        <v>64</v>
      </c>
    </row>
    <row r="33" spans="1:7" x14ac:dyDescent="0.25">
      <c r="A33" t="s">
        <v>72</v>
      </c>
      <c r="B33" s="1" t="s">
        <v>134</v>
      </c>
      <c r="C33" s="3" t="s">
        <v>113</v>
      </c>
      <c r="D33">
        <v>2</v>
      </c>
      <c r="E33" t="s">
        <v>63</v>
      </c>
      <c r="F33" t="s">
        <v>73</v>
      </c>
      <c r="G33" t="s">
        <v>64</v>
      </c>
    </row>
    <row r="34" spans="1:7" x14ac:dyDescent="0.25">
      <c r="A34" t="s">
        <v>75</v>
      </c>
      <c r="B34" s="1" t="s">
        <v>135</v>
      </c>
      <c r="C34" t="s">
        <v>114</v>
      </c>
      <c r="D34">
        <v>2</v>
      </c>
      <c r="E34" t="s">
        <v>63</v>
      </c>
      <c r="F34" t="s">
        <v>76</v>
      </c>
      <c r="G34" t="s">
        <v>64</v>
      </c>
    </row>
    <row r="35" spans="1:7" x14ac:dyDescent="0.25">
      <c r="A35" t="s">
        <v>78</v>
      </c>
      <c r="B35" s="1" t="s">
        <v>135</v>
      </c>
      <c r="C35" s="3" t="s">
        <v>115</v>
      </c>
      <c r="D35">
        <v>2</v>
      </c>
      <c r="E35" t="s">
        <v>63</v>
      </c>
      <c r="F35" t="s">
        <v>79</v>
      </c>
      <c r="G35" t="s">
        <v>64</v>
      </c>
    </row>
    <row r="36" spans="1:7" x14ac:dyDescent="0.25">
      <c r="A36" t="s">
        <v>50</v>
      </c>
      <c r="B36" s="1" t="s">
        <v>136</v>
      </c>
      <c r="C36" s="4" t="s">
        <v>116</v>
      </c>
      <c r="D36">
        <v>2</v>
      </c>
      <c r="E36" t="s">
        <v>63</v>
      </c>
      <c r="F36" t="s">
        <v>81</v>
      </c>
      <c r="G36" t="s">
        <v>64</v>
      </c>
    </row>
    <row r="37" spans="1:7" x14ac:dyDescent="0.25">
      <c r="A37" t="s">
        <v>82</v>
      </c>
      <c r="B37" s="1" t="s">
        <v>136</v>
      </c>
      <c r="C37" s="3" t="s">
        <v>117</v>
      </c>
      <c r="D37">
        <v>2</v>
      </c>
      <c r="E37" t="s">
        <v>63</v>
      </c>
      <c r="F37" t="s">
        <v>83</v>
      </c>
      <c r="G37" t="s">
        <v>64</v>
      </c>
    </row>
    <row r="38" spans="1:7" x14ac:dyDescent="0.25">
      <c r="A38" t="s">
        <v>85</v>
      </c>
      <c r="B38" s="1" t="s">
        <v>137</v>
      </c>
      <c r="C38" s="3" t="s">
        <v>127</v>
      </c>
      <c r="D38">
        <v>2</v>
      </c>
      <c r="E38" t="s">
        <v>63</v>
      </c>
      <c r="F38" t="s">
        <v>86</v>
      </c>
      <c r="G38" t="s">
        <v>64</v>
      </c>
    </row>
    <row r="39" spans="1:7" x14ac:dyDescent="0.25">
      <c r="A39" t="s">
        <v>87</v>
      </c>
      <c r="B39" s="1" t="s">
        <v>138</v>
      </c>
      <c r="C39" s="4" t="s">
        <v>130</v>
      </c>
      <c r="D39">
        <v>2</v>
      </c>
      <c r="E39" t="s">
        <v>63</v>
      </c>
      <c r="F39" t="s">
        <v>89</v>
      </c>
      <c r="G39" t="s">
        <v>64</v>
      </c>
    </row>
    <row r="40" spans="1:7" x14ac:dyDescent="0.25">
      <c r="A40" t="s">
        <v>31</v>
      </c>
      <c r="B40" s="1" t="s">
        <v>139</v>
      </c>
      <c r="C40" s="4" t="s">
        <v>118</v>
      </c>
      <c r="D40">
        <v>2</v>
      </c>
      <c r="E40" t="s">
        <v>63</v>
      </c>
      <c r="F40" t="s">
        <v>90</v>
      </c>
      <c r="G40" t="s">
        <v>64</v>
      </c>
    </row>
    <row r="41" spans="1:7" x14ac:dyDescent="0.25">
      <c r="A41" t="s">
        <v>22</v>
      </c>
      <c r="B41" s="1" t="s">
        <v>140</v>
      </c>
      <c r="C41" s="4" t="s">
        <v>119</v>
      </c>
      <c r="D41">
        <v>2</v>
      </c>
      <c r="E41" t="s">
        <v>63</v>
      </c>
      <c r="F41" t="s">
        <v>91</v>
      </c>
      <c r="G41" t="s">
        <v>64</v>
      </c>
    </row>
    <row r="42" spans="1:7" x14ac:dyDescent="0.25">
      <c r="A42" t="s">
        <v>42</v>
      </c>
      <c r="B42" s="1" t="s">
        <v>141</v>
      </c>
      <c r="C42" s="4" t="s">
        <v>120</v>
      </c>
      <c r="D42">
        <v>2</v>
      </c>
      <c r="E42" t="s">
        <v>63</v>
      </c>
      <c r="F42" t="s">
        <v>92</v>
      </c>
      <c r="G42" t="s">
        <v>64</v>
      </c>
    </row>
    <row r="43" spans="1:7" x14ac:dyDescent="0.25">
      <c r="A43" t="s">
        <v>93</v>
      </c>
      <c r="B43" s="1" t="s">
        <v>141</v>
      </c>
      <c r="C43" s="3" t="s">
        <v>121</v>
      </c>
      <c r="D43">
        <v>2</v>
      </c>
      <c r="E43" t="s">
        <v>63</v>
      </c>
      <c r="F43" t="s">
        <v>94</v>
      </c>
      <c r="G43" t="s">
        <v>64</v>
      </c>
    </row>
    <row r="44" spans="1:7" x14ac:dyDescent="0.25">
      <c r="A44" t="s">
        <v>96</v>
      </c>
      <c r="B44" s="1" t="s">
        <v>142</v>
      </c>
      <c r="C44" s="3" t="s">
        <v>122</v>
      </c>
      <c r="D44">
        <v>2</v>
      </c>
      <c r="E44" t="s">
        <v>63</v>
      </c>
      <c r="F44" t="s">
        <v>97</v>
      </c>
      <c r="G44" t="s">
        <v>64</v>
      </c>
    </row>
    <row r="45" spans="1:7" x14ac:dyDescent="0.25">
      <c r="A45" t="s">
        <v>99</v>
      </c>
      <c r="B45" s="1" t="s">
        <v>142</v>
      </c>
      <c r="C45" s="3" t="s">
        <v>123</v>
      </c>
      <c r="D45">
        <v>2</v>
      </c>
      <c r="E45" t="s">
        <v>63</v>
      </c>
      <c r="F45" t="s">
        <v>100</v>
      </c>
      <c r="G45" t="s">
        <v>64</v>
      </c>
    </row>
    <row r="46" spans="1:7" x14ac:dyDescent="0.25">
      <c r="A46" t="s">
        <v>52</v>
      </c>
      <c r="B46" s="1" t="s">
        <v>143</v>
      </c>
      <c r="C46" s="3" t="s">
        <v>124</v>
      </c>
      <c r="D46">
        <v>2</v>
      </c>
      <c r="E46" t="s">
        <v>63</v>
      </c>
      <c r="F46" t="s">
        <v>102</v>
      </c>
      <c r="G46" t="s">
        <v>64</v>
      </c>
    </row>
    <row r="47" spans="1:7" x14ac:dyDescent="0.25">
      <c r="A47" t="s">
        <v>54</v>
      </c>
      <c r="B47" s="1" t="s">
        <v>143</v>
      </c>
      <c r="C47" s="4" t="s">
        <v>125</v>
      </c>
      <c r="D47">
        <v>2</v>
      </c>
      <c r="E47" t="s">
        <v>63</v>
      </c>
      <c r="F47" t="s">
        <v>103</v>
      </c>
      <c r="G47" t="s">
        <v>64</v>
      </c>
    </row>
    <row r="48" spans="1:7" x14ac:dyDescent="0.25">
      <c r="A48" t="s">
        <v>104</v>
      </c>
      <c r="B48" s="1" t="s">
        <v>137</v>
      </c>
      <c r="C48" s="4" t="s">
        <v>126</v>
      </c>
      <c r="D48">
        <v>2</v>
      </c>
      <c r="E48" t="s">
        <v>63</v>
      </c>
      <c r="F48" t="s">
        <v>86</v>
      </c>
      <c r="G48" t="s">
        <v>64</v>
      </c>
    </row>
    <row r="49" spans="1:7" x14ac:dyDescent="0.25">
      <c r="A49" t="s">
        <v>35</v>
      </c>
      <c r="B49" s="1" t="s">
        <v>144</v>
      </c>
      <c r="C49" s="4" t="s">
        <v>129</v>
      </c>
      <c r="D49">
        <v>2</v>
      </c>
      <c r="E49" t="s">
        <v>105</v>
      </c>
      <c r="F49" t="s">
        <v>106</v>
      </c>
      <c r="G49" t="s">
        <v>64</v>
      </c>
    </row>
    <row r="50" spans="1:7" x14ac:dyDescent="0.25">
      <c r="A50" t="s">
        <v>37</v>
      </c>
      <c r="B50" s="1" t="s">
        <v>145</v>
      </c>
      <c r="C50" s="4" t="s">
        <v>129</v>
      </c>
      <c r="D50">
        <v>2</v>
      </c>
      <c r="E50" t="s">
        <v>105</v>
      </c>
      <c r="F50" t="s">
        <v>38</v>
      </c>
      <c r="G50" t="s">
        <v>64</v>
      </c>
    </row>
    <row r="51" spans="1:7" x14ac:dyDescent="0.25">
      <c r="A51" t="s">
        <v>33</v>
      </c>
      <c r="B51" s="1" t="s">
        <v>146</v>
      </c>
      <c r="C51" s="4" t="s">
        <v>129</v>
      </c>
      <c r="D51">
        <v>2</v>
      </c>
      <c r="E51" t="s">
        <v>107</v>
      </c>
      <c r="F51" t="s">
        <v>34</v>
      </c>
      <c r="G51" t="s">
        <v>64</v>
      </c>
    </row>
    <row r="52" spans="1:7" x14ac:dyDescent="0.25">
      <c r="A52" t="s">
        <v>24</v>
      </c>
      <c r="B52" s="1" t="s">
        <v>147</v>
      </c>
      <c r="C52" s="4" t="s">
        <v>109</v>
      </c>
      <c r="D52">
        <v>2</v>
      </c>
      <c r="E52" t="s">
        <v>107</v>
      </c>
      <c r="F52" t="s">
        <v>25</v>
      </c>
      <c r="G52" t="s">
        <v>64</v>
      </c>
    </row>
    <row r="53" spans="1:7" x14ac:dyDescent="0.25">
      <c r="A53" t="s">
        <v>29</v>
      </c>
      <c r="B53" s="1" t="s">
        <v>148</v>
      </c>
      <c r="C53" s="4" t="s">
        <v>109</v>
      </c>
      <c r="D53">
        <v>2</v>
      </c>
      <c r="E53" t="s">
        <v>107</v>
      </c>
      <c r="F53" t="s">
        <v>30</v>
      </c>
      <c r="G53" t="s">
        <v>64</v>
      </c>
    </row>
  </sheetData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9" tint="0.39997558519241921"/>
    <pageSetUpPr fitToPage="1"/>
  </sheetPr>
  <dimension ref="A1:V268"/>
  <sheetViews>
    <sheetView workbookViewId="0">
      <selection activeCell="J17" sqref="J17"/>
    </sheetView>
  </sheetViews>
  <sheetFormatPr defaultRowHeight="12.75" x14ac:dyDescent="0.2"/>
  <cols>
    <col min="1" max="1" width="12" style="302" customWidth="1"/>
    <col min="2" max="2" width="13" style="21" customWidth="1"/>
    <col min="3" max="3" width="11.140625" style="21" customWidth="1"/>
    <col min="4" max="4" width="11.42578125" style="21" customWidth="1"/>
    <col min="5" max="5" width="13.28515625" style="21" customWidth="1"/>
    <col min="6" max="6" width="9.140625" style="21"/>
    <col min="7" max="7" width="9.140625" style="98"/>
    <col min="8" max="8" width="10.42578125" style="21" bestFit="1" customWidth="1"/>
    <col min="9" max="9" width="12" style="98" customWidth="1"/>
    <col min="10" max="13" width="9.140625" style="21"/>
    <col min="14" max="14" width="9.42578125" style="21" bestFit="1" customWidth="1"/>
    <col min="15" max="16384" width="9.140625" style="21"/>
  </cols>
  <sheetData>
    <row r="1" spans="1:16" x14ac:dyDescent="0.2">
      <c r="A1" s="98"/>
      <c r="B1" s="469" t="s">
        <v>197</v>
      </c>
      <c r="C1" s="469"/>
      <c r="D1" s="469"/>
      <c r="E1" s="470"/>
      <c r="F1" s="98"/>
      <c r="H1" s="98"/>
      <c r="J1" s="98"/>
      <c r="K1" s="98"/>
      <c r="L1" s="98"/>
      <c r="M1" s="98"/>
      <c r="N1" s="98"/>
      <c r="O1" s="98"/>
      <c r="P1" s="98"/>
    </row>
    <row r="2" spans="1:16" x14ac:dyDescent="0.2">
      <c r="A2" s="19">
        <v>1</v>
      </c>
      <c r="B2" s="471">
        <v>2</v>
      </c>
      <c r="C2" s="471">
        <v>3</v>
      </c>
      <c r="D2" s="471">
        <v>4</v>
      </c>
      <c r="E2" s="471">
        <v>5</v>
      </c>
      <c r="F2" s="471">
        <v>6</v>
      </c>
      <c r="G2" s="471">
        <v>7</v>
      </c>
      <c r="H2" s="471">
        <v>8</v>
      </c>
      <c r="I2" s="471">
        <v>9</v>
      </c>
      <c r="J2" s="471">
        <v>10</v>
      </c>
      <c r="K2" s="471">
        <v>11</v>
      </c>
      <c r="L2" s="471">
        <v>12</v>
      </c>
      <c r="M2" s="471">
        <v>13</v>
      </c>
      <c r="N2" s="471">
        <v>14</v>
      </c>
      <c r="O2" s="471">
        <v>15</v>
      </c>
      <c r="P2" s="98"/>
    </row>
    <row r="3" spans="1:16" x14ac:dyDescent="0.2">
      <c r="A3" s="98"/>
      <c r="B3" s="98"/>
      <c r="C3" s="472" t="s">
        <v>198</v>
      </c>
      <c r="D3" s="470" t="s">
        <v>199</v>
      </c>
      <c r="E3" s="85"/>
      <c r="F3" s="98"/>
      <c r="H3" s="98"/>
      <c r="J3" s="98"/>
      <c r="K3" s="98"/>
      <c r="L3" s="98"/>
      <c r="M3" s="98"/>
      <c r="N3" s="98"/>
      <c r="O3" s="98"/>
      <c r="P3" s="98"/>
    </row>
    <row r="4" spans="1:16" x14ac:dyDescent="0.2">
      <c r="A4" s="98"/>
      <c r="B4" s="98"/>
      <c r="C4" s="473" t="s">
        <v>237</v>
      </c>
      <c r="D4" s="470" t="s">
        <v>200</v>
      </c>
      <c r="E4" s="98"/>
      <c r="F4" s="98"/>
      <c r="H4" s="98"/>
      <c r="J4" s="98"/>
      <c r="K4" s="98"/>
      <c r="L4" s="98"/>
      <c r="M4" s="98"/>
      <c r="N4" s="98"/>
      <c r="O4" s="98"/>
      <c r="P4" s="98"/>
    </row>
    <row r="5" spans="1:16" x14ac:dyDescent="0.2">
      <c r="A5" s="98"/>
      <c r="B5" s="19" t="s">
        <v>201</v>
      </c>
      <c r="C5" s="474" t="s">
        <v>202</v>
      </c>
      <c r="D5" s="474" t="s">
        <v>203</v>
      </c>
      <c r="E5" s="19" t="s">
        <v>204</v>
      </c>
      <c r="F5" s="474"/>
      <c r="H5" s="474" t="s">
        <v>538</v>
      </c>
      <c r="J5" s="19" t="s">
        <v>666</v>
      </c>
      <c r="K5" s="19" t="s">
        <v>666</v>
      </c>
      <c r="L5" s="19" t="s">
        <v>666</v>
      </c>
      <c r="M5" s="19" t="s">
        <v>666</v>
      </c>
      <c r="N5" s="19" t="s">
        <v>666</v>
      </c>
      <c r="O5" s="19" t="s">
        <v>666</v>
      </c>
      <c r="P5" s="98"/>
    </row>
    <row r="6" spans="1:16" x14ac:dyDescent="0.2">
      <c r="A6" s="98"/>
      <c r="B6" s="19" t="s">
        <v>205</v>
      </c>
      <c r="C6" s="19" t="s">
        <v>206</v>
      </c>
      <c r="D6" s="19" t="s">
        <v>207</v>
      </c>
      <c r="E6" s="19" t="s">
        <v>208</v>
      </c>
      <c r="F6" s="474" t="s">
        <v>505</v>
      </c>
      <c r="G6" s="474" t="s">
        <v>198</v>
      </c>
      <c r="H6" s="474" t="s">
        <v>539</v>
      </c>
      <c r="I6" s="19" t="s">
        <v>201</v>
      </c>
      <c r="J6" s="19" t="s">
        <v>667</v>
      </c>
      <c r="K6" s="19" t="s">
        <v>667</v>
      </c>
      <c r="L6" s="19" t="s">
        <v>667</v>
      </c>
      <c r="M6" s="19" t="s">
        <v>667</v>
      </c>
      <c r="N6" s="19" t="s">
        <v>667</v>
      </c>
      <c r="O6" s="19" t="s">
        <v>667</v>
      </c>
      <c r="P6" s="98"/>
    </row>
    <row r="7" spans="1:16" x14ac:dyDescent="0.2">
      <c r="A7" s="98"/>
      <c r="B7" s="475" t="s">
        <v>236</v>
      </c>
      <c r="C7" s="476" t="s">
        <v>129</v>
      </c>
      <c r="D7" s="19" t="s">
        <v>209</v>
      </c>
      <c r="E7" s="19" t="s">
        <v>210</v>
      </c>
      <c r="F7" s="19" t="s">
        <v>306</v>
      </c>
      <c r="G7" s="19" t="s">
        <v>306</v>
      </c>
      <c r="H7" s="19" t="s">
        <v>540</v>
      </c>
      <c r="I7" s="19" t="s">
        <v>205</v>
      </c>
      <c r="J7" s="19" t="s">
        <v>668</v>
      </c>
      <c r="K7" s="19" t="s">
        <v>668</v>
      </c>
      <c r="L7" s="19" t="s">
        <v>668</v>
      </c>
      <c r="M7" s="19" t="s">
        <v>668</v>
      </c>
      <c r="N7" s="19" t="s">
        <v>668</v>
      </c>
      <c r="O7" s="19" t="s">
        <v>668</v>
      </c>
      <c r="P7" s="98"/>
    </row>
    <row r="8" spans="1:16" x14ac:dyDescent="0.2">
      <c r="A8" s="98"/>
      <c r="B8" s="474" t="s">
        <v>211</v>
      </c>
      <c r="C8" s="474" t="s">
        <v>212</v>
      </c>
      <c r="D8" s="474" t="s">
        <v>213</v>
      </c>
      <c r="E8" s="474" t="s">
        <v>214</v>
      </c>
      <c r="F8" s="477" t="s">
        <v>263</v>
      </c>
      <c r="G8" s="477" t="s">
        <v>263</v>
      </c>
      <c r="H8" s="477" t="s">
        <v>263</v>
      </c>
      <c r="I8" s="477" t="s">
        <v>263</v>
      </c>
      <c r="J8" s="477" t="s">
        <v>585</v>
      </c>
      <c r="K8" s="477" t="s">
        <v>669</v>
      </c>
      <c r="L8" s="477" t="s">
        <v>586</v>
      </c>
      <c r="M8" s="477" t="s">
        <v>587</v>
      </c>
      <c r="N8" s="477" t="s">
        <v>305</v>
      </c>
      <c r="O8" s="477" t="s">
        <v>630</v>
      </c>
      <c r="P8" s="98"/>
    </row>
    <row r="9" spans="1:16" x14ac:dyDescent="0.2">
      <c r="A9" s="478">
        <v>42644</v>
      </c>
      <c r="B9" s="537">
        <v>0.38216</v>
      </c>
      <c r="C9" s="537">
        <v>1.0840000000000001E-2</v>
      </c>
      <c r="D9" s="537">
        <v>5.6999999999999998E-4</v>
      </c>
      <c r="E9" s="479">
        <v>0</v>
      </c>
      <c r="F9" s="480">
        <v>0.16619999999999999</v>
      </c>
      <c r="G9" s="480">
        <f t="shared" ref="G9:G15" si="0">0.00057*10</f>
        <v>5.7000000000000002E-3</v>
      </c>
      <c r="H9" s="480">
        <v>0.83909999999999996</v>
      </c>
      <c r="I9" s="499">
        <f t="shared" ref="I9:I34" si="1">B9*10</f>
        <v>3.8216000000000001</v>
      </c>
      <c r="J9" s="481">
        <v>5.14</v>
      </c>
      <c r="K9" s="481">
        <v>5.14</v>
      </c>
      <c r="L9" s="481">
        <v>27.41</v>
      </c>
      <c r="M9" s="481">
        <v>259.54000000000002</v>
      </c>
      <c r="N9" s="481">
        <v>2838.87</v>
      </c>
      <c r="O9" s="481">
        <v>0</v>
      </c>
      <c r="P9" s="98"/>
    </row>
    <row r="10" spans="1:16" x14ac:dyDescent="0.2">
      <c r="A10" s="478">
        <v>42614</v>
      </c>
      <c r="B10" s="537">
        <v>0.38216</v>
      </c>
      <c r="C10" s="537">
        <v>1.0840000000000001E-2</v>
      </c>
      <c r="D10" s="537">
        <v>5.6999999999999998E-4</v>
      </c>
      <c r="E10" s="479">
        <v>0</v>
      </c>
      <c r="F10" s="480">
        <v>0.16619999999999999</v>
      </c>
      <c r="G10" s="480">
        <f t="shared" si="0"/>
        <v>5.7000000000000002E-3</v>
      </c>
      <c r="H10" s="480">
        <v>0.83909999999999996</v>
      </c>
      <c r="I10" s="499">
        <f t="shared" si="1"/>
        <v>3.8216000000000001</v>
      </c>
      <c r="J10" s="481">
        <v>5.14</v>
      </c>
      <c r="K10" s="481">
        <v>5.14</v>
      </c>
      <c r="L10" s="481">
        <v>27.41</v>
      </c>
      <c r="M10" s="481">
        <v>259.54000000000002</v>
      </c>
      <c r="N10" s="481">
        <v>2838.87</v>
      </c>
      <c r="O10" s="481">
        <v>0</v>
      </c>
      <c r="P10" s="98"/>
    </row>
    <row r="11" spans="1:16" x14ac:dyDescent="0.2">
      <c r="A11" s="478">
        <v>42583</v>
      </c>
      <c r="B11" s="537">
        <v>0.38216</v>
      </c>
      <c r="C11" s="537">
        <v>1.0840000000000001E-2</v>
      </c>
      <c r="D11" s="537">
        <v>5.6999999999999998E-4</v>
      </c>
      <c r="E11" s="479">
        <v>0</v>
      </c>
      <c r="F11" s="480">
        <v>0.16619999999999999</v>
      </c>
      <c r="G11" s="480">
        <f t="shared" si="0"/>
        <v>5.7000000000000002E-3</v>
      </c>
      <c r="H11" s="480">
        <v>0.83909999999999996</v>
      </c>
      <c r="I11" s="499">
        <f t="shared" si="1"/>
        <v>3.8216000000000001</v>
      </c>
      <c r="J11" s="481">
        <v>5.14</v>
      </c>
      <c r="K11" s="481">
        <v>5.14</v>
      </c>
      <c r="L11" s="481">
        <v>27.41</v>
      </c>
      <c r="M11" s="481">
        <v>259.54000000000002</v>
      </c>
      <c r="N11" s="481">
        <v>2838.87</v>
      </c>
      <c r="O11" s="481">
        <v>0</v>
      </c>
      <c r="P11" s="98"/>
    </row>
    <row r="12" spans="1:16" x14ac:dyDescent="0.2">
      <c r="A12" s="478">
        <v>42552</v>
      </c>
      <c r="B12" s="537">
        <v>0.3513</v>
      </c>
      <c r="C12" s="537">
        <v>1.0840000000000001E-2</v>
      </c>
      <c r="D12" s="537">
        <v>5.6999999999999998E-4</v>
      </c>
      <c r="E12" s="479">
        <v>0</v>
      </c>
      <c r="F12" s="480">
        <v>0.1673</v>
      </c>
      <c r="G12" s="480">
        <f t="shared" si="0"/>
        <v>5.7000000000000002E-3</v>
      </c>
      <c r="H12" s="480">
        <v>0.84419999999999995</v>
      </c>
      <c r="I12" s="499">
        <f t="shared" si="1"/>
        <v>3.5129999999999999</v>
      </c>
      <c r="J12" s="481">
        <v>5.14</v>
      </c>
      <c r="K12" s="481">
        <v>5.14</v>
      </c>
      <c r="L12" s="481">
        <v>27.41</v>
      </c>
      <c r="M12" s="481">
        <v>259.54000000000002</v>
      </c>
      <c r="N12" s="481">
        <v>2838.87</v>
      </c>
      <c r="O12" s="481">
        <v>0</v>
      </c>
      <c r="P12" s="98"/>
    </row>
    <row r="13" spans="1:16" x14ac:dyDescent="0.2">
      <c r="A13" s="478">
        <v>42522</v>
      </c>
      <c r="B13" s="537">
        <v>0.3513</v>
      </c>
      <c r="C13" s="537">
        <v>1.0840000000000001E-2</v>
      </c>
      <c r="D13" s="537">
        <v>5.6999999999999998E-4</v>
      </c>
      <c r="E13" s="479">
        <v>0</v>
      </c>
      <c r="F13" s="480">
        <v>0.1673</v>
      </c>
      <c r="G13" s="480">
        <f t="shared" si="0"/>
        <v>5.7000000000000002E-3</v>
      </c>
      <c r="H13" s="480">
        <v>0.84419999999999995</v>
      </c>
      <c r="I13" s="499">
        <f t="shared" si="1"/>
        <v>3.5129999999999999</v>
      </c>
      <c r="J13" s="481">
        <v>5.14</v>
      </c>
      <c r="K13" s="481">
        <v>5.14</v>
      </c>
      <c r="L13" s="481">
        <v>27.41</v>
      </c>
      <c r="M13" s="481">
        <v>259.54000000000002</v>
      </c>
      <c r="N13" s="481">
        <v>2838.87</v>
      </c>
      <c r="O13" s="481">
        <v>0</v>
      </c>
      <c r="P13" s="98"/>
    </row>
    <row r="14" spans="1:16" x14ac:dyDescent="0.2">
      <c r="A14" s="478">
        <v>42491</v>
      </c>
      <c r="B14" s="537">
        <v>0.3513</v>
      </c>
      <c r="C14" s="537">
        <v>1.0840000000000001E-2</v>
      </c>
      <c r="D14" s="537">
        <v>5.6999999999999998E-4</v>
      </c>
      <c r="E14" s="479">
        <v>0</v>
      </c>
      <c r="F14" s="480">
        <v>0.1673</v>
      </c>
      <c r="G14" s="480">
        <f t="shared" si="0"/>
        <v>5.7000000000000002E-3</v>
      </c>
      <c r="H14" s="480">
        <v>0.84419999999999995</v>
      </c>
      <c r="I14" s="499">
        <f t="shared" si="1"/>
        <v>3.5129999999999999</v>
      </c>
      <c r="J14" s="481">
        <v>5.14</v>
      </c>
      <c r="K14" s="481">
        <v>5.14</v>
      </c>
      <c r="L14" s="481">
        <v>27.41</v>
      </c>
      <c r="M14" s="481">
        <v>259.54000000000002</v>
      </c>
      <c r="N14" s="481">
        <v>2838.87</v>
      </c>
      <c r="O14" s="481">
        <v>0</v>
      </c>
      <c r="P14" s="98"/>
    </row>
    <row r="15" spans="1:16" x14ac:dyDescent="0.2">
      <c r="A15" s="478">
        <v>42461</v>
      </c>
      <c r="B15" s="537">
        <v>0.32343</v>
      </c>
      <c r="C15" s="537">
        <v>1.0840000000000001E-2</v>
      </c>
      <c r="D15" s="537">
        <v>5.6999999999999998E-4</v>
      </c>
      <c r="E15" s="479">
        <v>0</v>
      </c>
      <c r="F15" s="480">
        <v>0.16619999999999999</v>
      </c>
      <c r="G15" s="480">
        <f t="shared" si="0"/>
        <v>5.7000000000000002E-3</v>
      </c>
      <c r="H15" s="480">
        <v>0.83650000000000002</v>
      </c>
      <c r="I15" s="499">
        <f t="shared" si="1"/>
        <v>3.2343000000000002</v>
      </c>
      <c r="J15" s="481">
        <v>4.8499999999999996</v>
      </c>
      <c r="K15" s="481">
        <v>4.8499999999999996</v>
      </c>
      <c r="L15" s="481">
        <v>25.87</v>
      </c>
      <c r="M15" s="481">
        <v>245.08</v>
      </c>
      <c r="N15" s="481">
        <v>2688.31</v>
      </c>
      <c r="O15" s="481">
        <v>0</v>
      </c>
      <c r="P15" s="98"/>
    </row>
    <row r="16" spans="1:16" x14ac:dyDescent="0.2">
      <c r="A16" s="478">
        <v>42430</v>
      </c>
      <c r="B16" s="537">
        <v>0.32343</v>
      </c>
      <c r="C16" s="537">
        <v>9.0699999999999999E-3</v>
      </c>
      <c r="D16" s="537">
        <v>5.4000000000000001E-4</v>
      </c>
      <c r="E16" s="479">
        <v>0</v>
      </c>
      <c r="F16" s="480">
        <v>0.16619999999999999</v>
      </c>
      <c r="G16" s="480">
        <f>0.00054*10</f>
        <v>5.4000000000000003E-3</v>
      </c>
      <c r="H16" s="480">
        <v>0.83650000000000002</v>
      </c>
      <c r="I16" s="499">
        <f t="shared" si="1"/>
        <v>3.2343000000000002</v>
      </c>
      <c r="J16" s="481">
        <v>4.8499999999999996</v>
      </c>
      <c r="K16" s="481">
        <v>4.8499999999999996</v>
      </c>
      <c r="L16" s="481">
        <v>25.87</v>
      </c>
      <c r="M16" s="481">
        <v>245.08</v>
      </c>
      <c r="N16" s="481">
        <v>2688.31</v>
      </c>
      <c r="O16" s="481">
        <v>0</v>
      </c>
      <c r="P16" s="98"/>
    </row>
    <row r="17" spans="1:22" x14ac:dyDescent="0.2">
      <c r="A17" s="478">
        <v>42401</v>
      </c>
      <c r="B17" s="537">
        <v>0.32343</v>
      </c>
      <c r="C17" s="537">
        <v>9.0699999999999999E-3</v>
      </c>
      <c r="D17" s="537">
        <v>5.4000000000000001E-4</v>
      </c>
      <c r="E17" s="479">
        <v>0</v>
      </c>
      <c r="F17" s="480">
        <v>0.16619999999999999</v>
      </c>
      <c r="G17" s="480">
        <f>0.00054*10</f>
        <v>5.4000000000000003E-3</v>
      </c>
      <c r="H17" s="480">
        <v>0.83650000000000002</v>
      </c>
      <c r="I17" s="499">
        <f t="shared" si="1"/>
        <v>3.2343000000000002</v>
      </c>
      <c r="J17" s="481">
        <v>4.8499999999999996</v>
      </c>
      <c r="K17" s="481">
        <v>4.8499999999999996</v>
      </c>
      <c r="L17" s="481">
        <v>25.87</v>
      </c>
      <c r="M17" s="481">
        <v>245.08</v>
      </c>
      <c r="N17" s="481">
        <v>2688.31</v>
      </c>
      <c r="O17" s="481">
        <v>0</v>
      </c>
      <c r="P17" s="98"/>
    </row>
    <row r="18" spans="1:22" x14ac:dyDescent="0.2">
      <c r="A18" s="478">
        <v>42370</v>
      </c>
      <c r="B18" s="537">
        <v>0.34067999999999998</v>
      </c>
      <c r="C18" s="537">
        <v>9.0699999999999999E-3</v>
      </c>
      <c r="D18" s="537">
        <v>5.4000000000000001E-4</v>
      </c>
      <c r="E18" s="479">
        <v>0</v>
      </c>
      <c r="F18" s="480">
        <v>0.16200000000000001</v>
      </c>
      <c r="G18" s="480">
        <f>0.00054*10</f>
        <v>5.4000000000000003E-3</v>
      </c>
      <c r="H18" s="480">
        <v>0.82469999999999999</v>
      </c>
      <c r="I18" s="499">
        <f t="shared" si="1"/>
        <v>3.4067999999999996</v>
      </c>
      <c r="J18" s="481">
        <v>3.77</v>
      </c>
      <c r="K18" s="481">
        <v>3.77</v>
      </c>
      <c r="L18" s="481">
        <v>16.920000000000002</v>
      </c>
      <c r="M18" s="481">
        <v>149.69</v>
      </c>
      <c r="N18" s="481">
        <v>825.48</v>
      </c>
      <c r="O18" s="481">
        <v>0</v>
      </c>
      <c r="P18" s="98"/>
    </row>
    <row r="19" spans="1:22" x14ac:dyDescent="0.2">
      <c r="A19" s="478">
        <v>42339</v>
      </c>
      <c r="B19" s="537">
        <v>0.34067999999999998</v>
      </c>
      <c r="C19" s="537">
        <v>8.3800000000000003E-3</v>
      </c>
      <c r="D19" s="537">
        <v>5.6999999999999998E-4</v>
      </c>
      <c r="E19" s="479">
        <v>0</v>
      </c>
      <c r="F19" s="480">
        <v>0.16200000000000001</v>
      </c>
      <c r="G19" s="480">
        <f t="shared" ref="G19:G26" si="2">0.00057*10</f>
        <v>5.7000000000000002E-3</v>
      </c>
      <c r="H19" s="480">
        <v>0.82469999999999999</v>
      </c>
      <c r="I19" s="499">
        <f t="shared" si="1"/>
        <v>3.4067999999999996</v>
      </c>
      <c r="J19" s="481">
        <v>3.77</v>
      </c>
      <c r="K19" s="481">
        <v>3.77</v>
      </c>
      <c r="L19" s="481">
        <v>16.920000000000002</v>
      </c>
      <c r="M19" s="481">
        <v>149.69</v>
      </c>
      <c r="N19" s="481">
        <v>825.48</v>
      </c>
      <c r="O19" s="481">
        <v>0</v>
      </c>
      <c r="P19" s="98"/>
    </row>
    <row r="20" spans="1:22" x14ac:dyDescent="0.2">
      <c r="A20" s="478">
        <v>42309</v>
      </c>
      <c r="B20" s="537">
        <v>0.34067999999999998</v>
      </c>
      <c r="C20" s="537">
        <v>8.3800000000000003E-3</v>
      </c>
      <c r="D20" s="537">
        <v>5.6999999999999998E-4</v>
      </c>
      <c r="E20" s="479">
        <v>0</v>
      </c>
      <c r="F20" s="480">
        <v>0.16200000000000001</v>
      </c>
      <c r="G20" s="480">
        <f t="shared" si="2"/>
        <v>5.7000000000000002E-3</v>
      </c>
      <c r="H20" s="480">
        <v>0.82469999999999999</v>
      </c>
      <c r="I20" s="499">
        <f t="shared" si="1"/>
        <v>3.4067999999999996</v>
      </c>
      <c r="J20" s="481">
        <v>3.77</v>
      </c>
      <c r="K20" s="481">
        <v>3.77</v>
      </c>
      <c r="L20" s="481">
        <v>16.920000000000002</v>
      </c>
      <c r="M20" s="481">
        <v>149.69</v>
      </c>
      <c r="N20" s="481">
        <v>825.48</v>
      </c>
      <c r="O20" s="481">
        <v>0</v>
      </c>
      <c r="P20" s="98"/>
    </row>
    <row r="21" spans="1:22" x14ac:dyDescent="0.2">
      <c r="A21" s="478">
        <v>42278</v>
      </c>
      <c r="B21" s="537">
        <v>0.29799999999999999</v>
      </c>
      <c r="C21" s="537">
        <v>8.3800000000000003E-3</v>
      </c>
      <c r="D21" s="537">
        <v>5.6999999999999998E-4</v>
      </c>
      <c r="E21" s="479">
        <v>0</v>
      </c>
      <c r="F21" s="480">
        <v>0.15770000000000001</v>
      </c>
      <c r="G21" s="480">
        <f t="shared" si="2"/>
        <v>5.7000000000000002E-3</v>
      </c>
      <c r="H21" s="480">
        <v>0.76959999999999995</v>
      </c>
      <c r="I21" s="499">
        <f t="shared" si="1"/>
        <v>2.98</v>
      </c>
      <c r="J21" s="481">
        <v>3.77</v>
      </c>
      <c r="K21" s="481">
        <v>3.77</v>
      </c>
      <c r="L21" s="481">
        <v>16.920000000000002</v>
      </c>
      <c r="M21" s="481">
        <v>149.69</v>
      </c>
      <c r="N21" s="481">
        <v>825.48</v>
      </c>
      <c r="O21" s="481">
        <v>0</v>
      </c>
      <c r="P21" s="98"/>
    </row>
    <row r="22" spans="1:22" x14ac:dyDescent="0.2">
      <c r="A22" s="478">
        <v>42248</v>
      </c>
      <c r="B22" s="537">
        <v>0.29799999999999999</v>
      </c>
      <c r="C22" s="537">
        <v>8.3800000000000003E-3</v>
      </c>
      <c r="D22" s="537">
        <v>5.6999999999999998E-4</v>
      </c>
      <c r="E22" s="479">
        <v>0</v>
      </c>
      <c r="F22" s="480">
        <v>0.15770000000000001</v>
      </c>
      <c r="G22" s="480">
        <f t="shared" si="2"/>
        <v>5.7000000000000002E-3</v>
      </c>
      <c r="H22" s="480">
        <v>0.76959999999999995</v>
      </c>
      <c r="I22" s="499">
        <f t="shared" si="1"/>
        <v>2.98</v>
      </c>
      <c r="J22" s="481">
        <v>3.77</v>
      </c>
      <c r="K22" s="481">
        <v>3.77</v>
      </c>
      <c r="L22" s="481">
        <v>16.920000000000002</v>
      </c>
      <c r="M22" s="481">
        <v>149.69</v>
      </c>
      <c r="N22" s="481">
        <v>825.48</v>
      </c>
      <c r="O22" s="481">
        <v>0</v>
      </c>
      <c r="P22" s="98"/>
    </row>
    <row r="23" spans="1:22" x14ac:dyDescent="0.2">
      <c r="A23" s="478">
        <v>42217</v>
      </c>
      <c r="B23" s="537">
        <v>0.29799999999999999</v>
      </c>
      <c r="C23" s="537">
        <v>8.3800000000000003E-3</v>
      </c>
      <c r="D23" s="537">
        <v>5.6999999999999998E-4</v>
      </c>
      <c r="E23" s="479">
        <v>0</v>
      </c>
      <c r="F23" s="480">
        <v>0.15770000000000001</v>
      </c>
      <c r="G23" s="480">
        <f t="shared" si="2"/>
        <v>5.7000000000000002E-3</v>
      </c>
      <c r="H23" s="480">
        <v>0.76959999999999995</v>
      </c>
      <c r="I23" s="499">
        <f t="shared" si="1"/>
        <v>2.98</v>
      </c>
      <c r="J23" s="481">
        <v>3.77</v>
      </c>
      <c r="K23" s="481">
        <v>3.77</v>
      </c>
      <c r="L23" s="481">
        <v>16.920000000000002</v>
      </c>
      <c r="M23" s="481">
        <v>149.69</v>
      </c>
      <c r="N23" s="481">
        <v>825.48</v>
      </c>
      <c r="O23" s="481">
        <v>0</v>
      </c>
      <c r="P23" s="98"/>
    </row>
    <row r="24" spans="1:22" x14ac:dyDescent="0.2">
      <c r="A24" s="478">
        <v>42186</v>
      </c>
      <c r="B24" s="537">
        <v>0.41597000000000001</v>
      </c>
      <c r="C24" s="537">
        <v>8.3800000000000003E-3</v>
      </c>
      <c r="D24" s="537">
        <v>5.6999999999999998E-4</v>
      </c>
      <c r="E24" s="479">
        <v>0</v>
      </c>
      <c r="F24" s="480">
        <v>0.15770000000000001</v>
      </c>
      <c r="G24" s="480">
        <f t="shared" si="2"/>
        <v>5.7000000000000002E-3</v>
      </c>
      <c r="H24" s="480">
        <v>0.76910000000000001</v>
      </c>
      <c r="I24" s="499">
        <f t="shared" si="1"/>
        <v>4.1597</v>
      </c>
      <c r="J24" s="481">
        <v>3.77</v>
      </c>
      <c r="K24" s="481">
        <v>3.77</v>
      </c>
      <c r="L24" s="481">
        <v>16.920000000000002</v>
      </c>
      <c r="M24" s="481">
        <v>149.69</v>
      </c>
      <c r="N24" s="481">
        <v>825.48</v>
      </c>
      <c r="O24" s="481">
        <v>0</v>
      </c>
      <c r="P24" s="98"/>
    </row>
    <row r="25" spans="1:22" x14ac:dyDescent="0.2">
      <c r="A25" s="478">
        <v>42156</v>
      </c>
      <c r="B25" s="537">
        <v>0.41597000000000001</v>
      </c>
      <c r="C25" s="537">
        <v>1.311E-2</v>
      </c>
      <c r="D25" s="537">
        <v>5.6999999999999998E-4</v>
      </c>
      <c r="E25" s="479">
        <v>0</v>
      </c>
      <c r="F25" s="480">
        <v>0.15770000000000001</v>
      </c>
      <c r="G25" s="480">
        <f t="shared" si="2"/>
        <v>5.7000000000000002E-3</v>
      </c>
      <c r="H25" s="480">
        <v>0.76910000000000001</v>
      </c>
      <c r="I25" s="499">
        <f t="shared" si="1"/>
        <v>4.1597</v>
      </c>
      <c r="J25" s="481">
        <v>3.77</v>
      </c>
      <c r="K25" s="481">
        <v>3.77</v>
      </c>
      <c r="L25" s="481">
        <v>16.920000000000002</v>
      </c>
      <c r="M25" s="481">
        <v>149.69</v>
      </c>
      <c r="N25" s="481">
        <v>825.48</v>
      </c>
      <c r="O25" s="481">
        <v>0</v>
      </c>
      <c r="P25" s="98"/>
    </row>
    <row r="26" spans="1:22" x14ac:dyDescent="0.2">
      <c r="A26" s="478">
        <v>42125</v>
      </c>
      <c r="B26" s="537">
        <v>0.41597000000000001</v>
      </c>
      <c r="C26" s="537">
        <v>1.311E-2</v>
      </c>
      <c r="D26" s="537">
        <v>5.6999999999999998E-4</v>
      </c>
      <c r="E26" s="479">
        <v>0</v>
      </c>
      <c r="F26" s="480">
        <v>0.15770000000000001</v>
      </c>
      <c r="G26" s="480">
        <f t="shared" si="2"/>
        <v>5.7000000000000002E-3</v>
      </c>
      <c r="H26" s="480">
        <v>0.76910000000000001</v>
      </c>
      <c r="I26" s="499">
        <f t="shared" si="1"/>
        <v>4.1597</v>
      </c>
      <c r="J26" s="481">
        <v>3.77</v>
      </c>
      <c r="K26" s="481">
        <v>3.77</v>
      </c>
      <c r="L26" s="481">
        <v>16.920000000000002</v>
      </c>
      <c r="M26" s="481">
        <v>149.69</v>
      </c>
      <c r="N26" s="481">
        <v>825.48</v>
      </c>
      <c r="O26" s="481">
        <v>0</v>
      </c>
      <c r="P26" s="98"/>
    </row>
    <row r="27" spans="1:22" x14ac:dyDescent="0.2">
      <c r="A27" s="478">
        <v>42095</v>
      </c>
      <c r="B27" s="537">
        <v>0.49951000000000001</v>
      </c>
      <c r="C27" s="537">
        <v>1.311E-2</v>
      </c>
      <c r="D27" s="537">
        <v>5.6999999999999998E-4</v>
      </c>
      <c r="E27" s="479">
        <v>0</v>
      </c>
      <c r="F27" s="480">
        <v>0.15770000000000001</v>
      </c>
      <c r="G27" s="480">
        <f>0.00057*10</f>
        <v>5.7000000000000002E-3</v>
      </c>
      <c r="H27" s="480">
        <v>0.76839999999999997</v>
      </c>
      <c r="I27" s="499">
        <f t="shared" si="1"/>
        <v>4.9950999999999999</v>
      </c>
      <c r="J27" s="481">
        <v>2.5299999999999998</v>
      </c>
      <c r="K27" s="481">
        <v>2.5299999999999998</v>
      </c>
      <c r="L27" s="481">
        <v>11.37</v>
      </c>
      <c r="M27" s="481">
        <v>100.59</v>
      </c>
      <c r="N27" s="481">
        <v>554.69000000000005</v>
      </c>
      <c r="O27" s="481">
        <v>0</v>
      </c>
      <c r="P27" s="98"/>
    </row>
    <row r="28" spans="1:22" ht="15" x14ac:dyDescent="0.25">
      <c r="A28" s="478">
        <v>42064</v>
      </c>
      <c r="B28" s="537">
        <v>0.49951000000000001</v>
      </c>
      <c r="C28" s="537">
        <v>1.941E-2</v>
      </c>
      <c r="D28" s="537">
        <v>9.3000000000000005E-4</v>
      </c>
      <c r="E28" s="479">
        <v>0</v>
      </c>
      <c r="F28" s="480">
        <v>0.15770000000000001</v>
      </c>
      <c r="G28" s="480">
        <f t="shared" ref="G28:G35" si="3">+D28*10</f>
        <v>9.300000000000001E-3</v>
      </c>
      <c r="H28" s="480">
        <v>0.76839999999999997</v>
      </c>
      <c r="I28" s="499">
        <f t="shared" si="1"/>
        <v>4.9950999999999999</v>
      </c>
      <c r="J28" s="481">
        <v>2.5299999999999998</v>
      </c>
      <c r="K28" s="481">
        <v>2.5299999999999998</v>
      </c>
      <c r="L28" s="481">
        <v>11.37</v>
      </c>
      <c r="M28" s="481">
        <v>100.59</v>
      </c>
      <c r="N28" s="481">
        <v>554.69000000000005</v>
      </c>
      <c r="O28" s="481">
        <v>0</v>
      </c>
      <c r="P28" s="98"/>
      <c r="Q28" s="584"/>
      <c r="R28" s="584"/>
      <c r="S28" s="584"/>
      <c r="T28" s="584"/>
      <c r="U28" s="584"/>
      <c r="V28" s="584"/>
    </row>
    <row r="29" spans="1:22" x14ac:dyDescent="0.2">
      <c r="A29" s="478">
        <v>42036</v>
      </c>
      <c r="B29" s="537">
        <v>0.49951000000000001</v>
      </c>
      <c r="C29" s="537">
        <v>1.941E-2</v>
      </c>
      <c r="D29" s="537">
        <v>9.3000000000000005E-4</v>
      </c>
      <c r="E29" s="479">
        <v>0</v>
      </c>
      <c r="F29" s="480">
        <v>0.15770000000000001</v>
      </c>
      <c r="G29" s="480">
        <f t="shared" si="3"/>
        <v>9.300000000000001E-3</v>
      </c>
      <c r="H29" s="480">
        <v>0.76839999999999997</v>
      </c>
      <c r="I29" s="499">
        <f t="shared" si="1"/>
        <v>4.9950999999999999</v>
      </c>
      <c r="J29" s="481">
        <v>2.5299999999999998</v>
      </c>
      <c r="K29" s="481">
        <v>2.5299999999999998</v>
      </c>
      <c r="L29" s="481">
        <v>11.37</v>
      </c>
      <c r="M29" s="481">
        <v>100.59</v>
      </c>
      <c r="N29" s="481">
        <v>554.69000000000005</v>
      </c>
      <c r="O29" s="481">
        <v>0</v>
      </c>
      <c r="P29" s="98"/>
    </row>
    <row r="30" spans="1:22" x14ac:dyDescent="0.2">
      <c r="A30" s="478">
        <v>42005</v>
      </c>
      <c r="B30" s="537">
        <v>0.56128</v>
      </c>
      <c r="C30" s="537">
        <v>1.941E-2</v>
      </c>
      <c r="D30" s="537">
        <v>9.3000000000000005E-4</v>
      </c>
      <c r="E30" s="479">
        <v>0</v>
      </c>
      <c r="F30" s="480">
        <v>0.15759999999999999</v>
      </c>
      <c r="G30" s="480">
        <f t="shared" si="3"/>
        <v>9.300000000000001E-3</v>
      </c>
      <c r="H30" s="480">
        <v>0.7792</v>
      </c>
      <c r="I30" s="499">
        <f t="shared" si="1"/>
        <v>5.6128</v>
      </c>
      <c r="J30" s="481">
        <v>2.5299999999999998</v>
      </c>
      <c r="K30" s="481">
        <v>2.5299999999999998</v>
      </c>
      <c r="L30" s="481">
        <v>11.37</v>
      </c>
      <c r="M30" s="481">
        <v>100.59</v>
      </c>
      <c r="N30" s="481">
        <v>554.69000000000005</v>
      </c>
      <c r="O30" s="481">
        <v>0</v>
      </c>
      <c r="P30" s="98"/>
    </row>
    <row r="31" spans="1:22" x14ac:dyDescent="0.2">
      <c r="A31" s="478">
        <v>41974</v>
      </c>
      <c r="B31" s="537">
        <v>0.56128</v>
      </c>
      <c r="C31" s="537">
        <v>1.6230000000000001E-2</v>
      </c>
      <c r="D31" s="537">
        <v>9.3000000000000005E-4</v>
      </c>
      <c r="E31" s="479">
        <v>0</v>
      </c>
      <c r="F31" s="480">
        <v>0.15759999999999999</v>
      </c>
      <c r="G31" s="480">
        <f t="shared" si="3"/>
        <v>9.300000000000001E-3</v>
      </c>
      <c r="H31" s="480">
        <v>0.7792</v>
      </c>
      <c r="I31" s="499">
        <f t="shared" si="1"/>
        <v>5.6128</v>
      </c>
      <c r="J31" s="481">
        <v>1.08</v>
      </c>
      <c r="K31" s="481">
        <v>1.08</v>
      </c>
      <c r="L31" s="481">
        <v>4.83</v>
      </c>
      <c r="M31" s="481">
        <v>42.69</v>
      </c>
      <c r="N31" s="481">
        <v>235.45</v>
      </c>
      <c r="O31" s="481">
        <v>0</v>
      </c>
      <c r="P31" s="98"/>
    </row>
    <row r="32" spans="1:22" x14ac:dyDescent="0.2">
      <c r="A32" s="478">
        <v>41944</v>
      </c>
      <c r="B32" s="537">
        <v>0.56128</v>
      </c>
      <c r="C32" s="537">
        <v>1.6230000000000001E-2</v>
      </c>
      <c r="D32" s="537">
        <v>9.3000000000000005E-4</v>
      </c>
      <c r="E32" s="479">
        <v>0</v>
      </c>
      <c r="F32" s="480">
        <v>0.15759999999999999</v>
      </c>
      <c r="G32" s="480">
        <f t="shared" si="3"/>
        <v>9.300000000000001E-3</v>
      </c>
      <c r="H32" s="480">
        <v>0.7792</v>
      </c>
      <c r="I32" s="499">
        <f t="shared" si="1"/>
        <v>5.6128</v>
      </c>
      <c r="J32" s="481">
        <v>1.08</v>
      </c>
      <c r="K32" s="481">
        <v>1.08</v>
      </c>
      <c r="L32" s="481">
        <v>4.83</v>
      </c>
      <c r="M32" s="481">
        <v>42.69</v>
      </c>
      <c r="N32" s="481">
        <v>235.45</v>
      </c>
      <c r="O32" s="481">
        <v>0</v>
      </c>
      <c r="P32" s="98"/>
    </row>
    <row r="33" spans="1:19" x14ac:dyDescent="0.2">
      <c r="A33" s="478">
        <v>41913</v>
      </c>
      <c r="B33" s="537">
        <v>0.62312999999999996</v>
      </c>
      <c r="C33" s="537">
        <v>1.6230000000000001E-2</v>
      </c>
      <c r="D33" s="537">
        <v>9.3000000000000005E-4</v>
      </c>
      <c r="E33" s="479">
        <v>0</v>
      </c>
      <c r="F33" s="480">
        <v>0.1515</v>
      </c>
      <c r="G33" s="480">
        <f t="shared" si="3"/>
        <v>9.300000000000001E-3</v>
      </c>
      <c r="H33" s="480">
        <v>0.80359999999999998</v>
      </c>
      <c r="I33" s="499">
        <f t="shared" si="1"/>
        <v>6.2312999999999992</v>
      </c>
      <c r="J33" s="481">
        <v>1.08</v>
      </c>
      <c r="K33" s="481">
        <v>1.08</v>
      </c>
      <c r="L33" s="481">
        <v>4.83</v>
      </c>
      <c r="M33" s="481">
        <v>42.69</v>
      </c>
      <c r="N33" s="481">
        <v>235.45</v>
      </c>
      <c r="O33" s="481">
        <v>0</v>
      </c>
      <c r="P33" s="98"/>
    </row>
    <row r="34" spans="1:19" x14ac:dyDescent="0.2">
      <c r="A34" s="478">
        <v>41883</v>
      </c>
      <c r="B34" s="537">
        <v>0.62312999999999996</v>
      </c>
      <c r="C34" s="537">
        <v>1.6230000000000001E-2</v>
      </c>
      <c r="D34" s="537">
        <v>9.3000000000000005E-4</v>
      </c>
      <c r="E34" s="479">
        <v>0</v>
      </c>
      <c r="F34" s="480">
        <v>0.1515</v>
      </c>
      <c r="G34" s="480">
        <f t="shared" si="3"/>
        <v>9.300000000000001E-3</v>
      </c>
      <c r="H34" s="480">
        <v>0.80359999999999998</v>
      </c>
      <c r="I34" s="499">
        <f t="shared" si="1"/>
        <v>6.2312999999999992</v>
      </c>
      <c r="J34" s="481">
        <v>1.08</v>
      </c>
      <c r="K34" s="481">
        <v>1.08</v>
      </c>
      <c r="L34" s="481">
        <v>4.83</v>
      </c>
      <c r="M34" s="481">
        <v>42.69</v>
      </c>
      <c r="N34" s="481">
        <v>235.45</v>
      </c>
      <c r="O34" s="481">
        <v>0</v>
      </c>
      <c r="P34" s="98"/>
    </row>
    <row r="35" spans="1:19" x14ac:dyDescent="0.2">
      <c r="A35" s="478">
        <v>41852</v>
      </c>
      <c r="B35" s="537">
        <v>0.62312999999999996</v>
      </c>
      <c r="C35" s="537">
        <v>1.6230000000000001E-2</v>
      </c>
      <c r="D35" s="537">
        <v>9.3000000000000005E-4</v>
      </c>
      <c r="E35" s="479">
        <v>0</v>
      </c>
      <c r="F35" s="480">
        <v>0.1515</v>
      </c>
      <c r="G35" s="480">
        <f t="shared" si="3"/>
        <v>9.300000000000001E-3</v>
      </c>
      <c r="H35" s="480">
        <v>0.80359999999999998</v>
      </c>
      <c r="I35" s="499">
        <f t="shared" ref="I35:I52" si="4">B35*10</f>
        <v>6.2312999999999992</v>
      </c>
      <c r="J35" s="481">
        <v>1.08</v>
      </c>
      <c r="K35" s="481">
        <v>1.08</v>
      </c>
      <c r="L35" s="481">
        <v>4.83</v>
      </c>
      <c r="M35" s="481">
        <v>42.69</v>
      </c>
      <c r="N35" s="481">
        <v>235.45</v>
      </c>
      <c r="O35" s="481">
        <v>0</v>
      </c>
      <c r="P35" s="98"/>
    </row>
    <row r="36" spans="1:19" x14ac:dyDescent="0.2">
      <c r="A36" s="478">
        <v>41821</v>
      </c>
      <c r="B36" s="537">
        <v>0.59587999999999997</v>
      </c>
      <c r="C36" s="537">
        <v>1.6230000000000001E-2</v>
      </c>
      <c r="D36" s="537">
        <v>9.3000000000000005E-4</v>
      </c>
      <c r="E36" s="479">
        <v>0</v>
      </c>
      <c r="F36" s="480">
        <v>0.1515</v>
      </c>
      <c r="G36" s="480">
        <f t="shared" ref="G36:G52" si="5">+D36*10</f>
        <v>9.300000000000001E-3</v>
      </c>
      <c r="H36" s="480">
        <v>0.80220000000000002</v>
      </c>
      <c r="I36" s="499">
        <f t="shared" si="4"/>
        <v>5.9588000000000001</v>
      </c>
      <c r="J36" s="481">
        <v>1.08</v>
      </c>
      <c r="K36" s="481">
        <v>1.08</v>
      </c>
      <c r="L36" s="481">
        <v>4.83</v>
      </c>
      <c r="M36" s="481">
        <v>42.69</v>
      </c>
      <c r="N36" s="481">
        <v>235.45</v>
      </c>
      <c r="O36" s="481">
        <v>0</v>
      </c>
      <c r="P36" s="480"/>
      <c r="S36" s="537"/>
    </row>
    <row r="37" spans="1:19" x14ac:dyDescent="0.2">
      <c r="A37" s="478">
        <v>41791</v>
      </c>
      <c r="B37" s="537">
        <v>0.59587999999999997</v>
      </c>
      <c r="C37" s="537">
        <v>1.6230000000000001E-2</v>
      </c>
      <c r="D37" s="537">
        <v>9.3000000000000005E-4</v>
      </c>
      <c r="E37" s="479">
        <v>0</v>
      </c>
      <c r="F37" s="480">
        <v>0.1515</v>
      </c>
      <c r="G37" s="480">
        <f t="shared" si="5"/>
        <v>9.300000000000001E-3</v>
      </c>
      <c r="H37" s="480">
        <v>0.80220000000000002</v>
      </c>
      <c r="I37" s="499">
        <f t="shared" si="4"/>
        <v>5.9588000000000001</v>
      </c>
      <c r="J37" s="481">
        <v>1.08</v>
      </c>
      <c r="K37" s="481">
        <v>1.08</v>
      </c>
      <c r="L37" s="481">
        <v>4.83</v>
      </c>
      <c r="M37" s="481">
        <v>42.69</v>
      </c>
      <c r="N37" s="481">
        <v>235.45</v>
      </c>
      <c r="O37" s="481">
        <v>0</v>
      </c>
      <c r="P37" s="98"/>
      <c r="S37" s="537"/>
    </row>
    <row r="38" spans="1:19" x14ac:dyDescent="0.2">
      <c r="A38" s="482">
        <v>41760</v>
      </c>
      <c r="B38" s="537">
        <v>0.59587999999999997</v>
      </c>
      <c r="C38" s="537">
        <v>1.6230000000000001E-2</v>
      </c>
      <c r="D38" s="537">
        <v>9.3000000000000005E-4</v>
      </c>
      <c r="E38" s="479">
        <v>0</v>
      </c>
      <c r="F38" s="480">
        <v>0.1515</v>
      </c>
      <c r="G38" s="480">
        <f t="shared" si="5"/>
        <v>9.300000000000001E-3</v>
      </c>
      <c r="H38" s="480">
        <v>0.80220000000000002</v>
      </c>
      <c r="I38" s="499">
        <f t="shared" si="4"/>
        <v>5.9588000000000001</v>
      </c>
      <c r="J38" s="481">
        <v>1.08</v>
      </c>
      <c r="K38" s="481">
        <v>1.08</v>
      </c>
      <c r="L38" s="481">
        <v>4.83</v>
      </c>
      <c r="M38" s="481">
        <v>42.69</v>
      </c>
      <c r="N38" s="481">
        <v>235.45</v>
      </c>
      <c r="O38" s="481">
        <v>0</v>
      </c>
      <c r="P38" s="98"/>
      <c r="S38" s="537"/>
    </row>
    <row r="39" spans="1:19" x14ac:dyDescent="0.2">
      <c r="A39" s="482">
        <v>41730</v>
      </c>
      <c r="B39" s="537">
        <v>0.51890999999999998</v>
      </c>
      <c r="C39" s="537">
        <v>1.6230000000000001E-2</v>
      </c>
      <c r="D39" s="537">
        <v>9.3000000000000005E-4</v>
      </c>
      <c r="E39" s="479">
        <v>0</v>
      </c>
      <c r="F39" s="480">
        <v>0.152</v>
      </c>
      <c r="G39" s="480">
        <f t="shared" si="5"/>
        <v>9.300000000000001E-3</v>
      </c>
      <c r="H39" s="480">
        <v>0.80189999999999995</v>
      </c>
      <c r="I39" s="499">
        <f t="shared" si="4"/>
        <v>5.1890999999999998</v>
      </c>
      <c r="J39" s="481">
        <v>2.35</v>
      </c>
      <c r="K39" s="481">
        <v>2.35</v>
      </c>
      <c r="L39" s="481">
        <v>10.54</v>
      </c>
      <c r="M39" s="481">
        <v>93.2</v>
      </c>
      <c r="N39" s="481">
        <v>513.95000000000005</v>
      </c>
      <c r="O39" s="481">
        <v>0</v>
      </c>
      <c r="P39" s="98"/>
      <c r="S39" s="537"/>
    </row>
    <row r="40" spans="1:19" x14ac:dyDescent="0.2">
      <c r="A40" s="482">
        <v>41699</v>
      </c>
      <c r="B40" s="537">
        <v>0.51890999999999998</v>
      </c>
      <c r="C40" s="537">
        <v>2.1399999999999999E-2</v>
      </c>
      <c r="D40" s="537">
        <v>9.7999999999999997E-4</v>
      </c>
      <c r="E40" s="479">
        <v>0</v>
      </c>
      <c r="F40" s="480">
        <v>0.152</v>
      </c>
      <c r="G40" s="480">
        <f t="shared" si="5"/>
        <v>9.7999999999999997E-3</v>
      </c>
      <c r="H40" s="480">
        <v>0.80189999999999995</v>
      </c>
      <c r="I40" s="499">
        <f t="shared" si="4"/>
        <v>5.1890999999999998</v>
      </c>
      <c r="J40" s="481">
        <v>2.35</v>
      </c>
      <c r="K40" s="481">
        <v>2.35</v>
      </c>
      <c r="L40" s="481">
        <v>10.54</v>
      </c>
      <c r="M40" s="481">
        <v>93.2</v>
      </c>
      <c r="N40" s="481">
        <v>513.95000000000005</v>
      </c>
      <c r="O40" s="481">
        <v>0</v>
      </c>
      <c r="P40" s="98"/>
      <c r="S40" s="537"/>
    </row>
    <row r="41" spans="1:19" x14ac:dyDescent="0.2">
      <c r="A41" s="482">
        <v>41671</v>
      </c>
      <c r="B41" s="537">
        <v>0.51890999999999998</v>
      </c>
      <c r="C41" s="537">
        <v>2.1399999999999999E-2</v>
      </c>
      <c r="D41" s="537">
        <v>9.7999999999999997E-4</v>
      </c>
      <c r="E41" s="479">
        <v>0</v>
      </c>
      <c r="F41" s="480">
        <v>0.152</v>
      </c>
      <c r="G41" s="480">
        <f t="shared" si="5"/>
        <v>9.7999999999999997E-3</v>
      </c>
      <c r="H41" s="480">
        <v>0.80189999999999995</v>
      </c>
      <c r="I41" s="499">
        <f t="shared" si="4"/>
        <v>5.1890999999999998</v>
      </c>
      <c r="J41" s="481">
        <v>2.35</v>
      </c>
      <c r="K41" s="481">
        <v>2.35</v>
      </c>
      <c r="L41" s="481">
        <v>10.54</v>
      </c>
      <c r="M41" s="481">
        <v>93.2</v>
      </c>
      <c r="N41" s="481">
        <v>513.95000000000005</v>
      </c>
      <c r="O41" s="481">
        <v>0</v>
      </c>
      <c r="P41" s="98"/>
      <c r="S41" s="537"/>
    </row>
    <row r="42" spans="1:19" x14ac:dyDescent="0.2">
      <c r="A42" s="482">
        <v>41640</v>
      </c>
      <c r="B42" s="537">
        <v>0.51737</v>
      </c>
      <c r="C42" s="537">
        <v>2.1399999999999999E-2</v>
      </c>
      <c r="D42" s="537">
        <v>9.7999999999999997E-4</v>
      </c>
      <c r="E42" s="479">
        <v>0</v>
      </c>
      <c r="F42" s="480">
        <v>0.15210000000000001</v>
      </c>
      <c r="G42" s="480">
        <f t="shared" si="5"/>
        <v>9.7999999999999997E-3</v>
      </c>
      <c r="H42" s="480">
        <v>0.87580000000000002</v>
      </c>
      <c r="I42" s="499">
        <f t="shared" si="4"/>
        <v>5.1737000000000002</v>
      </c>
      <c r="J42" s="481">
        <v>2.35</v>
      </c>
      <c r="K42" s="481">
        <v>2.35</v>
      </c>
      <c r="L42" s="481">
        <v>10.54</v>
      </c>
      <c r="M42" s="481">
        <v>93.2</v>
      </c>
      <c r="N42" s="481">
        <v>513.95000000000005</v>
      </c>
      <c r="O42" s="481">
        <v>0</v>
      </c>
      <c r="P42" s="98"/>
      <c r="S42" s="537"/>
    </row>
    <row r="43" spans="1:19" x14ac:dyDescent="0.2">
      <c r="A43" s="482">
        <v>41609</v>
      </c>
      <c r="B43" s="537">
        <v>0.51737</v>
      </c>
      <c r="C43" s="537">
        <v>1.7610000000000001E-2</v>
      </c>
      <c r="D43" s="537">
        <v>9.5E-4</v>
      </c>
      <c r="E43" s="479">
        <v>0</v>
      </c>
      <c r="F43" s="480">
        <v>0.15210000000000001</v>
      </c>
      <c r="G43" s="480">
        <f t="shared" si="5"/>
        <v>9.4999999999999998E-3</v>
      </c>
      <c r="H43" s="480">
        <v>0.87580000000000002</v>
      </c>
      <c r="I43" s="499">
        <f t="shared" si="4"/>
        <v>5.1737000000000002</v>
      </c>
      <c r="J43" s="481">
        <v>2.27</v>
      </c>
      <c r="K43" s="481">
        <v>2.27</v>
      </c>
      <c r="L43" s="481">
        <v>11.24</v>
      </c>
      <c r="M43" s="481">
        <v>90.32</v>
      </c>
      <c r="N43" s="481">
        <v>498.09</v>
      </c>
      <c r="O43" s="481">
        <v>0</v>
      </c>
      <c r="P43" s="98"/>
      <c r="S43" s="537"/>
    </row>
    <row r="44" spans="1:19" x14ac:dyDescent="0.2">
      <c r="A44" s="482">
        <v>41579</v>
      </c>
      <c r="B44" s="537">
        <v>0.51737</v>
      </c>
      <c r="C44" s="537">
        <v>1.7610000000000001E-2</v>
      </c>
      <c r="D44" s="537">
        <v>9.5E-4</v>
      </c>
      <c r="E44" s="479">
        <v>0</v>
      </c>
      <c r="F44" s="480">
        <v>0.15210000000000001</v>
      </c>
      <c r="G44" s="480">
        <f t="shared" si="5"/>
        <v>9.4999999999999998E-3</v>
      </c>
      <c r="H44" s="480">
        <v>0.87580000000000002</v>
      </c>
      <c r="I44" s="499">
        <f t="shared" si="4"/>
        <v>5.1737000000000002</v>
      </c>
      <c r="J44" s="481">
        <v>2.27</v>
      </c>
      <c r="K44" s="481">
        <v>2.27</v>
      </c>
      <c r="L44" s="481">
        <v>11.24</v>
      </c>
      <c r="M44" s="481">
        <v>90.32</v>
      </c>
      <c r="N44" s="481">
        <v>498.09</v>
      </c>
      <c r="O44" s="481">
        <v>0</v>
      </c>
      <c r="P44" s="98"/>
      <c r="S44" s="537"/>
    </row>
    <row r="45" spans="1:19" x14ac:dyDescent="0.2">
      <c r="A45" s="482">
        <v>41548</v>
      </c>
      <c r="B45" s="537">
        <v>0.55167999999999995</v>
      </c>
      <c r="C45" s="537">
        <v>1.7610000000000001E-2</v>
      </c>
      <c r="D45" s="537">
        <v>9.5E-4</v>
      </c>
      <c r="E45" s="479">
        <v>0</v>
      </c>
      <c r="F45" s="480">
        <v>0.15</v>
      </c>
      <c r="G45" s="480">
        <f t="shared" si="5"/>
        <v>9.4999999999999998E-3</v>
      </c>
      <c r="H45" s="480">
        <v>0.80730000000000002</v>
      </c>
      <c r="I45" s="499">
        <f t="shared" si="4"/>
        <v>5.5167999999999999</v>
      </c>
      <c r="J45" s="481">
        <v>2.27</v>
      </c>
      <c r="K45" s="481">
        <v>2.27</v>
      </c>
      <c r="L45" s="481">
        <v>11.24</v>
      </c>
      <c r="M45" s="481">
        <v>90.32</v>
      </c>
      <c r="N45" s="481">
        <v>498.09</v>
      </c>
      <c r="O45" s="481">
        <v>0</v>
      </c>
      <c r="P45" s="98"/>
      <c r="S45" s="537"/>
    </row>
    <row r="46" spans="1:19" x14ac:dyDescent="0.2">
      <c r="A46" s="482">
        <v>41518</v>
      </c>
      <c r="B46" s="537">
        <v>0.55167999999999995</v>
      </c>
      <c r="C46" s="537">
        <v>1.7610000000000001E-2</v>
      </c>
      <c r="D46" s="537">
        <v>9.5E-4</v>
      </c>
      <c r="E46" s="479">
        <v>0</v>
      </c>
      <c r="F46" s="480">
        <v>0.15</v>
      </c>
      <c r="G46" s="480">
        <f t="shared" si="5"/>
        <v>9.4999999999999998E-3</v>
      </c>
      <c r="H46" s="480">
        <v>0.80730000000000002</v>
      </c>
      <c r="I46" s="499">
        <f t="shared" si="4"/>
        <v>5.5167999999999999</v>
      </c>
      <c r="J46" s="481">
        <v>2.27</v>
      </c>
      <c r="K46" s="481">
        <v>2.27</v>
      </c>
      <c r="L46" s="481">
        <v>11.24</v>
      </c>
      <c r="M46" s="481">
        <v>90.32</v>
      </c>
      <c r="N46" s="481">
        <v>498.09</v>
      </c>
      <c r="O46" s="481">
        <v>0</v>
      </c>
      <c r="P46" s="98"/>
      <c r="S46" s="537"/>
    </row>
    <row r="47" spans="1:19" x14ac:dyDescent="0.2">
      <c r="A47" s="482">
        <v>41487</v>
      </c>
      <c r="B47" s="537">
        <v>0.55167999999999995</v>
      </c>
      <c r="C47" s="537">
        <v>1.7610000000000001E-2</v>
      </c>
      <c r="D47" s="537">
        <v>9.5E-4</v>
      </c>
      <c r="E47" s="479">
        <v>0</v>
      </c>
      <c r="F47" s="480">
        <v>0.15</v>
      </c>
      <c r="G47" s="480">
        <f t="shared" si="5"/>
        <v>9.4999999999999998E-3</v>
      </c>
      <c r="H47" s="480">
        <v>0.80730000000000002</v>
      </c>
      <c r="I47" s="499">
        <f t="shared" si="4"/>
        <v>5.5167999999999999</v>
      </c>
      <c r="J47" s="481">
        <v>2.27</v>
      </c>
      <c r="K47" s="481">
        <v>2.27</v>
      </c>
      <c r="L47" s="481">
        <v>11.24</v>
      </c>
      <c r="M47" s="481">
        <v>90.32</v>
      </c>
      <c r="N47" s="481">
        <v>498.09</v>
      </c>
      <c r="O47" s="481">
        <v>0</v>
      </c>
      <c r="P47" s="98"/>
      <c r="S47" s="537"/>
    </row>
    <row r="48" spans="1:19" x14ac:dyDescent="0.2">
      <c r="A48" s="482">
        <v>41456</v>
      </c>
      <c r="B48" s="537">
        <v>0.53324000000000005</v>
      </c>
      <c r="C48" s="537">
        <v>1.7610000000000001E-2</v>
      </c>
      <c r="D48" s="537">
        <v>9.5E-4</v>
      </c>
      <c r="E48" s="479">
        <v>0</v>
      </c>
      <c r="F48" s="480">
        <v>0.15</v>
      </c>
      <c r="G48" s="480">
        <f t="shared" si="5"/>
        <v>9.4999999999999998E-3</v>
      </c>
      <c r="H48" s="480">
        <v>0.8024</v>
      </c>
      <c r="I48" s="499">
        <f t="shared" si="4"/>
        <v>5.3324000000000007</v>
      </c>
      <c r="J48" s="481">
        <v>2.27</v>
      </c>
      <c r="K48" s="481">
        <v>2.27</v>
      </c>
      <c r="L48" s="481">
        <v>11.24</v>
      </c>
      <c r="M48" s="481">
        <v>90.32</v>
      </c>
      <c r="N48" s="481">
        <v>498.09</v>
      </c>
      <c r="O48" s="481">
        <v>0</v>
      </c>
      <c r="P48" s="98"/>
      <c r="S48" s="537"/>
    </row>
    <row r="49" spans="1:19" x14ac:dyDescent="0.2">
      <c r="A49" s="482">
        <v>41426</v>
      </c>
      <c r="B49" s="537">
        <v>0.53324000000000005</v>
      </c>
      <c r="C49" s="537">
        <v>1.7610000000000001E-2</v>
      </c>
      <c r="D49" s="537">
        <v>9.5E-4</v>
      </c>
      <c r="E49" s="479">
        <v>0</v>
      </c>
      <c r="F49" s="480">
        <v>0.15</v>
      </c>
      <c r="G49" s="480">
        <f t="shared" si="5"/>
        <v>9.4999999999999998E-3</v>
      </c>
      <c r="H49" s="480">
        <v>0.8024</v>
      </c>
      <c r="I49" s="499">
        <f t="shared" si="4"/>
        <v>5.3324000000000007</v>
      </c>
      <c r="J49" s="481">
        <v>2.27</v>
      </c>
      <c r="K49" s="481">
        <v>2.27</v>
      </c>
      <c r="L49" s="481">
        <v>11.24</v>
      </c>
      <c r="M49" s="481">
        <v>90.32</v>
      </c>
      <c r="N49" s="481">
        <v>498.09</v>
      </c>
      <c r="O49" s="481">
        <v>0</v>
      </c>
      <c r="P49" s="98"/>
      <c r="S49" s="537"/>
    </row>
    <row r="50" spans="1:19" x14ac:dyDescent="0.2">
      <c r="A50" s="482">
        <v>41395</v>
      </c>
      <c r="B50" s="537">
        <v>0.53324000000000005</v>
      </c>
      <c r="C50" s="537">
        <v>1.7610000000000001E-2</v>
      </c>
      <c r="D50" s="537">
        <v>9.5E-4</v>
      </c>
      <c r="E50" s="479">
        <v>0</v>
      </c>
      <c r="F50" s="480">
        <v>0.15</v>
      </c>
      <c r="G50" s="480">
        <f t="shared" si="5"/>
        <v>9.4999999999999998E-3</v>
      </c>
      <c r="H50" s="480">
        <v>0.8024</v>
      </c>
      <c r="I50" s="499">
        <f t="shared" si="4"/>
        <v>5.3324000000000007</v>
      </c>
      <c r="J50" s="481">
        <v>2.27</v>
      </c>
      <c r="K50" s="481">
        <v>2.27</v>
      </c>
      <c r="L50" s="481">
        <v>11.24</v>
      </c>
      <c r="M50" s="481">
        <v>90.32</v>
      </c>
      <c r="N50" s="481">
        <v>498.09</v>
      </c>
      <c r="O50" s="481">
        <v>0</v>
      </c>
      <c r="P50" s="98"/>
      <c r="S50" s="537"/>
    </row>
    <row r="51" spans="1:19" x14ac:dyDescent="0.2">
      <c r="A51" s="482">
        <v>41365</v>
      </c>
      <c r="B51" s="537">
        <v>0.43069000000000002</v>
      </c>
      <c r="C51" s="537">
        <v>1.7610000000000001E-2</v>
      </c>
      <c r="D51" s="537">
        <v>9.5E-4</v>
      </c>
      <c r="E51" s="479">
        <v>0</v>
      </c>
      <c r="F51" s="480">
        <v>0.15</v>
      </c>
      <c r="G51" s="480">
        <f t="shared" si="5"/>
        <v>9.4999999999999998E-3</v>
      </c>
      <c r="H51" s="480">
        <v>0.79590000000000005</v>
      </c>
      <c r="I51" s="499">
        <f t="shared" si="4"/>
        <v>4.3069000000000006</v>
      </c>
      <c r="J51" s="481">
        <v>2.27</v>
      </c>
      <c r="K51" s="481">
        <v>2.27</v>
      </c>
      <c r="L51" s="481">
        <v>11.24</v>
      </c>
      <c r="M51" s="481">
        <v>90.32</v>
      </c>
      <c r="N51" s="481">
        <v>498.09</v>
      </c>
      <c r="O51" s="481">
        <v>0</v>
      </c>
      <c r="P51" s="98"/>
      <c r="S51" s="537"/>
    </row>
    <row r="52" spans="1:19" customFormat="1" ht="15" x14ac:dyDescent="0.25">
      <c r="A52" s="482">
        <v>41334</v>
      </c>
      <c r="B52" s="537">
        <v>0.43069000000000002</v>
      </c>
      <c r="C52" s="537">
        <v>1.307E-2</v>
      </c>
      <c r="D52" s="537">
        <v>9.3999999999999997E-4</v>
      </c>
      <c r="E52" s="479">
        <v>0</v>
      </c>
      <c r="F52" s="480">
        <v>0.15</v>
      </c>
      <c r="G52" s="480">
        <f t="shared" si="5"/>
        <v>9.4000000000000004E-3</v>
      </c>
      <c r="H52" s="480">
        <v>0.79590000000000005</v>
      </c>
      <c r="I52" s="499">
        <f t="shared" si="4"/>
        <v>4.3069000000000006</v>
      </c>
      <c r="J52" s="481">
        <v>2.27</v>
      </c>
      <c r="K52" s="481">
        <v>2.27</v>
      </c>
      <c r="L52" s="481">
        <v>11.24</v>
      </c>
      <c r="M52" s="481">
        <v>90.32</v>
      </c>
      <c r="N52" s="481">
        <v>498.09</v>
      </c>
      <c r="O52" s="481">
        <v>0</v>
      </c>
      <c r="P52" s="73"/>
      <c r="S52" s="537"/>
    </row>
    <row r="53" spans="1:19" customFormat="1" ht="15" x14ac:dyDescent="0.25">
      <c r="A53" s="98"/>
      <c r="B53" s="73"/>
      <c r="C53" s="73"/>
      <c r="G53" s="73"/>
      <c r="I53" s="73"/>
      <c r="S53" s="537"/>
    </row>
    <row r="54" spans="1:19" customFormat="1" ht="15" x14ac:dyDescent="0.25">
      <c r="A54" s="54" t="s">
        <v>599</v>
      </c>
      <c r="B54" s="82"/>
      <c r="C54" s="82"/>
      <c r="G54" s="73"/>
      <c r="I54" s="73"/>
    </row>
    <row r="55" spans="1:19" customFormat="1" ht="15" x14ac:dyDescent="0.25">
      <c r="G55" s="73"/>
      <c r="I55" s="73"/>
    </row>
    <row r="56" spans="1:19" customFormat="1" ht="15" x14ac:dyDescent="0.25">
      <c r="G56" s="73"/>
      <c r="I56" s="73"/>
    </row>
    <row r="57" spans="1:19" customFormat="1" ht="15" x14ac:dyDescent="0.25">
      <c r="G57" s="73"/>
      <c r="I57" s="73"/>
    </row>
    <row r="58" spans="1:19" customFormat="1" ht="15" x14ac:dyDescent="0.25">
      <c r="G58" s="73"/>
      <c r="I58" s="73"/>
    </row>
    <row r="59" spans="1:19" customFormat="1" ht="15" x14ac:dyDescent="0.25">
      <c r="G59" s="73"/>
      <c r="I59" s="73"/>
    </row>
    <row r="60" spans="1:19" ht="15" x14ac:dyDescent="0.25">
      <c r="A60"/>
      <c r="B60"/>
      <c r="C60"/>
      <c r="D60"/>
      <c r="E60"/>
      <c r="F60"/>
      <c r="G60" s="73"/>
      <c r="H60"/>
    </row>
    <row r="61" spans="1:19" ht="15" x14ac:dyDescent="0.25">
      <c r="A61"/>
      <c r="B61"/>
      <c r="C61"/>
      <c r="D61"/>
      <c r="E61"/>
      <c r="F61"/>
      <c r="G61" s="73"/>
      <c r="H61"/>
    </row>
    <row r="62" spans="1:19" ht="15" x14ac:dyDescent="0.25">
      <c r="A62"/>
      <c r="B62"/>
      <c r="C62"/>
      <c r="D62"/>
      <c r="E62"/>
      <c r="F62"/>
      <c r="G62" s="73"/>
      <c r="H62"/>
    </row>
    <row r="63" spans="1:19" ht="15" x14ac:dyDescent="0.25">
      <c r="A63"/>
      <c r="B63"/>
      <c r="C63"/>
      <c r="D63"/>
      <c r="E63"/>
      <c r="F63"/>
      <c r="G63" s="73"/>
      <c r="H63"/>
    </row>
    <row r="64" spans="1:19" ht="15" x14ac:dyDescent="0.25">
      <c r="A64"/>
      <c r="B64"/>
      <c r="C64"/>
      <c r="D64"/>
      <c r="E64"/>
      <c r="F64"/>
      <c r="G64" s="73"/>
      <c r="H64"/>
    </row>
    <row r="65" spans="1:8" ht="15" x14ac:dyDescent="0.25">
      <c r="A65"/>
      <c r="B65"/>
      <c r="C65"/>
      <c r="D65"/>
      <c r="E65"/>
      <c r="F65"/>
      <c r="G65" s="73"/>
      <c r="H65"/>
    </row>
    <row r="66" spans="1:8" ht="15" x14ac:dyDescent="0.25">
      <c r="A66"/>
      <c r="B66"/>
      <c r="C66"/>
      <c r="D66"/>
      <c r="E66"/>
      <c r="F66"/>
      <c r="G66" s="73"/>
      <c r="H66"/>
    </row>
    <row r="67" spans="1:8" ht="15" x14ac:dyDescent="0.25">
      <c r="A67"/>
      <c r="B67"/>
      <c r="C67"/>
      <c r="D67"/>
      <c r="E67"/>
      <c r="F67"/>
      <c r="G67" s="73"/>
      <c r="H67"/>
    </row>
    <row r="68" spans="1:8" ht="15" x14ac:dyDescent="0.25">
      <c r="A68"/>
      <c r="B68"/>
      <c r="C68"/>
      <c r="D68"/>
      <c r="E68"/>
      <c r="F68"/>
      <c r="G68" s="73"/>
      <c r="H68"/>
    </row>
    <row r="69" spans="1:8" ht="15" x14ac:dyDescent="0.25">
      <c r="A69"/>
      <c r="B69"/>
      <c r="C69"/>
      <c r="D69"/>
      <c r="E69"/>
      <c r="F69"/>
      <c r="G69" s="73"/>
      <c r="H69"/>
    </row>
    <row r="70" spans="1:8" ht="15" x14ac:dyDescent="0.25">
      <c r="A70"/>
      <c r="B70"/>
      <c r="C70"/>
      <c r="D70"/>
      <c r="E70"/>
      <c r="F70"/>
      <c r="G70" s="73"/>
      <c r="H70"/>
    </row>
    <row r="71" spans="1:8" ht="15" x14ac:dyDescent="0.25">
      <c r="A71"/>
      <c r="B71"/>
      <c r="C71"/>
      <c r="D71"/>
      <c r="E71"/>
      <c r="F71"/>
      <c r="G71" s="73"/>
      <c r="H71"/>
    </row>
    <row r="72" spans="1:8" ht="15" x14ac:dyDescent="0.25">
      <c r="A72"/>
      <c r="B72"/>
      <c r="C72"/>
      <c r="D72"/>
      <c r="E72"/>
      <c r="F72"/>
      <c r="G72" s="73"/>
      <c r="H72"/>
    </row>
    <row r="73" spans="1:8" ht="15" x14ac:dyDescent="0.25">
      <c r="A73"/>
      <c r="B73"/>
      <c r="C73"/>
      <c r="D73"/>
      <c r="E73"/>
      <c r="F73"/>
      <c r="G73" s="73"/>
      <c r="H73"/>
    </row>
    <row r="74" spans="1:8" ht="15" x14ac:dyDescent="0.25">
      <c r="A74"/>
      <c r="B74"/>
      <c r="C74"/>
      <c r="D74"/>
      <c r="E74"/>
      <c r="F74"/>
      <c r="G74" s="73"/>
      <c r="H74"/>
    </row>
    <row r="75" spans="1:8" ht="15" x14ac:dyDescent="0.25">
      <c r="A75"/>
      <c r="B75"/>
      <c r="C75"/>
      <c r="D75"/>
      <c r="E75"/>
      <c r="F75"/>
      <c r="G75" s="73"/>
      <c r="H75"/>
    </row>
    <row r="76" spans="1:8" ht="15" x14ac:dyDescent="0.25">
      <c r="A76"/>
      <c r="B76"/>
      <c r="C76"/>
      <c r="D76"/>
      <c r="E76"/>
      <c r="F76"/>
      <c r="G76" s="73"/>
      <c r="H76"/>
    </row>
    <row r="77" spans="1:8" ht="15" x14ac:dyDescent="0.25">
      <c r="A77"/>
      <c r="B77"/>
      <c r="C77"/>
      <c r="D77"/>
      <c r="E77"/>
      <c r="F77"/>
      <c r="G77" s="73"/>
      <c r="H77"/>
    </row>
    <row r="78" spans="1:8" ht="15" x14ac:dyDescent="0.25">
      <c r="A78"/>
      <c r="B78"/>
      <c r="C78"/>
      <c r="D78"/>
      <c r="E78"/>
      <c r="F78"/>
      <c r="G78" s="73"/>
      <c r="H78"/>
    </row>
    <row r="79" spans="1:8" ht="15" x14ac:dyDescent="0.25">
      <c r="A79"/>
      <c r="B79"/>
      <c r="C79"/>
      <c r="D79"/>
      <c r="E79"/>
      <c r="F79"/>
      <c r="G79" s="73"/>
      <c r="H79"/>
    </row>
    <row r="80" spans="1:8" ht="15" x14ac:dyDescent="0.25">
      <c r="A80"/>
      <c r="B80"/>
      <c r="C80"/>
      <c r="D80"/>
      <c r="E80"/>
      <c r="F80"/>
      <c r="G80" s="73"/>
      <c r="H80"/>
    </row>
    <row r="81" spans="1:8" ht="15" x14ac:dyDescent="0.25">
      <c r="A81"/>
      <c r="B81"/>
      <c r="C81"/>
      <c r="D81"/>
      <c r="E81"/>
      <c r="F81"/>
      <c r="G81" s="73"/>
      <c r="H81"/>
    </row>
    <row r="82" spans="1:8" ht="15" x14ac:dyDescent="0.25">
      <c r="A82"/>
      <c r="B82"/>
      <c r="C82"/>
      <c r="D82"/>
      <c r="E82"/>
      <c r="F82"/>
      <c r="G82" s="73"/>
      <c r="H82"/>
    </row>
    <row r="83" spans="1:8" ht="15" x14ac:dyDescent="0.25">
      <c r="A83"/>
      <c r="B83"/>
      <c r="C83"/>
      <c r="D83"/>
      <c r="E83"/>
      <c r="F83"/>
      <c r="G83" s="73"/>
      <c r="H83"/>
    </row>
    <row r="84" spans="1:8" ht="15" x14ac:dyDescent="0.25">
      <c r="A84"/>
      <c r="B84"/>
      <c r="C84"/>
      <c r="D84"/>
      <c r="E84"/>
      <c r="F84"/>
      <c r="G84" s="73"/>
      <c r="H84"/>
    </row>
    <row r="85" spans="1:8" ht="15" x14ac:dyDescent="0.25">
      <c r="A85"/>
      <c r="B85"/>
      <c r="C85"/>
      <c r="D85"/>
      <c r="E85"/>
      <c r="F85"/>
      <c r="G85" s="73"/>
      <c r="H85"/>
    </row>
    <row r="86" spans="1:8" ht="15" x14ac:dyDescent="0.25">
      <c r="A86"/>
      <c r="B86"/>
      <c r="C86"/>
      <c r="D86"/>
      <c r="E86"/>
      <c r="F86"/>
      <c r="G86" s="73"/>
      <c r="H86"/>
    </row>
    <row r="87" spans="1:8" ht="15" x14ac:dyDescent="0.25">
      <c r="A87"/>
      <c r="B87"/>
      <c r="C87"/>
      <c r="D87"/>
      <c r="E87"/>
      <c r="F87"/>
      <c r="G87" s="73"/>
      <c r="H87"/>
    </row>
    <row r="88" spans="1:8" ht="15" x14ac:dyDescent="0.25">
      <c r="A88"/>
      <c r="B88"/>
      <c r="C88"/>
      <c r="D88"/>
      <c r="E88"/>
      <c r="F88"/>
      <c r="G88" s="73"/>
      <c r="H88"/>
    </row>
    <row r="89" spans="1:8" ht="15" x14ac:dyDescent="0.25">
      <c r="A89"/>
      <c r="B89"/>
      <c r="C89"/>
      <c r="D89"/>
      <c r="E89"/>
      <c r="F89"/>
      <c r="G89" s="73"/>
      <c r="H89"/>
    </row>
    <row r="90" spans="1:8" ht="15" x14ac:dyDescent="0.25">
      <c r="A90"/>
      <c r="B90"/>
      <c r="C90"/>
      <c r="D90"/>
      <c r="E90"/>
      <c r="F90"/>
      <c r="G90" s="73"/>
      <c r="H90"/>
    </row>
    <row r="91" spans="1:8" ht="15" x14ac:dyDescent="0.25">
      <c r="A91"/>
      <c r="B91"/>
      <c r="C91"/>
      <c r="D91"/>
      <c r="E91"/>
      <c r="F91"/>
      <c r="G91" s="73"/>
      <c r="H91"/>
    </row>
    <row r="92" spans="1:8" ht="15" x14ac:dyDescent="0.25">
      <c r="A92"/>
      <c r="B92"/>
      <c r="C92"/>
      <c r="D92"/>
      <c r="E92"/>
      <c r="F92"/>
      <c r="G92" s="73"/>
      <c r="H92"/>
    </row>
    <row r="93" spans="1:8" ht="15" x14ac:dyDescent="0.25">
      <c r="A93"/>
      <c r="B93"/>
      <c r="C93"/>
      <c r="D93"/>
      <c r="E93"/>
      <c r="F93"/>
      <c r="G93" s="73"/>
      <c r="H93"/>
    </row>
    <row r="94" spans="1:8" ht="15" x14ac:dyDescent="0.25">
      <c r="A94"/>
      <c r="B94"/>
      <c r="C94"/>
      <c r="D94"/>
      <c r="E94"/>
      <c r="F94"/>
      <c r="G94" s="73"/>
      <c r="H94"/>
    </row>
    <row r="95" spans="1:8" ht="15" x14ac:dyDescent="0.25">
      <c r="A95"/>
      <c r="B95"/>
      <c r="C95"/>
      <c r="D95"/>
      <c r="E95"/>
      <c r="F95"/>
      <c r="G95" s="73"/>
      <c r="H95"/>
    </row>
    <row r="96" spans="1:8" ht="15" x14ac:dyDescent="0.25">
      <c r="A96"/>
      <c r="B96"/>
      <c r="C96"/>
      <c r="D96"/>
      <c r="E96"/>
      <c r="F96"/>
      <c r="G96" s="73"/>
      <c r="H96"/>
    </row>
    <row r="97" spans="1:8" ht="15" x14ac:dyDescent="0.25">
      <c r="A97"/>
      <c r="B97"/>
      <c r="C97"/>
      <c r="D97"/>
      <c r="E97"/>
      <c r="F97"/>
      <c r="G97" s="73"/>
      <c r="H97"/>
    </row>
    <row r="98" spans="1:8" ht="15" x14ac:dyDescent="0.25">
      <c r="A98"/>
      <c r="B98"/>
      <c r="C98"/>
      <c r="D98"/>
      <c r="E98"/>
      <c r="F98"/>
      <c r="G98" s="73"/>
      <c r="H98"/>
    </row>
    <row r="99" spans="1:8" ht="15" x14ac:dyDescent="0.25">
      <c r="A99"/>
      <c r="B99"/>
      <c r="C99"/>
      <c r="D99"/>
      <c r="E99"/>
      <c r="F99"/>
      <c r="G99" s="73"/>
      <c r="H99"/>
    </row>
    <row r="100" spans="1:8" ht="15" x14ac:dyDescent="0.25">
      <c r="A100"/>
      <c r="B100"/>
      <c r="C100"/>
      <c r="D100"/>
      <c r="E100"/>
      <c r="F100"/>
      <c r="G100" s="73"/>
      <c r="H100"/>
    </row>
    <row r="101" spans="1:8" ht="15" x14ac:dyDescent="0.25">
      <c r="A101"/>
      <c r="B101"/>
      <c r="C101"/>
      <c r="D101"/>
      <c r="E101"/>
      <c r="F101"/>
      <c r="G101" s="73"/>
      <c r="H101"/>
    </row>
    <row r="102" spans="1:8" ht="15" x14ac:dyDescent="0.25">
      <c r="A102"/>
      <c r="B102"/>
      <c r="C102"/>
      <c r="D102"/>
      <c r="E102"/>
      <c r="F102"/>
      <c r="G102" s="73"/>
      <c r="H102"/>
    </row>
    <row r="103" spans="1:8" ht="15" x14ac:dyDescent="0.25">
      <c r="A103"/>
      <c r="B103"/>
      <c r="C103"/>
      <c r="D103"/>
      <c r="E103"/>
      <c r="F103"/>
      <c r="G103" s="73"/>
      <c r="H103"/>
    </row>
    <row r="104" spans="1:8" ht="15" x14ac:dyDescent="0.25">
      <c r="A104"/>
      <c r="B104"/>
      <c r="C104"/>
      <c r="D104"/>
      <c r="E104"/>
      <c r="F104"/>
      <c r="G104" s="73"/>
      <c r="H104"/>
    </row>
    <row r="105" spans="1:8" ht="15" x14ac:dyDescent="0.25">
      <c r="A105"/>
      <c r="B105"/>
      <c r="C105"/>
      <c r="D105"/>
      <c r="E105"/>
      <c r="F105"/>
      <c r="G105" s="73"/>
      <c r="H105"/>
    </row>
    <row r="106" spans="1:8" ht="15" x14ac:dyDescent="0.25">
      <c r="A106"/>
      <c r="B106"/>
      <c r="C106"/>
      <c r="D106"/>
      <c r="E106"/>
      <c r="F106"/>
      <c r="G106" s="73"/>
      <c r="H106"/>
    </row>
    <row r="107" spans="1:8" ht="15" x14ac:dyDescent="0.25">
      <c r="A107"/>
      <c r="B107"/>
      <c r="C107"/>
      <c r="D107"/>
      <c r="E107"/>
      <c r="F107"/>
      <c r="G107" s="73"/>
      <c r="H107"/>
    </row>
    <row r="108" spans="1:8" ht="15" x14ac:dyDescent="0.25">
      <c r="A108"/>
      <c r="B108"/>
      <c r="C108"/>
      <c r="D108"/>
      <c r="E108"/>
      <c r="F108"/>
      <c r="G108" s="73"/>
      <c r="H108"/>
    </row>
    <row r="109" spans="1:8" ht="15" x14ac:dyDescent="0.25">
      <c r="A109"/>
      <c r="B109"/>
      <c r="C109"/>
      <c r="D109"/>
      <c r="E109"/>
      <c r="F109"/>
      <c r="G109" s="73"/>
      <c r="H109"/>
    </row>
    <row r="110" spans="1:8" ht="15" x14ac:dyDescent="0.25">
      <c r="A110"/>
      <c r="B110"/>
      <c r="C110"/>
      <c r="D110"/>
      <c r="E110"/>
      <c r="F110"/>
      <c r="G110" s="73"/>
      <c r="H110"/>
    </row>
    <row r="111" spans="1:8" ht="15" x14ac:dyDescent="0.25">
      <c r="A111"/>
      <c r="B111"/>
      <c r="C111"/>
      <c r="D111"/>
      <c r="E111"/>
      <c r="F111"/>
      <c r="G111" s="73"/>
      <c r="H111"/>
    </row>
    <row r="112" spans="1:8" ht="15" x14ac:dyDescent="0.25">
      <c r="A112"/>
      <c r="B112"/>
      <c r="C112"/>
      <c r="D112"/>
      <c r="E112"/>
      <c r="F112"/>
      <c r="G112" s="73"/>
      <c r="H112"/>
    </row>
    <row r="113" spans="1:8" ht="15" x14ac:dyDescent="0.25">
      <c r="A113"/>
      <c r="B113"/>
      <c r="C113"/>
      <c r="D113"/>
      <c r="E113"/>
      <c r="F113"/>
      <c r="G113" s="73"/>
      <c r="H113"/>
    </row>
    <row r="114" spans="1:8" ht="15" x14ac:dyDescent="0.25">
      <c r="A114"/>
      <c r="B114"/>
      <c r="C114"/>
      <c r="D114"/>
      <c r="E114"/>
      <c r="F114"/>
      <c r="G114" s="73"/>
      <c r="H114"/>
    </row>
    <row r="115" spans="1:8" ht="15" x14ac:dyDescent="0.25">
      <c r="A115"/>
      <c r="B115"/>
      <c r="C115"/>
      <c r="D115"/>
      <c r="E115"/>
      <c r="F115"/>
      <c r="G115" s="73"/>
      <c r="H115"/>
    </row>
    <row r="116" spans="1:8" ht="15" x14ac:dyDescent="0.25">
      <c r="A116"/>
      <c r="B116"/>
      <c r="C116"/>
      <c r="D116"/>
      <c r="E116"/>
      <c r="F116"/>
      <c r="G116" s="73"/>
      <c r="H116"/>
    </row>
    <row r="117" spans="1:8" ht="15" x14ac:dyDescent="0.25">
      <c r="A117"/>
      <c r="B117"/>
      <c r="C117"/>
      <c r="D117"/>
      <c r="E117"/>
      <c r="F117"/>
      <c r="G117" s="73"/>
      <c r="H117"/>
    </row>
    <row r="118" spans="1:8" ht="15" x14ac:dyDescent="0.25">
      <c r="A118"/>
      <c r="B118"/>
      <c r="C118"/>
      <c r="D118"/>
      <c r="E118"/>
      <c r="F118"/>
      <c r="G118" s="73"/>
      <c r="H118"/>
    </row>
    <row r="119" spans="1:8" ht="15" x14ac:dyDescent="0.25">
      <c r="A119"/>
      <c r="B119"/>
      <c r="C119"/>
      <c r="D119"/>
      <c r="E119"/>
      <c r="F119"/>
      <c r="G119" s="73"/>
      <c r="H119"/>
    </row>
    <row r="120" spans="1:8" ht="15" x14ac:dyDescent="0.25">
      <c r="A120"/>
      <c r="B120"/>
      <c r="C120"/>
      <c r="D120"/>
      <c r="E120"/>
      <c r="F120"/>
      <c r="G120" s="73"/>
      <c r="H120"/>
    </row>
    <row r="121" spans="1:8" ht="15" x14ac:dyDescent="0.25">
      <c r="A121"/>
      <c r="B121"/>
      <c r="C121"/>
      <c r="D121"/>
      <c r="E121"/>
      <c r="F121"/>
      <c r="G121" s="73"/>
      <c r="H121"/>
    </row>
    <row r="122" spans="1:8" ht="15" x14ac:dyDescent="0.25">
      <c r="A122"/>
      <c r="B122"/>
      <c r="C122"/>
      <c r="D122"/>
      <c r="E122"/>
      <c r="F122"/>
      <c r="G122" s="73"/>
      <c r="H122"/>
    </row>
    <row r="123" spans="1:8" ht="15" x14ac:dyDescent="0.25">
      <c r="A123"/>
      <c r="B123"/>
      <c r="C123"/>
      <c r="D123"/>
      <c r="E123"/>
      <c r="F123"/>
      <c r="G123" s="73"/>
      <c r="H123"/>
    </row>
    <row r="124" spans="1:8" ht="15" x14ac:dyDescent="0.25">
      <c r="A124"/>
      <c r="B124"/>
      <c r="C124"/>
      <c r="D124"/>
      <c r="E124"/>
      <c r="F124"/>
      <c r="G124" s="73"/>
      <c r="H124"/>
    </row>
    <row r="125" spans="1:8" ht="15" x14ac:dyDescent="0.25">
      <c r="A125"/>
      <c r="B125"/>
      <c r="C125"/>
      <c r="D125"/>
      <c r="E125"/>
      <c r="F125"/>
      <c r="G125" s="73"/>
      <c r="H125"/>
    </row>
    <row r="126" spans="1:8" ht="15" x14ac:dyDescent="0.25">
      <c r="A126"/>
      <c r="B126"/>
      <c r="C126"/>
      <c r="D126"/>
      <c r="E126"/>
      <c r="F126"/>
      <c r="G126" s="73"/>
      <c r="H126"/>
    </row>
    <row r="127" spans="1:8" ht="15" x14ac:dyDescent="0.25">
      <c r="A127"/>
      <c r="B127"/>
      <c r="C127"/>
      <c r="D127"/>
      <c r="E127"/>
      <c r="F127"/>
      <c r="G127" s="73"/>
      <c r="H127"/>
    </row>
    <row r="128" spans="1:8" ht="15" x14ac:dyDescent="0.25">
      <c r="A128"/>
      <c r="B128"/>
      <c r="C128"/>
      <c r="D128"/>
      <c r="E128"/>
      <c r="F128"/>
      <c r="G128" s="73"/>
      <c r="H128"/>
    </row>
    <row r="129" spans="1:8" ht="15" x14ac:dyDescent="0.25">
      <c r="A129"/>
      <c r="B129"/>
      <c r="C129"/>
      <c r="D129"/>
      <c r="E129"/>
      <c r="F129"/>
      <c r="G129" s="73"/>
      <c r="H129"/>
    </row>
    <row r="130" spans="1:8" ht="15" x14ac:dyDescent="0.25">
      <c r="A130"/>
      <c r="B130"/>
      <c r="C130"/>
      <c r="D130"/>
      <c r="E130"/>
      <c r="F130"/>
      <c r="G130" s="73"/>
      <c r="H130"/>
    </row>
    <row r="131" spans="1:8" ht="15" x14ac:dyDescent="0.25">
      <c r="A131"/>
      <c r="B131"/>
      <c r="C131"/>
      <c r="D131"/>
      <c r="E131"/>
      <c r="F131"/>
      <c r="G131" s="73"/>
      <c r="H131"/>
    </row>
    <row r="132" spans="1:8" ht="15" x14ac:dyDescent="0.25">
      <c r="A132"/>
      <c r="B132"/>
      <c r="C132"/>
      <c r="D132"/>
      <c r="E132"/>
      <c r="F132"/>
      <c r="G132" s="73"/>
      <c r="H132"/>
    </row>
    <row r="133" spans="1:8" ht="15" x14ac:dyDescent="0.25">
      <c r="A133"/>
      <c r="B133"/>
      <c r="C133"/>
      <c r="D133"/>
      <c r="E133"/>
      <c r="F133"/>
      <c r="G133" s="73"/>
      <c r="H133"/>
    </row>
    <row r="134" spans="1:8" ht="15" x14ac:dyDescent="0.25">
      <c r="A134"/>
      <c r="B134"/>
      <c r="C134"/>
      <c r="D134"/>
      <c r="E134"/>
      <c r="F134"/>
      <c r="G134" s="73"/>
      <c r="H134"/>
    </row>
    <row r="135" spans="1:8" ht="15" x14ac:dyDescent="0.25">
      <c r="A135"/>
      <c r="B135"/>
      <c r="C135"/>
      <c r="D135"/>
      <c r="E135"/>
      <c r="F135"/>
      <c r="G135" s="73"/>
      <c r="H135"/>
    </row>
    <row r="136" spans="1:8" ht="15" x14ac:dyDescent="0.25">
      <c r="A136"/>
      <c r="B136"/>
      <c r="C136"/>
      <c r="D136"/>
      <c r="E136"/>
      <c r="F136"/>
      <c r="G136" s="73"/>
      <c r="H136"/>
    </row>
    <row r="137" spans="1:8" ht="15" x14ac:dyDescent="0.25">
      <c r="A137"/>
      <c r="B137"/>
      <c r="C137"/>
      <c r="D137"/>
      <c r="E137"/>
      <c r="F137"/>
      <c r="G137" s="73"/>
      <c r="H137"/>
    </row>
    <row r="138" spans="1:8" ht="15" x14ac:dyDescent="0.25">
      <c r="A138"/>
      <c r="B138"/>
      <c r="C138"/>
      <c r="D138"/>
      <c r="E138"/>
      <c r="F138"/>
      <c r="G138" s="73"/>
      <c r="H138"/>
    </row>
    <row r="139" spans="1:8" ht="15" x14ac:dyDescent="0.25">
      <c r="A139"/>
      <c r="B139"/>
      <c r="C139"/>
      <c r="D139"/>
      <c r="E139"/>
      <c r="F139"/>
      <c r="G139" s="73"/>
      <c r="H139"/>
    </row>
    <row r="140" spans="1:8" ht="15" x14ac:dyDescent="0.25">
      <c r="A140"/>
      <c r="B140"/>
      <c r="C140"/>
      <c r="D140"/>
      <c r="E140"/>
      <c r="F140"/>
      <c r="G140" s="73"/>
      <c r="H140"/>
    </row>
    <row r="141" spans="1:8" ht="15" x14ac:dyDescent="0.25">
      <c r="A141"/>
      <c r="B141"/>
      <c r="C141"/>
      <c r="D141"/>
      <c r="E141"/>
      <c r="F141"/>
      <c r="G141" s="73"/>
      <c r="H141"/>
    </row>
    <row r="142" spans="1:8" ht="15" x14ac:dyDescent="0.25">
      <c r="A142"/>
      <c r="B142"/>
      <c r="C142"/>
      <c r="D142"/>
      <c r="E142"/>
      <c r="F142"/>
      <c r="G142" s="73"/>
      <c r="H142"/>
    </row>
    <row r="143" spans="1:8" ht="15" x14ac:dyDescent="0.25">
      <c r="A143"/>
      <c r="B143"/>
      <c r="C143"/>
      <c r="D143"/>
      <c r="E143"/>
      <c r="F143"/>
      <c r="G143" s="73"/>
      <c r="H143"/>
    </row>
    <row r="144" spans="1:8" ht="15" x14ac:dyDescent="0.25">
      <c r="A144"/>
      <c r="B144"/>
      <c r="C144"/>
      <c r="D144"/>
      <c r="E144"/>
      <c r="F144"/>
      <c r="G144" s="73"/>
      <c r="H144"/>
    </row>
    <row r="145" spans="1:8" ht="15" x14ac:dyDescent="0.25">
      <c r="A145"/>
      <c r="B145"/>
      <c r="C145"/>
      <c r="D145"/>
      <c r="E145"/>
      <c r="F145"/>
      <c r="G145" s="73"/>
      <c r="H145"/>
    </row>
    <row r="146" spans="1:8" ht="15" x14ac:dyDescent="0.25">
      <c r="A146"/>
      <c r="B146"/>
      <c r="C146"/>
      <c r="D146"/>
      <c r="E146"/>
      <c r="F146"/>
      <c r="G146" s="73"/>
      <c r="H146"/>
    </row>
    <row r="147" spans="1:8" ht="15" x14ac:dyDescent="0.25">
      <c r="A147"/>
      <c r="B147"/>
      <c r="C147"/>
      <c r="D147"/>
      <c r="E147"/>
      <c r="F147"/>
      <c r="G147" s="73"/>
      <c r="H147"/>
    </row>
    <row r="148" spans="1:8" ht="15" x14ac:dyDescent="0.25">
      <c r="A148"/>
      <c r="B148"/>
      <c r="C148"/>
      <c r="D148"/>
      <c r="E148"/>
      <c r="F148"/>
      <c r="G148" s="73"/>
      <c r="H148"/>
    </row>
    <row r="149" spans="1:8" ht="15" x14ac:dyDescent="0.25">
      <c r="A149"/>
      <c r="B149"/>
      <c r="C149"/>
      <c r="D149"/>
      <c r="E149"/>
      <c r="F149"/>
      <c r="G149" s="73"/>
      <c r="H149"/>
    </row>
    <row r="150" spans="1:8" ht="15" x14ac:dyDescent="0.25">
      <c r="A150"/>
      <c r="B150"/>
      <c r="C150"/>
      <c r="D150"/>
      <c r="E150"/>
      <c r="F150"/>
      <c r="G150" s="73"/>
      <c r="H150"/>
    </row>
    <row r="151" spans="1:8" ht="15" x14ac:dyDescent="0.25">
      <c r="A151"/>
      <c r="B151"/>
      <c r="C151"/>
      <c r="D151"/>
      <c r="E151"/>
      <c r="F151"/>
      <c r="G151" s="73"/>
      <c r="H151"/>
    </row>
    <row r="152" spans="1:8" ht="15" x14ac:dyDescent="0.25">
      <c r="A152"/>
      <c r="B152"/>
      <c r="C152"/>
      <c r="D152"/>
      <c r="E152"/>
      <c r="F152"/>
      <c r="G152" s="73"/>
      <c r="H152"/>
    </row>
    <row r="153" spans="1:8" ht="15" x14ac:dyDescent="0.25">
      <c r="A153"/>
      <c r="B153"/>
      <c r="C153"/>
      <c r="D153"/>
      <c r="E153"/>
      <c r="F153"/>
      <c r="G153" s="73"/>
      <c r="H153"/>
    </row>
    <row r="154" spans="1:8" ht="15" x14ac:dyDescent="0.25">
      <c r="A154"/>
      <c r="B154"/>
      <c r="C154"/>
      <c r="D154"/>
      <c r="E154"/>
      <c r="F154"/>
      <c r="G154" s="73"/>
      <c r="H154"/>
    </row>
    <row r="155" spans="1:8" ht="15" x14ac:dyDescent="0.25">
      <c r="A155"/>
      <c r="B155"/>
      <c r="C155"/>
      <c r="D155"/>
      <c r="E155"/>
      <c r="F155"/>
      <c r="G155" s="73"/>
      <c r="H155"/>
    </row>
    <row r="156" spans="1:8" ht="15" x14ac:dyDescent="0.25">
      <c r="A156"/>
      <c r="B156"/>
      <c r="C156"/>
      <c r="D156"/>
      <c r="E156"/>
      <c r="F156"/>
      <c r="G156" s="73"/>
      <c r="H156"/>
    </row>
    <row r="157" spans="1:8" ht="15" x14ac:dyDescent="0.25">
      <c r="A157"/>
      <c r="B157"/>
      <c r="C157"/>
      <c r="D157"/>
      <c r="E157"/>
      <c r="F157"/>
      <c r="G157" s="73"/>
      <c r="H157"/>
    </row>
    <row r="158" spans="1:8" ht="15" x14ac:dyDescent="0.25">
      <c r="A158"/>
      <c r="B158"/>
      <c r="C158"/>
      <c r="D158"/>
      <c r="E158"/>
      <c r="F158"/>
      <c r="G158" s="73"/>
      <c r="H158"/>
    </row>
    <row r="159" spans="1:8" ht="15" x14ac:dyDescent="0.25">
      <c r="A159"/>
      <c r="B159"/>
      <c r="C159"/>
      <c r="D159"/>
      <c r="E159"/>
      <c r="F159"/>
      <c r="G159" s="73"/>
      <c r="H159"/>
    </row>
    <row r="160" spans="1:8" ht="15" x14ac:dyDescent="0.25">
      <c r="A160"/>
      <c r="B160"/>
      <c r="C160"/>
      <c r="D160"/>
      <c r="E160"/>
      <c r="F160"/>
      <c r="G160" s="73"/>
      <c r="H160"/>
    </row>
    <row r="161" spans="1:8" ht="15" x14ac:dyDescent="0.25">
      <c r="A161"/>
      <c r="B161"/>
      <c r="C161"/>
      <c r="D161"/>
      <c r="E161"/>
      <c r="F161"/>
      <c r="G161" s="73"/>
      <c r="H161"/>
    </row>
    <row r="162" spans="1:8" ht="15" x14ac:dyDescent="0.25">
      <c r="A162"/>
      <c r="B162"/>
      <c r="C162"/>
      <c r="D162"/>
      <c r="E162"/>
      <c r="F162"/>
      <c r="G162" s="73"/>
      <c r="H162"/>
    </row>
    <row r="163" spans="1:8" ht="15" x14ac:dyDescent="0.25">
      <c r="A163"/>
      <c r="B163"/>
      <c r="C163"/>
      <c r="D163"/>
      <c r="E163"/>
      <c r="F163"/>
      <c r="G163" s="73"/>
      <c r="H163"/>
    </row>
    <row r="164" spans="1:8" ht="15" x14ac:dyDescent="0.25">
      <c r="A164"/>
      <c r="B164"/>
      <c r="C164"/>
      <c r="D164"/>
      <c r="E164"/>
      <c r="F164"/>
      <c r="G164" s="73"/>
      <c r="H164"/>
    </row>
    <row r="165" spans="1:8" ht="15" x14ac:dyDescent="0.25">
      <c r="A165"/>
      <c r="B165"/>
      <c r="C165"/>
      <c r="D165"/>
      <c r="E165"/>
      <c r="F165"/>
      <c r="G165" s="73"/>
      <c r="H165"/>
    </row>
    <row r="166" spans="1:8" ht="15" x14ac:dyDescent="0.25">
      <c r="A166"/>
      <c r="B166"/>
      <c r="C166"/>
      <c r="D166"/>
      <c r="E166"/>
      <c r="F166"/>
      <c r="G166" s="73"/>
      <c r="H166"/>
    </row>
    <row r="167" spans="1:8" ht="15" x14ac:dyDescent="0.25">
      <c r="A167"/>
      <c r="B167"/>
      <c r="C167"/>
      <c r="D167"/>
      <c r="E167"/>
      <c r="F167"/>
      <c r="G167" s="73"/>
      <c r="H167"/>
    </row>
    <row r="168" spans="1:8" ht="15" x14ac:dyDescent="0.25">
      <c r="A168"/>
      <c r="B168"/>
      <c r="C168"/>
      <c r="D168"/>
      <c r="E168"/>
      <c r="F168"/>
      <c r="G168" s="73"/>
      <c r="H168"/>
    </row>
    <row r="169" spans="1:8" ht="15" x14ac:dyDescent="0.25">
      <c r="A169"/>
      <c r="B169"/>
      <c r="C169"/>
      <c r="D169"/>
      <c r="E169"/>
      <c r="F169"/>
      <c r="G169" s="73"/>
      <c r="H169"/>
    </row>
    <row r="170" spans="1:8" ht="15" x14ac:dyDescent="0.25">
      <c r="A170"/>
      <c r="B170"/>
      <c r="C170"/>
      <c r="D170"/>
      <c r="E170"/>
      <c r="F170"/>
      <c r="G170" s="73"/>
      <c r="H170"/>
    </row>
    <row r="171" spans="1:8" ht="15" x14ac:dyDescent="0.25">
      <c r="A171"/>
      <c r="B171"/>
      <c r="C171"/>
      <c r="D171"/>
      <c r="E171"/>
      <c r="F171"/>
      <c r="G171" s="73"/>
      <c r="H171"/>
    </row>
    <row r="172" spans="1:8" ht="15" x14ac:dyDescent="0.25">
      <c r="A172"/>
      <c r="B172"/>
      <c r="C172"/>
      <c r="D172"/>
      <c r="E172"/>
      <c r="F172"/>
      <c r="G172" s="73"/>
      <c r="H172"/>
    </row>
    <row r="173" spans="1:8" ht="15" x14ac:dyDescent="0.25">
      <c r="A173"/>
      <c r="B173"/>
      <c r="C173"/>
      <c r="D173"/>
      <c r="E173"/>
      <c r="F173"/>
      <c r="G173" s="73"/>
      <c r="H173"/>
    </row>
    <row r="174" spans="1:8" ht="15" x14ac:dyDescent="0.25">
      <c r="A174"/>
      <c r="B174"/>
      <c r="C174"/>
      <c r="D174"/>
      <c r="E174"/>
      <c r="F174"/>
      <c r="G174" s="73"/>
      <c r="H174"/>
    </row>
    <row r="175" spans="1:8" ht="15" x14ac:dyDescent="0.25">
      <c r="A175"/>
      <c r="B175"/>
      <c r="C175"/>
      <c r="D175"/>
      <c r="E175"/>
      <c r="F175"/>
      <c r="G175" s="73"/>
      <c r="H175"/>
    </row>
    <row r="176" spans="1:8" ht="15" x14ac:dyDescent="0.25">
      <c r="A176"/>
      <c r="B176"/>
      <c r="C176"/>
      <c r="D176"/>
      <c r="E176"/>
      <c r="F176"/>
      <c r="G176" s="73"/>
      <c r="H176"/>
    </row>
    <row r="177" spans="1:8" ht="15" x14ac:dyDescent="0.25">
      <c r="A177"/>
      <c r="B177"/>
      <c r="C177"/>
      <c r="D177"/>
      <c r="E177"/>
      <c r="F177"/>
      <c r="G177" s="73"/>
      <c r="H177"/>
    </row>
    <row r="178" spans="1:8" ht="15" x14ac:dyDescent="0.25">
      <c r="A178"/>
      <c r="B178"/>
      <c r="C178"/>
      <c r="D178"/>
      <c r="E178"/>
      <c r="F178"/>
      <c r="G178" s="73"/>
      <c r="H178"/>
    </row>
    <row r="179" spans="1:8" ht="15" x14ac:dyDescent="0.25">
      <c r="A179"/>
      <c r="B179"/>
      <c r="C179"/>
      <c r="D179"/>
      <c r="E179"/>
      <c r="F179"/>
      <c r="G179" s="73"/>
      <c r="H179"/>
    </row>
    <row r="180" spans="1:8" ht="15" x14ac:dyDescent="0.25">
      <c r="A180"/>
      <c r="B180"/>
      <c r="C180"/>
      <c r="D180"/>
      <c r="E180"/>
      <c r="F180"/>
      <c r="G180" s="73"/>
      <c r="H180"/>
    </row>
    <row r="181" spans="1:8" ht="15" x14ac:dyDescent="0.25">
      <c r="A181"/>
      <c r="B181"/>
      <c r="C181"/>
      <c r="D181"/>
      <c r="E181"/>
      <c r="F181"/>
      <c r="G181" s="73"/>
      <c r="H181"/>
    </row>
    <row r="182" spans="1:8" ht="15" x14ac:dyDescent="0.25">
      <c r="A182"/>
      <c r="B182"/>
      <c r="C182"/>
      <c r="D182"/>
      <c r="E182"/>
      <c r="F182"/>
      <c r="G182" s="73"/>
      <c r="H182"/>
    </row>
    <row r="183" spans="1:8" ht="15" x14ac:dyDescent="0.25">
      <c r="A183"/>
      <c r="B183"/>
      <c r="C183"/>
      <c r="D183"/>
      <c r="E183"/>
      <c r="F183"/>
      <c r="G183" s="73"/>
      <c r="H183"/>
    </row>
    <row r="184" spans="1:8" ht="15" x14ac:dyDescent="0.25">
      <c r="A184"/>
      <c r="B184"/>
      <c r="C184"/>
      <c r="D184"/>
      <c r="E184"/>
      <c r="F184"/>
      <c r="G184" s="73"/>
      <c r="H184"/>
    </row>
    <row r="185" spans="1:8" ht="15" x14ac:dyDescent="0.25">
      <c r="A185"/>
      <c r="B185"/>
      <c r="C185"/>
      <c r="D185"/>
      <c r="E185"/>
      <c r="F185"/>
      <c r="G185" s="73"/>
      <c r="H185"/>
    </row>
    <row r="186" spans="1:8" ht="15" x14ac:dyDescent="0.25">
      <c r="A186"/>
      <c r="B186"/>
      <c r="C186"/>
      <c r="D186"/>
      <c r="E186"/>
      <c r="F186"/>
      <c r="G186" s="73"/>
      <c r="H186"/>
    </row>
    <row r="187" spans="1:8" ht="15" x14ac:dyDescent="0.25">
      <c r="A187"/>
      <c r="B187"/>
      <c r="C187"/>
      <c r="D187"/>
      <c r="E187"/>
      <c r="F187"/>
      <c r="G187" s="73"/>
      <c r="H187"/>
    </row>
    <row r="188" spans="1:8" ht="15" x14ac:dyDescent="0.25">
      <c r="A188"/>
      <c r="B188"/>
      <c r="C188"/>
      <c r="D188"/>
      <c r="E188"/>
      <c r="F188"/>
      <c r="G188" s="73"/>
      <c r="H188"/>
    </row>
    <row r="189" spans="1:8" ht="15" x14ac:dyDescent="0.25">
      <c r="A189"/>
      <c r="B189"/>
      <c r="C189"/>
      <c r="D189"/>
      <c r="E189"/>
      <c r="F189"/>
      <c r="G189" s="73"/>
      <c r="H189"/>
    </row>
    <row r="190" spans="1:8" ht="15" x14ac:dyDescent="0.25">
      <c r="A190"/>
      <c r="B190"/>
      <c r="C190"/>
      <c r="D190"/>
      <c r="E190"/>
      <c r="F190"/>
      <c r="G190" s="73"/>
      <c r="H190"/>
    </row>
    <row r="191" spans="1:8" ht="15" x14ac:dyDescent="0.25">
      <c r="A191"/>
      <c r="B191"/>
      <c r="C191"/>
      <c r="D191"/>
      <c r="E191"/>
      <c r="F191"/>
      <c r="G191" s="73"/>
      <c r="H191"/>
    </row>
    <row r="192" spans="1:8" ht="15" x14ac:dyDescent="0.25">
      <c r="A192"/>
      <c r="B192"/>
      <c r="C192"/>
      <c r="D192"/>
      <c r="E192"/>
      <c r="F192"/>
      <c r="G192" s="73"/>
      <c r="H192"/>
    </row>
    <row r="193" spans="1:8" ht="15" x14ac:dyDescent="0.25">
      <c r="A193"/>
      <c r="B193"/>
      <c r="C193"/>
      <c r="D193"/>
      <c r="E193"/>
      <c r="F193"/>
      <c r="G193" s="73"/>
      <c r="H193"/>
    </row>
    <row r="194" spans="1:8" ht="15" x14ac:dyDescent="0.25">
      <c r="A194"/>
      <c r="B194"/>
      <c r="C194"/>
      <c r="D194"/>
      <c r="E194"/>
      <c r="F194"/>
      <c r="G194" s="73"/>
      <c r="H194"/>
    </row>
    <row r="195" spans="1:8" ht="15" x14ac:dyDescent="0.25">
      <c r="A195"/>
      <c r="B195"/>
      <c r="C195"/>
      <c r="D195"/>
      <c r="E195"/>
      <c r="F195"/>
      <c r="G195" s="73"/>
      <c r="H195"/>
    </row>
    <row r="196" spans="1:8" ht="15" x14ac:dyDescent="0.25">
      <c r="A196"/>
      <c r="B196"/>
      <c r="C196"/>
      <c r="D196"/>
      <c r="E196"/>
      <c r="F196"/>
      <c r="G196" s="73"/>
      <c r="H196"/>
    </row>
    <row r="197" spans="1:8" ht="15" x14ac:dyDescent="0.25">
      <c r="A197"/>
      <c r="B197"/>
      <c r="C197"/>
      <c r="D197"/>
      <c r="E197"/>
      <c r="F197"/>
      <c r="G197" s="73"/>
      <c r="H197"/>
    </row>
    <row r="198" spans="1:8" ht="15" x14ac:dyDescent="0.25">
      <c r="A198"/>
      <c r="B198"/>
      <c r="C198"/>
      <c r="D198"/>
      <c r="E198"/>
      <c r="F198"/>
      <c r="G198" s="73"/>
      <c r="H198"/>
    </row>
    <row r="199" spans="1:8" ht="15" x14ac:dyDescent="0.25">
      <c r="A199"/>
      <c r="B199"/>
      <c r="C199"/>
      <c r="D199"/>
      <c r="E199"/>
      <c r="F199"/>
      <c r="G199" s="73"/>
      <c r="H199"/>
    </row>
    <row r="200" spans="1:8" ht="15" x14ac:dyDescent="0.25">
      <c r="A200"/>
      <c r="B200"/>
      <c r="C200"/>
      <c r="D200"/>
      <c r="E200"/>
      <c r="F200"/>
      <c r="G200" s="73"/>
      <c r="H200"/>
    </row>
    <row r="201" spans="1:8" ht="15" x14ac:dyDescent="0.25">
      <c r="A201"/>
      <c r="B201"/>
      <c r="C201"/>
      <c r="D201"/>
      <c r="E201"/>
      <c r="F201"/>
      <c r="G201" s="73"/>
      <c r="H201"/>
    </row>
    <row r="202" spans="1:8" ht="15" x14ac:dyDescent="0.25">
      <c r="A202"/>
      <c r="B202"/>
      <c r="C202"/>
      <c r="D202"/>
      <c r="E202"/>
      <c r="F202"/>
      <c r="G202" s="73"/>
      <c r="H202"/>
    </row>
    <row r="203" spans="1:8" ht="15" x14ac:dyDescent="0.25">
      <c r="A203"/>
      <c r="B203"/>
      <c r="C203"/>
      <c r="D203"/>
      <c r="E203"/>
      <c r="F203"/>
      <c r="G203" s="73"/>
      <c r="H203"/>
    </row>
    <row r="204" spans="1:8" ht="15" x14ac:dyDescent="0.25">
      <c r="A204"/>
      <c r="B204"/>
      <c r="C204"/>
      <c r="D204"/>
      <c r="E204"/>
      <c r="F204"/>
      <c r="G204" s="73"/>
      <c r="H204"/>
    </row>
    <row r="205" spans="1:8" ht="15" x14ac:dyDescent="0.25">
      <c r="A205"/>
      <c r="B205"/>
      <c r="C205"/>
      <c r="D205"/>
      <c r="E205"/>
      <c r="F205"/>
      <c r="G205" s="73"/>
      <c r="H205"/>
    </row>
    <row r="206" spans="1:8" ht="15" x14ac:dyDescent="0.25">
      <c r="A206"/>
      <c r="B206"/>
      <c r="C206"/>
      <c r="D206"/>
      <c r="E206"/>
      <c r="F206"/>
      <c r="G206" s="73"/>
      <c r="H206"/>
    </row>
    <row r="207" spans="1:8" ht="15" x14ac:dyDescent="0.25">
      <c r="A207"/>
      <c r="B207"/>
      <c r="C207"/>
      <c r="D207"/>
      <c r="E207"/>
      <c r="F207"/>
      <c r="G207" s="73"/>
      <c r="H207"/>
    </row>
    <row r="208" spans="1:8" ht="15" x14ac:dyDescent="0.25">
      <c r="A208"/>
      <c r="B208"/>
      <c r="C208"/>
      <c r="D208"/>
      <c r="E208"/>
      <c r="F208"/>
      <c r="G208" s="73"/>
      <c r="H208"/>
    </row>
    <row r="209" spans="1:8" ht="15" x14ac:dyDescent="0.25">
      <c r="A209"/>
      <c r="B209"/>
      <c r="C209"/>
      <c r="D209"/>
      <c r="E209"/>
      <c r="F209"/>
      <c r="G209" s="73"/>
      <c r="H209"/>
    </row>
    <row r="210" spans="1:8" ht="15" x14ac:dyDescent="0.25">
      <c r="A210"/>
      <c r="B210"/>
      <c r="C210"/>
      <c r="D210"/>
      <c r="E210"/>
      <c r="F210"/>
      <c r="G210" s="73"/>
      <c r="H210"/>
    </row>
    <row r="211" spans="1:8" ht="15" x14ac:dyDescent="0.25">
      <c r="A211"/>
      <c r="B211"/>
      <c r="C211"/>
      <c r="D211"/>
      <c r="E211"/>
      <c r="F211"/>
      <c r="G211" s="73"/>
      <c r="H211"/>
    </row>
    <row r="212" spans="1:8" ht="15" x14ac:dyDescent="0.25">
      <c r="A212"/>
      <c r="B212"/>
      <c r="C212"/>
      <c r="D212"/>
      <c r="E212"/>
      <c r="F212"/>
      <c r="G212" s="73"/>
      <c r="H212"/>
    </row>
    <row r="213" spans="1:8" ht="15" x14ac:dyDescent="0.25">
      <c r="A213"/>
      <c r="B213"/>
      <c r="C213"/>
      <c r="D213"/>
      <c r="E213"/>
      <c r="F213"/>
      <c r="G213" s="73"/>
      <c r="H213"/>
    </row>
    <row r="214" spans="1:8" ht="15" x14ac:dyDescent="0.25">
      <c r="A214"/>
      <c r="B214"/>
      <c r="C214"/>
      <c r="D214"/>
      <c r="E214"/>
      <c r="F214"/>
      <c r="G214" s="73"/>
      <c r="H214"/>
    </row>
    <row r="215" spans="1:8" ht="15" x14ac:dyDescent="0.25">
      <c r="A215"/>
      <c r="B215"/>
      <c r="C215"/>
      <c r="D215"/>
      <c r="E215"/>
      <c r="F215"/>
      <c r="G215" s="73"/>
      <c r="H215"/>
    </row>
    <row r="216" spans="1:8" ht="15" x14ac:dyDescent="0.25">
      <c r="A216"/>
      <c r="B216"/>
      <c r="C216"/>
      <c r="D216"/>
      <c r="E216"/>
      <c r="F216"/>
      <c r="G216" s="73"/>
      <c r="H216"/>
    </row>
    <row r="217" spans="1:8" ht="15" x14ac:dyDescent="0.25">
      <c r="A217"/>
      <c r="B217"/>
      <c r="C217"/>
      <c r="D217"/>
      <c r="E217"/>
      <c r="F217"/>
      <c r="G217" s="73"/>
      <c r="H217"/>
    </row>
    <row r="218" spans="1:8" ht="15" x14ac:dyDescent="0.25">
      <c r="A218"/>
      <c r="B218"/>
      <c r="C218"/>
      <c r="D218"/>
      <c r="E218"/>
      <c r="F218"/>
      <c r="G218" s="73"/>
      <c r="H218"/>
    </row>
    <row r="219" spans="1:8" ht="15" x14ac:dyDescent="0.25">
      <c r="A219"/>
      <c r="B219"/>
      <c r="C219"/>
      <c r="D219"/>
      <c r="E219"/>
      <c r="F219"/>
      <c r="G219" s="73"/>
      <c r="H219"/>
    </row>
    <row r="220" spans="1:8" ht="15" x14ac:dyDescent="0.25">
      <c r="A220"/>
      <c r="B220"/>
      <c r="C220"/>
      <c r="D220"/>
      <c r="E220"/>
      <c r="F220"/>
      <c r="G220" s="73"/>
      <c r="H220"/>
    </row>
    <row r="221" spans="1:8" ht="15" x14ac:dyDescent="0.25">
      <c r="A221"/>
      <c r="B221"/>
      <c r="C221"/>
      <c r="D221"/>
      <c r="E221"/>
      <c r="F221"/>
      <c r="G221" s="73"/>
      <c r="H221"/>
    </row>
    <row r="222" spans="1:8" ht="15" x14ac:dyDescent="0.25">
      <c r="A222"/>
      <c r="B222"/>
      <c r="C222"/>
      <c r="D222"/>
      <c r="E222"/>
      <c r="F222"/>
      <c r="G222" s="73"/>
      <c r="H222"/>
    </row>
    <row r="223" spans="1:8" ht="15" x14ac:dyDescent="0.25">
      <c r="A223"/>
      <c r="B223"/>
      <c r="C223"/>
      <c r="D223"/>
      <c r="E223"/>
      <c r="F223"/>
      <c r="G223" s="73"/>
      <c r="H223"/>
    </row>
    <row r="224" spans="1:8" ht="15" x14ac:dyDescent="0.25">
      <c r="A224"/>
      <c r="B224"/>
      <c r="C224"/>
      <c r="D224"/>
      <c r="E224"/>
      <c r="F224"/>
      <c r="G224" s="73"/>
      <c r="H224"/>
    </row>
    <row r="225" spans="1:8" ht="15" x14ac:dyDescent="0.25">
      <c r="A225"/>
      <c r="B225"/>
      <c r="C225"/>
      <c r="D225"/>
      <c r="E225"/>
      <c r="F225"/>
      <c r="G225" s="73"/>
      <c r="H225"/>
    </row>
    <row r="226" spans="1:8" ht="15" x14ac:dyDescent="0.25">
      <c r="A226"/>
      <c r="B226"/>
      <c r="C226"/>
      <c r="D226"/>
      <c r="E226"/>
      <c r="F226"/>
      <c r="G226" s="73"/>
      <c r="H226"/>
    </row>
    <row r="227" spans="1:8" ht="15" x14ac:dyDescent="0.25">
      <c r="A227"/>
      <c r="B227"/>
      <c r="C227"/>
      <c r="D227"/>
      <c r="E227"/>
      <c r="F227"/>
      <c r="G227" s="73"/>
      <c r="H227"/>
    </row>
    <row r="228" spans="1:8" ht="15" x14ac:dyDescent="0.25">
      <c r="A228"/>
      <c r="B228"/>
      <c r="C228"/>
      <c r="D228"/>
      <c r="E228"/>
      <c r="F228"/>
      <c r="G228" s="73"/>
      <c r="H228"/>
    </row>
    <row r="229" spans="1:8" ht="15" x14ac:dyDescent="0.25">
      <c r="A229"/>
      <c r="B229"/>
      <c r="C229"/>
      <c r="D229"/>
      <c r="E229"/>
      <c r="F229"/>
      <c r="G229" s="73"/>
      <c r="H229"/>
    </row>
    <row r="230" spans="1:8" ht="15" x14ac:dyDescent="0.25">
      <c r="A230"/>
      <c r="B230"/>
      <c r="C230"/>
      <c r="D230"/>
      <c r="E230"/>
      <c r="F230"/>
      <c r="G230" s="73"/>
      <c r="H230"/>
    </row>
    <row r="231" spans="1:8" ht="15" x14ac:dyDescent="0.25">
      <c r="A231"/>
      <c r="B231"/>
      <c r="C231"/>
      <c r="D231"/>
      <c r="E231"/>
      <c r="F231"/>
      <c r="G231" s="73"/>
      <c r="H231"/>
    </row>
    <row r="232" spans="1:8" ht="15" x14ac:dyDescent="0.25">
      <c r="A232"/>
      <c r="B232"/>
      <c r="C232"/>
      <c r="D232"/>
      <c r="E232"/>
      <c r="F232"/>
      <c r="G232" s="73"/>
      <c r="H232"/>
    </row>
    <row r="233" spans="1:8" ht="15" x14ac:dyDescent="0.25">
      <c r="A233"/>
      <c r="B233"/>
      <c r="C233"/>
      <c r="D233"/>
      <c r="E233"/>
      <c r="F233"/>
      <c r="G233" s="73"/>
      <c r="H233"/>
    </row>
    <row r="234" spans="1:8" ht="15" x14ac:dyDescent="0.25">
      <c r="A234"/>
      <c r="B234"/>
      <c r="C234"/>
      <c r="D234"/>
      <c r="E234"/>
      <c r="F234"/>
      <c r="G234" s="73"/>
      <c r="H234"/>
    </row>
    <row r="235" spans="1:8" ht="15" x14ac:dyDescent="0.25">
      <c r="A235"/>
      <c r="B235"/>
      <c r="C235"/>
      <c r="D235"/>
      <c r="E235"/>
      <c r="F235"/>
      <c r="G235" s="73"/>
      <c r="H235"/>
    </row>
    <row r="236" spans="1:8" ht="15" x14ac:dyDescent="0.25">
      <c r="A236"/>
      <c r="B236"/>
      <c r="C236"/>
      <c r="D236"/>
      <c r="E236"/>
      <c r="F236"/>
      <c r="G236" s="73"/>
      <c r="H236"/>
    </row>
    <row r="237" spans="1:8" ht="15" x14ac:dyDescent="0.25">
      <c r="A237"/>
      <c r="B237"/>
      <c r="C237"/>
      <c r="D237"/>
      <c r="E237"/>
      <c r="F237"/>
      <c r="G237" s="73"/>
      <c r="H237"/>
    </row>
    <row r="238" spans="1:8" ht="15" x14ac:dyDescent="0.25">
      <c r="A238"/>
      <c r="B238"/>
      <c r="C238"/>
      <c r="D238"/>
      <c r="E238"/>
      <c r="F238"/>
      <c r="G238" s="73"/>
      <c r="H238"/>
    </row>
    <row r="239" spans="1:8" ht="15" x14ac:dyDescent="0.25">
      <c r="A239"/>
      <c r="B239"/>
      <c r="C239"/>
      <c r="D239"/>
      <c r="E239"/>
      <c r="F239"/>
      <c r="G239" s="73"/>
      <c r="H239"/>
    </row>
    <row r="240" spans="1:8" ht="15" x14ac:dyDescent="0.25">
      <c r="A240"/>
      <c r="B240"/>
      <c r="C240"/>
      <c r="D240"/>
      <c r="E240"/>
      <c r="F240"/>
      <c r="G240" s="73"/>
      <c r="H240"/>
    </row>
    <row r="241" spans="1:8" ht="15" x14ac:dyDescent="0.25">
      <c r="A241"/>
      <c r="B241"/>
      <c r="C241"/>
      <c r="D241"/>
      <c r="E241"/>
      <c r="F241"/>
      <c r="G241" s="73"/>
      <c r="H241"/>
    </row>
    <row r="242" spans="1:8" ht="15" x14ac:dyDescent="0.25">
      <c r="A242"/>
      <c r="B242"/>
      <c r="C242"/>
      <c r="D242"/>
      <c r="E242"/>
      <c r="F242"/>
      <c r="G242" s="73"/>
      <c r="H242"/>
    </row>
    <row r="243" spans="1:8" ht="15" x14ac:dyDescent="0.25">
      <c r="A243"/>
      <c r="B243"/>
      <c r="C243"/>
      <c r="D243"/>
      <c r="E243"/>
      <c r="F243"/>
      <c r="G243" s="73"/>
      <c r="H243"/>
    </row>
    <row r="244" spans="1:8" ht="15" x14ac:dyDescent="0.25">
      <c r="A244"/>
      <c r="B244"/>
      <c r="C244"/>
      <c r="D244"/>
      <c r="E244"/>
      <c r="F244"/>
      <c r="G244" s="73"/>
      <c r="H244"/>
    </row>
    <row r="245" spans="1:8" ht="15" x14ac:dyDescent="0.25">
      <c r="A245"/>
      <c r="B245"/>
      <c r="C245"/>
      <c r="D245"/>
      <c r="E245"/>
      <c r="F245"/>
      <c r="G245" s="73"/>
      <c r="H245"/>
    </row>
    <row r="246" spans="1:8" ht="15" x14ac:dyDescent="0.25">
      <c r="A246"/>
      <c r="B246"/>
      <c r="C246"/>
      <c r="D246"/>
      <c r="E246"/>
      <c r="F246"/>
      <c r="G246" s="73"/>
      <c r="H246"/>
    </row>
    <row r="247" spans="1:8" ht="15" x14ac:dyDescent="0.25">
      <c r="A247"/>
      <c r="B247"/>
      <c r="C247"/>
      <c r="D247"/>
      <c r="E247"/>
      <c r="F247"/>
      <c r="G247" s="73"/>
      <c r="H247"/>
    </row>
    <row r="248" spans="1:8" ht="15" x14ac:dyDescent="0.25">
      <c r="A248"/>
      <c r="B248"/>
      <c r="C248"/>
      <c r="D248"/>
      <c r="E248"/>
      <c r="F248"/>
      <c r="G248" s="73"/>
      <c r="H248"/>
    </row>
    <row r="249" spans="1:8" ht="15" x14ac:dyDescent="0.25">
      <c r="A249"/>
      <c r="B249"/>
      <c r="C249"/>
      <c r="D249"/>
      <c r="E249"/>
      <c r="F249"/>
      <c r="G249" s="73"/>
      <c r="H249"/>
    </row>
    <row r="250" spans="1:8" ht="15" x14ac:dyDescent="0.25">
      <c r="A250"/>
      <c r="B250"/>
      <c r="C250"/>
      <c r="D250"/>
      <c r="E250"/>
      <c r="F250"/>
      <c r="G250" s="73"/>
      <c r="H250"/>
    </row>
    <row r="251" spans="1:8" ht="15" x14ac:dyDescent="0.25">
      <c r="A251"/>
      <c r="B251"/>
      <c r="C251"/>
      <c r="D251"/>
      <c r="E251"/>
      <c r="F251"/>
      <c r="G251" s="73"/>
      <c r="H251"/>
    </row>
    <row r="252" spans="1:8" ht="15" x14ac:dyDescent="0.25">
      <c r="A252"/>
      <c r="B252"/>
      <c r="C252"/>
      <c r="D252"/>
      <c r="E252"/>
      <c r="F252"/>
      <c r="G252" s="73"/>
      <c r="H252"/>
    </row>
    <row r="253" spans="1:8" ht="15" x14ac:dyDescent="0.25">
      <c r="A253"/>
      <c r="B253"/>
      <c r="C253"/>
      <c r="D253"/>
      <c r="E253"/>
      <c r="F253"/>
      <c r="G253" s="73"/>
      <c r="H253"/>
    </row>
    <row r="254" spans="1:8" ht="15" x14ac:dyDescent="0.25">
      <c r="A254"/>
      <c r="B254"/>
      <c r="C254"/>
      <c r="D254"/>
      <c r="E254"/>
      <c r="F254"/>
      <c r="G254" s="73"/>
      <c r="H254"/>
    </row>
    <row r="255" spans="1:8" ht="15" x14ac:dyDescent="0.25">
      <c r="A255"/>
      <c r="B255"/>
      <c r="C255"/>
      <c r="D255"/>
      <c r="E255"/>
      <c r="F255"/>
      <c r="G255" s="73"/>
      <c r="H255"/>
    </row>
    <row r="256" spans="1:8" ht="15" x14ac:dyDescent="0.25">
      <c r="A256"/>
      <c r="B256"/>
      <c r="C256"/>
      <c r="D256"/>
      <c r="E256"/>
      <c r="F256"/>
      <c r="G256" s="73"/>
      <c r="H256"/>
    </row>
    <row r="257" spans="1:8" ht="15" x14ac:dyDescent="0.25">
      <c r="A257"/>
      <c r="B257"/>
      <c r="C257"/>
      <c r="D257"/>
      <c r="E257"/>
      <c r="F257"/>
      <c r="G257" s="73"/>
      <c r="H257"/>
    </row>
    <row r="258" spans="1:8" ht="15" x14ac:dyDescent="0.25">
      <c r="A258"/>
      <c r="B258"/>
      <c r="C258"/>
      <c r="D258"/>
      <c r="E258"/>
      <c r="F258"/>
      <c r="G258" s="73"/>
      <c r="H258"/>
    </row>
    <row r="259" spans="1:8" ht="15" x14ac:dyDescent="0.25">
      <c r="A259"/>
      <c r="B259"/>
      <c r="C259"/>
      <c r="D259"/>
      <c r="E259"/>
      <c r="F259"/>
      <c r="G259" s="73"/>
      <c r="H259"/>
    </row>
    <row r="260" spans="1:8" ht="15" x14ac:dyDescent="0.25">
      <c r="A260"/>
      <c r="B260"/>
      <c r="C260"/>
      <c r="D260"/>
      <c r="E260"/>
      <c r="F260"/>
      <c r="G260" s="73"/>
      <c r="H260"/>
    </row>
    <row r="261" spans="1:8" ht="15" x14ac:dyDescent="0.25">
      <c r="A261"/>
      <c r="B261"/>
      <c r="C261"/>
      <c r="D261"/>
      <c r="E261"/>
      <c r="F261"/>
      <c r="G261" s="73"/>
      <c r="H261"/>
    </row>
    <row r="262" spans="1:8" ht="15" x14ac:dyDescent="0.25">
      <c r="A262"/>
      <c r="B262"/>
      <c r="C262"/>
      <c r="D262"/>
      <c r="E262"/>
      <c r="F262"/>
      <c r="G262" s="73"/>
      <c r="H262"/>
    </row>
    <row r="263" spans="1:8" ht="15" x14ac:dyDescent="0.25">
      <c r="A263"/>
      <c r="B263"/>
      <c r="C263"/>
      <c r="D263"/>
      <c r="E263"/>
      <c r="F263"/>
      <c r="G263" s="73"/>
      <c r="H263"/>
    </row>
    <row r="264" spans="1:8" ht="15" x14ac:dyDescent="0.25">
      <c r="A264"/>
      <c r="B264"/>
      <c r="C264"/>
      <c r="D264"/>
      <c r="E264"/>
      <c r="F264"/>
      <c r="G264" s="73"/>
      <c r="H264"/>
    </row>
    <row r="265" spans="1:8" ht="15" x14ac:dyDescent="0.25">
      <c r="A265"/>
      <c r="B265"/>
      <c r="C265"/>
      <c r="D265"/>
      <c r="E265"/>
      <c r="F265"/>
      <c r="G265" s="73"/>
      <c r="H265"/>
    </row>
    <row r="266" spans="1:8" ht="15" x14ac:dyDescent="0.25">
      <c r="A266"/>
      <c r="B266"/>
      <c r="C266"/>
      <c r="D266"/>
      <c r="E266"/>
      <c r="F266"/>
      <c r="G266" s="73"/>
      <c r="H266"/>
    </row>
    <row r="267" spans="1:8" ht="15" x14ac:dyDescent="0.25">
      <c r="A267"/>
      <c r="B267"/>
      <c r="C267"/>
      <c r="D267"/>
      <c r="E267"/>
      <c r="F267"/>
      <c r="G267" s="73"/>
      <c r="H267"/>
    </row>
    <row r="268" spans="1:8" ht="15" x14ac:dyDescent="0.25">
      <c r="A268"/>
      <c r="B268"/>
      <c r="C268"/>
      <c r="D268"/>
      <c r="E268"/>
      <c r="F268"/>
      <c r="G268" s="73"/>
      <c r="H268"/>
    </row>
  </sheetData>
  <pageMargins left="0.7" right="0.7" top="0.75" bottom="0.75" header="0.3" footer="0.3"/>
  <pageSetup scale="78" orientation="landscape" r:id="rId1"/>
  <colBreaks count="1" manualBreakCount="1">
    <brk id="7" min="1" max="36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8" tint="-0.249977111117893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8" tint="0.39997558519241921"/>
    <pageSetUpPr fitToPage="1"/>
  </sheetPr>
  <dimension ref="A1:AH317"/>
  <sheetViews>
    <sheetView topLeftCell="A290" workbookViewId="0">
      <selection activeCell="D314" sqref="D314"/>
    </sheetView>
  </sheetViews>
  <sheetFormatPr defaultRowHeight="11.25" outlineLevelRow="1" x14ac:dyDescent="0.2"/>
  <cols>
    <col min="1" max="1" width="9.140625" style="318"/>
    <col min="2" max="2" width="37" style="318" bestFit="1" customWidth="1"/>
    <col min="3" max="3" width="16.7109375" style="318" customWidth="1"/>
    <col min="4" max="4" width="32.28515625" style="318" customWidth="1"/>
    <col min="5" max="5" width="12.85546875" style="318" customWidth="1"/>
    <col min="6" max="7" width="13.140625" style="318" customWidth="1"/>
    <col min="8" max="8" width="12" style="318" customWidth="1"/>
    <col min="9" max="9" width="14.140625" style="318" customWidth="1"/>
    <col min="10" max="10" width="14.42578125" style="318" customWidth="1"/>
    <col min="11" max="11" width="16" style="318" customWidth="1"/>
    <col min="12" max="12" width="9.140625" style="318" customWidth="1"/>
    <col min="13" max="13" width="14.42578125" style="318" customWidth="1"/>
    <col min="14" max="14" width="10.85546875" style="318" customWidth="1"/>
    <col min="15" max="15" width="11.7109375" style="318" customWidth="1"/>
    <col min="16" max="16" width="10" style="318" customWidth="1"/>
    <col min="17" max="18" width="9.140625" style="318" customWidth="1"/>
    <col min="19" max="20" width="12" style="318" customWidth="1"/>
    <col min="21" max="21" width="14.28515625" style="318" customWidth="1"/>
    <col min="22" max="22" width="12" style="318" customWidth="1"/>
    <col min="23" max="23" width="9.5703125" style="318" customWidth="1"/>
    <col min="24" max="24" width="12.85546875" style="318" customWidth="1"/>
    <col min="25" max="25" width="11.28515625" style="318" customWidth="1"/>
    <col min="26" max="26" width="4" style="318" customWidth="1"/>
    <col min="27" max="27" width="7.7109375" style="318" customWidth="1"/>
    <col min="28" max="28" width="9.140625" style="318" customWidth="1"/>
    <col min="29" max="29" width="11.7109375" style="318" customWidth="1"/>
    <col min="30" max="30" width="11.28515625" style="318" customWidth="1"/>
    <col min="31" max="31" width="10" style="318" customWidth="1"/>
    <col min="32" max="32" width="14.42578125" style="318" customWidth="1"/>
    <col min="33" max="33" width="8.28515625" style="318" bestFit="1" customWidth="1"/>
    <col min="34" max="35" width="9.140625" style="318" customWidth="1"/>
    <col min="36" max="16384" width="9.140625" style="318"/>
  </cols>
  <sheetData>
    <row r="1" spans="1:34" customFormat="1" ht="15.75" x14ac:dyDescent="0.25">
      <c r="B1" s="428" t="s">
        <v>519</v>
      </c>
      <c r="C1" s="429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</row>
    <row r="2" spans="1:34" customFormat="1" ht="15" x14ac:dyDescent="0.25">
      <c r="B2" s="430"/>
      <c r="C2" s="429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/>
      <c r="AE2" s="433"/>
      <c r="AF2" s="433"/>
      <c r="AG2" s="433"/>
    </row>
    <row r="3" spans="1:34" customFormat="1" ht="15" x14ac:dyDescent="0.25">
      <c r="B3" s="431" t="s">
        <v>867</v>
      </c>
      <c r="C3" s="429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  <c r="Z3" s="433"/>
      <c r="AA3" s="433"/>
      <c r="AB3" s="433"/>
      <c r="AC3" s="433"/>
      <c r="AD3" s="433"/>
      <c r="AE3" s="433"/>
      <c r="AF3" s="433"/>
      <c r="AG3" s="433"/>
    </row>
    <row r="4" spans="1:34" customFormat="1" ht="15" x14ac:dyDescent="0.25">
      <c r="B4" s="430"/>
      <c r="C4" s="429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  <c r="X4" s="433"/>
      <c r="Y4" s="433"/>
      <c r="Z4" s="433"/>
      <c r="AA4" s="433"/>
      <c r="AB4" s="433"/>
      <c r="AC4" s="433"/>
      <c r="AD4" s="433"/>
      <c r="AE4" s="433"/>
      <c r="AF4" s="433"/>
      <c r="AG4" s="433"/>
    </row>
    <row r="5" spans="1:34" customFormat="1" ht="15" x14ac:dyDescent="0.25">
      <c r="B5" s="431" t="s">
        <v>520</v>
      </c>
      <c r="C5" s="429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  <c r="P5" s="433"/>
      <c r="Q5" s="433"/>
      <c r="R5" s="433"/>
      <c r="S5" s="433"/>
      <c r="T5" s="433"/>
      <c r="U5" s="433"/>
      <c r="V5" s="433"/>
      <c r="W5" s="433"/>
      <c r="X5" s="433"/>
      <c r="Y5" s="433"/>
      <c r="Z5" s="433"/>
      <c r="AA5" s="433"/>
      <c r="AB5" s="433"/>
      <c r="AC5" s="433"/>
      <c r="AD5" s="433"/>
      <c r="AE5" s="433"/>
      <c r="AF5" s="433"/>
      <c r="AG5" s="433"/>
    </row>
    <row r="6" spans="1:34" customFormat="1" ht="15" x14ac:dyDescent="0.25">
      <c r="B6" s="430"/>
      <c r="C6" s="429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</row>
    <row r="7" spans="1:34" customFormat="1" ht="15" x14ac:dyDescent="0.25">
      <c r="B7" s="310" t="s">
        <v>868</v>
      </c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  <c r="Z7" s="433"/>
      <c r="AA7" s="433"/>
      <c r="AB7" s="433"/>
      <c r="AC7" s="433"/>
      <c r="AD7" s="433"/>
      <c r="AE7" s="433"/>
      <c r="AF7" s="433"/>
      <c r="AG7" s="433"/>
    </row>
    <row r="8" spans="1:34" customFormat="1" ht="15" x14ac:dyDescent="0.25">
      <c r="B8" s="309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  <c r="Z8" s="433"/>
      <c r="AA8" s="433"/>
      <c r="AB8" s="433"/>
      <c r="AC8" s="433"/>
      <c r="AD8" s="433"/>
      <c r="AE8" s="433"/>
      <c r="AF8" s="433"/>
      <c r="AG8" s="433"/>
    </row>
    <row r="9" spans="1:34" customFormat="1" ht="15.75" customHeight="1" x14ac:dyDescent="0.25">
      <c r="B9" s="713" t="s">
        <v>521</v>
      </c>
      <c r="C9" s="71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</row>
    <row r="10" spans="1:34" customFormat="1" ht="20.25" customHeight="1" x14ac:dyDescent="0.25">
      <c r="B10" s="311" t="s">
        <v>161</v>
      </c>
      <c r="C10" s="311" t="s">
        <v>869</v>
      </c>
      <c r="E10" s="433"/>
      <c r="F10" s="433"/>
      <c r="G10" s="433"/>
      <c r="H10" s="433"/>
      <c r="I10" s="433"/>
      <c r="J10" s="433"/>
      <c r="K10" s="433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3"/>
      <c r="W10" s="433"/>
      <c r="X10" s="433"/>
      <c r="Y10" s="433"/>
      <c r="Z10" s="433"/>
      <c r="AA10" s="433"/>
      <c r="AB10" s="433"/>
      <c r="AC10" s="433"/>
      <c r="AD10" s="433"/>
      <c r="AE10" s="433"/>
      <c r="AF10" s="433"/>
      <c r="AG10" s="433"/>
    </row>
    <row r="11" spans="1:34" customFormat="1" ht="15.75" customHeight="1" x14ac:dyDescent="0.25">
      <c r="B11" s="311" t="s">
        <v>10</v>
      </c>
      <c r="C11" s="311" t="s">
        <v>16</v>
      </c>
      <c r="E11" s="433"/>
      <c r="F11" s="433"/>
      <c r="G11" s="433"/>
      <c r="H11" s="433"/>
      <c r="I11" s="433"/>
      <c r="J11" s="433"/>
      <c r="K11" s="433"/>
      <c r="L11" s="433"/>
      <c r="M11" s="433"/>
      <c r="N11" s="433"/>
      <c r="O11" s="433"/>
      <c r="P11" s="433"/>
      <c r="Q11" s="433"/>
      <c r="R11" s="433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3"/>
      <c r="AG11" s="433"/>
    </row>
    <row r="12" spans="1:34" customFormat="1" ht="15" customHeight="1" x14ac:dyDescent="0.25">
      <c r="B12" s="311" t="s">
        <v>715</v>
      </c>
      <c r="C12" s="311" t="s">
        <v>716</v>
      </c>
      <c r="E12" s="433"/>
      <c r="F12" s="433"/>
      <c r="G12" s="433"/>
      <c r="H12" s="433"/>
      <c r="I12" s="433"/>
      <c r="J12" s="433"/>
      <c r="K12" s="433"/>
      <c r="L12" s="433"/>
      <c r="M12" s="433"/>
      <c r="N12" s="433"/>
      <c r="O12" s="433"/>
      <c r="P12" s="433"/>
      <c r="Q12" s="433"/>
      <c r="R12" s="433"/>
      <c r="S12" s="433"/>
      <c r="T12" s="433"/>
      <c r="U12" s="433"/>
      <c r="V12" s="433"/>
      <c r="W12" s="433"/>
      <c r="X12" s="433"/>
      <c r="Y12" s="433"/>
      <c r="Z12" s="433"/>
      <c r="AA12" s="433"/>
      <c r="AB12" s="433"/>
      <c r="AC12" s="433"/>
      <c r="AD12" s="433"/>
      <c r="AE12" s="433"/>
      <c r="AF12" s="433"/>
      <c r="AG12" s="433"/>
    </row>
    <row r="13" spans="1:34" customFormat="1" ht="12.75" customHeight="1" thickBot="1" x14ac:dyDescent="0.3">
      <c r="B13" s="309"/>
      <c r="E13" s="433"/>
      <c r="F13" s="433"/>
      <c r="G13" s="433"/>
      <c r="H13" s="433"/>
      <c r="I13" s="433"/>
      <c r="J13" s="433"/>
      <c r="K13" s="433"/>
      <c r="L13" s="433"/>
      <c r="M13" s="433"/>
      <c r="N13" s="433"/>
      <c r="O13" s="433"/>
      <c r="P13" s="433"/>
      <c r="Q13" s="433"/>
      <c r="R13" s="433"/>
      <c r="S13" s="433"/>
      <c r="T13" s="433"/>
      <c r="U13" s="433"/>
      <c r="V13" s="433"/>
      <c r="W13" s="433"/>
      <c r="X13" s="433"/>
      <c r="Y13" s="433"/>
      <c r="Z13" s="433"/>
      <c r="AA13" s="433"/>
      <c r="AB13" s="433"/>
      <c r="AC13" s="433"/>
      <c r="AD13" s="433"/>
      <c r="AE13" s="433"/>
      <c r="AF13" s="433"/>
      <c r="AG13" s="433"/>
    </row>
    <row r="14" spans="1:34" customFormat="1" ht="23.25" thickBot="1" x14ac:dyDescent="0.3">
      <c r="B14" s="712"/>
      <c r="C14" s="709"/>
      <c r="D14" s="91"/>
      <c r="E14" s="432" t="s">
        <v>1</v>
      </c>
      <c r="F14" s="432" t="s">
        <v>14</v>
      </c>
      <c r="G14" s="438" t="s">
        <v>678</v>
      </c>
      <c r="H14" s="438" t="s">
        <v>286</v>
      </c>
      <c r="I14" s="438" t="s">
        <v>2</v>
      </c>
      <c r="J14" s="438" t="s">
        <v>679</v>
      </c>
      <c r="K14" s="438" t="s">
        <v>693</v>
      </c>
      <c r="L14" s="438" t="s">
        <v>677</v>
      </c>
      <c r="M14" s="434" t="s">
        <v>680</v>
      </c>
      <c r="N14" s="432" t="s">
        <v>198</v>
      </c>
      <c r="O14" s="435" t="s">
        <v>196</v>
      </c>
      <c r="P14" s="435" t="s">
        <v>589</v>
      </c>
      <c r="Q14" s="435" t="s">
        <v>682</v>
      </c>
      <c r="R14" s="435" t="s">
        <v>683</v>
      </c>
      <c r="S14" s="435" t="s">
        <v>684</v>
      </c>
      <c r="T14" s="435" t="s">
        <v>695</v>
      </c>
      <c r="U14" s="435" t="s">
        <v>694</v>
      </c>
      <c r="V14" s="436" t="s">
        <v>717</v>
      </c>
      <c r="W14" s="432" t="s">
        <v>681</v>
      </c>
      <c r="X14" s="432" t="s">
        <v>643</v>
      </c>
      <c r="Y14" s="432" t="s">
        <v>294</v>
      </c>
      <c r="Z14" s="432" t="s">
        <v>6</v>
      </c>
      <c r="AA14" s="432" t="s">
        <v>647</v>
      </c>
      <c r="AB14" s="432" t="s">
        <v>7</v>
      </c>
      <c r="AC14" s="432" t="s">
        <v>685</v>
      </c>
      <c r="AD14" s="432" t="s">
        <v>157</v>
      </c>
      <c r="AE14" s="90" t="s">
        <v>158</v>
      </c>
      <c r="AF14" s="432" t="s">
        <v>159</v>
      </c>
      <c r="AG14" s="432" t="s">
        <v>160</v>
      </c>
    </row>
    <row r="15" spans="1:34" customFormat="1" ht="15.75" thickBot="1" x14ac:dyDescent="0.3">
      <c r="B15" s="90"/>
      <c r="C15" s="90" t="s">
        <v>12</v>
      </c>
      <c r="D15" s="312"/>
      <c r="E15" s="437" t="s">
        <v>15</v>
      </c>
      <c r="F15" s="437" t="s">
        <v>14</v>
      </c>
      <c r="G15" s="437" t="s">
        <v>15</v>
      </c>
      <c r="H15" s="437" t="s">
        <v>15</v>
      </c>
      <c r="I15" s="437" t="s">
        <v>15</v>
      </c>
      <c r="J15" s="437" t="s">
        <v>15</v>
      </c>
      <c r="K15" s="437" t="s">
        <v>15</v>
      </c>
      <c r="L15" s="437" t="s">
        <v>15</v>
      </c>
      <c r="M15" s="620" t="s">
        <v>15</v>
      </c>
      <c r="N15" s="437" t="s">
        <v>15</v>
      </c>
      <c r="O15" s="437" t="s">
        <v>15</v>
      </c>
      <c r="P15" s="437" t="s">
        <v>15</v>
      </c>
      <c r="Q15" s="437" t="s">
        <v>15</v>
      </c>
      <c r="R15" s="437" t="s">
        <v>15</v>
      </c>
      <c r="S15" s="437" t="s">
        <v>15</v>
      </c>
      <c r="T15" s="437" t="s">
        <v>15</v>
      </c>
      <c r="U15" s="437" t="s">
        <v>15</v>
      </c>
      <c r="V15" s="437" t="s">
        <v>15</v>
      </c>
      <c r="W15" s="437" t="s">
        <v>15</v>
      </c>
      <c r="X15" s="437" t="s">
        <v>15</v>
      </c>
      <c r="Y15" s="437" t="s">
        <v>15</v>
      </c>
      <c r="Z15" s="437" t="s">
        <v>15</v>
      </c>
      <c r="AA15" s="437" t="s">
        <v>15</v>
      </c>
      <c r="AB15" s="437" t="s">
        <v>15</v>
      </c>
      <c r="AC15" s="437" t="s">
        <v>15</v>
      </c>
      <c r="AD15" s="437" t="s">
        <v>15</v>
      </c>
      <c r="AE15" s="91" t="s">
        <v>15</v>
      </c>
      <c r="AF15" s="437" t="s">
        <v>15</v>
      </c>
      <c r="AG15" s="437" t="s">
        <v>15</v>
      </c>
    </row>
    <row r="16" spans="1:34" customFormat="1" ht="15.75" customHeight="1" outlineLevel="1" thickBot="1" x14ac:dyDescent="0.3">
      <c r="A16" s="401">
        <v>42430</v>
      </c>
      <c r="B16" s="90" t="s">
        <v>686</v>
      </c>
      <c r="C16" s="418" t="s">
        <v>22</v>
      </c>
      <c r="D16" s="316" t="s">
        <v>23</v>
      </c>
      <c r="E16" s="419">
        <v>24648.240000000002</v>
      </c>
      <c r="F16" s="419">
        <v>39077</v>
      </c>
      <c r="G16" s="419">
        <v>1200</v>
      </c>
      <c r="H16" s="419"/>
      <c r="I16" s="419">
        <v>2738.9</v>
      </c>
      <c r="J16" s="419"/>
      <c r="K16" s="419"/>
      <c r="L16" s="419"/>
      <c r="M16" s="620">
        <f t="shared" ref="M16:M57" si="0">SUM(G16:L16)</f>
        <v>3938.9</v>
      </c>
      <c r="N16" s="419"/>
      <c r="O16" s="419">
        <v>12644.41</v>
      </c>
      <c r="P16" s="419"/>
      <c r="Q16" s="419"/>
      <c r="R16" s="419"/>
      <c r="S16" s="419"/>
      <c r="T16" s="419"/>
      <c r="U16" s="419"/>
      <c r="V16" s="621">
        <f t="shared" ref="V16:V57" si="1">SUM(O16:U16)</f>
        <v>12644.41</v>
      </c>
      <c r="W16" s="419"/>
      <c r="X16" s="419">
        <v>8064.93</v>
      </c>
      <c r="Y16" s="419"/>
      <c r="Z16" s="419">
        <v>0</v>
      </c>
      <c r="AA16" s="419"/>
      <c r="AB16" s="419"/>
      <c r="AC16" s="419">
        <v>430.85</v>
      </c>
      <c r="AD16" s="419">
        <v>0</v>
      </c>
      <c r="AE16" s="419"/>
      <c r="AF16" s="419">
        <v>25079.09</v>
      </c>
      <c r="AG16" s="419">
        <v>0</v>
      </c>
      <c r="AH16" s="318"/>
    </row>
    <row r="17" spans="1:34" customFormat="1" ht="15.75" customHeight="1" outlineLevel="1" thickBot="1" x14ac:dyDescent="0.3">
      <c r="A17" s="401">
        <v>42430</v>
      </c>
      <c r="B17" s="90" t="s">
        <v>686</v>
      </c>
      <c r="C17" s="418" t="s">
        <v>18</v>
      </c>
      <c r="D17" s="316" t="s">
        <v>19</v>
      </c>
      <c r="E17" s="420">
        <v>29507.33</v>
      </c>
      <c r="F17" s="420">
        <v>59206</v>
      </c>
      <c r="G17" s="420">
        <v>800</v>
      </c>
      <c r="H17" s="420"/>
      <c r="I17" s="420">
        <v>4149.75</v>
      </c>
      <c r="J17" s="420"/>
      <c r="K17" s="420"/>
      <c r="L17" s="420"/>
      <c r="M17" s="620">
        <f t="shared" si="0"/>
        <v>4949.75</v>
      </c>
      <c r="N17" s="420">
        <v>31.97</v>
      </c>
      <c r="O17" s="420">
        <v>19148.990000000002</v>
      </c>
      <c r="P17" s="420"/>
      <c r="Q17" s="420"/>
      <c r="R17" s="420"/>
      <c r="S17" s="420"/>
      <c r="T17" s="420"/>
      <c r="U17" s="420"/>
      <c r="V17" s="621">
        <f t="shared" si="1"/>
        <v>19148.990000000002</v>
      </c>
      <c r="W17" s="420"/>
      <c r="X17" s="420">
        <v>5376.62</v>
      </c>
      <c r="Y17" s="420"/>
      <c r="Z17" s="420">
        <v>0</v>
      </c>
      <c r="AA17" s="420"/>
      <c r="AB17" s="420"/>
      <c r="AC17" s="420">
        <v>590.15</v>
      </c>
      <c r="AD17" s="420">
        <v>958.44</v>
      </c>
      <c r="AE17" s="420"/>
      <c r="AF17" s="420">
        <v>31055.919999999998</v>
      </c>
      <c r="AG17" s="420">
        <v>0</v>
      </c>
      <c r="AH17" s="318"/>
    </row>
    <row r="18" spans="1:34" customFormat="1" ht="15.75" thickBot="1" x14ac:dyDescent="0.3">
      <c r="A18" s="401">
        <v>42430</v>
      </c>
      <c r="B18" s="90" t="s">
        <v>686</v>
      </c>
      <c r="C18" s="317" t="s">
        <v>445</v>
      </c>
      <c r="D18" s="317" t="s">
        <v>445</v>
      </c>
      <c r="E18" s="419">
        <v>54155.57</v>
      </c>
      <c r="F18" s="419">
        <v>98283</v>
      </c>
      <c r="G18" s="419">
        <v>2000</v>
      </c>
      <c r="H18" s="419"/>
      <c r="I18" s="419">
        <v>6888.65</v>
      </c>
      <c r="J18" s="419"/>
      <c r="K18" s="419"/>
      <c r="L18" s="419"/>
      <c r="M18" s="620">
        <f t="shared" si="0"/>
        <v>8888.65</v>
      </c>
      <c r="N18" s="419">
        <v>31.97</v>
      </c>
      <c r="O18" s="419">
        <v>31793.4</v>
      </c>
      <c r="P18" s="419"/>
      <c r="Q18" s="419"/>
      <c r="R18" s="419"/>
      <c r="S18" s="419"/>
      <c r="T18" s="419"/>
      <c r="U18" s="419"/>
      <c r="V18" s="621">
        <f t="shared" si="1"/>
        <v>31793.4</v>
      </c>
      <c r="W18" s="419"/>
      <c r="X18" s="419">
        <v>13441.55</v>
      </c>
      <c r="Y18" s="419"/>
      <c r="Z18" s="419">
        <v>0</v>
      </c>
      <c r="AA18" s="419"/>
      <c r="AB18" s="419"/>
      <c r="AC18" s="419">
        <v>1021</v>
      </c>
      <c r="AD18" s="419">
        <v>958.44</v>
      </c>
      <c r="AE18" s="419"/>
      <c r="AF18" s="419">
        <v>56135.01</v>
      </c>
      <c r="AG18" s="419">
        <v>0</v>
      </c>
      <c r="AH18" s="318"/>
    </row>
    <row r="19" spans="1:34" customFormat="1" ht="15.75" customHeight="1" outlineLevel="1" thickBot="1" x14ac:dyDescent="0.3">
      <c r="A19" s="401">
        <v>42430</v>
      </c>
      <c r="B19" s="90" t="s">
        <v>686</v>
      </c>
      <c r="C19" s="418" t="s">
        <v>26</v>
      </c>
      <c r="D19" s="316" t="s">
        <v>27</v>
      </c>
      <c r="E19" s="420">
        <v>9222006.9100000001</v>
      </c>
      <c r="F19" s="420">
        <v>12820276</v>
      </c>
      <c r="G19" s="420">
        <v>1199041.1000000001</v>
      </c>
      <c r="H19" s="420"/>
      <c r="I19" s="420">
        <v>2756880.71</v>
      </c>
      <c r="J19" s="420"/>
      <c r="K19" s="420"/>
      <c r="L19" s="420"/>
      <c r="M19" s="620">
        <f t="shared" si="0"/>
        <v>3955921.81</v>
      </c>
      <c r="N19" s="420">
        <v>6921.95</v>
      </c>
      <c r="O19" s="420">
        <v>4147257.86</v>
      </c>
      <c r="P19" s="420"/>
      <c r="Q19" s="420"/>
      <c r="R19" s="420"/>
      <c r="S19" s="420"/>
      <c r="T19" s="420"/>
      <c r="U19" s="420"/>
      <c r="V19" s="621">
        <f t="shared" si="1"/>
        <v>4147257.86</v>
      </c>
      <c r="W19" s="420"/>
      <c r="X19" s="420">
        <v>671849.01</v>
      </c>
      <c r="Y19" s="420">
        <v>440056.28</v>
      </c>
      <c r="Z19" s="420">
        <v>0</v>
      </c>
      <c r="AA19" s="420"/>
      <c r="AB19" s="420"/>
      <c r="AC19" s="420">
        <v>126976.45</v>
      </c>
      <c r="AD19" s="420">
        <v>454889.85</v>
      </c>
      <c r="AE19" s="420"/>
      <c r="AF19" s="420">
        <v>9803873.2100000009</v>
      </c>
      <c r="AG19" s="420">
        <v>0</v>
      </c>
      <c r="AH19" s="318"/>
    </row>
    <row r="20" spans="1:34" customFormat="1" ht="15.75" customHeight="1" outlineLevel="1" thickBot="1" x14ac:dyDescent="0.3">
      <c r="A20" s="401">
        <v>42430</v>
      </c>
      <c r="B20" s="90" t="s">
        <v>686</v>
      </c>
      <c r="C20" s="418" t="s">
        <v>707</v>
      </c>
      <c r="D20" s="316" t="s">
        <v>718</v>
      </c>
      <c r="E20" s="419">
        <v>206.49</v>
      </c>
      <c r="F20" s="419">
        <v>260</v>
      </c>
      <c r="G20" s="419">
        <v>40</v>
      </c>
      <c r="H20" s="419"/>
      <c r="I20" s="419">
        <v>55.91</v>
      </c>
      <c r="J20" s="419"/>
      <c r="K20" s="419"/>
      <c r="L20" s="419"/>
      <c r="M20" s="620">
        <f t="shared" si="0"/>
        <v>95.91</v>
      </c>
      <c r="N20" s="419">
        <v>0.14000000000000001</v>
      </c>
      <c r="O20" s="419">
        <v>84.09</v>
      </c>
      <c r="P20" s="419"/>
      <c r="Q20" s="419"/>
      <c r="R20" s="419"/>
      <c r="S20" s="419"/>
      <c r="T20" s="419"/>
      <c r="U20" s="419"/>
      <c r="V20" s="621">
        <f t="shared" si="1"/>
        <v>84.09</v>
      </c>
      <c r="W20" s="419"/>
      <c r="X20" s="419">
        <v>25.87</v>
      </c>
      <c r="Y20" s="419">
        <v>0.48</v>
      </c>
      <c r="Z20" s="419"/>
      <c r="AA20" s="419"/>
      <c r="AB20" s="419"/>
      <c r="AC20" s="419">
        <v>4.13</v>
      </c>
      <c r="AD20" s="419">
        <v>12.64</v>
      </c>
      <c r="AE20" s="419"/>
      <c r="AF20" s="419">
        <v>223.26</v>
      </c>
      <c r="AG20" s="419">
        <v>0</v>
      </c>
      <c r="AH20" s="318"/>
    </row>
    <row r="21" spans="1:34" customFormat="1" ht="15.75" thickBot="1" x14ac:dyDescent="0.3">
      <c r="A21" s="401">
        <v>42430</v>
      </c>
      <c r="B21" s="90" t="s">
        <v>686</v>
      </c>
      <c r="C21" s="317" t="s">
        <v>109</v>
      </c>
      <c r="D21" s="317" t="s">
        <v>109</v>
      </c>
      <c r="E21" s="420">
        <v>9222213.4000000004</v>
      </c>
      <c r="F21" s="420">
        <v>12820536</v>
      </c>
      <c r="G21" s="420">
        <v>1199081.1000000001</v>
      </c>
      <c r="H21" s="420"/>
      <c r="I21" s="420">
        <v>2756936.62</v>
      </c>
      <c r="J21" s="420"/>
      <c r="K21" s="420"/>
      <c r="L21" s="420"/>
      <c r="M21" s="620">
        <f t="shared" si="0"/>
        <v>3956017.72</v>
      </c>
      <c r="N21" s="420">
        <v>6922.09</v>
      </c>
      <c r="O21" s="420">
        <v>4147341.95</v>
      </c>
      <c r="P21" s="420"/>
      <c r="Q21" s="420"/>
      <c r="R21" s="420"/>
      <c r="S21" s="420"/>
      <c r="T21" s="420"/>
      <c r="U21" s="420"/>
      <c r="V21" s="621">
        <f t="shared" si="1"/>
        <v>4147341.95</v>
      </c>
      <c r="W21" s="420"/>
      <c r="X21" s="420">
        <v>671874.88</v>
      </c>
      <c r="Y21" s="420">
        <v>440056.76</v>
      </c>
      <c r="Z21" s="420">
        <v>0</v>
      </c>
      <c r="AA21" s="420"/>
      <c r="AB21" s="420"/>
      <c r="AC21" s="420">
        <v>126980.58</v>
      </c>
      <c r="AD21" s="420">
        <v>454902.49</v>
      </c>
      <c r="AE21" s="420"/>
      <c r="AF21" s="420">
        <v>9804096.4700000007</v>
      </c>
      <c r="AG21" s="420">
        <v>0</v>
      </c>
      <c r="AH21" s="318"/>
    </row>
    <row r="22" spans="1:34" customFormat="1" ht="15.75" customHeight="1" outlineLevel="1" thickBot="1" x14ac:dyDescent="0.3">
      <c r="A22" s="401">
        <v>42430</v>
      </c>
      <c r="B22" s="90" t="s">
        <v>686</v>
      </c>
      <c r="C22" s="418" t="s">
        <v>68</v>
      </c>
      <c r="D22" s="316" t="s">
        <v>69</v>
      </c>
      <c r="E22" s="419">
        <v>586.14</v>
      </c>
      <c r="F22" s="419">
        <v>6</v>
      </c>
      <c r="G22" s="419">
        <v>40</v>
      </c>
      <c r="H22" s="419">
        <v>544</v>
      </c>
      <c r="I22" s="419">
        <v>0.2</v>
      </c>
      <c r="J22" s="419"/>
      <c r="K22" s="419"/>
      <c r="L22" s="419"/>
      <c r="M22" s="620">
        <f t="shared" si="0"/>
        <v>584.20000000000005</v>
      </c>
      <c r="N22" s="419"/>
      <c r="O22" s="419">
        <v>1.94</v>
      </c>
      <c r="P22" s="419"/>
      <c r="Q22" s="419"/>
      <c r="R22" s="419"/>
      <c r="S22" s="419"/>
      <c r="T22" s="419"/>
      <c r="U22" s="419"/>
      <c r="V22" s="621">
        <f t="shared" si="1"/>
        <v>1.94</v>
      </c>
      <c r="W22" s="419"/>
      <c r="X22" s="419">
        <v>0</v>
      </c>
      <c r="Y22" s="419"/>
      <c r="Z22" s="419"/>
      <c r="AA22" s="419"/>
      <c r="AB22" s="419"/>
      <c r="AC22" s="419">
        <v>11.72</v>
      </c>
      <c r="AD22" s="419">
        <v>35.869999999999997</v>
      </c>
      <c r="AE22" s="419"/>
      <c r="AF22" s="419">
        <v>633.73</v>
      </c>
      <c r="AG22" s="419">
        <v>0</v>
      </c>
      <c r="AH22" s="318"/>
    </row>
    <row r="23" spans="1:34" customFormat="1" ht="15.75" thickBot="1" x14ac:dyDescent="0.3">
      <c r="A23" s="401">
        <v>42430</v>
      </c>
      <c r="B23" s="90" t="s">
        <v>686</v>
      </c>
      <c r="C23" s="317" t="s">
        <v>870</v>
      </c>
      <c r="D23" s="317" t="s">
        <v>870</v>
      </c>
      <c r="E23" s="420">
        <v>586.14</v>
      </c>
      <c r="F23" s="420">
        <v>6</v>
      </c>
      <c r="G23" s="420">
        <v>40</v>
      </c>
      <c r="H23" s="420">
        <v>544</v>
      </c>
      <c r="I23" s="420">
        <v>0.2</v>
      </c>
      <c r="J23" s="420"/>
      <c r="K23" s="420"/>
      <c r="L23" s="420"/>
      <c r="M23" s="620">
        <f t="shared" si="0"/>
        <v>584.20000000000005</v>
      </c>
      <c r="N23" s="420"/>
      <c r="O23" s="420">
        <v>1.94</v>
      </c>
      <c r="P23" s="420"/>
      <c r="Q23" s="420"/>
      <c r="R23" s="420"/>
      <c r="S23" s="420"/>
      <c r="T23" s="420"/>
      <c r="U23" s="420"/>
      <c r="V23" s="621"/>
      <c r="W23" s="420"/>
      <c r="X23" s="420">
        <v>0</v>
      </c>
      <c r="Y23" s="420"/>
      <c r="Z23" s="420"/>
      <c r="AA23" s="420"/>
      <c r="AB23" s="420"/>
      <c r="AC23" s="420">
        <v>11.72</v>
      </c>
      <c r="AD23" s="420">
        <v>35.869999999999997</v>
      </c>
      <c r="AE23" s="420"/>
      <c r="AF23" s="420">
        <v>633.73</v>
      </c>
      <c r="AG23" s="420">
        <v>0</v>
      </c>
      <c r="AH23" s="318"/>
    </row>
    <row r="24" spans="1:34" customFormat="1" ht="15.75" customHeight="1" outlineLevel="1" thickBot="1" x14ac:dyDescent="0.3">
      <c r="A24" s="401">
        <v>42430</v>
      </c>
      <c r="B24" s="90" t="s">
        <v>686</v>
      </c>
      <c r="C24" s="418" t="s">
        <v>31</v>
      </c>
      <c r="D24" s="316" t="s">
        <v>32</v>
      </c>
      <c r="E24" s="419">
        <v>722756.13</v>
      </c>
      <c r="F24" s="419">
        <v>1153217</v>
      </c>
      <c r="G24" s="419">
        <v>26405.34</v>
      </c>
      <c r="H24" s="419"/>
      <c r="I24" s="419">
        <v>262691.36</v>
      </c>
      <c r="J24" s="419"/>
      <c r="K24" s="419"/>
      <c r="L24" s="419"/>
      <c r="M24" s="620">
        <f t="shared" si="0"/>
        <v>289096.7</v>
      </c>
      <c r="N24" s="419"/>
      <c r="O24" s="419">
        <v>373095.29</v>
      </c>
      <c r="P24" s="419"/>
      <c r="Q24" s="419"/>
      <c r="R24" s="419"/>
      <c r="S24" s="419"/>
      <c r="T24" s="419"/>
      <c r="U24" s="419"/>
      <c r="V24" s="621">
        <f t="shared" si="1"/>
        <v>373095.29</v>
      </c>
      <c r="W24" s="419"/>
      <c r="X24" s="419">
        <v>60564.14</v>
      </c>
      <c r="Y24" s="419"/>
      <c r="Z24" s="419">
        <v>0</v>
      </c>
      <c r="AA24" s="419"/>
      <c r="AB24" s="419"/>
      <c r="AC24" s="419">
        <v>10824.51</v>
      </c>
      <c r="AD24" s="419">
        <v>42456.4</v>
      </c>
      <c r="AE24" s="419"/>
      <c r="AF24" s="419">
        <v>776037.04</v>
      </c>
      <c r="AG24" s="419">
        <v>0</v>
      </c>
      <c r="AH24" s="318"/>
    </row>
    <row r="25" spans="1:34" customFormat="1" ht="15.75" thickBot="1" x14ac:dyDescent="0.3">
      <c r="A25" s="401">
        <v>42430</v>
      </c>
      <c r="B25" s="90" t="s">
        <v>686</v>
      </c>
      <c r="C25" s="317" t="s">
        <v>118</v>
      </c>
      <c r="D25" s="317" t="s">
        <v>118</v>
      </c>
      <c r="E25" s="420">
        <v>722756.13</v>
      </c>
      <c r="F25" s="420">
        <v>1153217</v>
      </c>
      <c r="G25" s="420">
        <v>26405.34</v>
      </c>
      <c r="H25" s="420"/>
      <c r="I25" s="420">
        <v>262691.36</v>
      </c>
      <c r="J25" s="420"/>
      <c r="K25" s="420"/>
      <c r="L25" s="420"/>
      <c r="M25" s="620">
        <f t="shared" si="0"/>
        <v>289096.7</v>
      </c>
      <c r="N25" s="420"/>
      <c r="O25" s="420">
        <v>373095.29</v>
      </c>
      <c r="P25" s="420"/>
      <c r="Q25" s="420"/>
      <c r="R25" s="420"/>
      <c r="S25" s="420"/>
      <c r="T25" s="420"/>
      <c r="U25" s="420"/>
      <c r="V25" s="621">
        <f t="shared" si="1"/>
        <v>373095.29</v>
      </c>
      <c r="W25" s="420"/>
      <c r="X25" s="420">
        <v>60564.14</v>
      </c>
      <c r="Y25" s="420"/>
      <c r="Z25" s="420">
        <v>0</v>
      </c>
      <c r="AA25" s="420"/>
      <c r="AB25" s="420"/>
      <c r="AC25" s="420">
        <v>10824.51</v>
      </c>
      <c r="AD25" s="420">
        <v>42456.4</v>
      </c>
      <c r="AE25" s="420"/>
      <c r="AF25" s="420">
        <v>776037.04</v>
      </c>
      <c r="AG25" s="420">
        <v>0</v>
      </c>
      <c r="AH25" s="318"/>
    </row>
    <row r="26" spans="1:34" customFormat="1" ht="15.75" customHeight="1" outlineLevel="1" thickBot="1" x14ac:dyDescent="0.3">
      <c r="A26" s="401">
        <v>42430</v>
      </c>
      <c r="B26" s="90" t="s">
        <v>686</v>
      </c>
      <c r="C26" s="418" t="s">
        <v>35</v>
      </c>
      <c r="D26" s="316" t="s">
        <v>36</v>
      </c>
      <c r="E26" s="419">
        <v>22311607.66</v>
      </c>
      <c r="F26" s="419">
        <v>24948230</v>
      </c>
      <c r="G26" s="419">
        <v>4089089.42</v>
      </c>
      <c r="H26" s="419"/>
      <c r="I26" s="419">
        <v>7158400.8399999999</v>
      </c>
      <c r="J26" s="419"/>
      <c r="K26" s="419"/>
      <c r="L26" s="419"/>
      <c r="M26" s="620">
        <f t="shared" si="0"/>
        <v>11247490.26</v>
      </c>
      <c r="N26" s="419">
        <v>226278.29</v>
      </c>
      <c r="O26" s="419">
        <v>8068945.1399999997</v>
      </c>
      <c r="P26" s="419"/>
      <c r="Q26" s="419"/>
      <c r="R26" s="419"/>
      <c r="S26" s="419"/>
      <c r="T26" s="419"/>
      <c r="U26" s="419"/>
      <c r="V26" s="621">
        <f t="shared" si="1"/>
        <v>8068945.1399999997</v>
      </c>
      <c r="W26" s="419"/>
      <c r="X26" s="419">
        <v>1469035.87</v>
      </c>
      <c r="Y26" s="419">
        <v>1299858.1000000001</v>
      </c>
      <c r="Z26" s="419"/>
      <c r="AA26" s="419"/>
      <c r="AB26" s="419">
        <v>76469.5</v>
      </c>
      <c r="AC26" s="419">
        <v>317558.81</v>
      </c>
      <c r="AD26" s="419">
        <v>93661.85</v>
      </c>
      <c r="AE26" s="419"/>
      <c r="AF26" s="419">
        <v>22799297.82</v>
      </c>
      <c r="AG26" s="419">
        <v>0</v>
      </c>
      <c r="AH26" s="318"/>
    </row>
    <row r="27" spans="1:34" customFormat="1" ht="15.75" thickBot="1" x14ac:dyDescent="0.3">
      <c r="A27" s="401">
        <v>42430</v>
      </c>
      <c r="B27" s="90" t="s">
        <v>686</v>
      </c>
      <c r="C27" s="317" t="s">
        <v>129</v>
      </c>
      <c r="D27" s="317" t="s">
        <v>129</v>
      </c>
      <c r="E27" s="420">
        <v>22311607.66</v>
      </c>
      <c r="F27" s="420">
        <v>24948230</v>
      </c>
      <c r="G27" s="420">
        <v>4089089.42</v>
      </c>
      <c r="H27" s="420"/>
      <c r="I27" s="420">
        <v>7158400.8399999999</v>
      </c>
      <c r="J27" s="420"/>
      <c r="K27" s="420"/>
      <c r="L27" s="420"/>
      <c r="M27" s="620">
        <f t="shared" si="0"/>
        <v>11247490.26</v>
      </c>
      <c r="N27" s="420">
        <v>226278.29</v>
      </c>
      <c r="O27" s="420">
        <v>8068945.1399999997</v>
      </c>
      <c r="P27" s="420"/>
      <c r="Q27" s="420"/>
      <c r="R27" s="420"/>
      <c r="S27" s="420"/>
      <c r="T27" s="420"/>
      <c r="U27" s="420"/>
      <c r="V27" s="621">
        <f t="shared" si="1"/>
        <v>8068945.1399999997</v>
      </c>
      <c r="W27" s="420"/>
      <c r="X27" s="420">
        <v>1469035.87</v>
      </c>
      <c r="Y27" s="420">
        <v>1299858.1000000001</v>
      </c>
      <c r="Z27" s="420"/>
      <c r="AA27" s="420"/>
      <c r="AB27" s="420">
        <v>76469.5</v>
      </c>
      <c r="AC27" s="420">
        <v>317558.81</v>
      </c>
      <c r="AD27" s="420">
        <v>93661.85</v>
      </c>
      <c r="AE27" s="420"/>
      <c r="AF27" s="420">
        <v>22799297.82</v>
      </c>
      <c r="AG27" s="420">
        <v>0</v>
      </c>
      <c r="AH27" s="318"/>
    </row>
    <row r="28" spans="1:34" customFormat="1" ht="15.75" customHeight="1" outlineLevel="1" thickBot="1" x14ac:dyDescent="0.3">
      <c r="A28" s="401">
        <v>42430</v>
      </c>
      <c r="B28" s="90" t="s">
        <v>686</v>
      </c>
      <c r="C28" s="418" t="s">
        <v>29</v>
      </c>
      <c r="D28" s="316" t="s">
        <v>30</v>
      </c>
      <c r="E28" s="419">
        <v>25536.42</v>
      </c>
      <c r="F28" s="419">
        <v>623</v>
      </c>
      <c r="G28" s="419">
        <v>25200</v>
      </c>
      <c r="H28" s="419"/>
      <c r="I28" s="419">
        <v>136.96</v>
      </c>
      <c r="J28" s="419"/>
      <c r="K28" s="419"/>
      <c r="L28" s="419"/>
      <c r="M28" s="620">
        <f t="shared" si="0"/>
        <v>25336.959999999999</v>
      </c>
      <c r="N28" s="419">
        <v>0</v>
      </c>
      <c r="O28" s="419">
        <v>199.46</v>
      </c>
      <c r="P28" s="419"/>
      <c r="Q28" s="419"/>
      <c r="R28" s="419"/>
      <c r="S28" s="419"/>
      <c r="T28" s="419"/>
      <c r="U28" s="419"/>
      <c r="V28" s="621">
        <f t="shared" si="1"/>
        <v>199.46</v>
      </c>
      <c r="W28" s="419"/>
      <c r="X28" s="419"/>
      <c r="Y28" s="419"/>
      <c r="Z28" s="419">
        <v>0</v>
      </c>
      <c r="AA28" s="419"/>
      <c r="AB28" s="419"/>
      <c r="AC28" s="419">
        <v>349.88</v>
      </c>
      <c r="AD28" s="419">
        <v>1636.72</v>
      </c>
      <c r="AE28" s="419"/>
      <c r="AF28" s="419">
        <v>27523.02</v>
      </c>
      <c r="AG28" s="419">
        <v>0</v>
      </c>
      <c r="AH28" s="318"/>
    </row>
    <row r="29" spans="1:34" customFormat="1" ht="15.75" thickBot="1" x14ac:dyDescent="0.3">
      <c r="A29" s="401">
        <v>42430</v>
      </c>
      <c r="B29" s="90" t="s">
        <v>686</v>
      </c>
      <c r="C29" s="317" t="s">
        <v>687</v>
      </c>
      <c r="D29" s="317" t="s">
        <v>687</v>
      </c>
      <c r="E29" s="420">
        <v>25536.42</v>
      </c>
      <c r="F29" s="420">
        <v>623</v>
      </c>
      <c r="G29" s="420">
        <v>25200</v>
      </c>
      <c r="H29" s="420"/>
      <c r="I29" s="420">
        <v>136.96</v>
      </c>
      <c r="J29" s="420"/>
      <c r="K29" s="420"/>
      <c r="L29" s="420"/>
      <c r="M29" s="620">
        <f t="shared" si="0"/>
        <v>25336.959999999999</v>
      </c>
      <c r="N29" s="420">
        <v>0</v>
      </c>
      <c r="O29" s="420">
        <v>199.46</v>
      </c>
      <c r="P29" s="420"/>
      <c r="Q29" s="420"/>
      <c r="R29" s="420"/>
      <c r="S29" s="420"/>
      <c r="T29" s="420"/>
      <c r="U29" s="420"/>
      <c r="V29" s="621">
        <f t="shared" si="1"/>
        <v>199.46</v>
      </c>
      <c r="W29" s="420"/>
      <c r="X29" s="420"/>
      <c r="Y29" s="420"/>
      <c r="Z29" s="420">
        <v>0</v>
      </c>
      <c r="AA29" s="420"/>
      <c r="AB29" s="420"/>
      <c r="AC29" s="420">
        <v>349.88</v>
      </c>
      <c r="AD29" s="420">
        <v>1636.72</v>
      </c>
      <c r="AE29" s="420"/>
      <c r="AF29" s="420">
        <v>27523.02</v>
      </c>
      <c r="AG29" s="420">
        <v>0</v>
      </c>
      <c r="AH29" s="318"/>
    </row>
    <row r="30" spans="1:34" customFormat="1" ht="15.75" customHeight="1" outlineLevel="1" thickBot="1" x14ac:dyDescent="0.3">
      <c r="A30" s="401">
        <v>42430</v>
      </c>
      <c r="B30" s="90" t="s">
        <v>686</v>
      </c>
      <c r="C30" s="418" t="s">
        <v>37</v>
      </c>
      <c r="D30" s="316" t="s">
        <v>38</v>
      </c>
      <c r="E30" s="419">
        <v>1018.51</v>
      </c>
      <c r="F30" s="419">
        <v>1378</v>
      </c>
      <c r="G30" s="419">
        <v>40.5</v>
      </c>
      <c r="H30" s="419"/>
      <c r="I30" s="419">
        <v>395.4</v>
      </c>
      <c r="J30" s="419"/>
      <c r="K30" s="419"/>
      <c r="L30" s="419"/>
      <c r="M30" s="620">
        <f t="shared" si="0"/>
        <v>435.9</v>
      </c>
      <c r="N30" s="419">
        <v>12.5</v>
      </c>
      <c r="O30" s="419">
        <v>445.68</v>
      </c>
      <c r="P30" s="419"/>
      <c r="Q30" s="419"/>
      <c r="R30" s="419"/>
      <c r="S30" s="419"/>
      <c r="T30" s="419"/>
      <c r="U30" s="419"/>
      <c r="V30" s="621">
        <f t="shared" si="1"/>
        <v>445.68</v>
      </c>
      <c r="W30" s="419"/>
      <c r="X30" s="419">
        <v>14.55</v>
      </c>
      <c r="Y30" s="419">
        <v>109.88</v>
      </c>
      <c r="Z30" s="419"/>
      <c r="AA30" s="419"/>
      <c r="AB30" s="419"/>
      <c r="AC30" s="419">
        <v>6.46</v>
      </c>
      <c r="AD30" s="419">
        <v>0</v>
      </c>
      <c r="AE30" s="419"/>
      <c r="AF30" s="419">
        <v>1024.97</v>
      </c>
      <c r="AG30" s="419">
        <v>0</v>
      </c>
      <c r="AH30" s="318"/>
    </row>
    <row r="31" spans="1:34" customFormat="1" ht="15.75" thickBot="1" x14ac:dyDescent="0.3">
      <c r="A31" s="401">
        <v>42430</v>
      </c>
      <c r="B31" s="90" t="s">
        <v>686</v>
      </c>
      <c r="C31" s="317" t="s">
        <v>688</v>
      </c>
      <c r="D31" s="317" t="s">
        <v>688</v>
      </c>
      <c r="E31" s="420">
        <v>1018.51</v>
      </c>
      <c r="F31" s="420">
        <v>1378</v>
      </c>
      <c r="G31" s="420">
        <v>40.5</v>
      </c>
      <c r="H31" s="420"/>
      <c r="I31" s="420">
        <v>395.4</v>
      </c>
      <c r="J31" s="420"/>
      <c r="K31" s="420"/>
      <c r="L31" s="420"/>
      <c r="M31" s="620">
        <f t="shared" si="0"/>
        <v>435.9</v>
      </c>
      <c r="N31" s="420">
        <v>12.5</v>
      </c>
      <c r="O31" s="420">
        <v>445.68</v>
      </c>
      <c r="P31" s="420"/>
      <c r="Q31" s="420"/>
      <c r="R31" s="420"/>
      <c r="S31" s="420"/>
      <c r="T31" s="420"/>
      <c r="U31" s="420"/>
      <c r="V31" s="621">
        <f t="shared" si="1"/>
        <v>445.68</v>
      </c>
      <c r="W31" s="420"/>
      <c r="X31" s="420">
        <v>14.55</v>
      </c>
      <c r="Y31" s="420">
        <v>109.88</v>
      </c>
      <c r="Z31" s="420"/>
      <c r="AA31" s="420"/>
      <c r="AB31" s="420"/>
      <c r="AC31" s="420">
        <v>6.46</v>
      </c>
      <c r="AD31" s="420">
        <v>0</v>
      </c>
      <c r="AE31" s="420"/>
      <c r="AF31" s="420">
        <v>1024.97</v>
      </c>
      <c r="AG31" s="420">
        <v>0</v>
      </c>
      <c r="AH31" s="318"/>
    </row>
    <row r="32" spans="1:34" customFormat="1" ht="15.75" customHeight="1" outlineLevel="1" thickBot="1" x14ac:dyDescent="0.3">
      <c r="A32" s="401">
        <v>42430</v>
      </c>
      <c r="B32" s="90" t="s">
        <v>522</v>
      </c>
      <c r="C32" s="418" t="s">
        <v>50</v>
      </c>
      <c r="D32" s="316" t="s">
        <v>51</v>
      </c>
      <c r="E32" s="420">
        <v>37179.5</v>
      </c>
      <c r="F32" s="420">
        <v>723885</v>
      </c>
      <c r="G32" s="420">
        <v>5500</v>
      </c>
      <c r="H32" s="420"/>
      <c r="I32" s="420">
        <v>31141.52</v>
      </c>
      <c r="J32" s="420">
        <v>23.88</v>
      </c>
      <c r="K32" s="420"/>
      <c r="L32" s="420">
        <v>64.61</v>
      </c>
      <c r="M32" s="620">
        <f t="shared" si="0"/>
        <v>36730.01</v>
      </c>
      <c r="N32" s="420">
        <v>390.9</v>
      </c>
      <c r="O32" s="420"/>
      <c r="P32" s="420"/>
      <c r="Q32" s="420">
        <v>0</v>
      </c>
      <c r="R32" s="420">
        <v>58.59</v>
      </c>
      <c r="S32" s="420"/>
      <c r="T32" s="420"/>
      <c r="U32" s="420"/>
      <c r="V32" s="621">
        <f t="shared" si="1"/>
        <v>58.59</v>
      </c>
      <c r="W32" s="420"/>
      <c r="X32" s="420"/>
      <c r="Y32" s="420"/>
      <c r="Z32" s="420"/>
      <c r="AA32" s="420"/>
      <c r="AB32" s="420"/>
      <c r="AC32" s="420">
        <v>357.38</v>
      </c>
      <c r="AD32" s="420">
        <v>674.96</v>
      </c>
      <c r="AE32" s="420"/>
      <c r="AF32" s="420">
        <v>38211.839999999997</v>
      </c>
      <c r="AG32" s="420">
        <v>0</v>
      </c>
      <c r="AH32" s="318"/>
    </row>
    <row r="33" spans="1:34" customFormat="1" ht="15.75" customHeight="1" outlineLevel="1" thickBot="1" x14ac:dyDescent="0.3">
      <c r="A33" s="401">
        <v>42430</v>
      </c>
      <c r="B33" s="90" t="s">
        <v>522</v>
      </c>
      <c r="C33" s="418" t="s">
        <v>52</v>
      </c>
      <c r="D33" s="316" t="s">
        <v>53</v>
      </c>
      <c r="E33" s="419">
        <v>583048.21</v>
      </c>
      <c r="F33" s="419">
        <v>12521249</v>
      </c>
      <c r="G33" s="419">
        <v>35200</v>
      </c>
      <c r="H33" s="419"/>
      <c r="I33" s="419">
        <v>538664.14</v>
      </c>
      <c r="J33" s="419">
        <v>1350.44</v>
      </c>
      <c r="K33" s="419"/>
      <c r="L33" s="419">
        <v>625.58000000000004</v>
      </c>
      <c r="M33" s="620">
        <f t="shared" si="0"/>
        <v>575840.15999999992</v>
      </c>
      <c r="N33" s="419"/>
      <c r="O33" s="419"/>
      <c r="P33" s="419"/>
      <c r="Q33" s="419">
        <v>6751.75</v>
      </c>
      <c r="R33" s="419">
        <v>567.20000000000005</v>
      </c>
      <c r="S33" s="419"/>
      <c r="T33" s="419">
        <v>-110.9</v>
      </c>
      <c r="U33" s="419"/>
      <c r="V33" s="621">
        <f t="shared" si="1"/>
        <v>7208.05</v>
      </c>
      <c r="W33" s="419"/>
      <c r="X33" s="419"/>
      <c r="Y33" s="419"/>
      <c r="Z33" s="419"/>
      <c r="AA33" s="419"/>
      <c r="AB33" s="419"/>
      <c r="AC33" s="419">
        <v>9549.11</v>
      </c>
      <c r="AD33" s="419">
        <v>29113.08</v>
      </c>
      <c r="AE33" s="419"/>
      <c r="AF33" s="419">
        <v>621710.4</v>
      </c>
      <c r="AG33" s="419">
        <v>0</v>
      </c>
      <c r="AH33" s="318"/>
    </row>
    <row r="34" spans="1:34" customFormat="1" ht="15.75" thickBot="1" x14ac:dyDescent="0.3">
      <c r="A34" s="401">
        <v>42430</v>
      </c>
      <c r="B34" s="90" t="s">
        <v>522</v>
      </c>
      <c r="C34" s="317" t="s">
        <v>49</v>
      </c>
      <c r="D34" s="317" t="s">
        <v>49</v>
      </c>
      <c r="E34" s="420">
        <v>620227.71</v>
      </c>
      <c r="F34" s="420">
        <v>13245134</v>
      </c>
      <c r="G34" s="420">
        <v>40700</v>
      </c>
      <c r="H34" s="420"/>
      <c r="I34" s="420">
        <v>569805.66</v>
      </c>
      <c r="J34" s="420">
        <v>1374.32</v>
      </c>
      <c r="K34" s="420"/>
      <c r="L34" s="420">
        <v>690.19</v>
      </c>
      <c r="M34" s="620">
        <f t="shared" si="0"/>
        <v>612570.16999999993</v>
      </c>
      <c r="N34" s="420">
        <v>390.9</v>
      </c>
      <c r="O34" s="420"/>
      <c r="P34" s="420"/>
      <c r="Q34" s="420">
        <v>6751.75</v>
      </c>
      <c r="R34" s="420">
        <v>625.79</v>
      </c>
      <c r="S34" s="420"/>
      <c r="T34" s="420">
        <v>-110.9</v>
      </c>
      <c r="U34" s="420"/>
      <c r="V34" s="621">
        <f t="shared" si="1"/>
        <v>7266.64</v>
      </c>
      <c r="W34" s="420"/>
      <c r="X34" s="420"/>
      <c r="Y34" s="420"/>
      <c r="Z34" s="420"/>
      <c r="AA34" s="420"/>
      <c r="AB34" s="420"/>
      <c r="AC34" s="420">
        <v>9906.49</v>
      </c>
      <c r="AD34" s="420">
        <v>29788.04</v>
      </c>
      <c r="AE34" s="420"/>
      <c r="AF34" s="420">
        <v>659922.24</v>
      </c>
      <c r="AG34" s="420">
        <v>0</v>
      </c>
      <c r="AH34" s="318"/>
    </row>
    <row r="35" spans="1:34" customFormat="1" ht="15.75" customHeight="1" outlineLevel="1" thickBot="1" x14ac:dyDescent="0.3">
      <c r="A35" s="401">
        <v>42430</v>
      </c>
      <c r="B35" s="90" t="s">
        <v>522</v>
      </c>
      <c r="C35" s="418" t="s">
        <v>54</v>
      </c>
      <c r="D35" s="316" t="s">
        <v>55</v>
      </c>
      <c r="E35" s="419">
        <v>95160.89</v>
      </c>
      <c r="F35" s="419"/>
      <c r="G35" s="419">
        <v>5325</v>
      </c>
      <c r="H35" s="419"/>
      <c r="I35" s="419">
        <v>0</v>
      </c>
      <c r="J35" s="419"/>
      <c r="K35" s="419"/>
      <c r="L35" s="419">
        <v>29705.71</v>
      </c>
      <c r="M35" s="620">
        <f t="shared" si="0"/>
        <v>35030.71</v>
      </c>
      <c r="N35" s="419"/>
      <c r="O35" s="419"/>
      <c r="P35" s="419"/>
      <c r="Q35" s="419">
        <v>33195.699999999997</v>
      </c>
      <c r="R35" s="419">
        <v>26934.48</v>
      </c>
      <c r="S35" s="419"/>
      <c r="T35" s="419"/>
      <c r="U35" s="419"/>
      <c r="V35" s="621">
        <f t="shared" si="1"/>
        <v>60130.179999999993</v>
      </c>
      <c r="W35" s="419"/>
      <c r="X35" s="419"/>
      <c r="Y35" s="419"/>
      <c r="Z35" s="419"/>
      <c r="AA35" s="419"/>
      <c r="AB35" s="419"/>
      <c r="AC35" s="419">
        <v>0</v>
      </c>
      <c r="AD35" s="419">
        <v>2177.52</v>
      </c>
      <c r="AE35" s="419"/>
      <c r="AF35" s="419">
        <v>97338.41</v>
      </c>
      <c r="AG35" s="419">
        <v>0</v>
      </c>
      <c r="AH35" s="318"/>
    </row>
    <row r="36" spans="1:34" customFormat="1" ht="15.75" thickBot="1" x14ac:dyDescent="0.3">
      <c r="A36" s="401">
        <v>42430</v>
      </c>
      <c r="B36" s="90" t="s">
        <v>522</v>
      </c>
      <c r="C36" s="317" t="s">
        <v>56</v>
      </c>
      <c r="D36" s="317" t="s">
        <v>56</v>
      </c>
      <c r="E36" s="420">
        <v>95160.89</v>
      </c>
      <c r="F36" s="420"/>
      <c r="G36" s="420">
        <v>5325</v>
      </c>
      <c r="H36" s="420"/>
      <c r="I36" s="420">
        <v>0</v>
      </c>
      <c r="J36" s="420"/>
      <c r="K36" s="420"/>
      <c r="L36" s="420">
        <v>29705.71</v>
      </c>
      <c r="M36" s="620">
        <f t="shared" si="0"/>
        <v>35030.71</v>
      </c>
      <c r="N36" s="420"/>
      <c r="O36" s="420"/>
      <c r="P36" s="420"/>
      <c r="Q36" s="420">
        <v>33195.699999999997</v>
      </c>
      <c r="R36" s="420">
        <v>26934.48</v>
      </c>
      <c r="S36" s="420"/>
      <c r="T36" s="420"/>
      <c r="U36" s="420"/>
      <c r="V36" s="621">
        <f t="shared" si="1"/>
        <v>60130.179999999993</v>
      </c>
      <c r="W36" s="420"/>
      <c r="X36" s="420"/>
      <c r="Y36" s="420"/>
      <c r="Z36" s="420"/>
      <c r="AA36" s="420"/>
      <c r="AB36" s="420"/>
      <c r="AC36" s="420">
        <v>0</v>
      </c>
      <c r="AD36" s="420">
        <v>2177.52</v>
      </c>
      <c r="AE36" s="420"/>
      <c r="AF36" s="420">
        <v>97338.41</v>
      </c>
      <c r="AG36" s="420">
        <v>0</v>
      </c>
      <c r="AH36" s="318"/>
    </row>
    <row r="37" spans="1:34" customFormat="1" ht="15.75" outlineLevel="1" thickBot="1" x14ac:dyDescent="0.3">
      <c r="A37" s="401">
        <v>42430</v>
      </c>
      <c r="B37" s="90" t="s">
        <v>522</v>
      </c>
      <c r="C37" s="418" t="s">
        <v>93</v>
      </c>
      <c r="D37" s="316" t="s">
        <v>719</v>
      </c>
      <c r="E37" s="419">
        <v>525</v>
      </c>
      <c r="F37" s="419"/>
      <c r="G37" s="419">
        <v>525</v>
      </c>
      <c r="H37" s="419"/>
      <c r="I37" s="419">
        <v>0</v>
      </c>
      <c r="J37" s="419"/>
      <c r="K37" s="419"/>
      <c r="L37" s="419"/>
      <c r="M37" s="620">
        <f t="shared" si="0"/>
        <v>525</v>
      </c>
      <c r="N37" s="419"/>
      <c r="O37" s="419"/>
      <c r="P37" s="419"/>
      <c r="Q37" s="419"/>
      <c r="R37" s="419"/>
      <c r="S37" s="419"/>
      <c r="T37" s="419"/>
      <c r="U37" s="419">
        <v>0</v>
      </c>
      <c r="V37" s="621">
        <f t="shared" si="1"/>
        <v>0</v>
      </c>
      <c r="W37" s="419"/>
      <c r="X37" s="419"/>
      <c r="Y37" s="419"/>
      <c r="Z37" s="419"/>
      <c r="AA37" s="419"/>
      <c r="AB37" s="419"/>
      <c r="AC37" s="419">
        <v>0</v>
      </c>
      <c r="AD37" s="419">
        <v>0</v>
      </c>
      <c r="AE37" s="419"/>
      <c r="AF37" s="419">
        <v>525</v>
      </c>
      <c r="AG37" s="419">
        <v>0</v>
      </c>
      <c r="AH37" s="318"/>
    </row>
    <row r="38" spans="1:34" customFormat="1" ht="15.75" thickBot="1" x14ac:dyDescent="0.3">
      <c r="A38" s="401">
        <v>42430</v>
      </c>
      <c r="B38" s="90" t="s">
        <v>522</v>
      </c>
      <c r="C38" s="317" t="s">
        <v>720</v>
      </c>
      <c r="D38" s="317" t="s">
        <v>720</v>
      </c>
      <c r="E38" s="420">
        <v>525</v>
      </c>
      <c r="F38" s="420"/>
      <c r="G38" s="420">
        <v>525</v>
      </c>
      <c r="H38" s="420"/>
      <c r="I38" s="420">
        <v>0</v>
      </c>
      <c r="J38" s="420"/>
      <c r="K38" s="420"/>
      <c r="L38" s="420"/>
      <c r="M38" s="620">
        <f t="shared" si="0"/>
        <v>525</v>
      </c>
      <c r="N38" s="420"/>
      <c r="O38" s="420"/>
      <c r="P38" s="420"/>
      <c r="Q38" s="420"/>
      <c r="R38" s="420"/>
      <c r="S38" s="420"/>
      <c r="T38" s="420"/>
      <c r="U38" s="420">
        <v>0</v>
      </c>
      <c r="V38" s="621">
        <f t="shared" si="1"/>
        <v>0</v>
      </c>
      <c r="W38" s="420"/>
      <c r="X38" s="420"/>
      <c r="Y38" s="420"/>
      <c r="Z38" s="420"/>
      <c r="AA38" s="420"/>
      <c r="AB38" s="420"/>
      <c r="AC38" s="420">
        <v>0</v>
      </c>
      <c r="AD38" s="420">
        <v>0</v>
      </c>
      <c r="AE38" s="420"/>
      <c r="AF38" s="420">
        <v>525</v>
      </c>
      <c r="AG38" s="420">
        <v>0</v>
      </c>
      <c r="AH38" s="318"/>
    </row>
    <row r="39" spans="1:34" customFormat="1" ht="15.75" customHeight="1" outlineLevel="1" thickBot="1" x14ac:dyDescent="0.3">
      <c r="A39" s="401">
        <v>42430</v>
      </c>
      <c r="B39" s="90" t="s">
        <v>522</v>
      </c>
      <c r="C39" s="418" t="s">
        <v>96</v>
      </c>
      <c r="D39" s="316" t="s">
        <v>795</v>
      </c>
      <c r="E39" s="419">
        <v>40767.22</v>
      </c>
      <c r="F39" s="419">
        <v>238616</v>
      </c>
      <c r="G39" s="419">
        <v>1100</v>
      </c>
      <c r="H39" s="419"/>
      <c r="I39" s="419">
        <v>16724.59</v>
      </c>
      <c r="J39" s="419"/>
      <c r="K39" s="419"/>
      <c r="L39" s="419"/>
      <c r="M39" s="620">
        <f t="shared" si="0"/>
        <v>17824.59</v>
      </c>
      <c r="N39" s="419"/>
      <c r="O39" s="419">
        <v>0</v>
      </c>
      <c r="P39" s="419"/>
      <c r="Q39" s="419"/>
      <c r="R39" s="419"/>
      <c r="S39" s="419">
        <v>19960.23</v>
      </c>
      <c r="T39" s="419">
        <v>-2394.2199999999998</v>
      </c>
      <c r="U39" s="419"/>
      <c r="V39" s="621">
        <f t="shared" si="1"/>
        <v>17566.009999999998</v>
      </c>
      <c r="W39" s="419"/>
      <c r="X39" s="419">
        <v>5376.62</v>
      </c>
      <c r="Y39" s="419"/>
      <c r="Z39" s="419"/>
      <c r="AA39" s="419">
        <v>0</v>
      </c>
      <c r="AB39" s="419"/>
      <c r="AC39" s="419">
        <v>429.37</v>
      </c>
      <c r="AD39" s="419">
        <v>0</v>
      </c>
      <c r="AE39" s="419"/>
      <c r="AF39" s="419">
        <v>41196.589999999997</v>
      </c>
      <c r="AG39" s="419">
        <v>0</v>
      </c>
      <c r="AH39" s="318"/>
    </row>
    <row r="40" spans="1:34" customFormat="1" ht="15.75" customHeight="1" outlineLevel="1" thickBot="1" x14ac:dyDescent="0.3">
      <c r="A40" s="401">
        <v>42430</v>
      </c>
      <c r="B40" s="90" t="s">
        <v>522</v>
      </c>
      <c r="C40" s="418" t="s">
        <v>42</v>
      </c>
      <c r="D40" s="316" t="s">
        <v>675</v>
      </c>
      <c r="E40" s="420">
        <v>64345.94</v>
      </c>
      <c r="F40" s="420">
        <v>204960</v>
      </c>
      <c r="G40" s="420">
        <v>2750</v>
      </c>
      <c r="H40" s="420"/>
      <c r="I40" s="420">
        <v>46687.839999999997</v>
      </c>
      <c r="J40" s="420"/>
      <c r="K40" s="420"/>
      <c r="L40" s="420"/>
      <c r="M40" s="620">
        <f t="shared" si="0"/>
        <v>49437.84</v>
      </c>
      <c r="N40" s="420"/>
      <c r="O40" s="420">
        <v>0</v>
      </c>
      <c r="P40" s="420"/>
      <c r="Q40" s="420"/>
      <c r="R40" s="420"/>
      <c r="S40" s="420">
        <v>17144.900000000001</v>
      </c>
      <c r="T40" s="420">
        <v>-3462.2</v>
      </c>
      <c r="U40" s="420"/>
      <c r="V40" s="621">
        <f t="shared" si="1"/>
        <v>13682.7</v>
      </c>
      <c r="W40" s="420"/>
      <c r="X40" s="420">
        <v>1225.4000000000001</v>
      </c>
      <c r="Y40" s="420"/>
      <c r="Z40" s="420"/>
      <c r="AA40" s="420">
        <v>0</v>
      </c>
      <c r="AB40" s="420"/>
      <c r="AC40" s="420">
        <v>1238.25</v>
      </c>
      <c r="AD40" s="420">
        <v>578.63</v>
      </c>
      <c r="AE40" s="420"/>
      <c r="AF40" s="420">
        <v>66162.820000000007</v>
      </c>
      <c r="AG40" s="420">
        <v>0</v>
      </c>
      <c r="AH40" s="318"/>
    </row>
    <row r="41" spans="1:34" customFormat="1" ht="15.75" thickBot="1" x14ac:dyDescent="0.3">
      <c r="A41" s="401">
        <v>42430</v>
      </c>
      <c r="B41" s="90" t="s">
        <v>522</v>
      </c>
      <c r="C41" s="317" t="s">
        <v>689</v>
      </c>
      <c r="D41" s="317" t="s">
        <v>689</v>
      </c>
      <c r="E41" s="419">
        <v>105113.16</v>
      </c>
      <c r="F41" s="419">
        <v>443576</v>
      </c>
      <c r="G41" s="419">
        <v>3850</v>
      </c>
      <c r="H41" s="419"/>
      <c r="I41" s="419">
        <v>63412.43</v>
      </c>
      <c r="J41" s="419"/>
      <c r="K41" s="419"/>
      <c r="L41" s="419"/>
      <c r="M41" s="620">
        <f t="shared" si="0"/>
        <v>67262.429999999993</v>
      </c>
      <c r="N41" s="419"/>
      <c r="O41" s="419">
        <v>0</v>
      </c>
      <c r="P41" s="419"/>
      <c r="Q41" s="419"/>
      <c r="R41" s="419"/>
      <c r="S41" s="419">
        <v>37105.129999999997</v>
      </c>
      <c r="T41" s="419">
        <v>-5856.42</v>
      </c>
      <c r="U41" s="419"/>
      <c r="V41" s="621">
        <f t="shared" si="1"/>
        <v>31248.71</v>
      </c>
      <c r="W41" s="419"/>
      <c r="X41" s="419">
        <v>6602.02</v>
      </c>
      <c r="Y41" s="419"/>
      <c r="Z41" s="419"/>
      <c r="AA41" s="419">
        <v>0</v>
      </c>
      <c r="AB41" s="419"/>
      <c r="AC41" s="419">
        <v>1667.62</v>
      </c>
      <c r="AD41" s="419">
        <v>578.63</v>
      </c>
      <c r="AE41" s="419"/>
      <c r="AF41" s="419">
        <v>107359.41</v>
      </c>
      <c r="AG41" s="419">
        <v>0</v>
      </c>
      <c r="AH41" s="318"/>
    </row>
    <row r="42" spans="1:34" customFormat="1" ht="15.75" customHeight="1" outlineLevel="1" thickBot="1" x14ac:dyDescent="0.3">
      <c r="A42" s="401">
        <v>42430</v>
      </c>
      <c r="B42" s="90" t="s">
        <v>690</v>
      </c>
      <c r="C42" s="418" t="s">
        <v>50</v>
      </c>
      <c r="D42" s="316" t="s">
        <v>51</v>
      </c>
      <c r="E42" s="419">
        <v>-151.24</v>
      </c>
      <c r="F42" s="419">
        <v>43</v>
      </c>
      <c r="G42" s="419"/>
      <c r="H42" s="419"/>
      <c r="I42" s="419">
        <v>1.85</v>
      </c>
      <c r="J42" s="419"/>
      <c r="K42" s="419"/>
      <c r="L42" s="419"/>
      <c r="M42" s="620">
        <f t="shared" si="0"/>
        <v>1.85</v>
      </c>
      <c r="N42" s="419"/>
      <c r="O42" s="419"/>
      <c r="P42" s="419">
        <v>10.18</v>
      </c>
      <c r="Q42" s="419"/>
      <c r="R42" s="419"/>
      <c r="S42" s="419"/>
      <c r="T42" s="419"/>
      <c r="U42" s="419"/>
      <c r="V42" s="621">
        <f t="shared" si="1"/>
        <v>10.18</v>
      </c>
      <c r="W42" s="419">
        <v>-163.27000000000001</v>
      </c>
      <c r="X42" s="419"/>
      <c r="Y42" s="419"/>
      <c r="Z42" s="419"/>
      <c r="AA42" s="419"/>
      <c r="AB42" s="419"/>
      <c r="AC42" s="419"/>
      <c r="AD42" s="419">
        <v>-4.53</v>
      </c>
      <c r="AE42" s="419"/>
      <c r="AF42" s="419">
        <v>-155.77000000000001</v>
      </c>
      <c r="AG42" s="419">
        <v>0</v>
      </c>
      <c r="AH42" s="318"/>
    </row>
    <row r="43" spans="1:34" customFormat="1" ht="15.75" customHeight="1" outlineLevel="1" thickBot="1" x14ac:dyDescent="0.3">
      <c r="A43" s="401">
        <v>42430</v>
      </c>
      <c r="B43" s="90" t="s">
        <v>690</v>
      </c>
      <c r="C43" s="418" t="s">
        <v>52</v>
      </c>
      <c r="D43" s="316" t="s">
        <v>53</v>
      </c>
      <c r="E43" s="420">
        <v>2511.35</v>
      </c>
      <c r="F43" s="420">
        <v>12968</v>
      </c>
      <c r="G43" s="420"/>
      <c r="H43" s="420"/>
      <c r="I43" s="420">
        <v>557.88</v>
      </c>
      <c r="J43" s="420"/>
      <c r="K43" s="420"/>
      <c r="L43" s="420"/>
      <c r="M43" s="620">
        <f t="shared" si="0"/>
        <v>557.88</v>
      </c>
      <c r="N43" s="420"/>
      <c r="O43" s="420"/>
      <c r="P43" s="420">
        <v>2399.34</v>
      </c>
      <c r="Q43" s="420"/>
      <c r="R43" s="420"/>
      <c r="S43" s="420"/>
      <c r="T43" s="420"/>
      <c r="U43" s="420"/>
      <c r="V43" s="621">
        <f t="shared" si="1"/>
        <v>2399.34</v>
      </c>
      <c r="W43" s="420">
        <v>-445.87</v>
      </c>
      <c r="X43" s="420"/>
      <c r="Y43" s="420"/>
      <c r="Z43" s="420"/>
      <c r="AA43" s="420"/>
      <c r="AB43" s="420"/>
      <c r="AC43" s="420"/>
      <c r="AD43" s="420">
        <v>150.68</v>
      </c>
      <c r="AE43" s="420"/>
      <c r="AF43" s="420">
        <v>2662.03</v>
      </c>
      <c r="AG43" s="420">
        <v>0</v>
      </c>
      <c r="AH43" s="318"/>
    </row>
    <row r="44" spans="1:34" customFormat="1" ht="15.75" thickBot="1" x14ac:dyDescent="0.3">
      <c r="A44" s="401">
        <v>42430</v>
      </c>
      <c r="B44" s="90" t="s">
        <v>690</v>
      </c>
      <c r="C44" s="317" t="s">
        <v>49</v>
      </c>
      <c r="D44" s="317" t="s">
        <v>49</v>
      </c>
      <c r="E44" s="419">
        <v>2360.11</v>
      </c>
      <c r="F44" s="419">
        <v>13011</v>
      </c>
      <c r="G44" s="419"/>
      <c r="H44" s="419"/>
      <c r="I44" s="419">
        <v>559.73</v>
      </c>
      <c r="J44" s="419"/>
      <c r="K44" s="419"/>
      <c r="L44" s="419"/>
      <c r="M44" s="620">
        <f t="shared" si="0"/>
        <v>559.73</v>
      </c>
      <c r="N44" s="419"/>
      <c r="O44" s="419"/>
      <c r="P44" s="419">
        <v>2409.52</v>
      </c>
      <c r="Q44" s="419"/>
      <c r="R44" s="419"/>
      <c r="S44" s="419"/>
      <c r="T44" s="419"/>
      <c r="U44" s="419"/>
      <c r="V44" s="621">
        <f t="shared" si="1"/>
        <v>2409.52</v>
      </c>
      <c r="W44" s="419">
        <v>-609.14</v>
      </c>
      <c r="X44" s="419"/>
      <c r="Y44" s="419"/>
      <c r="Z44" s="419"/>
      <c r="AA44" s="419"/>
      <c r="AB44" s="419"/>
      <c r="AC44" s="419"/>
      <c r="AD44" s="419">
        <v>146.15</v>
      </c>
      <c r="AE44" s="419"/>
      <c r="AF44" s="419">
        <v>2506.2600000000002</v>
      </c>
      <c r="AG44" s="419">
        <v>0</v>
      </c>
      <c r="AH44" s="318"/>
    </row>
    <row r="45" spans="1:34" customFormat="1" ht="15.75" customHeight="1" outlineLevel="1" thickBot="1" x14ac:dyDescent="0.3">
      <c r="A45" s="401">
        <v>42430</v>
      </c>
      <c r="B45" s="90" t="s">
        <v>690</v>
      </c>
      <c r="C45" s="418" t="s">
        <v>54</v>
      </c>
      <c r="D45" s="316" t="s">
        <v>55</v>
      </c>
      <c r="E45" s="420">
        <v>-90429.440000000002</v>
      </c>
      <c r="F45" s="420"/>
      <c r="G45" s="420"/>
      <c r="H45" s="420"/>
      <c r="I45" s="420"/>
      <c r="J45" s="420"/>
      <c r="K45" s="420"/>
      <c r="L45" s="420"/>
      <c r="M45" s="620">
        <f t="shared" si="0"/>
        <v>0</v>
      </c>
      <c r="N45" s="420"/>
      <c r="O45" s="420"/>
      <c r="P45" s="420">
        <v>-78071.990000000005</v>
      </c>
      <c r="Q45" s="420"/>
      <c r="R45" s="420"/>
      <c r="S45" s="420"/>
      <c r="T45" s="420"/>
      <c r="U45" s="420"/>
      <c r="V45" s="621">
        <f t="shared" si="1"/>
        <v>-78071.990000000005</v>
      </c>
      <c r="W45" s="420">
        <v>-12357.45</v>
      </c>
      <c r="X45" s="420"/>
      <c r="Y45" s="420"/>
      <c r="Z45" s="420"/>
      <c r="AA45" s="420"/>
      <c r="AB45" s="420"/>
      <c r="AC45" s="420"/>
      <c r="AD45" s="420">
        <v>-284.48</v>
      </c>
      <c r="AE45" s="420"/>
      <c r="AF45" s="420">
        <v>-90713.919999999998</v>
      </c>
      <c r="AG45" s="420">
        <v>0</v>
      </c>
      <c r="AH45" s="318"/>
    </row>
    <row r="46" spans="1:34" customFormat="1" ht="15.75" thickBot="1" x14ac:dyDescent="0.3">
      <c r="A46" s="401">
        <v>42430</v>
      </c>
      <c r="B46" s="90" t="s">
        <v>690</v>
      </c>
      <c r="C46" s="317" t="s">
        <v>56</v>
      </c>
      <c r="D46" s="317" t="s">
        <v>56</v>
      </c>
      <c r="E46" s="419">
        <v>-90429.440000000002</v>
      </c>
      <c r="F46" s="419"/>
      <c r="G46" s="419"/>
      <c r="H46" s="419"/>
      <c r="I46" s="419"/>
      <c r="J46" s="419"/>
      <c r="K46" s="419"/>
      <c r="L46" s="419"/>
      <c r="M46" s="620">
        <f t="shared" si="0"/>
        <v>0</v>
      </c>
      <c r="N46" s="419"/>
      <c r="O46" s="419"/>
      <c r="P46" s="419">
        <v>-78071.990000000005</v>
      </c>
      <c r="Q46" s="419"/>
      <c r="R46" s="419"/>
      <c r="S46" s="419"/>
      <c r="T46" s="419"/>
      <c r="U46" s="419"/>
      <c r="V46" s="621">
        <f t="shared" si="1"/>
        <v>-78071.990000000005</v>
      </c>
      <c r="W46" s="419">
        <v>-12357.45</v>
      </c>
      <c r="X46" s="419"/>
      <c r="Y46" s="419"/>
      <c r="Z46" s="419"/>
      <c r="AA46" s="419"/>
      <c r="AB46" s="419"/>
      <c r="AC46" s="419"/>
      <c r="AD46" s="419">
        <v>-284.48</v>
      </c>
      <c r="AE46" s="419"/>
      <c r="AF46" s="419">
        <v>-90713.919999999998</v>
      </c>
      <c r="AG46" s="419">
        <v>0</v>
      </c>
      <c r="AH46" s="318"/>
    </row>
    <row r="47" spans="1:34" customFormat="1" ht="15.75" customHeight="1" outlineLevel="1" thickBot="1" x14ac:dyDescent="0.3">
      <c r="A47" s="401">
        <v>42430</v>
      </c>
      <c r="B47" s="90" t="s">
        <v>690</v>
      </c>
      <c r="C47" s="418" t="s">
        <v>93</v>
      </c>
      <c r="D47" s="316" t="s">
        <v>719</v>
      </c>
      <c r="E47" s="420">
        <v>2915.73</v>
      </c>
      <c r="F47" s="420"/>
      <c r="G47" s="420"/>
      <c r="H47" s="420"/>
      <c r="I47" s="420"/>
      <c r="J47" s="420"/>
      <c r="K47" s="420"/>
      <c r="L47" s="420"/>
      <c r="M47" s="620">
        <f t="shared" si="0"/>
        <v>0</v>
      </c>
      <c r="N47" s="420"/>
      <c r="O47" s="420"/>
      <c r="P47" s="420">
        <v>3407.92</v>
      </c>
      <c r="Q47" s="420"/>
      <c r="R47" s="420"/>
      <c r="S47" s="420"/>
      <c r="T47" s="420"/>
      <c r="U47" s="420"/>
      <c r="V47" s="621">
        <f t="shared" si="1"/>
        <v>3407.92</v>
      </c>
      <c r="W47" s="420">
        <v>-492.19</v>
      </c>
      <c r="X47" s="420"/>
      <c r="Y47" s="420"/>
      <c r="Z47" s="420"/>
      <c r="AA47" s="420"/>
      <c r="AB47" s="420"/>
      <c r="AC47" s="420"/>
      <c r="AD47" s="420">
        <v>0</v>
      </c>
      <c r="AE47" s="420"/>
      <c r="AF47" s="420">
        <v>2915.73</v>
      </c>
      <c r="AG47" s="420">
        <v>0</v>
      </c>
      <c r="AH47" s="318"/>
    </row>
    <row r="48" spans="1:34" customFormat="1" ht="15.75" thickBot="1" x14ac:dyDescent="0.3">
      <c r="A48" s="401">
        <v>42430</v>
      </c>
      <c r="B48" s="90" t="s">
        <v>690</v>
      </c>
      <c r="C48" s="317" t="s">
        <v>720</v>
      </c>
      <c r="D48" s="317" t="s">
        <v>720</v>
      </c>
      <c r="E48" s="419">
        <v>2915.73</v>
      </c>
      <c r="F48" s="419"/>
      <c r="G48" s="419"/>
      <c r="H48" s="419"/>
      <c r="I48" s="419"/>
      <c r="J48" s="419"/>
      <c r="K48" s="419"/>
      <c r="L48" s="419"/>
      <c r="M48" s="620">
        <f t="shared" si="0"/>
        <v>0</v>
      </c>
      <c r="N48" s="419"/>
      <c r="O48" s="419"/>
      <c r="P48" s="419">
        <v>3407.92</v>
      </c>
      <c r="Q48" s="419"/>
      <c r="R48" s="419"/>
      <c r="S48" s="419"/>
      <c r="T48" s="419"/>
      <c r="U48" s="419"/>
      <c r="V48" s="621">
        <f t="shared" si="1"/>
        <v>3407.92</v>
      </c>
      <c r="W48" s="419">
        <v>-492.19</v>
      </c>
      <c r="X48" s="419"/>
      <c r="Y48" s="419"/>
      <c r="Z48" s="419"/>
      <c r="AA48" s="419"/>
      <c r="AB48" s="419"/>
      <c r="AC48" s="419"/>
      <c r="AD48" s="419">
        <v>0</v>
      </c>
      <c r="AE48" s="419"/>
      <c r="AF48" s="419">
        <v>2915.73</v>
      </c>
      <c r="AG48" s="419">
        <v>0</v>
      </c>
      <c r="AH48" s="318"/>
    </row>
    <row r="49" spans="1:34" customFormat="1" ht="15.75" customHeight="1" outlineLevel="1" thickBot="1" x14ac:dyDescent="0.3">
      <c r="A49" s="401">
        <v>42430</v>
      </c>
      <c r="B49" s="90" t="s">
        <v>690</v>
      </c>
      <c r="C49" s="418" t="s">
        <v>96</v>
      </c>
      <c r="D49" s="316" t="s">
        <v>795</v>
      </c>
      <c r="E49" s="420">
        <v>800</v>
      </c>
      <c r="F49" s="420"/>
      <c r="G49" s="420">
        <v>800</v>
      </c>
      <c r="H49" s="420"/>
      <c r="I49" s="420"/>
      <c r="J49" s="420"/>
      <c r="K49" s="420"/>
      <c r="L49" s="420"/>
      <c r="M49" s="620">
        <f t="shared" si="0"/>
        <v>800</v>
      </c>
      <c r="N49" s="420"/>
      <c r="O49" s="420"/>
      <c r="P49" s="420"/>
      <c r="Q49" s="420"/>
      <c r="R49" s="420"/>
      <c r="S49" s="420"/>
      <c r="T49" s="420"/>
      <c r="U49" s="420"/>
      <c r="V49" s="621">
        <f t="shared" si="1"/>
        <v>0</v>
      </c>
      <c r="W49" s="420"/>
      <c r="X49" s="420"/>
      <c r="Y49" s="420"/>
      <c r="Z49" s="420"/>
      <c r="AA49" s="420"/>
      <c r="AB49" s="420"/>
      <c r="AC49" s="420"/>
      <c r="AD49" s="420">
        <v>0</v>
      </c>
      <c r="AE49" s="420"/>
      <c r="AF49" s="420">
        <v>800</v>
      </c>
      <c r="AG49" s="420">
        <v>0</v>
      </c>
      <c r="AH49" s="318"/>
    </row>
    <row r="50" spans="1:34" customFormat="1" ht="15.75" customHeight="1" outlineLevel="1" thickBot="1" x14ac:dyDescent="0.3">
      <c r="A50" s="401">
        <v>42430</v>
      </c>
      <c r="B50" s="90" t="s">
        <v>690</v>
      </c>
      <c r="C50" s="418" t="s">
        <v>42</v>
      </c>
      <c r="D50" s="316" t="s">
        <v>675</v>
      </c>
      <c r="E50" s="419">
        <v>900</v>
      </c>
      <c r="F50" s="419">
        <v>0</v>
      </c>
      <c r="G50" s="419">
        <v>900</v>
      </c>
      <c r="H50" s="419"/>
      <c r="I50" s="419">
        <v>0</v>
      </c>
      <c r="J50" s="419"/>
      <c r="K50" s="419"/>
      <c r="L50" s="419"/>
      <c r="M50" s="620">
        <f t="shared" si="0"/>
        <v>900</v>
      </c>
      <c r="N50" s="419"/>
      <c r="O50" s="419"/>
      <c r="P50" s="419"/>
      <c r="Q50" s="419"/>
      <c r="R50" s="419"/>
      <c r="S50" s="419"/>
      <c r="T50" s="419"/>
      <c r="U50" s="419"/>
      <c r="V50" s="621">
        <f t="shared" si="1"/>
        <v>0</v>
      </c>
      <c r="W50" s="419"/>
      <c r="X50" s="419"/>
      <c r="Y50" s="419"/>
      <c r="Z50" s="419"/>
      <c r="AA50" s="419"/>
      <c r="AB50" s="419"/>
      <c r="AC50" s="419"/>
      <c r="AD50" s="419">
        <v>16.2</v>
      </c>
      <c r="AE50" s="419"/>
      <c r="AF50" s="419">
        <v>916.2</v>
      </c>
      <c r="AG50" s="419">
        <v>0</v>
      </c>
      <c r="AH50" s="318"/>
    </row>
    <row r="51" spans="1:34" customFormat="1" ht="15.75" thickBot="1" x14ac:dyDescent="0.3">
      <c r="A51" s="401">
        <v>42430</v>
      </c>
      <c r="B51" s="90" t="s">
        <v>690</v>
      </c>
      <c r="C51" s="317" t="s">
        <v>689</v>
      </c>
      <c r="D51" s="317" t="s">
        <v>689</v>
      </c>
      <c r="E51" s="420">
        <v>1700</v>
      </c>
      <c r="F51" s="420">
        <v>0</v>
      </c>
      <c r="G51" s="420">
        <v>1700</v>
      </c>
      <c r="H51" s="420"/>
      <c r="I51" s="420">
        <v>0</v>
      </c>
      <c r="J51" s="420"/>
      <c r="K51" s="420"/>
      <c r="L51" s="420"/>
      <c r="M51" s="620">
        <f t="shared" si="0"/>
        <v>1700</v>
      </c>
      <c r="N51" s="420"/>
      <c r="O51" s="420"/>
      <c r="P51" s="420"/>
      <c r="Q51" s="420"/>
      <c r="R51" s="420"/>
      <c r="S51" s="420"/>
      <c r="T51" s="420"/>
      <c r="U51" s="420"/>
      <c r="V51" s="621">
        <f t="shared" si="1"/>
        <v>0</v>
      </c>
      <c r="W51" s="420"/>
      <c r="X51" s="420"/>
      <c r="Y51" s="420"/>
      <c r="Z51" s="420"/>
      <c r="AA51" s="420"/>
      <c r="AB51" s="420"/>
      <c r="AC51" s="420"/>
      <c r="AD51" s="420">
        <v>16.2</v>
      </c>
      <c r="AE51" s="420"/>
      <c r="AF51" s="420">
        <v>1716.2</v>
      </c>
      <c r="AG51" s="420">
        <v>0</v>
      </c>
      <c r="AH51" s="318"/>
    </row>
    <row r="52" spans="1:34" customFormat="1" ht="15.75" customHeight="1" outlineLevel="1" thickBot="1" x14ac:dyDescent="0.3">
      <c r="A52" s="401">
        <v>42430</v>
      </c>
      <c r="B52" s="90" t="s">
        <v>511</v>
      </c>
      <c r="C52" s="418" t="s">
        <v>57</v>
      </c>
      <c r="D52" s="316" t="s">
        <v>1229</v>
      </c>
      <c r="E52" s="420">
        <v>107818.13</v>
      </c>
      <c r="F52" s="420">
        <v>96290</v>
      </c>
      <c r="G52" s="420">
        <v>0</v>
      </c>
      <c r="H52" s="420">
        <v>107140.32</v>
      </c>
      <c r="I52" s="420">
        <v>478.56</v>
      </c>
      <c r="J52" s="420"/>
      <c r="K52" s="420"/>
      <c r="L52" s="420">
        <v>104.5</v>
      </c>
      <c r="M52" s="620">
        <f t="shared" si="0"/>
        <v>107723.38</v>
      </c>
      <c r="N52" s="420"/>
      <c r="O52" s="420"/>
      <c r="P52" s="420"/>
      <c r="Q52" s="420">
        <v>0</v>
      </c>
      <c r="R52" s="420">
        <v>94.75</v>
      </c>
      <c r="S52" s="420"/>
      <c r="T52" s="420"/>
      <c r="U52" s="420"/>
      <c r="V52" s="621">
        <f t="shared" si="1"/>
        <v>94.75</v>
      </c>
      <c r="W52" s="420"/>
      <c r="X52" s="420"/>
      <c r="Y52" s="420"/>
      <c r="Z52" s="420"/>
      <c r="AA52" s="420"/>
      <c r="AB52" s="420"/>
      <c r="AC52" s="420">
        <v>2149.46</v>
      </c>
      <c r="AD52" s="420">
        <v>0</v>
      </c>
      <c r="AE52" s="420"/>
      <c r="AF52" s="420">
        <v>109967.59</v>
      </c>
      <c r="AG52" s="420">
        <v>0</v>
      </c>
    </row>
    <row r="53" spans="1:34" customFormat="1" ht="15.75" customHeight="1" outlineLevel="1" thickBot="1" x14ac:dyDescent="0.3">
      <c r="A53" s="401">
        <v>42430</v>
      </c>
      <c r="B53" s="90" t="s">
        <v>511</v>
      </c>
      <c r="C53" s="418" t="s">
        <v>45</v>
      </c>
      <c r="D53" s="316" t="s">
        <v>46</v>
      </c>
      <c r="E53" s="419">
        <v>160714.54999999999</v>
      </c>
      <c r="F53" s="419"/>
      <c r="G53" s="419">
        <v>0</v>
      </c>
      <c r="H53" s="419"/>
      <c r="I53" s="419"/>
      <c r="J53" s="419"/>
      <c r="K53" s="419"/>
      <c r="L53" s="419"/>
      <c r="M53" s="620">
        <f t="shared" si="0"/>
        <v>0</v>
      </c>
      <c r="N53" s="419"/>
      <c r="O53" s="419">
        <v>160469.47</v>
      </c>
      <c r="P53" s="419"/>
      <c r="Q53" s="419"/>
      <c r="R53" s="419"/>
      <c r="S53" s="419"/>
      <c r="T53" s="419"/>
      <c r="U53" s="419"/>
      <c r="V53" s="621">
        <f t="shared" si="1"/>
        <v>160469.47</v>
      </c>
      <c r="W53" s="419"/>
      <c r="X53" s="419">
        <v>245.08</v>
      </c>
      <c r="Y53" s="419"/>
      <c r="Z53" s="419"/>
      <c r="AA53" s="419"/>
      <c r="AB53" s="419"/>
      <c r="AC53" s="419">
        <v>7278.5</v>
      </c>
      <c r="AD53" s="419">
        <v>0</v>
      </c>
      <c r="AE53" s="419"/>
      <c r="AF53" s="419">
        <v>167993.05</v>
      </c>
      <c r="AG53" s="419">
        <v>0</v>
      </c>
    </row>
    <row r="54" spans="1:34" customFormat="1" ht="15.75" thickBot="1" x14ac:dyDescent="0.3">
      <c r="A54" s="401">
        <v>42430</v>
      </c>
      <c r="B54" s="90" t="s">
        <v>511</v>
      </c>
      <c r="C54" s="317" t="s">
        <v>687</v>
      </c>
      <c r="D54" s="317" t="s">
        <v>687</v>
      </c>
      <c r="E54" s="420">
        <v>268532.68</v>
      </c>
      <c r="F54" s="420">
        <v>96290</v>
      </c>
      <c r="G54" s="420">
        <v>0</v>
      </c>
      <c r="H54" s="420">
        <v>107140.32</v>
      </c>
      <c r="I54" s="420">
        <v>478.56</v>
      </c>
      <c r="J54" s="420"/>
      <c r="K54" s="420"/>
      <c r="L54" s="420">
        <v>104.5</v>
      </c>
      <c r="M54" s="620">
        <f t="shared" si="0"/>
        <v>107723.38</v>
      </c>
      <c r="N54" s="420"/>
      <c r="O54" s="420">
        <v>160469.47</v>
      </c>
      <c r="P54" s="420"/>
      <c r="Q54" s="420">
        <v>0</v>
      </c>
      <c r="R54" s="420">
        <v>94.75</v>
      </c>
      <c r="S54" s="420"/>
      <c r="T54" s="420"/>
      <c r="U54" s="420"/>
      <c r="V54" s="621">
        <f t="shared" si="1"/>
        <v>160564.22</v>
      </c>
      <c r="W54" s="420"/>
      <c r="X54" s="420">
        <v>245.08</v>
      </c>
      <c r="Y54" s="420"/>
      <c r="Z54" s="420"/>
      <c r="AA54" s="420"/>
      <c r="AB54" s="420"/>
      <c r="AC54" s="420">
        <v>9427.9599999999991</v>
      </c>
      <c r="AD54" s="420">
        <v>0</v>
      </c>
      <c r="AE54" s="420"/>
      <c r="AF54" s="420">
        <v>277960.64</v>
      </c>
      <c r="AG54" s="420">
        <v>0</v>
      </c>
    </row>
    <row r="55" spans="1:34" customFormat="1" ht="15.75" customHeight="1" outlineLevel="1" thickBot="1" x14ac:dyDescent="0.3">
      <c r="A55" s="401">
        <v>42430</v>
      </c>
      <c r="B55" s="90" t="s">
        <v>698</v>
      </c>
      <c r="C55" s="418" t="s">
        <v>57</v>
      </c>
      <c r="D55" s="316" t="s">
        <v>1228</v>
      </c>
      <c r="E55" s="419">
        <v>-345.25</v>
      </c>
      <c r="F55" s="419">
        <v>0</v>
      </c>
      <c r="G55" s="419">
        <v>800</v>
      </c>
      <c r="H55" s="419"/>
      <c r="I55" s="419">
        <v>0</v>
      </c>
      <c r="J55" s="419"/>
      <c r="K55" s="419"/>
      <c r="L55" s="419"/>
      <c r="M55" s="620">
        <f t="shared" si="0"/>
        <v>800</v>
      </c>
      <c r="N55" s="419"/>
      <c r="O55" s="419"/>
      <c r="P55" s="419">
        <v>-1145.25</v>
      </c>
      <c r="Q55" s="419"/>
      <c r="R55" s="419"/>
      <c r="S55" s="419"/>
      <c r="T55" s="419"/>
      <c r="U55" s="419"/>
      <c r="V55" s="621">
        <f t="shared" si="1"/>
        <v>-1145.25</v>
      </c>
      <c r="W55" s="419">
        <v>0</v>
      </c>
      <c r="X55" s="419"/>
      <c r="Y55" s="419"/>
      <c r="Z55" s="419"/>
      <c r="AA55" s="419"/>
      <c r="AB55" s="419"/>
      <c r="AC55" s="419"/>
      <c r="AD55" s="419">
        <v>0</v>
      </c>
      <c r="AE55" s="419"/>
      <c r="AF55" s="419">
        <v>-345.25</v>
      </c>
      <c r="AG55" s="419">
        <v>0</v>
      </c>
    </row>
    <row r="56" spans="1:34" customFormat="1" ht="15.75" customHeight="1" outlineLevel="1" thickBot="1" x14ac:dyDescent="0.3">
      <c r="A56" s="401">
        <v>42430</v>
      </c>
      <c r="B56" s="90" t="s">
        <v>698</v>
      </c>
      <c r="C56" s="418" t="s">
        <v>45</v>
      </c>
      <c r="D56" s="316" t="s">
        <v>46</v>
      </c>
      <c r="E56" s="420">
        <v>203210.42</v>
      </c>
      <c r="F56" s="420">
        <v>496149</v>
      </c>
      <c r="G56" s="420">
        <v>180</v>
      </c>
      <c r="H56" s="420">
        <v>186513.62</v>
      </c>
      <c r="I56" s="420">
        <v>16516.8</v>
      </c>
      <c r="J56" s="420"/>
      <c r="K56" s="420"/>
      <c r="L56" s="420"/>
      <c r="M56" s="620">
        <f t="shared" si="0"/>
        <v>203210.41999999998</v>
      </c>
      <c r="N56" s="420"/>
      <c r="O56" s="420"/>
      <c r="P56" s="420"/>
      <c r="Q56" s="420"/>
      <c r="R56" s="420"/>
      <c r="S56" s="420"/>
      <c r="T56" s="420"/>
      <c r="U56" s="420"/>
      <c r="V56" s="621">
        <f t="shared" si="1"/>
        <v>0</v>
      </c>
      <c r="W56" s="420"/>
      <c r="X56" s="420"/>
      <c r="Y56" s="420"/>
      <c r="Z56" s="420"/>
      <c r="AA56" s="420"/>
      <c r="AB56" s="420"/>
      <c r="AC56" s="420"/>
      <c r="AD56" s="420">
        <v>0</v>
      </c>
      <c r="AE56" s="420"/>
      <c r="AF56" s="420">
        <v>203210.42</v>
      </c>
      <c r="AG56" s="420">
        <v>0</v>
      </c>
    </row>
    <row r="57" spans="1:34" customFormat="1" ht="15.75" thickBot="1" x14ac:dyDescent="0.3">
      <c r="A57" s="401">
        <v>42430</v>
      </c>
      <c r="B57" s="90" t="s">
        <v>698</v>
      </c>
      <c r="C57" s="317" t="s">
        <v>687</v>
      </c>
      <c r="D57" s="317" t="s">
        <v>687</v>
      </c>
      <c r="E57" s="419">
        <v>202865.17</v>
      </c>
      <c r="F57" s="419">
        <v>496149</v>
      </c>
      <c r="G57" s="419">
        <v>980</v>
      </c>
      <c r="H57" s="419">
        <v>186513.62</v>
      </c>
      <c r="I57" s="419">
        <v>16516.8</v>
      </c>
      <c r="J57" s="419"/>
      <c r="K57" s="419"/>
      <c r="L57" s="419"/>
      <c r="M57" s="620">
        <f t="shared" si="0"/>
        <v>204010.41999999998</v>
      </c>
      <c r="N57" s="419"/>
      <c r="O57" s="419"/>
      <c r="P57" s="419">
        <v>-1145.25</v>
      </c>
      <c r="Q57" s="419"/>
      <c r="R57" s="419"/>
      <c r="S57" s="419"/>
      <c r="T57" s="419"/>
      <c r="U57" s="419"/>
      <c r="V57" s="621">
        <f t="shared" si="1"/>
        <v>-1145.25</v>
      </c>
      <c r="W57" s="419">
        <v>0</v>
      </c>
      <c r="X57" s="419"/>
      <c r="Y57" s="419"/>
      <c r="Z57" s="419"/>
      <c r="AA57" s="419"/>
      <c r="AB57" s="419"/>
      <c r="AC57" s="419"/>
      <c r="AD57" s="419">
        <v>0</v>
      </c>
      <c r="AE57" s="419"/>
      <c r="AF57" s="419">
        <v>202865.17</v>
      </c>
      <c r="AG57" s="419">
        <v>0</v>
      </c>
    </row>
    <row r="58" spans="1:34" ht="15.75" thickBot="1" x14ac:dyDescent="0.3">
      <c r="A58" s="401">
        <v>42461</v>
      </c>
      <c r="B58" s="432" t="s">
        <v>686</v>
      </c>
      <c r="C58" s="622" t="s">
        <v>22</v>
      </c>
      <c r="D58" s="623" t="s">
        <v>23</v>
      </c>
      <c r="E58" s="419">
        <v>25354.43</v>
      </c>
      <c r="F58" s="419">
        <v>48734</v>
      </c>
      <c r="G58" s="419">
        <v>800</v>
      </c>
      <c r="H58" s="419"/>
      <c r="I58" s="419">
        <v>3415.77</v>
      </c>
      <c r="J58" s="419"/>
      <c r="K58" s="419"/>
      <c r="L58" s="419"/>
      <c r="M58" s="620">
        <f t="shared" ref="M58:M99" si="2">SUM(G58:L58)</f>
        <v>4215.7700000000004</v>
      </c>
      <c r="N58" s="419"/>
      <c r="O58" s="419">
        <v>15762.04</v>
      </c>
      <c r="P58" s="419"/>
      <c r="Q58" s="419"/>
      <c r="R58" s="419"/>
      <c r="S58" s="419"/>
      <c r="T58" s="419"/>
      <c r="U58" s="419"/>
      <c r="V58" s="621">
        <f t="shared" ref="V58:V99" si="3">SUM(O58:U58)</f>
        <v>15762.04</v>
      </c>
      <c r="W58" s="419"/>
      <c r="X58" s="419">
        <v>5376.62</v>
      </c>
      <c r="Y58" s="419"/>
      <c r="Z58" s="419">
        <v>0</v>
      </c>
      <c r="AA58" s="419"/>
      <c r="AB58" s="419"/>
      <c r="AC58" s="419">
        <v>0</v>
      </c>
      <c r="AD58" s="419">
        <v>0</v>
      </c>
      <c r="AE58" s="419"/>
      <c r="AF58" s="419">
        <v>25354.43</v>
      </c>
      <c r="AG58" s="419">
        <v>0</v>
      </c>
    </row>
    <row r="59" spans="1:34" ht="15.75" thickBot="1" x14ac:dyDescent="0.3">
      <c r="A59" s="401">
        <v>42461</v>
      </c>
      <c r="B59" s="432" t="s">
        <v>686</v>
      </c>
      <c r="C59" s="622" t="s">
        <v>18</v>
      </c>
      <c r="D59" s="623" t="s">
        <v>19</v>
      </c>
      <c r="E59" s="420">
        <v>23576.080000000002</v>
      </c>
      <c r="F59" s="420">
        <v>44151</v>
      </c>
      <c r="G59" s="420">
        <v>800</v>
      </c>
      <c r="H59" s="420"/>
      <c r="I59" s="420">
        <v>3094.55</v>
      </c>
      <c r="J59" s="420"/>
      <c r="K59" s="420"/>
      <c r="L59" s="420"/>
      <c r="M59" s="620">
        <f t="shared" si="2"/>
        <v>3894.55</v>
      </c>
      <c r="N59" s="420">
        <v>25.16</v>
      </c>
      <c r="O59" s="420">
        <v>14279.75</v>
      </c>
      <c r="P59" s="420"/>
      <c r="Q59" s="420"/>
      <c r="R59" s="420"/>
      <c r="S59" s="420"/>
      <c r="T59" s="420"/>
      <c r="U59" s="420"/>
      <c r="V59" s="621">
        <f t="shared" si="3"/>
        <v>14279.75</v>
      </c>
      <c r="W59" s="420"/>
      <c r="X59" s="420">
        <v>5376.62</v>
      </c>
      <c r="Y59" s="420"/>
      <c r="Z59" s="420">
        <v>0</v>
      </c>
      <c r="AA59" s="420"/>
      <c r="AB59" s="420"/>
      <c r="AC59" s="420">
        <v>0</v>
      </c>
      <c r="AD59" s="420">
        <v>647.14</v>
      </c>
      <c r="AE59" s="420"/>
      <c r="AF59" s="420">
        <v>24223.22</v>
      </c>
      <c r="AG59" s="420">
        <v>0</v>
      </c>
    </row>
    <row r="60" spans="1:34" ht="15.75" thickBot="1" x14ac:dyDescent="0.3">
      <c r="A60" s="401">
        <v>42461</v>
      </c>
      <c r="B60" s="432" t="s">
        <v>686</v>
      </c>
      <c r="C60" s="624" t="s">
        <v>445</v>
      </c>
      <c r="D60" s="624" t="s">
        <v>445</v>
      </c>
      <c r="E60" s="419">
        <v>48930.51</v>
      </c>
      <c r="F60" s="419">
        <v>92885</v>
      </c>
      <c r="G60" s="419">
        <v>1600</v>
      </c>
      <c r="H60" s="419"/>
      <c r="I60" s="419">
        <v>6510.32</v>
      </c>
      <c r="J60" s="419"/>
      <c r="K60" s="419"/>
      <c r="L60" s="419"/>
      <c r="M60" s="620">
        <f t="shared" si="2"/>
        <v>8110.32</v>
      </c>
      <c r="N60" s="419">
        <v>25.16</v>
      </c>
      <c r="O60" s="419">
        <v>30041.79</v>
      </c>
      <c r="P60" s="419"/>
      <c r="Q60" s="419"/>
      <c r="R60" s="419"/>
      <c r="S60" s="419"/>
      <c r="T60" s="419"/>
      <c r="U60" s="419"/>
      <c r="V60" s="621">
        <f t="shared" si="3"/>
        <v>30041.79</v>
      </c>
      <c r="W60" s="419"/>
      <c r="X60" s="419">
        <v>10753.24</v>
      </c>
      <c r="Y60" s="419"/>
      <c r="Z60" s="419">
        <v>0</v>
      </c>
      <c r="AA60" s="419"/>
      <c r="AB60" s="419"/>
      <c r="AC60" s="419">
        <v>0</v>
      </c>
      <c r="AD60" s="419">
        <v>647.14</v>
      </c>
      <c r="AE60" s="419"/>
      <c r="AF60" s="419">
        <v>49577.65</v>
      </c>
      <c r="AG60" s="419">
        <v>0</v>
      </c>
    </row>
    <row r="61" spans="1:34" ht="15.75" thickBot="1" x14ac:dyDescent="0.3">
      <c r="A61" s="401">
        <v>42461</v>
      </c>
      <c r="B61" s="432" t="s">
        <v>686</v>
      </c>
      <c r="C61" s="622" t="s">
        <v>26</v>
      </c>
      <c r="D61" s="623" t="s">
        <v>27</v>
      </c>
      <c r="E61" s="420">
        <v>6047069.0099999998</v>
      </c>
      <c r="F61" s="420">
        <v>7440661</v>
      </c>
      <c r="G61" s="420">
        <v>1163943.42</v>
      </c>
      <c r="H61" s="420"/>
      <c r="I61" s="420">
        <v>1472534.59</v>
      </c>
      <c r="J61" s="420"/>
      <c r="K61" s="420"/>
      <c r="L61" s="420"/>
      <c r="M61" s="620">
        <f t="shared" si="2"/>
        <v>2636478.0099999998</v>
      </c>
      <c r="N61" s="420">
        <v>4231.07</v>
      </c>
      <c r="O61" s="420">
        <v>2406026.0099999998</v>
      </c>
      <c r="P61" s="420"/>
      <c r="Q61" s="420"/>
      <c r="R61" s="420"/>
      <c r="S61" s="420"/>
      <c r="T61" s="420"/>
      <c r="U61" s="420"/>
      <c r="V61" s="621">
        <f t="shared" si="3"/>
        <v>2406026.0099999998</v>
      </c>
      <c r="W61" s="420"/>
      <c r="X61" s="420">
        <v>655203.9</v>
      </c>
      <c r="Y61" s="420">
        <v>345130.02</v>
      </c>
      <c r="Z61" s="420">
        <v>0</v>
      </c>
      <c r="AA61" s="420"/>
      <c r="AB61" s="420"/>
      <c r="AC61" s="420">
        <v>5606.16</v>
      </c>
      <c r="AD61" s="420">
        <v>300830.46999999997</v>
      </c>
      <c r="AE61" s="420"/>
      <c r="AF61" s="420">
        <v>6353505.6399999997</v>
      </c>
      <c r="AG61" s="420">
        <v>0</v>
      </c>
    </row>
    <row r="62" spans="1:34" ht="15.75" thickBot="1" x14ac:dyDescent="0.3">
      <c r="A62" s="401">
        <v>42461</v>
      </c>
      <c r="B62" s="432" t="s">
        <v>686</v>
      </c>
      <c r="C62" s="622" t="s">
        <v>707</v>
      </c>
      <c r="D62" s="623" t="s">
        <v>718</v>
      </c>
      <c r="E62" s="419">
        <v>225.56</v>
      </c>
      <c r="F62" s="419">
        <v>296</v>
      </c>
      <c r="G62" s="419">
        <v>40</v>
      </c>
      <c r="H62" s="419"/>
      <c r="I62" s="419">
        <v>63.65</v>
      </c>
      <c r="J62" s="419"/>
      <c r="K62" s="419"/>
      <c r="L62" s="419"/>
      <c r="M62" s="620">
        <f t="shared" si="2"/>
        <v>103.65</v>
      </c>
      <c r="N62" s="419">
        <v>0.17</v>
      </c>
      <c r="O62" s="419">
        <v>95.74</v>
      </c>
      <c r="P62" s="419"/>
      <c r="Q62" s="419"/>
      <c r="R62" s="419"/>
      <c r="S62" s="419"/>
      <c r="T62" s="419"/>
      <c r="U62" s="419"/>
      <c r="V62" s="621">
        <f t="shared" si="3"/>
        <v>95.74</v>
      </c>
      <c r="W62" s="419"/>
      <c r="X62" s="419">
        <v>25.87</v>
      </c>
      <c r="Y62" s="419">
        <v>0.13</v>
      </c>
      <c r="Z62" s="419"/>
      <c r="AA62" s="419"/>
      <c r="AB62" s="419"/>
      <c r="AC62" s="419">
        <v>0</v>
      </c>
      <c r="AD62" s="419">
        <v>13.53</v>
      </c>
      <c r="AE62" s="419"/>
      <c r="AF62" s="419">
        <v>239.09</v>
      </c>
      <c r="AG62" s="419">
        <v>0</v>
      </c>
    </row>
    <row r="63" spans="1:34" ht="15.75" thickBot="1" x14ac:dyDescent="0.3">
      <c r="A63" s="401">
        <v>42461</v>
      </c>
      <c r="B63" s="432" t="s">
        <v>686</v>
      </c>
      <c r="C63" s="624" t="s">
        <v>109</v>
      </c>
      <c r="D63" s="624" t="s">
        <v>109</v>
      </c>
      <c r="E63" s="420">
        <v>6047294.5700000003</v>
      </c>
      <c r="F63" s="420">
        <v>7440957</v>
      </c>
      <c r="G63" s="420">
        <v>1163983.42</v>
      </c>
      <c r="H63" s="420"/>
      <c r="I63" s="420">
        <v>1472598.24</v>
      </c>
      <c r="J63" s="420"/>
      <c r="K63" s="420"/>
      <c r="L63" s="420"/>
      <c r="M63" s="620">
        <f t="shared" si="2"/>
        <v>2636581.66</v>
      </c>
      <c r="N63" s="420">
        <v>4231.24</v>
      </c>
      <c r="O63" s="420">
        <v>2406121.75</v>
      </c>
      <c r="P63" s="420"/>
      <c r="Q63" s="420"/>
      <c r="R63" s="420"/>
      <c r="S63" s="420"/>
      <c r="T63" s="420"/>
      <c r="U63" s="420"/>
      <c r="V63" s="621">
        <f t="shared" si="3"/>
        <v>2406121.75</v>
      </c>
      <c r="W63" s="420"/>
      <c r="X63" s="420">
        <v>655229.77</v>
      </c>
      <c r="Y63" s="420">
        <v>345130.15</v>
      </c>
      <c r="Z63" s="420">
        <v>0</v>
      </c>
      <c r="AA63" s="420"/>
      <c r="AB63" s="420"/>
      <c r="AC63" s="420">
        <v>5606.16</v>
      </c>
      <c r="AD63" s="420">
        <v>300844</v>
      </c>
      <c r="AE63" s="420"/>
      <c r="AF63" s="420">
        <v>6353744.7300000004</v>
      </c>
      <c r="AG63" s="420">
        <v>0</v>
      </c>
    </row>
    <row r="64" spans="1:34" ht="15.75" thickBot="1" x14ac:dyDescent="0.3">
      <c r="A64" s="401">
        <v>42461</v>
      </c>
      <c r="B64" s="432" t="s">
        <v>686</v>
      </c>
      <c r="C64" s="622" t="s">
        <v>68</v>
      </c>
      <c r="D64" s="623" t="s">
        <v>69</v>
      </c>
      <c r="E64" s="419">
        <v>586.14</v>
      </c>
      <c r="F64" s="419">
        <v>6</v>
      </c>
      <c r="G64" s="419">
        <v>40</v>
      </c>
      <c r="H64" s="419">
        <v>544</v>
      </c>
      <c r="I64" s="419">
        <v>0.2</v>
      </c>
      <c r="J64" s="419"/>
      <c r="K64" s="419"/>
      <c r="L64" s="419"/>
      <c r="M64" s="620">
        <f t="shared" si="2"/>
        <v>584.20000000000005</v>
      </c>
      <c r="N64" s="419"/>
      <c r="O64" s="419">
        <v>1.94</v>
      </c>
      <c r="P64" s="419"/>
      <c r="Q64" s="419"/>
      <c r="R64" s="419"/>
      <c r="S64" s="419"/>
      <c r="T64" s="419"/>
      <c r="U64" s="419"/>
      <c r="V64" s="621">
        <f t="shared" si="3"/>
        <v>1.94</v>
      </c>
      <c r="W64" s="419"/>
      <c r="X64" s="419">
        <v>0</v>
      </c>
      <c r="Y64" s="419"/>
      <c r="Z64" s="419"/>
      <c r="AA64" s="419"/>
      <c r="AB64" s="419"/>
      <c r="AC64" s="419">
        <v>0</v>
      </c>
      <c r="AD64" s="419">
        <v>35.17</v>
      </c>
      <c r="AE64" s="419"/>
      <c r="AF64" s="419">
        <v>621.30999999999995</v>
      </c>
      <c r="AG64" s="419">
        <v>0</v>
      </c>
    </row>
    <row r="65" spans="1:33" ht="15.75" thickBot="1" x14ac:dyDescent="0.3">
      <c r="A65" s="401">
        <v>42461</v>
      </c>
      <c r="B65" s="432" t="s">
        <v>686</v>
      </c>
      <c r="C65" s="624" t="s">
        <v>870</v>
      </c>
      <c r="D65" s="624" t="s">
        <v>870</v>
      </c>
      <c r="E65" s="420">
        <v>586.14</v>
      </c>
      <c r="F65" s="420">
        <v>6</v>
      </c>
      <c r="G65" s="420">
        <v>40</v>
      </c>
      <c r="H65" s="420">
        <v>544</v>
      </c>
      <c r="I65" s="420">
        <v>0.2</v>
      </c>
      <c r="J65" s="420"/>
      <c r="K65" s="420"/>
      <c r="L65" s="420"/>
      <c r="M65" s="620">
        <f t="shared" si="2"/>
        <v>584.20000000000005</v>
      </c>
      <c r="N65" s="420"/>
      <c r="O65" s="420">
        <v>1.94</v>
      </c>
      <c r="P65" s="420"/>
      <c r="Q65" s="420"/>
      <c r="R65" s="420"/>
      <c r="S65" s="420"/>
      <c r="T65" s="420"/>
      <c r="U65" s="420"/>
      <c r="V65" s="621"/>
      <c r="W65" s="420"/>
      <c r="X65" s="420">
        <v>0</v>
      </c>
      <c r="Y65" s="420"/>
      <c r="Z65" s="420"/>
      <c r="AA65" s="420"/>
      <c r="AB65" s="420"/>
      <c r="AC65" s="420">
        <v>0</v>
      </c>
      <c r="AD65" s="420">
        <v>35.17</v>
      </c>
      <c r="AE65" s="420"/>
      <c r="AF65" s="420">
        <v>621.30999999999995</v>
      </c>
      <c r="AG65" s="420">
        <v>0</v>
      </c>
    </row>
    <row r="66" spans="1:33" ht="15.75" thickBot="1" x14ac:dyDescent="0.3">
      <c r="A66" s="401">
        <v>42461</v>
      </c>
      <c r="B66" s="432" t="s">
        <v>686</v>
      </c>
      <c r="C66" s="622" t="s">
        <v>31</v>
      </c>
      <c r="D66" s="623" t="s">
        <v>32</v>
      </c>
      <c r="E66" s="419">
        <v>558189.81000000006</v>
      </c>
      <c r="F66" s="419">
        <v>924507</v>
      </c>
      <c r="G66" s="419">
        <v>26050.79</v>
      </c>
      <c r="H66" s="419"/>
      <c r="I66" s="419">
        <v>173014.23</v>
      </c>
      <c r="J66" s="419"/>
      <c r="K66" s="419"/>
      <c r="L66" s="419"/>
      <c r="M66" s="620">
        <f t="shared" si="2"/>
        <v>199065.02000000002</v>
      </c>
      <c r="N66" s="419"/>
      <c r="O66" s="419">
        <v>299013.34999999998</v>
      </c>
      <c r="P66" s="419"/>
      <c r="Q66" s="419"/>
      <c r="R66" s="419"/>
      <c r="S66" s="419"/>
      <c r="T66" s="419"/>
      <c r="U66" s="419"/>
      <c r="V66" s="621">
        <f t="shared" si="3"/>
        <v>299013.34999999998</v>
      </c>
      <c r="W66" s="419"/>
      <c r="X66" s="419">
        <v>60111.44</v>
      </c>
      <c r="Y66" s="419"/>
      <c r="Z66" s="419"/>
      <c r="AA66" s="419"/>
      <c r="AB66" s="419"/>
      <c r="AC66" s="419">
        <v>244.47</v>
      </c>
      <c r="AD66" s="419">
        <v>31145.33</v>
      </c>
      <c r="AE66" s="419"/>
      <c r="AF66" s="419">
        <v>589579.61</v>
      </c>
      <c r="AG66" s="419">
        <v>0</v>
      </c>
    </row>
    <row r="67" spans="1:33" ht="15.75" thickBot="1" x14ac:dyDescent="0.3">
      <c r="A67" s="401">
        <v>42461</v>
      </c>
      <c r="B67" s="432" t="s">
        <v>686</v>
      </c>
      <c r="C67" s="624" t="s">
        <v>118</v>
      </c>
      <c r="D67" s="624" t="s">
        <v>118</v>
      </c>
      <c r="E67" s="420">
        <v>558189.81000000006</v>
      </c>
      <c r="F67" s="420">
        <v>924507</v>
      </c>
      <c r="G67" s="420">
        <v>26050.79</v>
      </c>
      <c r="H67" s="420"/>
      <c r="I67" s="420">
        <v>173014.23</v>
      </c>
      <c r="J67" s="420"/>
      <c r="K67" s="420"/>
      <c r="L67" s="420"/>
      <c r="M67" s="620">
        <f t="shared" si="2"/>
        <v>199065.02000000002</v>
      </c>
      <c r="N67" s="420"/>
      <c r="O67" s="420">
        <v>299013.34999999998</v>
      </c>
      <c r="P67" s="420"/>
      <c r="Q67" s="420"/>
      <c r="R67" s="420"/>
      <c r="S67" s="420"/>
      <c r="T67" s="420"/>
      <c r="U67" s="420"/>
      <c r="V67" s="621">
        <f t="shared" si="3"/>
        <v>299013.34999999998</v>
      </c>
      <c r="W67" s="420"/>
      <c r="X67" s="420">
        <v>60111.44</v>
      </c>
      <c r="Y67" s="420"/>
      <c r="Z67" s="420"/>
      <c r="AA67" s="420"/>
      <c r="AB67" s="420"/>
      <c r="AC67" s="420">
        <v>244.47</v>
      </c>
      <c r="AD67" s="420">
        <v>31145.33</v>
      </c>
      <c r="AE67" s="420"/>
      <c r="AF67" s="420">
        <v>589579.61</v>
      </c>
      <c r="AG67" s="420">
        <v>0</v>
      </c>
    </row>
    <row r="68" spans="1:33" ht="15.75" thickBot="1" x14ac:dyDescent="0.3">
      <c r="A68" s="401">
        <v>42461</v>
      </c>
      <c r="B68" s="432" t="s">
        <v>686</v>
      </c>
      <c r="C68" s="622" t="s">
        <v>35</v>
      </c>
      <c r="D68" s="623" t="s">
        <v>36</v>
      </c>
      <c r="E68" s="419">
        <v>15232120.27</v>
      </c>
      <c r="F68" s="419">
        <v>14232912</v>
      </c>
      <c r="G68" s="419">
        <v>3989325.17</v>
      </c>
      <c r="H68" s="419"/>
      <c r="I68" s="419">
        <v>4083830.15</v>
      </c>
      <c r="J68" s="419"/>
      <c r="K68" s="419"/>
      <c r="L68" s="419"/>
      <c r="M68" s="620">
        <f t="shared" si="2"/>
        <v>8073155.3200000003</v>
      </c>
      <c r="N68" s="419">
        <v>154425.70000000001</v>
      </c>
      <c r="O68" s="419">
        <v>4603513.2300000004</v>
      </c>
      <c r="P68" s="419"/>
      <c r="Q68" s="419"/>
      <c r="R68" s="419"/>
      <c r="S68" s="419"/>
      <c r="T68" s="419"/>
      <c r="U68" s="419"/>
      <c r="V68" s="621">
        <f t="shared" si="3"/>
        <v>4603513.2300000004</v>
      </c>
      <c r="W68" s="419"/>
      <c r="X68" s="419">
        <v>1433568.48</v>
      </c>
      <c r="Y68" s="419">
        <v>967457.54</v>
      </c>
      <c r="Z68" s="419"/>
      <c r="AA68" s="419"/>
      <c r="AB68" s="419">
        <v>74592.77</v>
      </c>
      <c r="AC68" s="419">
        <v>3420.48</v>
      </c>
      <c r="AD68" s="419">
        <v>64232.31</v>
      </c>
      <c r="AE68" s="419"/>
      <c r="AF68" s="419">
        <v>15374365.83</v>
      </c>
      <c r="AG68" s="419">
        <v>0</v>
      </c>
    </row>
    <row r="69" spans="1:33" ht="15.75" thickBot="1" x14ac:dyDescent="0.3">
      <c r="A69" s="401">
        <v>42461</v>
      </c>
      <c r="B69" s="432" t="s">
        <v>686</v>
      </c>
      <c r="C69" s="624" t="s">
        <v>129</v>
      </c>
      <c r="D69" s="624" t="s">
        <v>129</v>
      </c>
      <c r="E69" s="420">
        <v>15232120.27</v>
      </c>
      <c r="F69" s="420">
        <v>14232912</v>
      </c>
      <c r="G69" s="420">
        <v>3989325.17</v>
      </c>
      <c r="H69" s="420"/>
      <c r="I69" s="420">
        <v>4083830.15</v>
      </c>
      <c r="J69" s="420"/>
      <c r="K69" s="420"/>
      <c r="L69" s="420"/>
      <c r="M69" s="620">
        <f t="shared" si="2"/>
        <v>8073155.3200000003</v>
      </c>
      <c r="N69" s="420">
        <v>154425.70000000001</v>
      </c>
      <c r="O69" s="420">
        <v>4603513.2300000004</v>
      </c>
      <c r="P69" s="420"/>
      <c r="Q69" s="420"/>
      <c r="R69" s="420"/>
      <c r="S69" s="420"/>
      <c r="T69" s="420"/>
      <c r="U69" s="420"/>
      <c r="V69" s="621">
        <f t="shared" si="3"/>
        <v>4603513.2300000004</v>
      </c>
      <c r="W69" s="420"/>
      <c r="X69" s="420">
        <v>1433568.48</v>
      </c>
      <c r="Y69" s="420">
        <v>967457.54</v>
      </c>
      <c r="Z69" s="420"/>
      <c r="AA69" s="420"/>
      <c r="AB69" s="420">
        <v>74592.77</v>
      </c>
      <c r="AC69" s="420">
        <v>3420.48</v>
      </c>
      <c r="AD69" s="420">
        <v>64232.31</v>
      </c>
      <c r="AE69" s="420"/>
      <c r="AF69" s="420">
        <v>15374365.83</v>
      </c>
      <c r="AG69" s="420">
        <v>0</v>
      </c>
    </row>
    <row r="70" spans="1:33" ht="15.75" thickBot="1" x14ac:dyDescent="0.3">
      <c r="A70" s="401">
        <v>42461</v>
      </c>
      <c r="B70" s="432" t="s">
        <v>686</v>
      </c>
      <c r="C70" s="622" t="s">
        <v>29</v>
      </c>
      <c r="D70" s="623" t="s">
        <v>30</v>
      </c>
      <c r="E70" s="419">
        <v>25090.48</v>
      </c>
      <c r="F70" s="419">
        <v>612</v>
      </c>
      <c r="G70" s="419">
        <v>24760</v>
      </c>
      <c r="H70" s="419"/>
      <c r="I70" s="419">
        <v>134.55000000000001</v>
      </c>
      <c r="J70" s="419"/>
      <c r="K70" s="419"/>
      <c r="L70" s="419"/>
      <c r="M70" s="620">
        <f t="shared" si="2"/>
        <v>24894.55</v>
      </c>
      <c r="N70" s="419">
        <v>0</v>
      </c>
      <c r="O70" s="419">
        <v>195.93</v>
      </c>
      <c r="P70" s="419"/>
      <c r="Q70" s="419"/>
      <c r="R70" s="419"/>
      <c r="S70" s="419"/>
      <c r="T70" s="419"/>
      <c r="U70" s="419"/>
      <c r="V70" s="621">
        <f t="shared" si="3"/>
        <v>195.93</v>
      </c>
      <c r="W70" s="419"/>
      <c r="X70" s="419"/>
      <c r="Y70" s="419"/>
      <c r="Z70" s="419">
        <v>0</v>
      </c>
      <c r="AA70" s="419"/>
      <c r="AB70" s="419"/>
      <c r="AC70" s="419">
        <v>2.44</v>
      </c>
      <c r="AD70" s="419">
        <v>1588.55</v>
      </c>
      <c r="AE70" s="419"/>
      <c r="AF70" s="419">
        <v>26681.47</v>
      </c>
      <c r="AG70" s="419">
        <v>0</v>
      </c>
    </row>
    <row r="71" spans="1:33" ht="15.75" thickBot="1" x14ac:dyDescent="0.3">
      <c r="A71" s="401">
        <v>42461</v>
      </c>
      <c r="B71" s="432" t="s">
        <v>686</v>
      </c>
      <c r="C71" s="624" t="s">
        <v>687</v>
      </c>
      <c r="D71" s="624" t="s">
        <v>687</v>
      </c>
      <c r="E71" s="420">
        <v>25090.48</v>
      </c>
      <c r="F71" s="420">
        <v>612</v>
      </c>
      <c r="G71" s="420">
        <v>24760</v>
      </c>
      <c r="H71" s="420"/>
      <c r="I71" s="420">
        <v>134.55000000000001</v>
      </c>
      <c r="J71" s="420"/>
      <c r="K71" s="420"/>
      <c r="L71" s="420"/>
      <c r="M71" s="620">
        <f t="shared" si="2"/>
        <v>24894.55</v>
      </c>
      <c r="N71" s="420">
        <v>0</v>
      </c>
      <c r="O71" s="420">
        <v>195.93</v>
      </c>
      <c r="P71" s="420"/>
      <c r="Q71" s="420"/>
      <c r="R71" s="420"/>
      <c r="S71" s="420"/>
      <c r="T71" s="420"/>
      <c r="U71" s="420"/>
      <c r="V71" s="621">
        <f t="shared" si="3"/>
        <v>195.93</v>
      </c>
      <c r="W71" s="420"/>
      <c r="X71" s="420"/>
      <c r="Y71" s="420"/>
      <c r="Z71" s="420">
        <v>0</v>
      </c>
      <c r="AA71" s="420"/>
      <c r="AB71" s="420"/>
      <c r="AC71" s="420">
        <v>2.44</v>
      </c>
      <c r="AD71" s="420">
        <v>1588.55</v>
      </c>
      <c r="AE71" s="420"/>
      <c r="AF71" s="420">
        <v>26681.47</v>
      </c>
      <c r="AG71" s="420">
        <v>0</v>
      </c>
    </row>
    <row r="72" spans="1:33" ht="15.75" thickBot="1" x14ac:dyDescent="0.3">
      <c r="A72" s="401">
        <v>42461</v>
      </c>
      <c r="B72" s="432" t="s">
        <v>686</v>
      </c>
      <c r="C72" s="622" t="s">
        <v>37</v>
      </c>
      <c r="D72" s="623" t="s">
        <v>38</v>
      </c>
      <c r="E72" s="419">
        <v>540.37</v>
      </c>
      <c r="F72" s="419">
        <v>757</v>
      </c>
      <c r="G72" s="419">
        <v>40.5</v>
      </c>
      <c r="H72" s="419"/>
      <c r="I72" s="419">
        <v>217.2</v>
      </c>
      <c r="J72" s="419"/>
      <c r="K72" s="419"/>
      <c r="L72" s="419"/>
      <c r="M72" s="620">
        <f t="shared" si="2"/>
        <v>257.7</v>
      </c>
      <c r="N72" s="419">
        <v>8.1999999999999993</v>
      </c>
      <c r="O72" s="419">
        <v>244.83</v>
      </c>
      <c r="P72" s="419"/>
      <c r="Q72" s="419"/>
      <c r="R72" s="419"/>
      <c r="S72" s="419"/>
      <c r="T72" s="419"/>
      <c r="U72" s="419"/>
      <c r="V72" s="621">
        <f t="shared" si="3"/>
        <v>244.83</v>
      </c>
      <c r="W72" s="419"/>
      <c r="X72" s="419">
        <v>14.55</v>
      </c>
      <c r="Y72" s="419">
        <v>15.09</v>
      </c>
      <c r="Z72" s="419"/>
      <c r="AA72" s="419"/>
      <c r="AB72" s="419"/>
      <c r="AC72" s="419">
        <v>0</v>
      </c>
      <c r="AD72" s="419">
        <v>0</v>
      </c>
      <c r="AE72" s="419"/>
      <c r="AF72" s="419">
        <v>540.37</v>
      </c>
      <c r="AG72" s="419">
        <v>0</v>
      </c>
    </row>
    <row r="73" spans="1:33" ht="15.75" thickBot="1" x14ac:dyDescent="0.3">
      <c r="A73" s="401">
        <v>42461</v>
      </c>
      <c r="B73" s="432" t="s">
        <v>686</v>
      </c>
      <c r="C73" s="624" t="s">
        <v>688</v>
      </c>
      <c r="D73" s="624" t="s">
        <v>688</v>
      </c>
      <c r="E73" s="420">
        <v>540.37</v>
      </c>
      <c r="F73" s="420">
        <v>757</v>
      </c>
      <c r="G73" s="420">
        <v>40.5</v>
      </c>
      <c r="H73" s="420"/>
      <c r="I73" s="420">
        <v>217.2</v>
      </c>
      <c r="J73" s="420"/>
      <c r="K73" s="420"/>
      <c r="L73" s="420"/>
      <c r="M73" s="620">
        <f t="shared" si="2"/>
        <v>257.7</v>
      </c>
      <c r="N73" s="420">
        <v>8.1999999999999993</v>
      </c>
      <c r="O73" s="420">
        <v>244.83</v>
      </c>
      <c r="P73" s="420"/>
      <c r="Q73" s="420"/>
      <c r="R73" s="420"/>
      <c r="S73" s="420"/>
      <c r="T73" s="420"/>
      <c r="U73" s="420"/>
      <c r="V73" s="621">
        <f t="shared" si="3"/>
        <v>244.83</v>
      </c>
      <c r="W73" s="420"/>
      <c r="X73" s="420">
        <v>14.55</v>
      </c>
      <c r="Y73" s="420">
        <v>15.09</v>
      </c>
      <c r="Z73" s="420"/>
      <c r="AA73" s="420"/>
      <c r="AB73" s="420"/>
      <c r="AC73" s="420">
        <v>0</v>
      </c>
      <c r="AD73" s="420">
        <v>0</v>
      </c>
      <c r="AE73" s="420"/>
      <c r="AF73" s="420">
        <v>540.37</v>
      </c>
      <c r="AG73" s="420">
        <v>0</v>
      </c>
    </row>
    <row r="74" spans="1:33" ht="15.75" thickBot="1" x14ac:dyDescent="0.3">
      <c r="A74" s="401">
        <v>42461</v>
      </c>
      <c r="B74" s="432" t="s">
        <v>522</v>
      </c>
      <c r="C74" s="622" t="s">
        <v>50</v>
      </c>
      <c r="D74" s="623" t="s">
        <v>51</v>
      </c>
      <c r="E74" s="420">
        <v>34520.129999999997</v>
      </c>
      <c r="F74" s="420">
        <v>660987</v>
      </c>
      <c r="G74" s="420">
        <v>5500</v>
      </c>
      <c r="H74" s="420"/>
      <c r="I74" s="420">
        <v>28435.65</v>
      </c>
      <c r="J74" s="420">
        <v>37.08</v>
      </c>
      <c r="K74" s="420"/>
      <c r="L74" s="420">
        <v>99.9</v>
      </c>
      <c r="M74" s="620">
        <f t="shared" si="2"/>
        <v>34072.630000000005</v>
      </c>
      <c r="N74" s="420">
        <v>356.92</v>
      </c>
      <c r="O74" s="420"/>
      <c r="P74" s="420"/>
      <c r="Q74" s="420">
        <v>0</v>
      </c>
      <c r="R74" s="420">
        <v>90.58</v>
      </c>
      <c r="S74" s="420"/>
      <c r="T74" s="420"/>
      <c r="U74" s="420"/>
      <c r="V74" s="621">
        <f t="shared" si="3"/>
        <v>90.58</v>
      </c>
      <c r="W74" s="420"/>
      <c r="X74" s="420"/>
      <c r="Y74" s="420"/>
      <c r="Z74" s="420"/>
      <c r="AA74" s="420"/>
      <c r="AB74" s="420"/>
      <c r="AC74" s="420">
        <v>336.78</v>
      </c>
      <c r="AD74" s="420">
        <v>650.11</v>
      </c>
      <c r="AE74" s="420"/>
      <c r="AF74" s="420">
        <v>35507.019999999997</v>
      </c>
      <c r="AG74" s="420">
        <v>0</v>
      </c>
    </row>
    <row r="75" spans="1:33" ht="15.75" thickBot="1" x14ac:dyDescent="0.3">
      <c r="A75" s="401">
        <v>42461</v>
      </c>
      <c r="B75" s="432" t="s">
        <v>522</v>
      </c>
      <c r="C75" s="622" t="s">
        <v>52</v>
      </c>
      <c r="D75" s="623" t="s">
        <v>53</v>
      </c>
      <c r="E75" s="419">
        <v>503569.46</v>
      </c>
      <c r="F75" s="419">
        <v>10827445</v>
      </c>
      <c r="G75" s="419">
        <v>35200</v>
      </c>
      <c r="H75" s="419"/>
      <c r="I75" s="419">
        <v>465796.69</v>
      </c>
      <c r="J75" s="419">
        <v>1442.35</v>
      </c>
      <c r="K75" s="419"/>
      <c r="L75" s="419">
        <v>657.28</v>
      </c>
      <c r="M75" s="620">
        <f t="shared" si="2"/>
        <v>503096.32000000001</v>
      </c>
      <c r="N75" s="419"/>
      <c r="O75" s="419"/>
      <c r="P75" s="419"/>
      <c r="Q75" s="419">
        <v>0</v>
      </c>
      <c r="R75" s="419">
        <v>595.96</v>
      </c>
      <c r="S75" s="419"/>
      <c r="T75" s="419">
        <v>-122.82</v>
      </c>
      <c r="U75" s="419"/>
      <c r="V75" s="621">
        <f t="shared" si="3"/>
        <v>473.14000000000004</v>
      </c>
      <c r="W75" s="419"/>
      <c r="X75" s="419"/>
      <c r="Y75" s="419"/>
      <c r="Z75" s="419"/>
      <c r="AA75" s="419"/>
      <c r="AB75" s="419"/>
      <c r="AC75" s="419">
        <v>7935.44</v>
      </c>
      <c r="AD75" s="419">
        <v>23546.639999999999</v>
      </c>
      <c r="AE75" s="419"/>
      <c r="AF75" s="419">
        <v>535051.54</v>
      </c>
      <c r="AG75" s="419">
        <v>0</v>
      </c>
    </row>
    <row r="76" spans="1:33" ht="15.75" thickBot="1" x14ac:dyDescent="0.3">
      <c r="A76" s="401">
        <v>42461</v>
      </c>
      <c r="B76" s="432" t="s">
        <v>522</v>
      </c>
      <c r="C76" s="624" t="s">
        <v>49</v>
      </c>
      <c r="D76" s="624" t="s">
        <v>49</v>
      </c>
      <c r="E76" s="420">
        <v>538089.59</v>
      </c>
      <c r="F76" s="420">
        <v>11488432</v>
      </c>
      <c r="G76" s="420">
        <v>40700</v>
      </c>
      <c r="H76" s="420"/>
      <c r="I76" s="420">
        <v>494232.34</v>
      </c>
      <c r="J76" s="420">
        <v>1479.43</v>
      </c>
      <c r="K76" s="420"/>
      <c r="L76" s="420">
        <v>757.18</v>
      </c>
      <c r="M76" s="620">
        <f t="shared" si="2"/>
        <v>537168.95000000019</v>
      </c>
      <c r="N76" s="420">
        <v>356.92</v>
      </c>
      <c r="O76" s="420"/>
      <c r="P76" s="420"/>
      <c r="Q76" s="420">
        <v>0</v>
      </c>
      <c r="R76" s="420">
        <v>686.54</v>
      </c>
      <c r="S76" s="420"/>
      <c r="T76" s="420">
        <v>-122.82</v>
      </c>
      <c r="U76" s="420"/>
      <c r="V76" s="621">
        <f t="shared" si="3"/>
        <v>563.72</v>
      </c>
      <c r="W76" s="420"/>
      <c r="X76" s="420"/>
      <c r="Y76" s="420"/>
      <c r="Z76" s="420"/>
      <c r="AA76" s="420"/>
      <c r="AB76" s="420"/>
      <c r="AC76" s="420">
        <v>8272.2199999999993</v>
      </c>
      <c r="AD76" s="420">
        <v>24196.75</v>
      </c>
      <c r="AE76" s="420"/>
      <c r="AF76" s="420">
        <v>570558.56000000006</v>
      </c>
      <c r="AG76" s="420">
        <v>0</v>
      </c>
    </row>
    <row r="77" spans="1:33" ht="15.75" thickBot="1" x14ac:dyDescent="0.3">
      <c r="A77" s="401">
        <v>42461</v>
      </c>
      <c r="B77" s="432" t="s">
        <v>522</v>
      </c>
      <c r="C77" s="622" t="s">
        <v>54</v>
      </c>
      <c r="D77" s="623" t="s">
        <v>55</v>
      </c>
      <c r="E77" s="419">
        <v>34661.550000000003</v>
      </c>
      <c r="F77" s="419"/>
      <c r="G77" s="419">
        <v>5325</v>
      </c>
      <c r="H77" s="419"/>
      <c r="I77" s="419">
        <v>0</v>
      </c>
      <c r="J77" s="419"/>
      <c r="K77" s="419"/>
      <c r="L77" s="419">
        <v>15385.96</v>
      </c>
      <c r="M77" s="620">
        <f t="shared" si="2"/>
        <v>20710.96</v>
      </c>
      <c r="N77" s="419"/>
      <c r="O77" s="419"/>
      <c r="P77" s="419"/>
      <c r="Q77" s="419">
        <v>0</v>
      </c>
      <c r="R77" s="419">
        <v>13950.59</v>
      </c>
      <c r="S77" s="419"/>
      <c r="T77" s="419"/>
      <c r="U77" s="419"/>
      <c r="V77" s="621">
        <f t="shared" si="3"/>
        <v>13950.59</v>
      </c>
      <c r="W77" s="419"/>
      <c r="X77" s="419"/>
      <c r="Y77" s="419"/>
      <c r="Z77" s="419"/>
      <c r="AA77" s="419"/>
      <c r="AB77" s="419"/>
      <c r="AC77" s="419">
        <v>0</v>
      </c>
      <c r="AD77" s="419">
        <v>1131.3599999999999</v>
      </c>
      <c r="AE77" s="419"/>
      <c r="AF77" s="419">
        <v>35792.910000000003</v>
      </c>
      <c r="AG77" s="419">
        <v>0</v>
      </c>
    </row>
    <row r="78" spans="1:33" ht="15.75" thickBot="1" x14ac:dyDescent="0.3">
      <c r="A78" s="401">
        <v>42461</v>
      </c>
      <c r="B78" s="432" t="s">
        <v>522</v>
      </c>
      <c r="C78" s="624" t="s">
        <v>56</v>
      </c>
      <c r="D78" s="624" t="s">
        <v>56</v>
      </c>
      <c r="E78" s="420">
        <v>34661.550000000003</v>
      </c>
      <c r="F78" s="420"/>
      <c r="G78" s="420">
        <v>5325</v>
      </c>
      <c r="H78" s="420"/>
      <c r="I78" s="420">
        <v>0</v>
      </c>
      <c r="J78" s="420"/>
      <c r="K78" s="420"/>
      <c r="L78" s="420">
        <v>15385.96</v>
      </c>
      <c r="M78" s="620">
        <f t="shared" si="2"/>
        <v>20710.96</v>
      </c>
      <c r="N78" s="420"/>
      <c r="O78" s="420"/>
      <c r="P78" s="420"/>
      <c r="Q78" s="420">
        <v>0</v>
      </c>
      <c r="R78" s="420">
        <v>13950.59</v>
      </c>
      <c r="S78" s="420"/>
      <c r="T78" s="420"/>
      <c r="U78" s="420"/>
      <c r="V78" s="621">
        <f t="shared" si="3"/>
        <v>13950.59</v>
      </c>
      <c r="W78" s="420"/>
      <c r="X78" s="420"/>
      <c r="Y78" s="420"/>
      <c r="Z78" s="420"/>
      <c r="AA78" s="420"/>
      <c r="AB78" s="420"/>
      <c r="AC78" s="420">
        <v>0</v>
      </c>
      <c r="AD78" s="420">
        <v>1131.3599999999999</v>
      </c>
      <c r="AE78" s="420"/>
      <c r="AF78" s="420">
        <v>35792.910000000003</v>
      </c>
      <c r="AG78" s="420">
        <v>0</v>
      </c>
    </row>
    <row r="79" spans="1:33" ht="15.75" thickBot="1" x14ac:dyDescent="0.3">
      <c r="A79" s="401">
        <v>42461</v>
      </c>
      <c r="B79" s="432" t="s">
        <v>522</v>
      </c>
      <c r="C79" s="622" t="s">
        <v>93</v>
      </c>
      <c r="D79" s="623" t="s">
        <v>719</v>
      </c>
      <c r="E79" s="419">
        <v>525</v>
      </c>
      <c r="F79" s="419"/>
      <c r="G79" s="419">
        <v>525</v>
      </c>
      <c r="H79" s="419"/>
      <c r="I79" s="419">
        <v>0</v>
      </c>
      <c r="J79" s="419"/>
      <c r="K79" s="419"/>
      <c r="L79" s="419"/>
      <c r="M79" s="620">
        <f t="shared" si="2"/>
        <v>525</v>
      </c>
      <c r="N79" s="419"/>
      <c r="O79" s="419"/>
      <c r="P79" s="419"/>
      <c r="Q79" s="419"/>
      <c r="R79" s="419"/>
      <c r="S79" s="419"/>
      <c r="T79" s="419"/>
      <c r="U79" s="419">
        <v>0</v>
      </c>
      <c r="V79" s="621">
        <f t="shared" si="3"/>
        <v>0</v>
      </c>
      <c r="W79" s="419"/>
      <c r="X79" s="419"/>
      <c r="Y79" s="419"/>
      <c r="Z79" s="419"/>
      <c r="AA79" s="419"/>
      <c r="AB79" s="419"/>
      <c r="AC79" s="419">
        <v>0</v>
      </c>
      <c r="AD79" s="419">
        <v>0</v>
      </c>
      <c r="AE79" s="419"/>
      <c r="AF79" s="419">
        <v>525</v>
      </c>
      <c r="AG79" s="419">
        <v>0</v>
      </c>
    </row>
    <row r="80" spans="1:33" ht="15.75" thickBot="1" x14ac:dyDescent="0.3">
      <c r="A80" s="401">
        <v>42461</v>
      </c>
      <c r="B80" s="432" t="s">
        <v>522</v>
      </c>
      <c r="C80" s="624" t="s">
        <v>720</v>
      </c>
      <c r="D80" s="624" t="s">
        <v>720</v>
      </c>
      <c r="E80" s="420">
        <v>525</v>
      </c>
      <c r="F80" s="420"/>
      <c r="G80" s="420">
        <v>525</v>
      </c>
      <c r="H80" s="420"/>
      <c r="I80" s="420">
        <v>0</v>
      </c>
      <c r="J80" s="420"/>
      <c r="K80" s="420"/>
      <c r="L80" s="420"/>
      <c r="M80" s="620">
        <f t="shared" si="2"/>
        <v>525</v>
      </c>
      <c r="N80" s="420"/>
      <c r="O80" s="420"/>
      <c r="P80" s="420"/>
      <c r="Q80" s="420"/>
      <c r="R80" s="420"/>
      <c r="S80" s="420"/>
      <c r="T80" s="420"/>
      <c r="U80" s="420">
        <v>0</v>
      </c>
      <c r="V80" s="621">
        <f t="shared" si="3"/>
        <v>0</v>
      </c>
      <c r="W80" s="420"/>
      <c r="X80" s="420"/>
      <c r="Y80" s="420"/>
      <c r="Z80" s="420"/>
      <c r="AA80" s="420"/>
      <c r="AB80" s="420"/>
      <c r="AC80" s="420">
        <v>0</v>
      </c>
      <c r="AD80" s="420">
        <v>0</v>
      </c>
      <c r="AE80" s="420"/>
      <c r="AF80" s="420">
        <v>525</v>
      </c>
      <c r="AG80" s="420">
        <v>0</v>
      </c>
    </row>
    <row r="81" spans="1:33" ht="15.75" thickBot="1" x14ac:dyDescent="0.3">
      <c r="A81" s="401">
        <v>42461</v>
      </c>
      <c r="B81" s="432" t="s">
        <v>522</v>
      </c>
      <c r="C81" s="622" t="s">
        <v>96</v>
      </c>
      <c r="D81" s="623" t="s">
        <v>795</v>
      </c>
      <c r="E81" s="419">
        <v>45989.93</v>
      </c>
      <c r="F81" s="419">
        <v>275929</v>
      </c>
      <c r="G81" s="419">
        <v>1100</v>
      </c>
      <c r="H81" s="419"/>
      <c r="I81" s="419">
        <v>19339.86</v>
      </c>
      <c r="J81" s="419"/>
      <c r="K81" s="419"/>
      <c r="L81" s="419"/>
      <c r="M81" s="620">
        <f t="shared" si="2"/>
        <v>20439.86</v>
      </c>
      <c r="N81" s="419"/>
      <c r="O81" s="419">
        <v>0</v>
      </c>
      <c r="P81" s="419"/>
      <c r="Q81" s="419"/>
      <c r="R81" s="419"/>
      <c r="S81" s="419">
        <v>23081.46</v>
      </c>
      <c r="T81" s="419">
        <v>-2908.01</v>
      </c>
      <c r="U81" s="419"/>
      <c r="V81" s="621">
        <f t="shared" si="3"/>
        <v>20173.449999999997</v>
      </c>
      <c r="W81" s="419"/>
      <c r="X81" s="419">
        <v>5376.62</v>
      </c>
      <c r="Y81" s="419"/>
      <c r="Z81" s="419"/>
      <c r="AA81" s="419">
        <v>0</v>
      </c>
      <c r="AB81" s="419"/>
      <c r="AC81" s="419">
        <v>507.97</v>
      </c>
      <c r="AD81" s="419">
        <v>0</v>
      </c>
      <c r="AE81" s="419"/>
      <c r="AF81" s="419">
        <v>46497.9</v>
      </c>
      <c r="AG81" s="419">
        <v>0</v>
      </c>
    </row>
    <row r="82" spans="1:33" ht="15.75" thickBot="1" x14ac:dyDescent="0.3">
      <c r="A82" s="401">
        <v>42461</v>
      </c>
      <c r="B82" s="432" t="s">
        <v>522</v>
      </c>
      <c r="C82" s="622" t="s">
        <v>42</v>
      </c>
      <c r="D82" s="623" t="s">
        <v>675</v>
      </c>
      <c r="E82" s="420">
        <v>105486.01</v>
      </c>
      <c r="F82" s="420">
        <v>338538</v>
      </c>
      <c r="G82" s="420">
        <v>2750</v>
      </c>
      <c r="H82" s="420"/>
      <c r="I82" s="420">
        <v>77115.56</v>
      </c>
      <c r="J82" s="420"/>
      <c r="K82" s="420"/>
      <c r="L82" s="420"/>
      <c r="M82" s="620">
        <f t="shared" si="2"/>
        <v>79865.56</v>
      </c>
      <c r="N82" s="420"/>
      <c r="O82" s="420">
        <v>0</v>
      </c>
      <c r="P82" s="420"/>
      <c r="Q82" s="420"/>
      <c r="R82" s="420"/>
      <c r="S82" s="420">
        <v>28318.71</v>
      </c>
      <c r="T82" s="420">
        <v>-3923.66</v>
      </c>
      <c r="U82" s="420"/>
      <c r="V82" s="621">
        <f t="shared" si="3"/>
        <v>24395.05</v>
      </c>
      <c r="W82" s="420"/>
      <c r="X82" s="420">
        <v>1225.4000000000001</v>
      </c>
      <c r="Y82" s="420"/>
      <c r="Z82" s="420"/>
      <c r="AA82" s="420">
        <v>0</v>
      </c>
      <c r="AB82" s="420"/>
      <c r="AC82" s="420">
        <v>1392.9</v>
      </c>
      <c r="AD82" s="420">
        <v>1526.93</v>
      </c>
      <c r="AE82" s="420"/>
      <c r="AF82" s="420">
        <v>108405.84</v>
      </c>
      <c r="AG82" s="420">
        <v>0</v>
      </c>
    </row>
    <row r="83" spans="1:33" ht="15.75" thickBot="1" x14ac:dyDescent="0.3">
      <c r="A83" s="401">
        <v>42461</v>
      </c>
      <c r="B83" s="432" t="s">
        <v>522</v>
      </c>
      <c r="C83" s="624" t="s">
        <v>689</v>
      </c>
      <c r="D83" s="624" t="s">
        <v>689</v>
      </c>
      <c r="E83" s="419">
        <v>151475.94</v>
      </c>
      <c r="F83" s="419">
        <v>614467</v>
      </c>
      <c r="G83" s="419">
        <v>3850</v>
      </c>
      <c r="H83" s="419"/>
      <c r="I83" s="419">
        <v>96455.42</v>
      </c>
      <c r="J83" s="419"/>
      <c r="K83" s="419"/>
      <c r="L83" s="419"/>
      <c r="M83" s="620">
        <f t="shared" si="2"/>
        <v>100305.42</v>
      </c>
      <c r="N83" s="419"/>
      <c r="O83" s="419">
        <v>0</v>
      </c>
      <c r="P83" s="419"/>
      <c r="Q83" s="419"/>
      <c r="R83" s="419"/>
      <c r="S83" s="419">
        <v>51400.17</v>
      </c>
      <c r="T83" s="419">
        <v>-6831.67</v>
      </c>
      <c r="U83" s="419"/>
      <c r="V83" s="621">
        <f t="shared" si="3"/>
        <v>44568.5</v>
      </c>
      <c r="W83" s="419"/>
      <c r="X83" s="419">
        <v>6602.02</v>
      </c>
      <c r="Y83" s="419"/>
      <c r="Z83" s="419"/>
      <c r="AA83" s="419">
        <v>0</v>
      </c>
      <c r="AB83" s="419"/>
      <c r="AC83" s="419">
        <v>1900.87</v>
      </c>
      <c r="AD83" s="419">
        <v>1526.93</v>
      </c>
      <c r="AE83" s="419"/>
      <c r="AF83" s="419">
        <v>154903.74</v>
      </c>
      <c r="AG83" s="419">
        <v>0</v>
      </c>
    </row>
    <row r="84" spans="1:33" ht="15.75" thickBot="1" x14ac:dyDescent="0.3">
      <c r="A84" s="401">
        <v>42461</v>
      </c>
      <c r="B84" s="432" t="s">
        <v>690</v>
      </c>
      <c r="C84" s="622" t="s">
        <v>50</v>
      </c>
      <c r="D84" s="623" t="s">
        <v>51</v>
      </c>
      <c r="E84" s="419">
        <v>-1356.56</v>
      </c>
      <c r="F84" s="419">
        <v>0</v>
      </c>
      <c r="G84" s="419"/>
      <c r="H84" s="419"/>
      <c r="I84" s="419">
        <v>0</v>
      </c>
      <c r="J84" s="419"/>
      <c r="K84" s="419"/>
      <c r="L84" s="419"/>
      <c r="M84" s="620">
        <f t="shared" si="2"/>
        <v>0</v>
      </c>
      <c r="N84" s="419"/>
      <c r="O84" s="419"/>
      <c r="P84" s="419">
        <v>-1225.42</v>
      </c>
      <c r="Q84" s="419"/>
      <c r="R84" s="419"/>
      <c r="S84" s="419"/>
      <c r="T84" s="419"/>
      <c r="U84" s="419"/>
      <c r="V84" s="621">
        <f t="shared" si="3"/>
        <v>-1225.42</v>
      </c>
      <c r="W84" s="419">
        <v>-131.13999999999999</v>
      </c>
      <c r="X84" s="419"/>
      <c r="Y84" s="419"/>
      <c r="Z84" s="419"/>
      <c r="AA84" s="419"/>
      <c r="AB84" s="419"/>
      <c r="AC84" s="419"/>
      <c r="AD84" s="419">
        <v>-40.69</v>
      </c>
      <c r="AE84" s="419"/>
      <c r="AF84" s="419">
        <v>-1397.25</v>
      </c>
      <c r="AG84" s="419">
        <v>0</v>
      </c>
    </row>
    <row r="85" spans="1:33" ht="15.75" thickBot="1" x14ac:dyDescent="0.3">
      <c r="A85" s="401">
        <v>42461</v>
      </c>
      <c r="B85" s="432" t="s">
        <v>690</v>
      </c>
      <c r="C85" s="622" t="s">
        <v>52</v>
      </c>
      <c r="D85" s="623" t="s">
        <v>53</v>
      </c>
      <c r="E85" s="420">
        <v>-1574.33</v>
      </c>
      <c r="F85" s="420">
        <v>438</v>
      </c>
      <c r="G85" s="420"/>
      <c r="H85" s="420"/>
      <c r="I85" s="420">
        <v>18.84</v>
      </c>
      <c r="J85" s="420"/>
      <c r="K85" s="420"/>
      <c r="L85" s="420"/>
      <c r="M85" s="620">
        <f t="shared" si="2"/>
        <v>18.84</v>
      </c>
      <c r="N85" s="420"/>
      <c r="O85" s="420"/>
      <c r="P85" s="420">
        <v>-1353.2</v>
      </c>
      <c r="Q85" s="420"/>
      <c r="R85" s="420"/>
      <c r="S85" s="420"/>
      <c r="T85" s="420"/>
      <c r="U85" s="420"/>
      <c r="V85" s="621">
        <f t="shared" si="3"/>
        <v>-1353.2</v>
      </c>
      <c r="W85" s="420">
        <v>-239.97</v>
      </c>
      <c r="X85" s="420"/>
      <c r="Y85" s="420"/>
      <c r="Z85" s="420"/>
      <c r="AA85" s="420"/>
      <c r="AB85" s="420"/>
      <c r="AC85" s="420"/>
      <c r="AD85" s="420">
        <v>-94.46</v>
      </c>
      <c r="AE85" s="420"/>
      <c r="AF85" s="420">
        <v>-1668.79</v>
      </c>
      <c r="AG85" s="420">
        <v>0</v>
      </c>
    </row>
    <row r="86" spans="1:33" ht="15.75" thickBot="1" x14ac:dyDescent="0.3">
      <c r="A86" s="401">
        <v>42461</v>
      </c>
      <c r="B86" s="432" t="s">
        <v>690</v>
      </c>
      <c r="C86" s="624" t="s">
        <v>49</v>
      </c>
      <c r="D86" s="624" t="s">
        <v>49</v>
      </c>
      <c r="E86" s="419">
        <v>-2930.89</v>
      </c>
      <c r="F86" s="419">
        <v>438</v>
      </c>
      <c r="G86" s="419"/>
      <c r="H86" s="419"/>
      <c r="I86" s="419">
        <v>18.84</v>
      </c>
      <c r="J86" s="419"/>
      <c r="K86" s="419"/>
      <c r="L86" s="419"/>
      <c r="M86" s="620">
        <f t="shared" si="2"/>
        <v>18.84</v>
      </c>
      <c r="N86" s="419"/>
      <c r="O86" s="419"/>
      <c r="P86" s="419">
        <v>-2578.62</v>
      </c>
      <c r="Q86" s="419"/>
      <c r="R86" s="419"/>
      <c r="S86" s="419"/>
      <c r="T86" s="419"/>
      <c r="U86" s="419"/>
      <c r="V86" s="621">
        <f t="shared" si="3"/>
        <v>-2578.62</v>
      </c>
      <c r="W86" s="419">
        <v>-371.11</v>
      </c>
      <c r="X86" s="419"/>
      <c r="Y86" s="419"/>
      <c r="Z86" s="419"/>
      <c r="AA86" s="419"/>
      <c r="AB86" s="419"/>
      <c r="AC86" s="419"/>
      <c r="AD86" s="419">
        <v>-135.15</v>
      </c>
      <c r="AE86" s="419"/>
      <c r="AF86" s="419">
        <v>-3066.04</v>
      </c>
      <c r="AG86" s="419">
        <v>0</v>
      </c>
    </row>
    <row r="87" spans="1:33" ht="15.75" thickBot="1" x14ac:dyDescent="0.3">
      <c r="A87" s="401">
        <v>42461</v>
      </c>
      <c r="B87" s="432" t="s">
        <v>690</v>
      </c>
      <c r="C87" s="622" t="s">
        <v>54</v>
      </c>
      <c r="D87" s="623" t="s">
        <v>55</v>
      </c>
      <c r="E87" s="420">
        <v>-32098.53</v>
      </c>
      <c r="F87" s="420"/>
      <c r="G87" s="420"/>
      <c r="H87" s="420"/>
      <c r="I87" s="420"/>
      <c r="J87" s="420"/>
      <c r="K87" s="420"/>
      <c r="L87" s="420"/>
      <c r="M87" s="620">
        <f t="shared" si="2"/>
        <v>0</v>
      </c>
      <c r="N87" s="420"/>
      <c r="O87" s="420"/>
      <c r="P87" s="420">
        <v>-21782.59</v>
      </c>
      <c r="Q87" s="420"/>
      <c r="R87" s="420"/>
      <c r="S87" s="420"/>
      <c r="T87" s="420"/>
      <c r="U87" s="420"/>
      <c r="V87" s="621">
        <f t="shared" si="3"/>
        <v>-21782.59</v>
      </c>
      <c r="W87" s="420">
        <v>-10315.94</v>
      </c>
      <c r="X87" s="420"/>
      <c r="Y87" s="420"/>
      <c r="Z87" s="420"/>
      <c r="AA87" s="420"/>
      <c r="AB87" s="420"/>
      <c r="AC87" s="420"/>
      <c r="AD87" s="420">
        <v>-531.48</v>
      </c>
      <c r="AE87" s="420"/>
      <c r="AF87" s="420">
        <v>-32630.01</v>
      </c>
      <c r="AG87" s="420">
        <v>0</v>
      </c>
    </row>
    <row r="88" spans="1:33" ht="15.75" thickBot="1" x14ac:dyDescent="0.3">
      <c r="A88" s="401">
        <v>42461</v>
      </c>
      <c r="B88" s="432" t="s">
        <v>690</v>
      </c>
      <c r="C88" s="624" t="s">
        <v>56</v>
      </c>
      <c r="D88" s="624" t="s">
        <v>56</v>
      </c>
      <c r="E88" s="419">
        <v>-32098.53</v>
      </c>
      <c r="F88" s="419"/>
      <c r="G88" s="419"/>
      <c r="H88" s="419"/>
      <c r="I88" s="419"/>
      <c r="J88" s="419"/>
      <c r="K88" s="419"/>
      <c r="L88" s="419"/>
      <c r="M88" s="620">
        <f t="shared" si="2"/>
        <v>0</v>
      </c>
      <c r="N88" s="419"/>
      <c r="O88" s="419"/>
      <c r="P88" s="419">
        <v>-21782.59</v>
      </c>
      <c r="Q88" s="419"/>
      <c r="R88" s="419"/>
      <c r="S88" s="419"/>
      <c r="T88" s="419"/>
      <c r="U88" s="419"/>
      <c r="V88" s="621">
        <f t="shared" si="3"/>
        <v>-21782.59</v>
      </c>
      <c r="W88" s="419">
        <v>-10315.94</v>
      </c>
      <c r="X88" s="419"/>
      <c r="Y88" s="419"/>
      <c r="Z88" s="419"/>
      <c r="AA88" s="419"/>
      <c r="AB88" s="419"/>
      <c r="AC88" s="419"/>
      <c r="AD88" s="419">
        <v>-531.48</v>
      </c>
      <c r="AE88" s="419"/>
      <c r="AF88" s="419">
        <v>-32630.01</v>
      </c>
      <c r="AG88" s="419">
        <v>0</v>
      </c>
    </row>
    <row r="89" spans="1:33" ht="15.75" thickBot="1" x14ac:dyDescent="0.3">
      <c r="A89" s="401">
        <v>42461</v>
      </c>
      <c r="B89" s="432" t="s">
        <v>690</v>
      </c>
      <c r="C89" s="622" t="s">
        <v>93</v>
      </c>
      <c r="D89" s="623" t="s">
        <v>719</v>
      </c>
      <c r="E89" s="420">
        <v>1104.5</v>
      </c>
      <c r="F89" s="420"/>
      <c r="G89" s="420"/>
      <c r="H89" s="420"/>
      <c r="I89" s="420"/>
      <c r="J89" s="420"/>
      <c r="K89" s="420"/>
      <c r="L89" s="420"/>
      <c r="M89" s="620">
        <f t="shared" si="2"/>
        <v>0</v>
      </c>
      <c r="N89" s="420"/>
      <c r="O89" s="420"/>
      <c r="P89" s="420">
        <v>1539.58</v>
      </c>
      <c r="Q89" s="420"/>
      <c r="R89" s="420"/>
      <c r="S89" s="420"/>
      <c r="T89" s="420"/>
      <c r="U89" s="420"/>
      <c r="V89" s="621">
        <f t="shared" si="3"/>
        <v>1539.58</v>
      </c>
      <c r="W89" s="420">
        <v>-435.08</v>
      </c>
      <c r="X89" s="420"/>
      <c r="Y89" s="420"/>
      <c r="Z89" s="420"/>
      <c r="AA89" s="420"/>
      <c r="AB89" s="420"/>
      <c r="AC89" s="420"/>
      <c r="AD89" s="420">
        <v>0</v>
      </c>
      <c r="AE89" s="420"/>
      <c r="AF89" s="420">
        <v>1104.5</v>
      </c>
      <c r="AG89" s="420">
        <v>0</v>
      </c>
    </row>
    <row r="90" spans="1:33" ht="15.75" thickBot="1" x14ac:dyDescent="0.3">
      <c r="A90" s="401">
        <v>42461</v>
      </c>
      <c r="B90" s="432" t="s">
        <v>690</v>
      </c>
      <c r="C90" s="624" t="s">
        <v>720</v>
      </c>
      <c r="D90" s="624" t="s">
        <v>720</v>
      </c>
      <c r="E90" s="419">
        <v>1104.5</v>
      </c>
      <c r="F90" s="419"/>
      <c r="G90" s="419"/>
      <c r="H90" s="419"/>
      <c r="I90" s="419"/>
      <c r="J90" s="419"/>
      <c r="K90" s="419"/>
      <c r="L90" s="419"/>
      <c r="M90" s="620">
        <f t="shared" si="2"/>
        <v>0</v>
      </c>
      <c r="N90" s="419"/>
      <c r="O90" s="419"/>
      <c r="P90" s="419">
        <v>1539.58</v>
      </c>
      <c r="Q90" s="419"/>
      <c r="R90" s="419"/>
      <c r="S90" s="419"/>
      <c r="T90" s="419"/>
      <c r="U90" s="419"/>
      <c r="V90" s="621">
        <f t="shared" si="3"/>
        <v>1539.58</v>
      </c>
      <c r="W90" s="419">
        <v>-435.08</v>
      </c>
      <c r="X90" s="419"/>
      <c r="Y90" s="419"/>
      <c r="Z90" s="419"/>
      <c r="AA90" s="419"/>
      <c r="AB90" s="419"/>
      <c r="AC90" s="419"/>
      <c r="AD90" s="419">
        <v>0</v>
      </c>
      <c r="AE90" s="419"/>
      <c r="AF90" s="419">
        <v>1104.5</v>
      </c>
      <c r="AG90" s="419">
        <v>0</v>
      </c>
    </row>
    <row r="91" spans="1:33" ht="15.75" thickBot="1" x14ac:dyDescent="0.3">
      <c r="A91" s="401">
        <v>42461</v>
      </c>
      <c r="B91" s="432" t="s">
        <v>690</v>
      </c>
      <c r="C91" s="622" t="s">
        <v>96</v>
      </c>
      <c r="D91" s="623" t="s">
        <v>795</v>
      </c>
      <c r="E91" s="420">
        <v>800</v>
      </c>
      <c r="F91" s="420"/>
      <c r="G91" s="420">
        <v>800</v>
      </c>
      <c r="H91" s="420"/>
      <c r="I91" s="420"/>
      <c r="J91" s="420"/>
      <c r="K91" s="420"/>
      <c r="L91" s="420"/>
      <c r="M91" s="620">
        <f t="shared" si="2"/>
        <v>800</v>
      </c>
      <c r="N91" s="420"/>
      <c r="O91" s="420"/>
      <c r="P91" s="420"/>
      <c r="Q91" s="420"/>
      <c r="R91" s="420"/>
      <c r="S91" s="420"/>
      <c r="T91" s="420"/>
      <c r="U91" s="420"/>
      <c r="V91" s="621">
        <f t="shared" si="3"/>
        <v>0</v>
      </c>
      <c r="W91" s="420"/>
      <c r="X91" s="420"/>
      <c r="Y91" s="420"/>
      <c r="Z91" s="420"/>
      <c r="AA91" s="420"/>
      <c r="AB91" s="420"/>
      <c r="AC91" s="420"/>
      <c r="AD91" s="420">
        <v>0</v>
      </c>
      <c r="AE91" s="420"/>
      <c r="AF91" s="420">
        <v>800</v>
      </c>
      <c r="AG91" s="420">
        <v>0</v>
      </c>
    </row>
    <row r="92" spans="1:33" ht="15.75" thickBot="1" x14ac:dyDescent="0.3">
      <c r="A92" s="401">
        <v>42461</v>
      </c>
      <c r="B92" s="432" t="s">
        <v>690</v>
      </c>
      <c r="C92" s="622" t="s">
        <v>42</v>
      </c>
      <c r="D92" s="623" t="s">
        <v>675</v>
      </c>
      <c r="E92" s="419">
        <v>900</v>
      </c>
      <c r="F92" s="419">
        <v>0</v>
      </c>
      <c r="G92" s="419">
        <v>900</v>
      </c>
      <c r="H92" s="419"/>
      <c r="I92" s="419">
        <v>0</v>
      </c>
      <c r="J92" s="419"/>
      <c r="K92" s="419"/>
      <c r="L92" s="419"/>
      <c r="M92" s="620">
        <f t="shared" si="2"/>
        <v>900</v>
      </c>
      <c r="N92" s="419"/>
      <c r="O92" s="419"/>
      <c r="P92" s="419"/>
      <c r="Q92" s="419"/>
      <c r="R92" s="419"/>
      <c r="S92" s="419"/>
      <c r="T92" s="419"/>
      <c r="U92" s="419"/>
      <c r="V92" s="621">
        <f t="shared" si="3"/>
        <v>0</v>
      </c>
      <c r="W92" s="419"/>
      <c r="X92" s="419"/>
      <c r="Y92" s="419"/>
      <c r="Z92" s="419"/>
      <c r="AA92" s="419"/>
      <c r="AB92" s="419"/>
      <c r="AC92" s="419"/>
      <c r="AD92" s="419">
        <v>16.2</v>
      </c>
      <c r="AE92" s="419"/>
      <c r="AF92" s="419">
        <v>916.2</v>
      </c>
      <c r="AG92" s="419">
        <v>0</v>
      </c>
    </row>
    <row r="93" spans="1:33" ht="15.75" thickBot="1" x14ac:dyDescent="0.3">
      <c r="A93" s="401">
        <v>42461</v>
      </c>
      <c r="B93" s="432" t="s">
        <v>690</v>
      </c>
      <c r="C93" s="624" t="s">
        <v>689</v>
      </c>
      <c r="D93" s="624" t="s">
        <v>689</v>
      </c>
      <c r="E93" s="420">
        <v>1700</v>
      </c>
      <c r="F93" s="420">
        <v>0</v>
      </c>
      <c r="G93" s="420">
        <v>1700</v>
      </c>
      <c r="H93" s="420"/>
      <c r="I93" s="420">
        <v>0</v>
      </c>
      <c r="J93" s="420"/>
      <c r="K93" s="420"/>
      <c r="L93" s="420"/>
      <c r="M93" s="620">
        <f t="shared" si="2"/>
        <v>1700</v>
      </c>
      <c r="N93" s="420"/>
      <c r="O93" s="420"/>
      <c r="P93" s="420"/>
      <c r="Q93" s="420"/>
      <c r="R93" s="420"/>
      <c r="S93" s="420"/>
      <c r="T93" s="420"/>
      <c r="U93" s="420"/>
      <c r="V93" s="621">
        <f t="shared" si="3"/>
        <v>0</v>
      </c>
      <c r="W93" s="420"/>
      <c r="X93" s="420"/>
      <c r="Y93" s="420"/>
      <c r="Z93" s="420"/>
      <c r="AA93" s="420"/>
      <c r="AB93" s="420"/>
      <c r="AC93" s="420"/>
      <c r="AD93" s="420">
        <v>16.2</v>
      </c>
      <c r="AE93" s="420"/>
      <c r="AF93" s="420">
        <v>1716.2</v>
      </c>
      <c r="AG93" s="420">
        <v>0</v>
      </c>
    </row>
    <row r="94" spans="1:33" ht="15.75" thickBot="1" x14ac:dyDescent="0.3">
      <c r="A94" s="401">
        <v>42461</v>
      </c>
      <c r="B94" s="432" t="s">
        <v>511</v>
      </c>
      <c r="C94" s="622" t="s">
        <v>57</v>
      </c>
      <c r="D94" s="623" t="s">
        <v>1228</v>
      </c>
      <c r="E94" s="420">
        <v>110942.16</v>
      </c>
      <c r="F94" s="420">
        <v>3013</v>
      </c>
      <c r="G94" s="420">
        <v>0</v>
      </c>
      <c r="H94" s="420">
        <v>107140.32</v>
      </c>
      <c r="I94" s="420">
        <v>14.97</v>
      </c>
      <c r="J94" s="420"/>
      <c r="K94" s="420"/>
      <c r="L94" s="420">
        <v>1986.08</v>
      </c>
      <c r="M94" s="620">
        <f t="shared" si="2"/>
        <v>109141.37000000001</v>
      </c>
      <c r="N94" s="420"/>
      <c r="O94" s="420"/>
      <c r="P94" s="420"/>
      <c r="Q94" s="420">
        <v>0</v>
      </c>
      <c r="R94" s="420">
        <v>1800.79</v>
      </c>
      <c r="S94" s="420"/>
      <c r="T94" s="420"/>
      <c r="U94" s="420"/>
      <c r="V94" s="621">
        <f t="shared" si="3"/>
        <v>1800.79</v>
      </c>
      <c r="W94" s="420"/>
      <c r="X94" s="420"/>
      <c r="Y94" s="420"/>
      <c r="Z94" s="420"/>
      <c r="AA94" s="420"/>
      <c r="AB94" s="420"/>
      <c r="AC94" s="420">
        <v>2018.15</v>
      </c>
      <c r="AD94" s="420">
        <v>0</v>
      </c>
      <c r="AE94" s="420"/>
      <c r="AF94" s="420">
        <v>112960.31</v>
      </c>
      <c r="AG94" s="420">
        <v>0</v>
      </c>
    </row>
    <row r="95" spans="1:33" ht="15.75" thickBot="1" x14ac:dyDescent="0.3">
      <c r="A95" s="401">
        <v>42461</v>
      </c>
      <c r="B95" s="432" t="s">
        <v>511</v>
      </c>
      <c r="C95" s="622" t="s">
        <v>45</v>
      </c>
      <c r="D95" s="623" t="s">
        <v>46</v>
      </c>
      <c r="E95" s="419">
        <v>48039.94</v>
      </c>
      <c r="F95" s="419"/>
      <c r="G95" s="419">
        <v>0</v>
      </c>
      <c r="H95" s="419"/>
      <c r="I95" s="419"/>
      <c r="J95" s="419"/>
      <c r="K95" s="419"/>
      <c r="L95" s="419"/>
      <c r="M95" s="620">
        <f t="shared" si="2"/>
        <v>0</v>
      </c>
      <c r="N95" s="419"/>
      <c r="O95" s="419">
        <v>47793.9</v>
      </c>
      <c r="P95" s="419"/>
      <c r="Q95" s="419"/>
      <c r="R95" s="419"/>
      <c r="S95" s="419"/>
      <c r="T95" s="419"/>
      <c r="U95" s="419"/>
      <c r="V95" s="621">
        <f t="shared" si="3"/>
        <v>47793.9</v>
      </c>
      <c r="W95" s="419"/>
      <c r="X95" s="419">
        <v>246.04</v>
      </c>
      <c r="Y95" s="419"/>
      <c r="Z95" s="419"/>
      <c r="AA95" s="419"/>
      <c r="AB95" s="419"/>
      <c r="AC95" s="419">
        <v>0</v>
      </c>
      <c r="AD95" s="419">
        <v>0</v>
      </c>
      <c r="AE95" s="419"/>
      <c r="AF95" s="419">
        <v>48039.94</v>
      </c>
      <c r="AG95" s="419">
        <v>0</v>
      </c>
    </row>
    <row r="96" spans="1:33" ht="15.75" thickBot="1" x14ac:dyDescent="0.3">
      <c r="A96" s="401">
        <v>42461</v>
      </c>
      <c r="B96" s="432" t="s">
        <v>511</v>
      </c>
      <c r="C96" s="624" t="s">
        <v>687</v>
      </c>
      <c r="D96" s="624" t="s">
        <v>687</v>
      </c>
      <c r="E96" s="420">
        <v>158982.1</v>
      </c>
      <c r="F96" s="420">
        <v>3013</v>
      </c>
      <c r="G96" s="420">
        <v>0</v>
      </c>
      <c r="H96" s="420">
        <v>107140.32</v>
      </c>
      <c r="I96" s="420">
        <v>14.97</v>
      </c>
      <c r="J96" s="420"/>
      <c r="K96" s="420"/>
      <c r="L96" s="420">
        <v>1986.08</v>
      </c>
      <c r="M96" s="620">
        <f t="shared" si="2"/>
        <v>109141.37000000001</v>
      </c>
      <c r="N96" s="420"/>
      <c r="O96" s="420">
        <v>47793.9</v>
      </c>
      <c r="P96" s="420"/>
      <c r="Q96" s="420">
        <v>0</v>
      </c>
      <c r="R96" s="420">
        <v>1800.79</v>
      </c>
      <c r="S96" s="420"/>
      <c r="T96" s="420"/>
      <c r="U96" s="420"/>
      <c r="V96" s="621">
        <f t="shared" si="3"/>
        <v>49594.69</v>
      </c>
      <c r="W96" s="420"/>
      <c r="X96" s="420">
        <v>246.04</v>
      </c>
      <c r="Y96" s="420"/>
      <c r="Z96" s="420"/>
      <c r="AA96" s="420"/>
      <c r="AB96" s="420"/>
      <c r="AC96" s="420">
        <v>2018.15</v>
      </c>
      <c r="AD96" s="420">
        <v>0</v>
      </c>
      <c r="AE96" s="420"/>
      <c r="AF96" s="420">
        <v>161000.25</v>
      </c>
      <c r="AG96" s="420">
        <v>0</v>
      </c>
    </row>
    <row r="97" spans="1:33" ht="15.75" thickBot="1" x14ac:dyDescent="0.3">
      <c r="A97" s="401">
        <v>42461</v>
      </c>
      <c r="B97" s="432" t="s">
        <v>698</v>
      </c>
      <c r="C97" s="622" t="s">
        <v>57</v>
      </c>
      <c r="D97" s="623" t="s">
        <v>1228</v>
      </c>
      <c r="E97" s="419">
        <v>-10034.51</v>
      </c>
      <c r="F97" s="419">
        <v>0</v>
      </c>
      <c r="G97" s="419">
        <v>800</v>
      </c>
      <c r="H97" s="419"/>
      <c r="I97" s="419">
        <v>0</v>
      </c>
      <c r="J97" s="419"/>
      <c r="K97" s="419"/>
      <c r="L97" s="419"/>
      <c r="M97" s="620">
        <f t="shared" si="2"/>
        <v>800</v>
      </c>
      <c r="N97" s="419"/>
      <c r="O97" s="419"/>
      <c r="P97" s="419">
        <v>-10755.22</v>
      </c>
      <c r="Q97" s="419"/>
      <c r="R97" s="419"/>
      <c r="S97" s="419"/>
      <c r="T97" s="419"/>
      <c r="U97" s="419"/>
      <c r="V97" s="621">
        <f t="shared" si="3"/>
        <v>-10755.22</v>
      </c>
      <c r="W97" s="419">
        <v>-79.290000000000006</v>
      </c>
      <c r="X97" s="419"/>
      <c r="Y97" s="419"/>
      <c r="Z97" s="419"/>
      <c r="AA97" s="419"/>
      <c r="AB97" s="419"/>
      <c r="AC97" s="419"/>
      <c r="AD97" s="419">
        <v>0</v>
      </c>
      <c r="AE97" s="419"/>
      <c r="AF97" s="419">
        <v>-10034.51</v>
      </c>
      <c r="AG97" s="419">
        <v>0</v>
      </c>
    </row>
    <row r="98" spans="1:33" ht="15.75" thickBot="1" x14ac:dyDescent="0.3">
      <c r="A98" s="401">
        <v>42461</v>
      </c>
      <c r="B98" s="432" t="s">
        <v>698</v>
      </c>
      <c r="C98" s="622" t="s">
        <v>45</v>
      </c>
      <c r="D98" s="623" t="s">
        <v>46</v>
      </c>
      <c r="E98" s="420">
        <v>191612.95</v>
      </c>
      <c r="F98" s="420">
        <v>147772</v>
      </c>
      <c r="G98" s="420">
        <v>180</v>
      </c>
      <c r="H98" s="420">
        <v>186513.62</v>
      </c>
      <c r="I98" s="420">
        <v>4919.33</v>
      </c>
      <c r="J98" s="420"/>
      <c r="K98" s="420"/>
      <c r="L98" s="420"/>
      <c r="M98" s="620">
        <f t="shared" si="2"/>
        <v>191612.94999999998</v>
      </c>
      <c r="N98" s="420"/>
      <c r="O98" s="420"/>
      <c r="P98" s="420"/>
      <c r="Q98" s="420"/>
      <c r="R98" s="420"/>
      <c r="S98" s="420"/>
      <c r="T98" s="420"/>
      <c r="U98" s="420"/>
      <c r="V98" s="621">
        <f t="shared" si="3"/>
        <v>0</v>
      </c>
      <c r="W98" s="420"/>
      <c r="X98" s="420"/>
      <c r="Y98" s="420"/>
      <c r="Z98" s="420"/>
      <c r="AA98" s="420"/>
      <c r="AB98" s="420"/>
      <c r="AC98" s="420"/>
      <c r="AD98" s="420">
        <v>0</v>
      </c>
      <c r="AE98" s="420"/>
      <c r="AF98" s="420">
        <v>191612.95</v>
      </c>
      <c r="AG98" s="420">
        <v>0</v>
      </c>
    </row>
    <row r="99" spans="1:33" ht="15.75" thickBot="1" x14ac:dyDescent="0.3">
      <c r="A99" s="401">
        <v>42461</v>
      </c>
      <c r="B99" s="432" t="s">
        <v>698</v>
      </c>
      <c r="C99" s="624" t="s">
        <v>687</v>
      </c>
      <c r="D99" s="624" t="s">
        <v>687</v>
      </c>
      <c r="E99" s="419">
        <v>181578.44</v>
      </c>
      <c r="F99" s="419">
        <v>147772</v>
      </c>
      <c r="G99" s="419">
        <v>980</v>
      </c>
      <c r="H99" s="419">
        <v>186513.62</v>
      </c>
      <c r="I99" s="419">
        <v>4919.33</v>
      </c>
      <c r="J99" s="419"/>
      <c r="K99" s="419"/>
      <c r="L99" s="419"/>
      <c r="M99" s="620">
        <f t="shared" si="2"/>
        <v>192412.94999999998</v>
      </c>
      <c r="N99" s="419"/>
      <c r="O99" s="419"/>
      <c r="P99" s="419">
        <v>-10755.22</v>
      </c>
      <c r="Q99" s="419"/>
      <c r="R99" s="419"/>
      <c r="S99" s="419"/>
      <c r="T99" s="419"/>
      <c r="U99" s="419"/>
      <c r="V99" s="621">
        <f t="shared" si="3"/>
        <v>-10755.22</v>
      </c>
      <c r="W99" s="419">
        <v>-79.290000000000006</v>
      </c>
      <c r="X99" s="419"/>
      <c r="Y99" s="419"/>
      <c r="Z99" s="419"/>
      <c r="AA99" s="419"/>
      <c r="AB99" s="419"/>
      <c r="AC99" s="419"/>
      <c r="AD99" s="419">
        <v>0</v>
      </c>
      <c r="AE99" s="419"/>
      <c r="AF99" s="419">
        <v>181578.44</v>
      </c>
      <c r="AG99" s="419">
        <v>0</v>
      </c>
    </row>
    <row r="100" spans="1:33" ht="15.75" thickBot="1" x14ac:dyDescent="0.3">
      <c r="A100" s="401">
        <v>42491</v>
      </c>
      <c r="B100" s="432" t="s">
        <v>686</v>
      </c>
      <c r="C100" s="418" t="s">
        <v>872</v>
      </c>
      <c r="D100" s="316" t="s">
        <v>873</v>
      </c>
      <c r="E100" s="93">
        <v>15339.28</v>
      </c>
      <c r="F100" s="93">
        <v>28839</v>
      </c>
      <c r="G100" s="93">
        <v>400</v>
      </c>
      <c r="H100" s="92"/>
      <c r="I100" s="93">
        <v>2021.33</v>
      </c>
      <c r="J100" s="92"/>
      <c r="K100" s="92"/>
      <c r="L100" s="92"/>
      <c r="M100" s="620">
        <f t="shared" ref="M100:M143" si="4">SUM(G100:L100)</f>
        <v>2421.33</v>
      </c>
      <c r="N100" s="419">
        <v>0</v>
      </c>
      <c r="O100" s="419">
        <v>10079.08</v>
      </c>
      <c r="P100" s="419"/>
      <c r="Q100" s="419"/>
      <c r="R100" s="419"/>
      <c r="S100" s="419"/>
      <c r="T100" s="419"/>
      <c r="U100" s="419"/>
      <c r="V100" s="621">
        <f t="shared" ref="V100:V143" si="5">SUM(O100:U100)</f>
        <v>10079.08</v>
      </c>
      <c r="W100" s="419"/>
      <c r="X100" s="419">
        <v>2838.87</v>
      </c>
      <c r="Y100" s="419"/>
      <c r="Z100" s="419"/>
      <c r="AA100" s="419"/>
      <c r="AB100" s="419"/>
      <c r="AC100" s="419">
        <v>0</v>
      </c>
      <c r="AD100" s="419">
        <v>0</v>
      </c>
      <c r="AE100" s="419"/>
      <c r="AF100" s="419">
        <v>15339.28</v>
      </c>
      <c r="AG100" s="419">
        <v>0</v>
      </c>
    </row>
    <row r="101" spans="1:33" ht="15.75" thickBot="1" x14ac:dyDescent="0.3">
      <c r="A101" s="401">
        <v>42491</v>
      </c>
      <c r="B101" s="432"/>
      <c r="C101" s="418" t="s">
        <v>22</v>
      </c>
      <c r="D101" s="316" t="s">
        <v>874</v>
      </c>
      <c r="E101" s="95">
        <v>17090.62</v>
      </c>
      <c r="F101" s="95">
        <v>33102</v>
      </c>
      <c r="G101" s="95">
        <v>400</v>
      </c>
      <c r="H101" s="94"/>
      <c r="I101" s="95">
        <v>2320.12</v>
      </c>
      <c r="J101" s="94"/>
      <c r="K101" s="94"/>
      <c r="L101" s="94"/>
      <c r="M101" s="620"/>
      <c r="N101" s="419"/>
      <c r="O101" s="419">
        <v>11537.01</v>
      </c>
      <c r="P101" s="419"/>
      <c r="Q101" s="419"/>
      <c r="R101" s="419"/>
      <c r="S101" s="419"/>
      <c r="T101" s="419"/>
      <c r="U101" s="419"/>
      <c r="V101" s="419">
        <v>11537.01</v>
      </c>
      <c r="W101" s="419"/>
      <c r="X101" s="419">
        <v>2833.49</v>
      </c>
      <c r="Y101" s="419"/>
      <c r="Z101" s="419">
        <v>0</v>
      </c>
      <c r="AA101" s="419"/>
      <c r="AB101" s="419"/>
      <c r="AC101" s="419">
        <v>0</v>
      </c>
      <c r="AD101" s="419">
        <v>0</v>
      </c>
      <c r="AE101" s="419"/>
      <c r="AF101" s="419">
        <v>17090.62</v>
      </c>
      <c r="AG101" s="419">
        <v>0</v>
      </c>
    </row>
    <row r="102" spans="1:33" ht="15.75" thickBot="1" x14ac:dyDescent="0.3">
      <c r="A102" s="401">
        <v>42491</v>
      </c>
      <c r="B102" s="432" t="s">
        <v>686</v>
      </c>
      <c r="C102" s="418" t="s">
        <v>18</v>
      </c>
      <c r="D102" s="316" t="s">
        <v>453</v>
      </c>
      <c r="E102" s="93">
        <v>20780.41</v>
      </c>
      <c r="F102" s="93">
        <v>35222</v>
      </c>
      <c r="G102" s="93">
        <v>800</v>
      </c>
      <c r="H102" s="92"/>
      <c r="I102" s="93">
        <v>2468.71</v>
      </c>
      <c r="J102" s="92"/>
      <c r="K102" s="92"/>
      <c r="L102" s="92"/>
      <c r="M102" s="620">
        <f t="shared" si="4"/>
        <v>3268.71</v>
      </c>
      <c r="N102" s="420">
        <v>20.079999999999998</v>
      </c>
      <c r="O102" s="420">
        <v>11939.25</v>
      </c>
      <c r="P102" s="420"/>
      <c r="Q102" s="420"/>
      <c r="R102" s="420"/>
      <c r="S102" s="420"/>
      <c r="T102" s="420"/>
      <c r="U102" s="420"/>
      <c r="V102" s="621">
        <f t="shared" si="5"/>
        <v>11939.25</v>
      </c>
      <c r="W102" s="420"/>
      <c r="X102" s="420">
        <v>5552.37</v>
      </c>
      <c r="Y102" s="420"/>
      <c r="Z102" s="420">
        <v>0</v>
      </c>
      <c r="AA102" s="420"/>
      <c r="AB102" s="420"/>
      <c r="AC102" s="420">
        <v>0</v>
      </c>
      <c r="AD102" s="420">
        <v>552.83000000000004</v>
      </c>
      <c r="AE102" s="420"/>
      <c r="AF102" s="420">
        <v>21333.24</v>
      </c>
      <c r="AG102" s="420">
        <v>0</v>
      </c>
    </row>
    <row r="103" spans="1:33" ht="15.75" thickBot="1" x14ac:dyDescent="0.3">
      <c r="A103" s="401">
        <v>42491</v>
      </c>
      <c r="B103" s="432" t="s">
        <v>686</v>
      </c>
      <c r="C103" s="317" t="s">
        <v>445</v>
      </c>
      <c r="D103" s="317" t="s">
        <v>445</v>
      </c>
      <c r="E103" s="420">
        <v>53210.31</v>
      </c>
      <c r="F103" s="420">
        <v>97163</v>
      </c>
      <c r="G103" s="420">
        <v>1600</v>
      </c>
      <c r="H103" s="420"/>
      <c r="I103" s="420">
        <v>6810.16</v>
      </c>
      <c r="J103" s="420"/>
      <c r="K103" s="420"/>
      <c r="L103" s="420"/>
      <c r="M103" s="620">
        <f t="shared" si="4"/>
        <v>8410.16</v>
      </c>
      <c r="N103" s="419">
        <v>20.079999999999998</v>
      </c>
      <c r="O103" s="419">
        <v>33555.339999999997</v>
      </c>
      <c r="P103" s="419"/>
      <c r="Q103" s="419"/>
      <c r="R103" s="419"/>
      <c r="S103" s="419"/>
      <c r="T103" s="419"/>
      <c r="U103" s="419"/>
      <c r="V103" s="621">
        <f t="shared" si="5"/>
        <v>33555.339999999997</v>
      </c>
      <c r="W103" s="419"/>
      <c r="X103" s="419">
        <v>11224.73</v>
      </c>
      <c r="Y103" s="419"/>
      <c r="Z103" s="419">
        <v>0</v>
      </c>
      <c r="AA103" s="419"/>
      <c r="AB103" s="419"/>
      <c r="AC103" s="419">
        <v>0</v>
      </c>
      <c r="AD103" s="419">
        <v>552.83000000000004</v>
      </c>
      <c r="AE103" s="419"/>
      <c r="AF103" s="419">
        <v>53763.14</v>
      </c>
      <c r="AG103" s="419">
        <v>0</v>
      </c>
    </row>
    <row r="104" spans="1:33" ht="15.75" thickBot="1" x14ac:dyDescent="0.3">
      <c r="A104" s="401">
        <v>42491</v>
      </c>
      <c r="B104" s="432" t="s">
        <v>686</v>
      </c>
      <c r="C104" s="418" t="s">
        <v>26</v>
      </c>
      <c r="D104" s="316" t="s">
        <v>875</v>
      </c>
      <c r="E104" s="419">
        <v>4243694.84</v>
      </c>
      <c r="F104" s="419">
        <v>4489661</v>
      </c>
      <c r="G104" s="419">
        <v>1163741.45</v>
      </c>
      <c r="H104" s="419"/>
      <c r="I104" s="419">
        <v>886855.67</v>
      </c>
      <c r="J104" s="419"/>
      <c r="K104" s="419"/>
      <c r="L104" s="419"/>
      <c r="M104" s="620">
        <f t="shared" si="4"/>
        <v>2050597.12</v>
      </c>
      <c r="N104" s="420">
        <v>2555.02</v>
      </c>
      <c r="O104" s="420">
        <v>1509712.21</v>
      </c>
      <c r="P104" s="420"/>
      <c r="Q104" s="420"/>
      <c r="R104" s="420"/>
      <c r="S104" s="420"/>
      <c r="T104" s="420"/>
      <c r="U104" s="420"/>
      <c r="V104" s="621">
        <f t="shared" si="5"/>
        <v>1509712.21</v>
      </c>
      <c r="W104" s="420"/>
      <c r="X104" s="420">
        <v>672959.61</v>
      </c>
      <c r="Y104" s="420">
        <v>7870.88</v>
      </c>
      <c r="Z104" s="420">
        <v>0</v>
      </c>
      <c r="AA104" s="420"/>
      <c r="AB104" s="420"/>
      <c r="AC104" s="420">
        <v>1576.65</v>
      </c>
      <c r="AD104" s="420">
        <v>217968.77</v>
      </c>
      <c r="AE104" s="420"/>
      <c r="AF104" s="420">
        <v>4463240.26</v>
      </c>
      <c r="AG104" s="420">
        <v>0</v>
      </c>
    </row>
    <row r="105" spans="1:33" ht="15.75" thickBot="1" x14ac:dyDescent="0.3">
      <c r="A105" s="401">
        <v>42491</v>
      </c>
      <c r="B105" s="432" t="s">
        <v>686</v>
      </c>
      <c r="C105" s="418" t="s">
        <v>707</v>
      </c>
      <c r="D105" s="316" t="s">
        <v>876</v>
      </c>
      <c r="E105" s="420">
        <v>218.07</v>
      </c>
      <c r="F105" s="420">
        <v>268</v>
      </c>
      <c r="G105" s="420">
        <v>40</v>
      </c>
      <c r="H105" s="420"/>
      <c r="I105" s="420">
        <v>57.63</v>
      </c>
      <c r="J105" s="420"/>
      <c r="K105" s="420"/>
      <c r="L105" s="420"/>
      <c r="M105" s="620">
        <f t="shared" si="4"/>
        <v>97.63</v>
      </c>
      <c r="N105" s="419">
        <v>0.15</v>
      </c>
      <c r="O105" s="419">
        <v>93.04</v>
      </c>
      <c r="P105" s="419"/>
      <c r="Q105" s="419"/>
      <c r="R105" s="419"/>
      <c r="S105" s="419"/>
      <c r="T105" s="419"/>
      <c r="U105" s="419"/>
      <c r="V105" s="621">
        <f t="shared" si="5"/>
        <v>93.04</v>
      </c>
      <c r="W105" s="419"/>
      <c r="X105" s="419">
        <v>27.25</v>
      </c>
      <c r="Y105" s="419"/>
      <c r="Z105" s="419"/>
      <c r="AA105" s="419"/>
      <c r="AB105" s="419"/>
      <c r="AC105" s="419">
        <v>0</v>
      </c>
      <c r="AD105" s="419">
        <v>13.08</v>
      </c>
      <c r="AE105" s="419"/>
      <c r="AF105" s="419">
        <v>231.15</v>
      </c>
      <c r="AG105" s="419">
        <v>0</v>
      </c>
    </row>
    <row r="106" spans="1:33" ht="15.75" thickBot="1" x14ac:dyDescent="0.3">
      <c r="A106" s="401">
        <v>42491</v>
      </c>
      <c r="B106" s="432" t="s">
        <v>686</v>
      </c>
      <c r="C106" s="317" t="s">
        <v>109</v>
      </c>
      <c r="D106" s="317" t="s">
        <v>109</v>
      </c>
      <c r="E106" s="419">
        <v>4243912.91</v>
      </c>
      <c r="F106" s="419">
        <v>4489929</v>
      </c>
      <c r="G106" s="419">
        <v>1163781.45</v>
      </c>
      <c r="H106" s="419"/>
      <c r="I106" s="419">
        <v>886913.3</v>
      </c>
      <c r="J106" s="419"/>
      <c r="K106" s="419"/>
      <c r="L106" s="419"/>
      <c r="M106" s="620">
        <f t="shared" si="4"/>
        <v>2050694.75</v>
      </c>
      <c r="N106" s="420">
        <v>2555.17</v>
      </c>
      <c r="O106" s="420">
        <v>1509805.25</v>
      </c>
      <c r="P106" s="420"/>
      <c r="Q106" s="420"/>
      <c r="R106" s="420"/>
      <c r="S106" s="420"/>
      <c r="T106" s="420"/>
      <c r="U106" s="420"/>
      <c r="V106" s="621">
        <f t="shared" si="5"/>
        <v>1509805.25</v>
      </c>
      <c r="W106" s="420"/>
      <c r="X106" s="420">
        <v>672986.86</v>
      </c>
      <c r="Y106" s="420">
        <v>7870.88</v>
      </c>
      <c r="Z106" s="420">
        <v>0</v>
      </c>
      <c r="AA106" s="420"/>
      <c r="AB106" s="420"/>
      <c r="AC106" s="420">
        <v>1576.65</v>
      </c>
      <c r="AD106" s="420">
        <v>217981.85</v>
      </c>
      <c r="AE106" s="420"/>
      <c r="AF106" s="420">
        <v>4463471.41</v>
      </c>
      <c r="AG106" s="420">
        <v>0</v>
      </c>
    </row>
    <row r="107" spans="1:33" ht="15.75" thickBot="1" x14ac:dyDescent="0.3">
      <c r="A107" s="401">
        <v>42491</v>
      </c>
      <c r="B107" s="432" t="s">
        <v>686</v>
      </c>
      <c r="C107" s="418" t="s">
        <v>68</v>
      </c>
      <c r="D107" s="316" t="s">
        <v>877</v>
      </c>
      <c r="E107" s="420">
        <v>586.26</v>
      </c>
      <c r="F107" s="420">
        <v>6</v>
      </c>
      <c r="G107" s="420">
        <v>40</v>
      </c>
      <c r="H107" s="420">
        <v>544</v>
      </c>
      <c r="I107" s="420">
        <v>0.2</v>
      </c>
      <c r="J107" s="420"/>
      <c r="K107" s="420"/>
      <c r="L107" s="420"/>
      <c r="M107" s="620">
        <f t="shared" si="4"/>
        <v>584.20000000000005</v>
      </c>
      <c r="N107" s="419"/>
      <c r="O107" s="419">
        <v>2.06</v>
      </c>
      <c r="P107" s="419"/>
      <c r="Q107" s="419"/>
      <c r="R107" s="419"/>
      <c r="S107" s="419"/>
      <c r="T107" s="419"/>
      <c r="U107" s="419"/>
      <c r="V107" s="621">
        <f t="shared" si="5"/>
        <v>2.06</v>
      </c>
      <c r="W107" s="419"/>
      <c r="X107" s="419">
        <v>0</v>
      </c>
      <c r="Y107" s="419"/>
      <c r="Z107" s="419"/>
      <c r="AA107" s="419"/>
      <c r="AB107" s="419"/>
      <c r="AC107" s="419">
        <v>0</v>
      </c>
      <c r="AD107" s="419">
        <v>35.18</v>
      </c>
      <c r="AE107" s="419"/>
      <c r="AF107" s="419">
        <v>621.44000000000005</v>
      </c>
      <c r="AG107" s="419">
        <v>0</v>
      </c>
    </row>
    <row r="108" spans="1:33" ht="15.75" thickBot="1" x14ac:dyDescent="0.3">
      <c r="A108" s="401">
        <v>42491</v>
      </c>
      <c r="B108" s="432" t="s">
        <v>686</v>
      </c>
      <c r="C108" s="317" t="s">
        <v>870</v>
      </c>
      <c r="D108" s="317" t="s">
        <v>870</v>
      </c>
      <c r="E108" s="419">
        <v>586.26</v>
      </c>
      <c r="F108" s="419">
        <v>6</v>
      </c>
      <c r="G108" s="419">
        <v>40</v>
      </c>
      <c r="H108" s="419">
        <v>544</v>
      </c>
      <c r="I108" s="419">
        <v>0.2</v>
      </c>
      <c r="J108" s="419"/>
      <c r="K108" s="419"/>
      <c r="L108" s="419"/>
      <c r="M108" s="620">
        <f t="shared" si="4"/>
        <v>584.20000000000005</v>
      </c>
      <c r="N108" s="420"/>
      <c r="O108" s="420">
        <v>2.06</v>
      </c>
      <c r="P108" s="420"/>
      <c r="Q108" s="420"/>
      <c r="R108" s="420"/>
      <c r="S108" s="420"/>
      <c r="T108" s="420"/>
      <c r="U108" s="420"/>
      <c r="V108" s="621"/>
      <c r="W108" s="420"/>
      <c r="X108" s="420">
        <v>0</v>
      </c>
      <c r="Y108" s="420"/>
      <c r="Z108" s="420"/>
      <c r="AA108" s="420"/>
      <c r="AB108" s="420"/>
      <c r="AC108" s="420">
        <v>0</v>
      </c>
      <c r="AD108" s="420">
        <v>35.18</v>
      </c>
      <c r="AE108" s="420"/>
      <c r="AF108" s="420">
        <v>621.44000000000005</v>
      </c>
      <c r="AG108" s="420">
        <v>0</v>
      </c>
    </row>
    <row r="109" spans="1:33" ht="15.75" thickBot="1" x14ac:dyDescent="0.3">
      <c r="A109" s="401">
        <v>42491</v>
      </c>
      <c r="B109" s="432" t="s">
        <v>686</v>
      </c>
      <c r="C109" s="418" t="s">
        <v>878</v>
      </c>
      <c r="D109" s="316" t="s">
        <v>879</v>
      </c>
      <c r="E109" s="420">
        <v>35180.11</v>
      </c>
      <c r="F109" s="420">
        <v>55847</v>
      </c>
      <c r="G109" s="420">
        <v>1340.02</v>
      </c>
      <c r="H109" s="420"/>
      <c r="I109" s="420">
        <v>10165.44</v>
      </c>
      <c r="J109" s="420"/>
      <c r="K109" s="420"/>
      <c r="L109" s="420"/>
      <c r="M109" s="620">
        <f t="shared" si="4"/>
        <v>11505.460000000001</v>
      </c>
      <c r="N109" s="419">
        <v>0</v>
      </c>
      <c r="O109" s="419">
        <v>19524.919999999998</v>
      </c>
      <c r="P109" s="419"/>
      <c r="Q109" s="419"/>
      <c r="R109" s="419"/>
      <c r="S109" s="419"/>
      <c r="T109" s="419"/>
      <c r="U109" s="419"/>
      <c r="V109" s="419">
        <v>19524.919999999998</v>
      </c>
      <c r="W109" s="419"/>
      <c r="X109" s="419">
        <v>4149.7299999999996</v>
      </c>
      <c r="Y109" s="419"/>
      <c r="Z109" s="419"/>
      <c r="AA109" s="419"/>
      <c r="AB109" s="419"/>
      <c r="AC109" s="419">
        <v>0</v>
      </c>
      <c r="AD109" s="419">
        <v>2088.13</v>
      </c>
      <c r="AE109" s="419"/>
      <c r="AF109" s="419">
        <v>37268.239999999998</v>
      </c>
      <c r="AG109" s="419">
        <v>0</v>
      </c>
    </row>
    <row r="110" spans="1:33" ht="15.75" thickBot="1" x14ac:dyDescent="0.3">
      <c r="A110" s="401">
        <v>42491</v>
      </c>
      <c r="B110" s="432"/>
      <c r="C110" s="418" t="s">
        <v>31</v>
      </c>
      <c r="D110" s="316" t="s">
        <v>880</v>
      </c>
      <c r="E110" s="419">
        <v>481855.86</v>
      </c>
      <c r="F110" s="419">
        <v>772368</v>
      </c>
      <c r="G110" s="419">
        <v>23859.75</v>
      </c>
      <c r="H110" s="419"/>
      <c r="I110" s="419">
        <v>142648.43</v>
      </c>
      <c r="J110" s="419"/>
      <c r="K110" s="419"/>
      <c r="L110" s="419"/>
      <c r="M110" s="620"/>
      <c r="N110" s="419"/>
      <c r="O110" s="419">
        <v>259081.93</v>
      </c>
      <c r="P110" s="419"/>
      <c r="Q110" s="419"/>
      <c r="R110" s="419"/>
      <c r="S110" s="419"/>
      <c r="T110" s="419"/>
      <c r="U110" s="419"/>
      <c r="V110" s="419">
        <v>259081.93</v>
      </c>
      <c r="W110" s="419"/>
      <c r="X110" s="419">
        <v>56265.75</v>
      </c>
      <c r="Y110" s="419"/>
      <c r="Z110" s="419"/>
      <c r="AA110" s="419"/>
      <c r="AB110" s="419"/>
      <c r="AC110" s="419">
        <v>-17.66</v>
      </c>
      <c r="AD110" s="419">
        <v>27034.2</v>
      </c>
      <c r="AE110" s="419"/>
      <c r="AF110" s="419">
        <v>508872.4</v>
      </c>
      <c r="AG110" s="419">
        <v>0</v>
      </c>
    </row>
    <row r="111" spans="1:33" ht="15.75" thickBot="1" x14ac:dyDescent="0.3">
      <c r="A111" s="401">
        <v>42491</v>
      </c>
      <c r="B111" s="432" t="s">
        <v>686</v>
      </c>
      <c r="C111" s="317" t="s">
        <v>118</v>
      </c>
      <c r="D111" s="317" t="s">
        <v>118</v>
      </c>
      <c r="E111" s="420">
        <v>517035.97</v>
      </c>
      <c r="F111" s="420">
        <v>828215</v>
      </c>
      <c r="G111" s="420">
        <v>25199.77</v>
      </c>
      <c r="H111" s="420"/>
      <c r="I111" s="420">
        <v>152813.87</v>
      </c>
      <c r="J111" s="420"/>
      <c r="K111" s="420"/>
      <c r="L111" s="420"/>
      <c r="M111" s="620">
        <f t="shared" si="4"/>
        <v>178013.63999999998</v>
      </c>
      <c r="N111" s="420">
        <v>0</v>
      </c>
      <c r="O111" s="420">
        <v>278606.84999999998</v>
      </c>
      <c r="P111" s="420"/>
      <c r="Q111" s="420"/>
      <c r="R111" s="420"/>
      <c r="S111" s="420"/>
      <c r="T111" s="420"/>
      <c r="U111" s="420"/>
      <c r="V111" s="621">
        <f t="shared" si="5"/>
        <v>278606.84999999998</v>
      </c>
      <c r="W111" s="420"/>
      <c r="X111" s="420">
        <v>60415.48</v>
      </c>
      <c r="Y111" s="420"/>
      <c r="Z111" s="420"/>
      <c r="AA111" s="420"/>
      <c r="AB111" s="420"/>
      <c r="AC111" s="420">
        <v>-17.66</v>
      </c>
      <c r="AD111" s="420">
        <v>29122.33</v>
      </c>
      <c r="AE111" s="420"/>
      <c r="AF111" s="420">
        <v>546140.64</v>
      </c>
      <c r="AG111" s="420">
        <v>0</v>
      </c>
    </row>
    <row r="112" spans="1:33" ht="15.75" thickBot="1" x14ac:dyDescent="0.3">
      <c r="A112" s="401">
        <v>42491</v>
      </c>
      <c r="B112" s="432" t="s">
        <v>686</v>
      </c>
      <c r="C112" s="418" t="s">
        <v>35</v>
      </c>
      <c r="D112" s="316" t="s">
        <v>36</v>
      </c>
      <c r="E112" s="419">
        <v>10104712.439999999</v>
      </c>
      <c r="F112" s="419">
        <v>7313646</v>
      </c>
      <c r="G112" s="419">
        <v>3987186.11</v>
      </c>
      <c r="H112" s="419"/>
      <c r="I112" s="419">
        <v>2098467.94</v>
      </c>
      <c r="J112" s="419"/>
      <c r="K112" s="419"/>
      <c r="L112" s="419"/>
      <c r="M112" s="620">
        <f t="shared" si="4"/>
        <v>6085654.0499999998</v>
      </c>
      <c r="N112" s="419">
        <v>79350.929999999993</v>
      </c>
      <c r="O112" s="419">
        <v>2463977.42</v>
      </c>
      <c r="P112" s="419"/>
      <c r="Q112" s="419"/>
      <c r="R112" s="419"/>
      <c r="S112" s="419"/>
      <c r="T112" s="419"/>
      <c r="U112" s="419"/>
      <c r="V112" s="621">
        <f t="shared" si="5"/>
        <v>2463977.42</v>
      </c>
      <c r="W112" s="419"/>
      <c r="X112" s="419">
        <v>1480555.95</v>
      </c>
      <c r="Y112" s="419">
        <v>-4825.91</v>
      </c>
      <c r="Z112" s="419"/>
      <c r="AA112" s="419"/>
      <c r="AB112" s="419">
        <v>74549</v>
      </c>
      <c r="AC112" s="419">
        <v>2500.14</v>
      </c>
      <c r="AD112" s="419">
        <v>42359.18</v>
      </c>
      <c r="AE112" s="419"/>
      <c r="AF112" s="419">
        <v>10224120.76</v>
      </c>
      <c r="AG112" s="419">
        <v>0</v>
      </c>
    </row>
    <row r="113" spans="1:33" ht="15.75" thickBot="1" x14ac:dyDescent="0.3">
      <c r="A113" s="401">
        <v>42491</v>
      </c>
      <c r="B113" s="432" t="s">
        <v>686</v>
      </c>
      <c r="C113" s="317" t="s">
        <v>129</v>
      </c>
      <c r="D113" s="317" t="s">
        <v>129</v>
      </c>
      <c r="E113" s="420">
        <v>10104712.439999999</v>
      </c>
      <c r="F113" s="420">
        <v>7313646</v>
      </c>
      <c r="G113" s="420">
        <v>3987186.11</v>
      </c>
      <c r="H113" s="420"/>
      <c r="I113" s="420">
        <v>2098467.94</v>
      </c>
      <c r="J113" s="420"/>
      <c r="K113" s="420"/>
      <c r="L113" s="420"/>
      <c r="M113" s="620">
        <f t="shared" si="4"/>
        <v>6085654.0499999998</v>
      </c>
      <c r="N113" s="420">
        <v>79350.929999999993</v>
      </c>
      <c r="O113" s="420">
        <v>2463977.42</v>
      </c>
      <c r="P113" s="420"/>
      <c r="Q113" s="420"/>
      <c r="R113" s="420"/>
      <c r="S113" s="420"/>
      <c r="T113" s="420"/>
      <c r="U113" s="420"/>
      <c r="V113" s="621">
        <f t="shared" si="5"/>
        <v>2463977.42</v>
      </c>
      <c r="W113" s="420"/>
      <c r="X113" s="420">
        <v>1480555.95</v>
      </c>
      <c r="Y113" s="420">
        <v>-4825.91</v>
      </c>
      <c r="Z113" s="420"/>
      <c r="AA113" s="420"/>
      <c r="AB113" s="420">
        <v>74549</v>
      </c>
      <c r="AC113" s="420">
        <v>2500.14</v>
      </c>
      <c r="AD113" s="420">
        <v>42359.18</v>
      </c>
      <c r="AE113" s="420"/>
      <c r="AF113" s="420">
        <v>10224120.76</v>
      </c>
      <c r="AG113" s="420">
        <v>0</v>
      </c>
    </row>
    <row r="114" spans="1:33" ht="15.75" thickBot="1" x14ac:dyDescent="0.3">
      <c r="A114" s="401">
        <v>42491</v>
      </c>
      <c r="B114" s="432" t="s">
        <v>686</v>
      </c>
      <c r="C114" s="418" t="s">
        <v>29</v>
      </c>
      <c r="D114" s="316" t="s">
        <v>30</v>
      </c>
      <c r="E114" s="419">
        <v>25098.63</v>
      </c>
      <c r="F114" s="419">
        <v>612</v>
      </c>
      <c r="G114" s="419">
        <v>24760</v>
      </c>
      <c r="H114" s="419"/>
      <c r="I114" s="419">
        <v>134.55000000000001</v>
      </c>
      <c r="J114" s="419"/>
      <c r="K114" s="419"/>
      <c r="L114" s="419"/>
      <c r="M114" s="620">
        <f t="shared" si="4"/>
        <v>24894.55</v>
      </c>
      <c r="N114" s="419">
        <v>0</v>
      </c>
      <c r="O114" s="419">
        <v>204.08</v>
      </c>
      <c r="P114" s="419"/>
      <c r="Q114" s="419"/>
      <c r="R114" s="419"/>
      <c r="S114" s="419"/>
      <c r="T114" s="419"/>
      <c r="U114" s="419"/>
      <c r="V114" s="621">
        <f t="shared" si="5"/>
        <v>204.08</v>
      </c>
      <c r="W114" s="419"/>
      <c r="X114" s="419"/>
      <c r="Y114" s="419"/>
      <c r="Z114" s="419">
        <v>0</v>
      </c>
      <c r="AA114" s="419"/>
      <c r="AB114" s="419"/>
      <c r="AC114" s="419">
        <v>2.44</v>
      </c>
      <c r="AD114" s="419">
        <v>1588.61</v>
      </c>
      <c r="AE114" s="419"/>
      <c r="AF114" s="419">
        <v>26689.68</v>
      </c>
      <c r="AG114" s="419">
        <v>0</v>
      </c>
    </row>
    <row r="115" spans="1:33" ht="15.75" thickBot="1" x14ac:dyDescent="0.3">
      <c r="A115" s="401">
        <v>42491</v>
      </c>
      <c r="B115" s="432" t="s">
        <v>686</v>
      </c>
      <c r="C115" s="317" t="s">
        <v>687</v>
      </c>
      <c r="D115" s="317" t="s">
        <v>687</v>
      </c>
      <c r="E115" s="420">
        <v>25098.63</v>
      </c>
      <c r="F115" s="420">
        <v>612</v>
      </c>
      <c r="G115" s="420">
        <v>24760</v>
      </c>
      <c r="H115" s="420"/>
      <c r="I115" s="420">
        <v>134.55000000000001</v>
      </c>
      <c r="J115" s="420"/>
      <c r="K115" s="420"/>
      <c r="L115" s="420"/>
      <c r="M115" s="620">
        <f t="shared" si="4"/>
        <v>24894.55</v>
      </c>
      <c r="N115" s="420">
        <v>0</v>
      </c>
      <c r="O115" s="420">
        <v>204.08</v>
      </c>
      <c r="P115" s="420"/>
      <c r="Q115" s="420"/>
      <c r="R115" s="420"/>
      <c r="S115" s="420"/>
      <c r="T115" s="420"/>
      <c r="U115" s="420"/>
      <c r="V115" s="621">
        <f t="shared" si="5"/>
        <v>204.08</v>
      </c>
      <c r="W115" s="420"/>
      <c r="X115" s="420"/>
      <c r="Y115" s="420"/>
      <c r="Z115" s="420">
        <v>0</v>
      </c>
      <c r="AA115" s="420"/>
      <c r="AB115" s="420"/>
      <c r="AC115" s="420">
        <v>2.44</v>
      </c>
      <c r="AD115" s="420">
        <v>1588.61</v>
      </c>
      <c r="AE115" s="420"/>
      <c r="AF115" s="420">
        <v>26689.68</v>
      </c>
      <c r="AG115" s="420">
        <v>0</v>
      </c>
    </row>
    <row r="116" spans="1:33" ht="15.75" thickBot="1" x14ac:dyDescent="0.3">
      <c r="A116" s="401">
        <v>42491</v>
      </c>
      <c r="B116" s="432" t="s">
        <v>686</v>
      </c>
      <c r="C116" s="418" t="s">
        <v>37</v>
      </c>
      <c r="D116" s="316" t="s">
        <v>38</v>
      </c>
      <c r="E116" s="419">
        <v>276.66000000000003</v>
      </c>
      <c r="F116" s="419">
        <v>346</v>
      </c>
      <c r="G116" s="419">
        <v>40.5</v>
      </c>
      <c r="H116" s="419"/>
      <c r="I116" s="419">
        <v>99.28</v>
      </c>
      <c r="J116" s="419"/>
      <c r="K116" s="419"/>
      <c r="L116" s="419"/>
      <c r="M116" s="620">
        <f t="shared" si="4"/>
        <v>139.78</v>
      </c>
      <c r="N116" s="419">
        <v>3.75</v>
      </c>
      <c r="O116" s="419">
        <v>118.01</v>
      </c>
      <c r="P116" s="419"/>
      <c r="Q116" s="419"/>
      <c r="R116" s="419"/>
      <c r="S116" s="419"/>
      <c r="T116" s="419"/>
      <c r="U116" s="419"/>
      <c r="V116" s="621">
        <f t="shared" si="5"/>
        <v>118.01</v>
      </c>
      <c r="W116" s="419"/>
      <c r="X116" s="419">
        <v>15.12</v>
      </c>
      <c r="Y116" s="419"/>
      <c r="Z116" s="419"/>
      <c r="AA116" s="419"/>
      <c r="AB116" s="419"/>
      <c r="AC116" s="419">
        <v>0</v>
      </c>
      <c r="AD116" s="419">
        <v>0</v>
      </c>
      <c r="AE116" s="419"/>
      <c r="AF116" s="419">
        <v>276.66000000000003</v>
      </c>
      <c r="AG116" s="419">
        <v>0</v>
      </c>
    </row>
    <row r="117" spans="1:33" ht="15.75" thickBot="1" x14ac:dyDescent="0.3">
      <c r="A117" s="401">
        <v>42491</v>
      </c>
      <c r="B117" s="432" t="s">
        <v>686</v>
      </c>
      <c r="C117" s="317" t="s">
        <v>688</v>
      </c>
      <c r="D117" s="317" t="s">
        <v>688</v>
      </c>
      <c r="E117" s="420">
        <v>276.66000000000003</v>
      </c>
      <c r="F117" s="420">
        <v>346</v>
      </c>
      <c r="G117" s="420">
        <v>40.5</v>
      </c>
      <c r="H117" s="420"/>
      <c r="I117" s="420">
        <v>99.28</v>
      </c>
      <c r="J117" s="420"/>
      <c r="K117" s="420"/>
      <c r="L117" s="420"/>
      <c r="M117" s="620">
        <f t="shared" si="4"/>
        <v>139.78</v>
      </c>
      <c r="N117" s="420">
        <v>3.75</v>
      </c>
      <c r="O117" s="420">
        <v>118.01</v>
      </c>
      <c r="P117" s="420"/>
      <c r="Q117" s="420"/>
      <c r="R117" s="420"/>
      <c r="S117" s="420"/>
      <c r="T117" s="420"/>
      <c r="U117" s="420"/>
      <c r="V117" s="621">
        <f t="shared" si="5"/>
        <v>118.01</v>
      </c>
      <c r="W117" s="420"/>
      <c r="X117" s="420">
        <v>15.12</v>
      </c>
      <c r="Y117" s="420"/>
      <c r="Z117" s="420"/>
      <c r="AA117" s="420"/>
      <c r="AB117" s="420"/>
      <c r="AC117" s="420">
        <v>0</v>
      </c>
      <c r="AD117" s="420">
        <v>0</v>
      </c>
      <c r="AE117" s="420"/>
      <c r="AF117" s="420">
        <v>276.66000000000003</v>
      </c>
      <c r="AG117" s="420">
        <v>0</v>
      </c>
    </row>
    <row r="118" spans="1:33" ht="15.75" thickBot="1" x14ac:dyDescent="0.3">
      <c r="A118" s="401">
        <v>42491</v>
      </c>
      <c r="B118" s="432" t="s">
        <v>522</v>
      </c>
      <c r="C118" s="418" t="s">
        <v>50</v>
      </c>
      <c r="D118" s="316" t="s">
        <v>881</v>
      </c>
      <c r="E118" s="420">
        <v>29481.18</v>
      </c>
      <c r="F118" s="420">
        <v>539274</v>
      </c>
      <c r="G118" s="420">
        <v>5500</v>
      </c>
      <c r="H118" s="420"/>
      <c r="I118" s="420">
        <v>23199.56</v>
      </c>
      <c r="J118" s="420">
        <v>107.29</v>
      </c>
      <c r="K118" s="420"/>
      <c r="L118" s="420">
        <v>192.45</v>
      </c>
      <c r="M118" s="620">
        <f t="shared" si="4"/>
        <v>28999.300000000003</v>
      </c>
      <c r="N118" s="420">
        <v>307.39</v>
      </c>
      <c r="O118" s="420"/>
      <c r="P118" s="420"/>
      <c r="Q118" s="420">
        <v>0</v>
      </c>
      <c r="R118" s="420">
        <v>174.49</v>
      </c>
      <c r="S118" s="420"/>
      <c r="T118" s="420"/>
      <c r="U118" s="420"/>
      <c r="V118" s="621">
        <f t="shared" si="5"/>
        <v>174.49</v>
      </c>
      <c r="W118" s="420"/>
      <c r="X118" s="420"/>
      <c r="Y118" s="420"/>
      <c r="Z118" s="420"/>
      <c r="AA118" s="420"/>
      <c r="AB118" s="420"/>
      <c r="AC118" s="420">
        <v>0</v>
      </c>
      <c r="AD118" s="420">
        <v>546.79</v>
      </c>
      <c r="AE118" s="420"/>
      <c r="AF118" s="420">
        <v>30027.97</v>
      </c>
      <c r="AG118" s="420">
        <v>0</v>
      </c>
    </row>
    <row r="119" spans="1:33" ht="15.75" thickBot="1" x14ac:dyDescent="0.3">
      <c r="A119" s="401">
        <v>42491</v>
      </c>
      <c r="B119" s="432" t="s">
        <v>522</v>
      </c>
      <c r="C119" s="418" t="s">
        <v>52</v>
      </c>
      <c r="D119" s="316" t="s">
        <v>882</v>
      </c>
      <c r="E119" s="419">
        <v>413830.57</v>
      </c>
      <c r="F119" s="419">
        <v>8735727</v>
      </c>
      <c r="G119" s="419">
        <v>35200</v>
      </c>
      <c r="H119" s="419"/>
      <c r="I119" s="419">
        <v>375810.98</v>
      </c>
      <c r="J119" s="419">
        <v>1601.59</v>
      </c>
      <c r="K119" s="419"/>
      <c r="L119" s="419">
        <v>684.83</v>
      </c>
      <c r="M119" s="620">
        <f t="shared" si="4"/>
        <v>413297.4</v>
      </c>
      <c r="N119" s="419"/>
      <c r="O119" s="419"/>
      <c r="P119" s="419"/>
      <c r="Q119" s="419">
        <v>0</v>
      </c>
      <c r="R119" s="419">
        <v>620.94000000000005</v>
      </c>
      <c r="S119" s="419"/>
      <c r="T119" s="419">
        <v>-87.77</v>
      </c>
      <c r="U119" s="419"/>
      <c r="V119" s="621">
        <f t="shared" si="5"/>
        <v>533.17000000000007</v>
      </c>
      <c r="W119" s="419"/>
      <c r="X119" s="419"/>
      <c r="Y119" s="419"/>
      <c r="Z119" s="419"/>
      <c r="AA119" s="419"/>
      <c r="AB119" s="419"/>
      <c r="AC119" s="419">
        <v>0</v>
      </c>
      <c r="AD119" s="419">
        <v>18897.599999999999</v>
      </c>
      <c r="AE119" s="419"/>
      <c r="AF119" s="419">
        <v>432728.17</v>
      </c>
      <c r="AG119" s="419">
        <v>0</v>
      </c>
    </row>
    <row r="120" spans="1:33" ht="15.75" thickBot="1" x14ac:dyDescent="0.3">
      <c r="A120" s="401">
        <v>42491</v>
      </c>
      <c r="B120" s="432" t="s">
        <v>522</v>
      </c>
      <c r="C120" s="317" t="s">
        <v>49</v>
      </c>
      <c r="D120" s="317" t="s">
        <v>49</v>
      </c>
      <c r="E120" s="420">
        <v>443311.75</v>
      </c>
      <c r="F120" s="420">
        <v>9275001</v>
      </c>
      <c r="G120" s="420">
        <v>40700</v>
      </c>
      <c r="H120" s="420"/>
      <c r="I120" s="420">
        <v>399010.54</v>
      </c>
      <c r="J120" s="420">
        <v>1708.88</v>
      </c>
      <c r="K120" s="420"/>
      <c r="L120" s="420">
        <v>877.28</v>
      </c>
      <c r="M120" s="620">
        <f t="shared" si="4"/>
        <v>442296.7</v>
      </c>
      <c r="N120" s="420">
        <v>307.39</v>
      </c>
      <c r="O120" s="420"/>
      <c r="P120" s="420"/>
      <c r="Q120" s="420">
        <v>0</v>
      </c>
      <c r="R120" s="420">
        <v>795.43</v>
      </c>
      <c r="S120" s="420"/>
      <c r="T120" s="420">
        <v>-87.77</v>
      </c>
      <c r="U120" s="420"/>
      <c r="V120" s="621">
        <f t="shared" si="5"/>
        <v>707.66</v>
      </c>
      <c r="W120" s="420"/>
      <c r="X120" s="420"/>
      <c r="Y120" s="420"/>
      <c r="Z120" s="420"/>
      <c r="AA120" s="420"/>
      <c r="AB120" s="420"/>
      <c r="AC120" s="420">
        <v>0</v>
      </c>
      <c r="AD120" s="420">
        <v>19444.39</v>
      </c>
      <c r="AE120" s="420"/>
      <c r="AF120" s="420">
        <v>462756.14</v>
      </c>
      <c r="AG120" s="420">
        <v>0</v>
      </c>
    </row>
    <row r="121" spans="1:33" ht="15.75" thickBot="1" x14ac:dyDescent="0.3">
      <c r="A121" s="401">
        <v>42491</v>
      </c>
      <c r="B121" s="432" t="s">
        <v>522</v>
      </c>
      <c r="C121" s="418" t="s">
        <v>54</v>
      </c>
      <c r="D121" s="316" t="s">
        <v>55</v>
      </c>
      <c r="E121" s="419">
        <v>24514.94</v>
      </c>
      <c r="F121" s="419"/>
      <c r="G121" s="419">
        <v>5250</v>
      </c>
      <c r="H121" s="419"/>
      <c r="I121" s="419">
        <v>0</v>
      </c>
      <c r="J121" s="419"/>
      <c r="K121" s="419"/>
      <c r="L121" s="419">
        <v>10103.77</v>
      </c>
      <c r="M121" s="620">
        <f t="shared" si="4"/>
        <v>15353.77</v>
      </c>
      <c r="N121" s="419"/>
      <c r="O121" s="419"/>
      <c r="P121" s="419"/>
      <c r="Q121" s="419">
        <v>0</v>
      </c>
      <c r="R121" s="419">
        <v>9161.17</v>
      </c>
      <c r="S121" s="419"/>
      <c r="T121" s="419"/>
      <c r="U121" s="419"/>
      <c r="V121" s="621">
        <f t="shared" si="5"/>
        <v>9161.17</v>
      </c>
      <c r="W121" s="419"/>
      <c r="X121" s="419"/>
      <c r="Y121" s="419"/>
      <c r="Z121" s="419"/>
      <c r="AA121" s="419"/>
      <c r="AB121" s="419"/>
      <c r="AC121" s="419">
        <v>0</v>
      </c>
      <c r="AD121" s="419">
        <v>594.04999999999995</v>
      </c>
      <c r="AE121" s="419"/>
      <c r="AF121" s="419">
        <v>25108.99</v>
      </c>
      <c r="AG121" s="419">
        <v>0</v>
      </c>
    </row>
    <row r="122" spans="1:33" ht="15.75" thickBot="1" x14ac:dyDescent="0.3">
      <c r="A122" s="401">
        <v>42491</v>
      </c>
      <c r="B122" s="432" t="s">
        <v>522</v>
      </c>
      <c r="C122" s="317" t="s">
        <v>56</v>
      </c>
      <c r="D122" s="317" t="s">
        <v>56</v>
      </c>
      <c r="E122" s="420">
        <v>24514.94</v>
      </c>
      <c r="F122" s="420"/>
      <c r="G122" s="420">
        <v>5250</v>
      </c>
      <c r="H122" s="420"/>
      <c r="I122" s="420">
        <v>0</v>
      </c>
      <c r="J122" s="420"/>
      <c r="K122" s="420"/>
      <c r="L122" s="420">
        <v>10103.77</v>
      </c>
      <c r="M122" s="620">
        <f t="shared" si="4"/>
        <v>15353.77</v>
      </c>
      <c r="N122" s="420"/>
      <c r="O122" s="420"/>
      <c r="P122" s="420"/>
      <c r="Q122" s="420">
        <v>0</v>
      </c>
      <c r="R122" s="420">
        <v>9161.17</v>
      </c>
      <c r="S122" s="420"/>
      <c r="T122" s="420"/>
      <c r="U122" s="420"/>
      <c r="V122" s="621">
        <f t="shared" si="5"/>
        <v>9161.17</v>
      </c>
      <c r="W122" s="420"/>
      <c r="X122" s="420"/>
      <c r="Y122" s="420"/>
      <c r="Z122" s="420"/>
      <c r="AA122" s="420"/>
      <c r="AB122" s="420"/>
      <c r="AC122" s="420">
        <v>0</v>
      </c>
      <c r="AD122" s="420">
        <v>594.04999999999995</v>
      </c>
      <c r="AE122" s="420"/>
      <c r="AF122" s="420">
        <v>25108.99</v>
      </c>
      <c r="AG122" s="420">
        <v>0</v>
      </c>
    </row>
    <row r="123" spans="1:33" ht="15.75" thickBot="1" x14ac:dyDescent="0.3">
      <c r="A123" s="401">
        <v>42491</v>
      </c>
      <c r="B123" s="432" t="s">
        <v>522</v>
      </c>
      <c r="C123" s="418" t="s">
        <v>93</v>
      </c>
      <c r="D123" s="316" t="s">
        <v>719</v>
      </c>
      <c r="E123" s="419">
        <v>525</v>
      </c>
      <c r="F123" s="419"/>
      <c r="G123" s="419">
        <v>525</v>
      </c>
      <c r="H123" s="419"/>
      <c r="I123" s="419">
        <v>0</v>
      </c>
      <c r="J123" s="419"/>
      <c r="K123" s="419"/>
      <c r="L123" s="419"/>
      <c r="M123" s="620">
        <f t="shared" si="4"/>
        <v>525</v>
      </c>
      <c r="N123" s="419"/>
      <c r="O123" s="419"/>
      <c r="P123" s="419"/>
      <c r="Q123" s="419"/>
      <c r="R123" s="419"/>
      <c r="S123" s="419"/>
      <c r="T123" s="419"/>
      <c r="U123" s="419">
        <v>0</v>
      </c>
      <c r="V123" s="621">
        <f t="shared" si="5"/>
        <v>0</v>
      </c>
      <c r="W123" s="419"/>
      <c r="X123" s="419"/>
      <c r="Y123" s="419"/>
      <c r="Z123" s="419"/>
      <c r="AA123" s="419"/>
      <c r="AB123" s="419"/>
      <c r="AC123" s="419">
        <v>0</v>
      </c>
      <c r="AD123" s="419">
        <v>0</v>
      </c>
      <c r="AE123" s="419"/>
      <c r="AF123" s="419">
        <v>525</v>
      </c>
      <c r="AG123" s="419">
        <v>0</v>
      </c>
    </row>
    <row r="124" spans="1:33" ht="15.75" thickBot="1" x14ac:dyDescent="0.3">
      <c r="A124" s="401">
        <v>42491</v>
      </c>
      <c r="B124" s="432" t="s">
        <v>522</v>
      </c>
      <c r="C124" s="317" t="s">
        <v>720</v>
      </c>
      <c r="D124" s="317" t="s">
        <v>720</v>
      </c>
      <c r="E124" s="420">
        <v>525</v>
      </c>
      <c r="F124" s="420"/>
      <c r="G124" s="420">
        <v>525</v>
      </c>
      <c r="H124" s="420"/>
      <c r="I124" s="420">
        <v>0</v>
      </c>
      <c r="J124" s="420"/>
      <c r="K124" s="420"/>
      <c r="L124" s="420"/>
      <c r="M124" s="620">
        <f t="shared" si="4"/>
        <v>525</v>
      </c>
      <c r="N124" s="420"/>
      <c r="O124" s="420"/>
      <c r="P124" s="420"/>
      <c r="Q124" s="420"/>
      <c r="R124" s="420"/>
      <c r="S124" s="420"/>
      <c r="T124" s="420"/>
      <c r="U124" s="420">
        <v>0</v>
      </c>
      <c r="V124" s="621">
        <f t="shared" si="5"/>
        <v>0</v>
      </c>
      <c r="W124" s="420"/>
      <c r="X124" s="420"/>
      <c r="Y124" s="420"/>
      <c r="Z124" s="420"/>
      <c r="AA124" s="420"/>
      <c r="AB124" s="420"/>
      <c r="AC124" s="420">
        <v>0</v>
      </c>
      <c r="AD124" s="420">
        <v>0</v>
      </c>
      <c r="AE124" s="420"/>
      <c r="AF124" s="420">
        <v>525</v>
      </c>
      <c r="AG124" s="420">
        <v>0</v>
      </c>
    </row>
    <row r="125" spans="1:33" ht="15.75" thickBot="1" x14ac:dyDescent="0.3">
      <c r="A125" s="401">
        <v>42491</v>
      </c>
      <c r="B125" s="432" t="s">
        <v>522</v>
      </c>
      <c r="C125" s="418" t="s">
        <v>96</v>
      </c>
      <c r="D125" s="316" t="s">
        <v>883</v>
      </c>
      <c r="E125" s="419">
        <v>27478.44</v>
      </c>
      <c r="F125" s="419">
        <v>145709</v>
      </c>
      <c r="G125" s="419">
        <v>1100</v>
      </c>
      <c r="H125" s="419"/>
      <c r="I125" s="419">
        <v>10212.74</v>
      </c>
      <c r="J125" s="419"/>
      <c r="K125" s="419"/>
      <c r="L125" s="419"/>
      <c r="M125" s="620">
        <f t="shared" si="4"/>
        <v>11312.74</v>
      </c>
      <c r="N125" s="419"/>
      <c r="O125" s="419">
        <v>0</v>
      </c>
      <c r="P125" s="419"/>
      <c r="Q125" s="419"/>
      <c r="R125" s="419"/>
      <c r="S125" s="419">
        <v>12188.56</v>
      </c>
      <c r="T125" s="419">
        <v>-1419.56</v>
      </c>
      <c r="U125" s="419"/>
      <c r="V125" s="621">
        <f t="shared" si="5"/>
        <v>10769</v>
      </c>
      <c r="W125" s="419"/>
      <c r="X125" s="419">
        <v>5396.7</v>
      </c>
      <c r="Y125" s="419"/>
      <c r="Z125" s="419"/>
      <c r="AA125" s="419">
        <v>0</v>
      </c>
      <c r="AB125" s="419"/>
      <c r="AC125" s="419">
        <v>0</v>
      </c>
      <c r="AD125" s="419">
        <v>0</v>
      </c>
      <c r="AE125" s="419"/>
      <c r="AF125" s="419">
        <v>27478.44</v>
      </c>
      <c r="AG125" s="419">
        <v>0</v>
      </c>
    </row>
    <row r="126" spans="1:33" ht="15.75" thickBot="1" x14ac:dyDescent="0.3">
      <c r="A126" s="401">
        <v>42491</v>
      </c>
      <c r="B126" s="432" t="s">
        <v>522</v>
      </c>
      <c r="C126" s="418" t="s">
        <v>42</v>
      </c>
      <c r="D126" s="316" t="s">
        <v>884</v>
      </c>
      <c r="E126" s="420">
        <v>93003.88</v>
      </c>
      <c r="F126" s="420">
        <v>349035</v>
      </c>
      <c r="G126" s="420">
        <v>2750</v>
      </c>
      <c r="H126" s="420"/>
      <c r="I126" s="420">
        <v>62933.54</v>
      </c>
      <c r="J126" s="420"/>
      <c r="K126" s="420"/>
      <c r="L126" s="420"/>
      <c r="M126" s="620">
        <f t="shared" si="4"/>
        <v>65683.540000000008</v>
      </c>
      <c r="N126" s="420"/>
      <c r="O126" s="420">
        <v>0</v>
      </c>
      <c r="P126" s="420"/>
      <c r="Q126" s="420"/>
      <c r="R126" s="420"/>
      <c r="S126" s="420">
        <v>29196.78</v>
      </c>
      <c r="T126" s="420">
        <v>-3106.64</v>
      </c>
      <c r="U126" s="420"/>
      <c r="V126" s="621">
        <f t="shared" si="5"/>
        <v>26090.14</v>
      </c>
      <c r="W126" s="420"/>
      <c r="X126" s="420">
        <v>1230.2</v>
      </c>
      <c r="Y126" s="420"/>
      <c r="Z126" s="420"/>
      <c r="AA126" s="420">
        <v>0</v>
      </c>
      <c r="AB126" s="420"/>
      <c r="AC126" s="420">
        <v>78.31</v>
      </c>
      <c r="AD126" s="420">
        <v>1190.78</v>
      </c>
      <c r="AE126" s="420"/>
      <c r="AF126" s="420">
        <v>94272.97</v>
      </c>
      <c r="AG126" s="420">
        <v>0</v>
      </c>
    </row>
    <row r="127" spans="1:33" ht="15.75" thickBot="1" x14ac:dyDescent="0.3">
      <c r="A127" s="401">
        <v>42491</v>
      </c>
      <c r="B127" s="432" t="s">
        <v>522</v>
      </c>
      <c r="C127" s="317" t="s">
        <v>689</v>
      </c>
      <c r="D127" s="317" t="s">
        <v>689</v>
      </c>
      <c r="E127" s="419">
        <v>120482.32</v>
      </c>
      <c r="F127" s="419">
        <v>494744</v>
      </c>
      <c r="G127" s="419">
        <v>3850</v>
      </c>
      <c r="H127" s="419"/>
      <c r="I127" s="419">
        <v>73146.28</v>
      </c>
      <c r="J127" s="419"/>
      <c r="K127" s="419"/>
      <c r="L127" s="419"/>
      <c r="M127" s="620">
        <f t="shared" si="4"/>
        <v>76996.28</v>
      </c>
      <c r="N127" s="419"/>
      <c r="O127" s="419">
        <v>0</v>
      </c>
      <c r="P127" s="419"/>
      <c r="Q127" s="419"/>
      <c r="R127" s="419"/>
      <c r="S127" s="419">
        <v>41385.339999999997</v>
      </c>
      <c r="T127" s="419">
        <v>-4526.2</v>
      </c>
      <c r="U127" s="419"/>
      <c r="V127" s="621">
        <f t="shared" si="5"/>
        <v>36859.14</v>
      </c>
      <c r="W127" s="419"/>
      <c r="X127" s="419">
        <v>6626.9</v>
      </c>
      <c r="Y127" s="419"/>
      <c r="Z127" s="419"/>
      <c r="AA127" s="419">
        <v>0</v>
      </c>
      <c r="AB127" s="419"/>
      <c r="AC127" s="419">
        <v>78.31</v>
      </c>
      <c r="AD127" s="419">
        <v>1190.78</v>
      </c>
      <c r="AE127" s="419"/>
      <c r="AF127" s="419">
        <v>121751.41</v>
      </c>
      <c r="AG127" s="419">
        <v>0</v>
      </c>
    </row>
    <row r="128" spans="1:33" ht="15.75" thickBot="1" x14ac:dyDescent="0.3">
      <c r="A128" s="401">
        <v>42491</v>
      </c>
      <c r="B128" s="432" t="s">
        <v>690</v>
      </c>
      <c r="C128" s="418" t="s">
        <v>50</v>
      </c>
      <c r="D128" s="316" t="s">
        <v>881</v>
      </c>
      <c r="E128" s="419">
        <v>-590.84</v>
      </c>
      <c r="F128" s="419">
        <v>0</v>
      </c>
      <c r="G128" s="419"/>
      <c r="H128" s="419"/>
      <c r="I128" s="419">
        <v>0</v>
      </c>
      <c r="J128" s="419"/>
      <c r="K128" s="419"/>
      <c r="L128" s="419"/>
      <c r="M128" s="620">
        <f t="shared" si="4"/>
        <v>0</v>
      </c>
      <c r="N128" s="419"/>
      <c r="O128" s="419"/>
      <c r="P128" s="419">
        <v>-577.16</v>
      </c>
      <c r="Q128" s="419"/>
      <c r="R128" s="419"/>
      <c r="S128" s="419"/>
      <c r="T128" s="419"/>
      <c r="U128" s="419"/>
      <c r="V128" s="621">
        <f t="shared" si="5"/>
        <v>-577.16</v>
      </c>
      <c r="W128" s="419">
        <v>-13.68</v>
      </c>
      <c r="X128" s="419"/>
      <c r="Y128" s="419"/>
      <c r="Z128" s="419"/>
      <c r="AA128" s="419"/>
      <c r="AB128" s="419"/>
      <c r="AC128" s="419"/>
      <c r="AD128" s="419">
        <v>-17.73</v>
      </c>
      <c r="AE128" s="419"/>
      <c r="AF128" s="419">
        <v>-608.57000000000005</v>
      </c>
      <c r="AG128" s="419">
        <v>0</v>
      </c>
    </row>
    <row r="129" spans="1:33" ht="15.75" thickBot="1" x14ac:dyDescent="0.3">
      <c r="A129" s="401">
        <v>42491</v>
      </c>
      <c r="B129" s="432" t="s">
        <v>690</v>
      </c>
      <c r="C129" s="418" t="s">
        <v>52</v>
      </c>
      <c r="D129" s="316" t="s">
        <v>882</v>
      </c>
      <c r="E129" s="420">
        <v>1045.49</v>
      </c>
      <c r="F129" s="420">
        <v>6379</v>
      </c>
      <c r="G129" s="420"/>
      <c r="H129" s="420"/>
      <c r="I129" s="420">
        <v>274.42</v>
      </c>
      <c r="J129" s="420"/>
      <c r="K129" s="420"/>
      <c r="L129" s="420"/>
      <c r="M129" s="620">
        <f t="shared" si="4"/>
        <v>274.42</v>
      </c>
      <c r="N129" s="420"/>
      <c r="O129" s="420"/>
      <c r="P129" s="420">
        <v>832.8</v>
      </c>
      <c r="Q129" s="420"/>
      <c r="R129" s="420"/>
      <c r="S129" s="420"/>
      <c r="T129" s="420"/>
      <c r="U129" s="420"/>
      <c r="V129" s="621">
        <f t="shared" si="5"/>
        <v>832.8</v>
      </c>
      <c r="W129" s="420">
        <v>-61.73</v>
      </c>
      <c r="X129" s="420"/>
      <c r="Y129" s="420"/>
      <c r="Z129" s="420"/>
      <c r="AA129" s="420"/>
      <c r="AB129" s="420"/>
      <c r="AC129" s="420"/>
      <c r="AD129" s="420">
        <v>62.74</v>
      </c>
      <c r="AE129" s="420"/>
      <c r="AF129" s="420">
        <v>1108.23</v>
      </c>
      <c r="AG129" s="420">
        <v>0</v>
      </c>
    </row>
    <row r="130" spans="1:33" ht="15.75" thickBot="1" x14ac:dyDescent="0.3">
      <c r="A130" s="401">
        <v>42491</v>
      </c>
      <c r="B130" s="432" t="s">
        <v>690</v>
      </c>
      <c r="C130" s="317" t="s">
        <v>49</v>
      </c>
      <c r="D130" s="317" t="s">
        <v>49</v>
      </c>
      <c r="E130" s="419">
        <v>454.65</v>
      </c>
      <c r="F130" s="419">
        <v>6379</v>
      </c>
      <c r="G130" s="419"/>
      <c r="H130" s="419"/>
      <c r="I130" s="419">
        <v>274.42</v>
      </c>
      <c r="J130" s="419"/>
      <c r="K130" s="419"/>
      <c r="L130" s="419"/>
      <c r="M130" s="620">
        <f t="shared" si="4"/>
        <v>274.42</v>
      </c>
      <c r="N130" s="419"/>
      <c r="O130" s="419"/>
      <c r="P130" s="419">
        <v>255.64</v>
      </c>
      <c r="Q130" s="419"/>
      <c r="R130" s="419"/>
      <c r="S130" s="419"/>
      <c r="T130" s="419"/>
      <c r="U130" s="419"/>
      <c r="V130" s="621">
        <f t="shared" si="5"/>
        <v>255.64</v>
      </c>
      <c r="W130" s="419">
        <v>-75.41</v>
      </c>
      <c r="X130" s="419"/>
      <c r="Y130" s="419"/>
      <c r="Z130" s="419"/>
      <c r="AA130" s="419"/>
      <c r="AB130" s="419"/>
      <c r="AC130" s="419"/>
      <c r="AD130" s="419">
        <v>45.01</v>
      </c>
      <c r="AE130" s="419"/>
      <c r="AF130" s="419">
        <v>499.66</v>
      </c>
      <c r="AG130" s="419">
        <v>0</v>
      </c>
    </row>
    <row r="131" spans="1:33" ht="15.75" thickBot="1" x14ac:dyDescent="0.3">
      <c r="A131" s="401">
        <v>42491</v>
      </c>
      <c r="B131" s="432" t="s">
        <v>690</v>
      </c>
      <c r="C131" s="418" t="s">
        <v>54</v>
      </c>
      <c r="D131" s="316" t="s">
        <v>55</v>
      </c>
      <c r="E131" s="420">
        <v>-26955.77</v>
      </c>
      <c r="F131" s="420"/>
      <c r="G131" s="420"/>
      <c r="H131" s="420"/>
      <c r="I131" s="420"/>
      <c r="J131" s="420"/>
      <c r="K131" s="420"/>
      <c r="L131" s="420"/>
      <c r="M131" s="620">
        <f t="shared" si="4"/>
        <v>0</v>
      </c>
      <c r="N131" s="420"/>
      <c r="O131" s="420"/>
      <c r="P131" s="420">
        <v>-24767.48</v>
      </c>
      <c r="Q131" s="420"/>
      <c r="R131" s="420"/>
      <c r="S131" s="420"/>
      <c r="T131" s="420"/>
      <c r="U131" s="420"/>
      <c r="V131" s="621">
        <f t="shared" si="5"/>
        <v>-24767.48</v>
      </c>
      <c r="W131" s="420">
        <v>-2188.29</v>
      </c>
      <c r="X131" s="420"/>
      <c r="Y131" s="420"/>
      <c r="Z131" s="420"/>
      <c r="AA131" s="420"/>
      <c r="AB131" s="420"/>
      <c r="AC131" s="420"/>
      <c r="AD131" s="420">
        <v>-69.69</v>
      </c>
      <c r="AE131" s="420"/>
      <c r="AF131" s="420">
        <v>-27025.46</v>
      </c>
      <c r="AG131" s="420">
        <v>0</v>
      </c>
    </row>
    <row r="132" spans="1:33" ht="15.75" thickBot="1" x14ac:dyDescent="0.3">
      <c r="A132" s="401">
        <v>42491</v>
      </c>
      <c r="B132" s="432" t="s">
        <v>690</v>
      </c>
      <c r="C132" s="317" t="s">
        <v>56</v>
      </c>
      <c r="D132" s="317" t="s">
        <v>56</v>
      </c>
      <c r="E132" s="419">
        <v>-26955.77</v>
      </c>
      <c r="F132" s="419"/>
      <c r="G132" s="419"/>
      <c r="H132" s="419"/>
      <c r="I132" s="419"/>
      <c r="J132" s="419"/>
      <c r="K132" s="419"/>
      <c r="L132" s="419"/>
      <c r="M132" s="620">
        <f t="shared" si="4"/>
        <v>0</v>
      </c>
      <c r="N132" s="419"/>
      <c r="O132" s="419"/>
      <c r="P132" s="419">
        <v>-24767.48</v>
      </c>
      <c r="Q132" s="419"/>
      <c r="R132" s="419"/>
      <c r="S132" s="419"/>
      <c r="T132" s="419"/>
      <c r="U132" s="419"/>
      <c r="V132" s="621">
        <f t="shared" si="5"/>
        <v>-24767.48</v>
      </c>
      <c r="W132" s="419">
        <v>-2188.29</v>
      </c>
      <c r="X132" s="419"/>
      <c r="Y132" s="419"/>
      <c r="Z132" s="419"/>
      <c r="AA132" s="419"/>
      <c r="AB132" s="419"/>
      <c r="AC132" s="419"/>
      <c r="AD132" s="419">
        <v>-69.69</v>
      </c>
      <c r="AE132" s="419"/>
      <c r="AF132" s="419">
        <v>-27025.46</v>
      </c>
      <c r="AG132" s="419">
        <v>0</v>
      </c>
    </row>
    <row r="133" spans="1:33" ht="15.75" thickBot="1" x14ac:dyDescent="0.3">
      <c r="A133" s="401">
        <v>42491</v>
      </c>
      <c r="B133" s="432" t="s">
        <v>690</v>
      </c>
      <c r="C133" s="418" t="s">
        <v>93</v>
      </c>
      <c r="D133" s="316" t="s">
        <v>719</v>
      </c>
      <c r="E133" s="420">
        <v>12077.36</v>
      </c>
      <c r="F133" s="420"/>
      <c r="G133" s="420"/>
      <c r="H133" s="420"/>
      <c r="I133" s="420"/>
      <c r="J133" s="420"/>
      <c r="K133" s="420"/>
      <c r="L133" s="420"/>
      <c r="M133" s="620">
        <f t="shared" si="4"/>
        <v>0</v>
      </c>
      <c r="N133" s="420"/>
      <c r="O133" s="420"/>
      <c r="P133" s="420">
        <v>12077.36</v>
      </c>
      <c r="Q133" s="420"/>
      <c r="R133" s="420"/>
      <c r="S133" s="420"/>
      <c r="T133" s="420"/>
      <c r="U133" s="420"/>
      <c r="V133" s="621">
        <f t="shared" si="5"/>
        <v>12077.36</v>
      </c>
      <c r="W133" s="420">
        <v>0</v>
      </c>
      <c r="X133" s="420"/>
      <c r="Y133" s="420"/>
      <c r="Z133" s="420"/>
      <c r="AA133" s="420"/>
      <c r="AB133" s="420"/>
      <c r="AC133" s="420"/>
      <c r="AD133" s="420">
        <v>0</v>
      </c>
      <c r="AE133" s="420"/>
      <c r="AF133" s="420">
        <v>12077.36</v>
      </c>
      <c r="AG133" s="420">
        <v>0</v>
      </c>
    </row>
    <row r="134" spans="1:33" ht="15.75" thickBot="1" x14ac:dyDescent="0.3">
      <c r="A134" s="401">
        <v>42491</v>
      </c>
      <c r="B134" s="432" t="s">
        <v>690</v>
      </c>
      <c r="C134" s="317" t="s">
        <v>720</v>
      </c>
      <c r="D134" s="317" t="s">
        <v>720</v>
      </c>
      <c r="E134" s="419">
        <v>12077.36</v>
      </c>
      <c r="F134" s="419"/>
      <c r="G134" s="419"/>
      <c r="H134" s="419"/>
      <c r="I134" s="419"/>
      <c r="J134" s="419"/>
      <c r="K134" s="419"/>
      <c r="L134" s="419"/>
      <c r="M134" s="620">
        <f t="shared" si="4"/>
        <v>0</v>
      </c>
      <c r="N134" s="419"/>
      <c r="O134" s="419"/>
      <c r="P134" s="419">
        <v>12077.36</v>
      </c>
      <c r="Q134" s="419"/>
      <c r="R134" s="419"/>
      <c r="S134" s="419"/>
      <c r="T134" s="419"/>
      <c r="U134" s="419"/>
      <c r="V134" s="621">
        <f t="shared" si="5"/>
        <v>12077.36</v>
      </c>
      <c r="W134" s="419">
        <v>0</v>
      </c>
      <c r="X134" s="419"/>
      <c r="Y134" s="419"/>
      <c r="Z134" s="419"/>
      <c r="AA134" s="419"/>
      <c r="AB134" s="419"/>
      <c r="AC134" s="419"/>
      <c r="AD134" s="419">
        <v>0</v>
      </c>
      <c r="AE134" s="419"/>
      <c r="AF134" s="419">
        <v>12077.36</v>
      </c>
      <c r="AG134" s="419">
        <v>0</v>
      </c>
    </row>
    <row r="135" spans="1:33" ht="15.75" thickBot="1" x14ac:dyDescent="0.3">
      <c r="A135" s="401">
        <v>42491</v>
      </c>
      <c r="B135" s="432" t="s">
        <v>690</v>
      </c>
      <c r="C135" s="418" t="s">
        <v>96</v>
      </c>
      <c r="D135" s="316" t="s">
        <v>883</v>
      </c>
      <c r="E135" s="420">
        <v>800</v>
      </c>
      <c r="F135" s="420"/>
      <c r="G135" s="420">
        <v>800</v>
      </c>
      <c r="H135" s="420"/>
      <c r="I135" s="420"/>
      <c r="J135" s="420"/>
      <c r="K135" s="420"/>
      <c r="L135" s="420"/>
      <c r="M135" s="620">
        <f t="shared" si="4"/>
        <v>800</v>
      </c>
      <c r="N135" s="420"/>
      <c r="O135" s="420"/>
      <c r="P135" s="420"/>
      <c r="Q135" s="420"/>
      <c r="R135" s="420"/>
      <c r="S135" s="420"/>
      <c r="T135" s="420"/>
      <c r="U135" s="420"/>
      <c r="V135" s="621">
        <f t="shared" si="5"/>
        <v>0</v>
      </c>
      <c r="W135" s="420"/>
      <c r="X135" s="420"/>
      <c r="Y135" s="420"/>
      <c r="Z135" s="420"/>
      <c r="AA135" s="420"/>
      <c r="AB135" s="420"/>
      <c r="AC135" s="420"/>
      <c r="AD135" s="420">
        <v>0</v>
      </c>
      <c r="AE135" s="420"/>
      <c r="AF135" s="420">
        <v>800</v>
      </c>
      <c r="AG135" s="420">
        <v>0</v>
      </c>
    </row>
    <row r="136" spans="1:33" ht="15.75" thickBot="1" x14ac:dyDescent="0.3">
      <c r="A136" s="401">
        <v>42491</v>
      </c>
      <c r="B136" s="432" t="s">
        <v>690</v>
      </c>
      <c r="C136" s="418" t="s">
        <v>42</v>
      </c>
      <c r="D136" s="316" t="s">
        <v>884</v>
      </c>
      <c r="E136" s="419">
        <v>900</v>
      </c>
      <c r="F136" s="419">
        <v>0</v>
      </c>
      <c r="G136" s="419">
        <v>900</v>
      </c>
      <c r="H136" s="419"/>
      <c r="I136" s="419">
        <v>0</v>
      </c>
      <c r="J136" s="419"/>
      <c r="K136" s="419"/>
      <c r="L136" s="419"/>
      <c r="M136" s="620">
        <f t="shared" si="4"/>
        <v>900</v>
      </c>
      <c r="N136" s="419"/>
      <c r="O136" s="419"/>
      <c r="P136" s="419"/>
      <c r="Q136" s="419"/>
      <c r="R136" s="419"/>
      <c r="S136" s="419"/>
      <c r="T136" s="419"/>
      <c r="U136" s="419"/>
      <c r="V136" s="621">
        <f t="shared" si="5"/>
        <v>0</v>
      </c>
      <c r="W136" s="419"/>
      <c r="X136" s="419"/>
      <c r="Y136" s="419"/>
      <c r="Z136" s="419"/>
      <c r="AA136" s="419"/>
      <c r="AB136" s="419"/>
      <c r="AC136" s="419"/>
      <c r="AD136" s="419">
        <v>16.2</v>
      </c>
      <c r="AE136" s="419"/>
      <c r="AF136" s="419">
        <v>916.2</v>
      </c>
      <c r="AG136" s="419">
        <v>0</v>
      </c>
    </row>
    <row r="137" spans="1:33" ht="15.75" thickBot="1" x14ac:dyDescent="0.3">
      <c r="A137" s="401">
        <v>42491</v>
      </c>
      <c r="B137" s="432" t="s">
        <v>690</v>
      </c>
      <c r="C137" s="317" t="s">
        <v>689</v>
      </c>
      <c r="D137" s="317" t="s">
        <v>689</v>
      </c>
      <c r="E137" s="420">
        <v>1700</v>
      </c>
      <c r="F137" s="420">
        <v>0</v>
      </c>
      <c r="G137" s="420">
        <v>1700</v>
      </c>
      <c r="H137" s="420"/>
      <c r="I137" s="420">
        <v>0</v>
      </c>
      <c r="J137" s="420"/>
      <c r="K137" s="420"/>
      <c r="L137" s="420"/>
      <c r="M137" s="620">
        <f t="shared" si="4"/>
        <v>1700</v>
      </c>
      <c r="N137" s="420"/>
      <c r="O137" s="420"/>
      <c r="P137" s="420"/>
      <c r="Q137" s="420"/>
      <c r="R137" s="420"/>
      <c r="S137" s="420"/>
      <c r="T137" s="420"/>
      <c r="U137" s="420"/>
      <c r="V137" s="621">
        <f t="shared" si="5"/>
        <v>0</v>
      </c>
      <c r="W137" s="420"/>
      <c r="X137" s="420"/>
      <c r="Y137" s="420"/>
      <c r="Z137" s="420"/>
      <c r="AA137" s="420"/>
      <c r="AB137" s="420"/>
      <c r="AC137" s="420"/>
      <c r="AD137" s="420">
        <v>16.2</v>
      </c>
      <c r="AE137" s="420"/>
      <c r="AF137" s="420">
        <v>1716.2</v>
      </c>
      <c r="AG137" s="420">
        <v>0</v>
      </c>
    </row>
    <row r="138" spans="1:33" ht="15.75" thickBot="1" x14ac:dyDescent="0.3">
      <c r="A138" s="401">
        <v>42491</v>
      </c>
      <c r="B138" s="432" t="s">
        <v>511</v>
      </c>
      <c r="C138" s="622" t="s">
        <v>57</v>
      </c>
      <c r="D138" s="623" t="s">
        <v>1229</v>
      </c>
      <c r="E138" s="420">
        <v>108359.91</v>
      </c>
      <c r="F138" s="420">
        <v>186601</v>
      </c>
      <c r="G138" s="420">
        <v>0</v>
      </c>
      <c r="H138" s="420">
        <v>107140.32</v>
      </c>
      <c r="I138" s="420">
        <v>927.41</v>
      </c>
      <c r="J138" s="420"/>
      <c r="K138" s="420"/>
      <c r="L138" s="420">
        <v>153.24</v>
      </c>
      <c r="M138" s="620">
        <f t="shared" si="4"/>
        <v>108220.97000000002</v>
      </c>
      <c r="N138" s="420"/>
      <c r="O138" s="420"/>
      <c r="P138" s="420"/>
      <c r="Q138" s="420">
        <v>0</v>
      </c>
      <c r="R138" s="420">
        <v>138.94</v>
      </c>
      <c r="S138" s="420"/>
      <c r="T138" s="420"/>
      <c r="U138" s="420"/>
      <c r="V138" s="621">
        <f t="shared" si="5"/>
        <v>138.94</v>
      </c>
      <c r="W138" s="420"/>
      <c r="X138" s="420"/>
      <c r="Y138" s="420"/>
      <c r="Z138" s="420"/>
      <c r="AA138" s="420"/>
      <c r="AB138" s="420"/>
      <c r="AC138" s="420">
        <v>0</v>
      </c>
      <c r="AD138" s="420">
        <v>0</v>
      </c>
      <c r="AE138" s="420"/>
      <c r="AF138" s="420">
        <v>108359.91</v>
      </c>
      <c r="AG138" s="420">
        <v>0</v>
      </c>
    </row>
    <row r="139" spans="1:33" ht="15.75" thickBot="1" x14ac:dyDescent="0.3">
      <c r="A139" s="401">
        <v>42491</v>
      </c>
      <c r="B139" s="432" t="s">
        <v>511</v>
      </c>
      <c r="C139" s="622" t="s">
        <v>45</v>
      </c>
      <c r="D139" s="623" t="s">
        <v>46</v>
      </c>
      <c r="E139" s="419">
        <v>70990.98</v>
      </c>
      <c r="F139" s="419"/>
      <c r="G139" s="419">
        <v>0</v>
      </c>
      <c r="H139" s="419"/>
      <c r="I139" s="419"/>
      <c r="J139" s="419"/>
      <c r="K139" s="419"/>
      <c r="L139" s="419"/>
      <c r="M139" s="620">
        <f t="shared" si="4"/>
        <v>0</v>
      </c>
      <c r="N139" s="419"/>
      <c r="O139" s="419">
        <v>70731.44</v>
      </c>
      <c r="P139" s="419"/>
      <c r="Q139" s="419"/>
      <c r="R139" s="419"/>
      <c r="S139" s="419"/>
      <c r="T139" s="419"/>
      <c r="U139" s="419"/>
      <c r="V139" s="621">
        <f t="shared" si="5"/>
        <v>70731.44</v>
      </c>
      <c r="W139" s="419"/>
      <c r="X139" s="419">
        <v>259.54000000000002</v>
      </c>
      <c r="Y139" s="419"/>
      <c r="Z139" s="419"/>
      <c r="AA139" s="419"/>
      <c r="AB139" s="419"/>
      <c r="AC139" s="419">
        <v>0</v>
      </c>
      <c r="AD139" s="419">
        <v>0</v>
      </c>
      <c r="AE139" s="419"/>
      <c r="AF139" s="419">
        <v>70990.98</v>
      </c>
      <c r="AG139" s="419">
        <v>0</v>
      </c>
    </row>
    <row r="140" spans="1:33" ht="15.75" thickBot="1" x14ac:dyDescent="0.3">
      <c r="A140" s="401">
        <v>42491</v>
      </c>
      <c r="B140" s="432" t="s">
        <v>511</v>
      </c>
      <c r="C140" s="624" t="s">
        <v>687</v>
      </c>
      <c r="D140" s="624" t="s">
        <v>687</v>
      </c>
      <c r="E140" s="420">
        <v>179350.89</v>
      </c>
      <c r="F140" s="420">
        <v>186601</v>
      </c>
      <c r="G140" s="420">
        <v>0</v>
      </c>
      <c r="H140" s="420">
        <v>107140.32</v>
      </c>
      <c r="I140" s="420">
        <v>927.41</v>
      </c>
      <c r="J140" s="420"/>
      <c r="K140" s="420"/>
      <c r="L140" s="420">
        <v>153.24</v>
      </c>
      <c r="M140" s="620">
        <f t="shared" si="4"/>
        <v>108220.97000000002</v>
      </c>
      <c r="N140" s="420"/>
      <c r="O140" s="420">
        <v>70731.44</v>
      </c>
      <c r="P140" s="420"/>
      <c r="Q140" s="420">
        <v>0</v>
      </c>
      <c r="R140" s="420">
        <v>138.94</v>
      </c>
      <c r="S140" s="420"/>
      <c r="T140" s="420"/>
      <c r="U140" s="420"/>
      <c r="V140" s="621">
        <f t="shared" si="5"/>
        <v>70870.38</v>
      </c>
      <c r="W140" s="420"/>
      <c r="X140" s="420">
        <v>259.54000000000002</v>
      </c>
      <c r="Y140" s="420"/>
      <c r="Z140" s="420"/>
      <c r="AA140" s="420"/>
      <c r="AB140" s="420"/>
      <c r="AC140" s="420">
        <v>0</v>
      </c>
      <c r="AD140" s="420">
        <v>0</v>
      </c>
      <c r="AE140" s="420"/>
      <c r="AF140" s="420">
        <v>179350.89</v>
      </c>
      <c r="AG140" s="420">
        <v>0</v>
      </c>
    </row>
    <row r="141" spans="1:33" ht="15.75" thickBot="1" x14ac:dyDescent="0.3">
      <c r="A141" s="401">
        <v>42491</v>
      </c>
      <c r="B141" s="432" t="s">
        <v>698</v>
      </c>
      <c r="C141" s="622" t="s">
        <v>57</v>
      </c>
      <c r="D141" s="623" t="s">
        <v>1228</v>
      </c>
      <c r="E141" s="419">
        <v>-348.68</v>
      </c>
      <c r="F141" s="419">
        <v>0</v>
      </c>
      <c r="G141" s="419">
        <v>800</v>
      </c>
      <c r="H141" s="419"/>
      <c r="I141" s="419">
        <v>0</v>
      </c>
      <c r="J141" s="419"/>
      <c r="K141" s="419"/>
      <c r="L141" s="419"/>
      <c r="M141" s="620">
        <f t="shared" si="4"/>
        <v>800</v>
      </c>
      <c r="N141" s="419"/>
      <c r="O141" s="419"/>
      <c r="P141" s="419">
        <v>-1092.26</v>
      </c>
      <c r="Q141" s="419"/>
      <c r="R141" s="419"/>
      <c r="S141" s="419"/>
      <c r="T141" s="419"/>
      <c r="U141" s="419"/>
      <c r="V141" s="621">
        <f t="shared" si="5"/>
        <v>-1092.26</v>
      </c>
      <c r="W141" s="419">
        <v>-56.42</v>
      </c>
      <c r="X141" s="419"/>
      <c r="Y141" s="419"/>
      <c r="Z141" s="419"/>
      <c r="AA141" s="419"/>
      <c r="AB141" s="419"/>
      <c r="AC141" s="419"/>
      <c r="AD141" s="419">
        <v>0</v>
      </c>
      <c r="AE141" s="419"/>
      <c r="AF141" s="419">
        <v>-348.68</v>
      </c>
      <c r="AG141" s="419">
        <v>0</v>
      </c>
    </row>
    <row r="142" spans="1:33" ht="15.75" thickBot="1" x14ac:dyDescent="0.3">
      <c r="A142" s="401">
        <v>42491</v>
      </c>
      <c r="B142" s="432" t="s">
        <v>698</v>
      </c>
      <c r="C142" s="622" t="s">
        <v>45</v>
      </c>
      <c r="D142" s="623" t="s">
        <v>46</v>
      </c>
      <c r="E142" s="420">
        <v>193396.3</v>
      </c>
      <c r="F142" s="420">
        <v>201342</v>
      </c>
      <c r="G142" s="420">
        <v>180</v>
      </c>
      <c r="H142" s="420">
        <v>186513.62</v>
      </c>
      <c r="I142" s="420">
        <v>6702.68</v>
      </c>
      <c r="J142" s="420"/>
      <c r="K142" s="420"/>
      <c r="L142" s="420"/>
      <c r="M142" s="620">
        <f t="shared" si="4"/>
        <v>193396.3</v>
      </c>
      <c r="N142" s="420"/>
      <c r="O142" s="420"/>
      <c r="P142" s="420"/>
      <c r="Q142" s="420"/>
      <c r="R142" s="420"/>
      <c r="S142" s="420"/>
      <c r="T142" s="420"/>
      <c r="U142" s="420"/>
      <c r="V142" s="621">
        <f t="shared" si="5"/>
        <v>0</v>
      </c>
      <c r="W142" s="420"/>
      <c r="X142" s="420"/>
      <c r="Y142" s="420"/>
      <c r="Z142" s="420"/>
      <c r="AA142" s="420"/>
      <c r="AB142" s="420"/>
      <c r="AC142" s="420"/>
      <c r="AD142" s="420">
        <v>0</v>
      </c>
      <c r="AE142" s="420"/>
      <c r="AF142" s="420">
        <v>193396.3</v>
      </c>
      <c r="AG142" s="420">
        <v>0</v>
      </c>
    </row>
    <row r="143" spans="1:33" ht="15.75" thickBot="1" x14ac:dyDescent="0.3">
      <c r="A143" s="401">
        <v>42491</v>
      </c>
      <c r="B143" s="432" t="s">
        <v>698</v>
      </c>
      <c r="C143" s="624" t="s">
        <v>687</v>
      </c>
      <c r="D143" s="624" t="s">
        <v>687</v>
      </c>
      <c r="E143" s="419">
        <v>193047.62</v>
      </c>
      <c r="F143" s="419">
        <v>201342</v>
      </c>
      <c r="G143" s="419">
        <v>980</v>
      </c>
      <c r="H143" s="419">
        <v>186513.62</v>
      </c>
      <c r="I143" s="419">
        <v>6702.68</v>
      </c>
      <c r="J143" s="419"/>
      <c r="K143" s="419"/>
      <c r="L143" s="419"/>
      <c r="M143" s="620">
        <f t="shared" si="4"/>
        <v>194196.3</v>
      </c>
      <c r="N143" s="419"/>
      <c r="O143" s="419"/>
      <c r="P143" s="419">
        <v>-1092.26</v>
      </c>
      <c r="Q143" s="419"/>
      <c r="R143" s="419"/>
      <c r="S143" s="419"/>
      <c r="T143" s="419"/>
      <c r="U143" s="419"/>
      <c r="V143" s="621">
        <f t="shared" si="5"/>
        <v>-1092.26</v>
      </c>
      <c r="W143" s="419">
        <v>-56.42</v>
      </c>
      <c r="X143" s="419"/>
      <c r="Y143" s="419"/>
      <c r="Z143" s="419"/>
      <c r="AA143" s="419"/>
      <c r="AB143" s="419"/>
      <c r="AC143" s="419"/>
      <c r="AD143" s="419">
        <v>0</v>
      </c>
      <c r="AE143" s="419"/>
      <c r="AF143" s="419">
        <v>193047.62</v>
      </c>
      <c r="AG143" s="419">
        <v>0</v>
      </c>
    </row>
    <row r="144" spans="1:33" ht="15.75" thickBot="1" x14ac:dyDescent="0.3">
      <c r="A144" s="401">
        <v>42522</v>
      </c>
      <c r="B144" s="432" t="s">
        <v>686</v>
      </c>
      <c r="C144" s="418" t="s">
        <v>872</v>
      </c>
      <c r="D144" s="316" t="s">
        <v>873</v>
      </c>
      <c r="E144" s="93">
        <v>38328.080000000002</v>
      </c>
      <c r="F144" s="93">
        <v>75584</v>
      </c>
      <c r="G144" s="93">
        <v>800</v>
      </c>
      <c r="H144" s="92"/>
      <c r="I144" s="93">
        <v>5297.68</v>
      </c>
      <c r="J144" s="92"/>
      <c r="K144" s="92"/>
      <c r="L144" s="92"/>
      <c r="M144" s="620">
        <f t="shared" ref="M144:M186" si="6">SUM(G144:L144)</f>
        <v>6097.68</v>
      </c>
      <c r="N144" s="93">
        <v>0</v>
      </c>
      <c r="O144" s="93">
        <v>26552.66</v>
      </c>
      <c r="P144" s="92"/>
      <c r="Q144" s="92"/>
      <c r="R144" s="92"/>
      <c r="S144" s="92"/>
      <c r="T144" s="92"/>
      <c r="U144" s="92"/>
      <c r="V144" s="621">
        <f t="shared" ref="V144:V186" si="7">SUM(O144:U144)</f>
        <v>26552.66</v>
      </c>
      <c r="W144" s="92"/>
      <c r="X144" s="93">
        <v>5677.74</v>
      </c>
      <c r="Y144" s="92"/>
      <c r="Z144" s="92"/>
      <c r="AA144" s="92"/>
      <c r="AB144" s="92"/>
      <c r="AC144" s="93">
        <v>0</v>
      </c>
      <c r="AD144" s="93">
        <v>0</v>
      </c>
      <c r="AE144" s="92"/>
      <c r="AF144" s="93">
        <v>38328.080000000002</v>
      </c>
      <c r="AG144" s="93">
        <v>0</v>
      </c>
    </row>
    <row r="145" spans="1:33" ht="15.75" thickBot="1" x14ac:dyDescent="0.3">
      <c r="A145" s="401">
        <v>42522</v>
      </c>
      <c r="B145" s="432" t="s">
        <v>686</v>
      </c>
      <c r="C145" s="418" t="s">
        <v>18</v>
      </c>
      <c r="D145" s="316" t="s">
        <v>453</v>
      </c>
      <c r="E145" s="95">
        <v>17724.240000000002</v>
      </c>
      <c r="F145" s="95">
        <v>26653</v>
      </c>
      <c r="G145" s="95">
        <v>800</v>
      </c>
      <c r="H145" s="94"/>
      <c r="I145" s="95">
        <v>1868.11</v>
      </c>
      <c r="J145" s="94"/>
      <c r="K145" s="94"/>
      <c r="L145" s="94"/>
      <c r="M145" s="620">
        <f t="shared" si="6"/>
        <v>2668.1099999999997</v>
      </c>
      <c r="N145" s="95">
        <v>15.19</v>
      </c>
      <c r="O145" s="95">
        <v>9363.2000000000007</v>
      </c>
      <c r="P145" s="94"/>
      <c r="Q145" s="94"/>
      <c r="R145" s="94"/>
      <c r="S145" s="94"/>
      <c r="T145" s="94"/>
      <c r="U145" s="94"/>
      <c r="V145" s="621">
        <f t="shared" si="7"/>
        <v>9363.2000000000007</v>
      </c>
      <c r="W145" s="94"/>
      <c r="X145" s="95">
        <v>5677.74</v>
      </c>
      <c r="Y145" s="94"/>
      <c r="Z145" s="95">
        <v>0</v>
      </c>
      <c r="AA145" s="94"/>
      <c r="AB145" s="94"/>
      <c r="AC145" s="95">
        <v>0</v>
      </c>
      <c r="AD145" s="95">
        <v>485.91</v>
      </c>
      <c r="AE145" s="94"/>
      <c r="AF145" s="95">
        <v>18210.150000000001</v>
      </c>
      <c r="AG145" s="95">
        <v>0</v>
      </c>
    </row>
    <row r="146" spans="1:33" ht="15.75" thickBot="1" x14ac:dyDescent="0.3">
      <c r="A146" s="401">
        <v>42522</v>
      </c>
      <c r="B146" s="432" t="s">
        <v>686</v>
      </c>
      <c r="C146" s="317" t="s">
        <v>445</v>
      </c>
      <c r="D146" s="317" t="s">
        <v>445</v>
      </c>
      <c r="E146" s="93">
        <v>56052.32</v>
      </c>
      <c r="F146" s="93">
        <v>102237</v>
      </c>
      <c r="G146" s="93">
        <v>1600</v>
      </c>
      <c r="H146" s="92"/>
      <c r="I146" s="93">
        <v>7165.79</v>
      </c>
      <c r="J146" s="92"/>
      <c r="K146" s="92"/>
      <c r="L146" s="92"/>
      <c r="M146" s="620">
        <f t="shared" si="6"/>
        <v>8765.7900000000009</v>
      </c>
      <c r="N146" s="93">
        <v>15.19</v>
      </c>
      <c r="O146" s="93">
        <v>35915.86</v>
      </c>
      <c r="P146" s="92"/>
      <c r="Q146" s="92"/>
      <c r="R146" s="92"/>
      <c r="S146" s="92"/>
      <c r="T146" s="92"/>
      <c r="U146" s="92"/>
      <c r="V146" s="621">
        <f t="shared" si="7"/>
        <v>35915.86</v>
      </c>
      <c r="W146" s="92"/>
      <c r="X146" s="93">
        <v>11355.48</v>
      </c>
      <c r="Y146" s="92"/>
      <c r="Z146" s="93">
        <v>0</v>
      </c>
      <c r="AA146" s="92"/>
      <c r="AB146" s="92"/>
      <c r="AC146" s="93">
        <v>0</v>
      </c>
      <c r="AD146" s="93">
        <v>485.91</v>
      </c>
      <c r="AE146" s="92"/>
      <c r="AF146" s="93">
        <v>56538.23</v>
      </c>
      <c r="AG146" s="93">
        <v>0</v>
      </c>
    </row>
    <row r="147" spans="1:33" ht="15.75" thickBot="1" x14ac:dyDescent="0.3">
      <c r="A147" s="401">
        <v>42522</v>
      </c>
      <c r="B147" s="432" t="s">
        <v>686</v>
      </c>
      <c r="C147" s="418" t="s">
        <v>26</v>
      </c>
      <c r="D147" s="316" t="s">
        <v>875</v>
      </c>
      <c r="E147" s="95">
        <v>3728979.78</v>
      </c>
      <c r="F147" s="95">
        <v>3465300</v>
      </c>
      <c r="G147" s="95">
        <v>1147462.3700000001</v>
      </c>
      <c r="H147" s="94"/>
      <c r="I147" s="95">
        <v>684456.89</v>
      </c>
      <c r="J147" s="94"/>
      <c r="K147" s="94"/>
      <c r="L147" s="94"/>
      <c r="M147" s="620">
        <f t="shared" si="6"/>
        <v>1831919.2600000002</v>
      </c>
      <c r="N147" s="95">
        <v>1965.76</v>
      </c>
      <c r="O147" s="95">
        <v>1213779.69</v>
      </c>
      <c r="P147" s="94"/>
      <c r="Q147" s="94"/>
      <c r="R147" s="94"/>
      <c r="S147" s="94"/>
      <c r="T147" s="94"/>
      <c r="U147" s="94"/>
      <c r="V147" s="621">
        <f t="shared" si="7"/>
        <v>1213779.69</v>
      </c>
      <c r="W147" s="94"/>
      <c r="X147" s="95">
        <v>681526.15</v>
      </c>
      <c r="Y147" s="95">
        <v>-211.08</v>
      </c>
      <c r="Z147" s="95">
        <v>0</v>
      </c>
      <c r="AA147" s="94"/>
      <c r="AB147" s="94"/>
      <c r="AC147" s="95">
        <v>947.55</v>
      </c>
      <c r="AD147" s="95">
        <v>197358.07</v>
      </c>
      <c r="AE147" s="94"/>
      <c r="AF147" s="95">
        <v>3927285.4</v>
      </c>
      <c r="AG147" s="95">
        <v>0</v>
      </c>
    </row>
    <row r="148" spans="1:33" ht="15.75" thickBot="1" x14ac:dyDescent="0.3">
      <c r="A148" s="401">
        <v>42522</v>
      </c>
      <c r="B148" s="432" t="s">
        <v>686</v>
      </c>
      <c r="C148" s="418" t="s">
        <v>707</v>
      </c>
      <c r="D148" s="316" t="s">
        <v>876</v>
      </c>
      <c r="E148" s="93">
        <v>242.02</v>
      </c>
      <c r="F148" s="93">
        <v>308</v>
      </c>
      <c r="G148" s="93">
        <v>40</v>
      </c>
      <c r="H148" s="92"/>
      <c r="I148" s="93">
        <v>66.23</v>
      </c>
      <c r="J148" s="92"/>
      <c r="K148" s="92"/>
      <c r="L148" s="92"/>
      <c r="M148" s="620">
        <f t="shared" si="6"/>
        <v>106.23</v>
      </c>
      <c r="N148" s="93">
        <v>0.18</v>
      </c>
      <c r="O148" s="93">
        <v>108.2</v>
      </c>
      <c r="P148" s="92"/>
      <c r="Q148" s="92"/>
      <c r="R148" s="92"/>
      <c r="S148" s="92"/>
      <c r="T148" s="92"/>
      <c r="U148" s="92"/>
      <c r="V148" s="621">
        <f t="shared" si="7"/>
        <v>108.2</v>
      </c>
      <c r="W148" s="92"/>
      <c r="X148" s="93">
        <v>27.41</v>
      </c>
      <c r="Y148" s="92"/>
      <c r="Z148" s="92"/>
      <c r="AA148" s="92"/>
      <c r="AB148" s="92"/>
      <c r="AC148" s="93">
        <v>0</v>
      </c>
      <c r="AD148" s="93">
        <v>14.52</v>
      </c>
      <c r="AE148" s="92"/>
      <c r="AF148" s="93">
        <v>256.54000000000002</v>
      </c>
      <c r="AG148" s="93">
        <v>0</v>
      </c>
    </row>
    <row r="149" spans="1:33" ht="15.75" thickBot="1" x14ac:dyDescent="0.3">
      <c r="A149" s="401">
        <v>42522</v>
      </c>
      <c r="B149" s="432" t="s">
        <v>686</v>
      </c>
      <c r="C149" s="317" t="s">
        <v>109</v>
      </c>
      <c r="D149" s="317" t="s">
        <v>109</v>
      </c>
      <c r="E149" s="95">
        <v>3729221.8</v>
      </c>
      <c r="F149" s="95">
        <v>3465608</v>
      </c>
      <c r="G149" s="95">
        <v>1147502.3700000001</v>
      </c>
      <c r="H149" s="94"/>
      <c r="I149" s="95">
        <v>684523.12</v>
      </c>
      <c r="J149" s="94"/>
      <c r="K149" s="94"/>
      <c r="L149" s="94"/>
      <c r="M149" s="620">
        <f t="shared" si="6"/>
        <v>1832025.4900000002</v>
      </c>
      <c r="N149" s="95">
        <v>1965.94</v>
      </c>
      <c r="O149" s="95">
        <v>1213887.8899999999</v>
      </c>
      <c r="P149" s="94"/>
      <c r="Q149" s="94"/>
      <c r="R149" s="94"/>
      <c r="S149" s="94"/>
      <c r="T149" s="94"/>
      <c r="U149" s="94"/>
      <c r="V149" s="621">
        <f t="shared" si="7"/>
        <v>1213887.8899999999</v>
      </c>
      <c r="W149" s="94"/>
      <c r="X149" s="95">
        <v>681553.56</v>
      </c>
      <c r="Y149" s="95">
        <v>-211.08</v>
      </c>
      <c r="Z149" s="95">
        <v>0</v>
      </c>
      <c r="AA149" s="94"/>
      <c r="AB149" s="94"/>
      <c r="AC149" s="95">
        <v>947.55</v>
      </c>
      <c r="AD149" s="95">
        <v>197372.59</v>
      </c>
      <c r="AE149" s="94"/>
      <c r="AF149" s="95">
        <v>3927541.94</v>
      </c>
      <c r="AG149" s="95">
        <v>0</v>
      </c>
    </row>
    <row r="150" spans="1:33" ht="15.75" thickBot="1" x14ac:dyDescent="0.3">
      <c r="A150" s="401">
        <v>42522</v>
      </c>
      <c r="B150" s="432" t="s">
        <v>686</v>
      </c>
      <c r="C150" s="418" t="s">
        <v>68</v>
      </c>
      <c r="D150" s="316" t="s">
        <v>877</v>
      </c>
      <c r="E150" s="93">
        <v>586.69000000000005</v>
      </c>
      <c r="F150" s="93">
        <v>7</v>
      </c>
      <c r="G150" s="93">
        <v>40</v>
      </c>
      <c r="H150" s="93">
        <v>544</v>
      </c>
      <c r="I150" s="93">
        <v>0.23</v>
      </c>
      <c r="J150" s="92"/>
      <c r="K150" s="92"/>
      <c r="L150" s="92"/>
      <c r="M150" s="620">
        <f t="shared" si="6"/>
        <v>584.23</v>
      </c>
      <c r="N150" s="92"/>
      <c r="O150" s="93">
        <v>2.46</v>
      </c>
      <c r="P150" s="92"/>
      <c r="Q150" s="92"/>
      <c r="R150" s="92"/>
      <c r="S150" s="92"/>
      <c r="T150" s="92"/>
      <c r="U150" s="92"/>
      <c r="V150" s="621">
        <f t="shared" si="7"/>
        <v>2.46</v>
      </c>
      <c r="W150" s="92"/>
      <c r="X150" s="93">
        <v>0</v>
      </c>
      <c r="Y150" s="92"/>
      <c r="Z150" s="92"/>
      <c r="AA150" s="92"/>
      <c r="AB150" s="92"/>
      <c r="AC150" s="93">
        <v>0</v>
      </c>
      <c r="AD150" s="93">
        <v>35.200000000000003</v>
      </c>
      <c r="AE150" s="92"/>
      <c r="AF150" s="93">
        <v>621.89</v>
      </c>
      <c r="AG150" s="93">
        <v>0</v>
      </c>
    </row>
    <row r="151" spans="1:33" ht="15.75" thickBot="1" x14ac:dyDescent="0.3">
      <c r="A151" s="401">
        <v>42522</v>
      </c>
      <c r="B151" s="432" t="s">
        <v>686</v>
      </c>
      <c r="C151" s="317" t="s">
        <v>870</v>
      </c>
      <c r="D151" s="317" t="s">
        <v>870</v>
      </c>
      <c r="E151" s="95">
        <v>586.69000000000005</v>
      </c>
      <c r="F151" s="95">
        <v>7</v>
      </c>
      <c r="G151" s="95">
        <v>40</v>
      </c>
      <c r="H151" s="95">
        <v>544</v>
      </c>
      <c r="I151" s="95">
        <v>0.23</v>
      </c>
      <c r="J151" s="94"/>
      <c r="K151" s="94"/>
      <c r="L151" s="94"/>
      <c r="M151" s="620">
        <f t="shared" si="6"/>
        <v>584.23</v>
      </c>
      <c r="N151" s="94"/>
      <c r="O151" s="95">
        <v>2.46</v>
      </c>
      <c r="P151" s="94"/>
      <c r="Q151" s="94"/>
      <c r="R151" s="94"/>
      <c r="S151" s="94"/>
      <c r="T151" s="94"/>
      <c r="U151" s="94"/>
      <c r="V151" s="621"/>
      <c r="W151" s="94"/>
      <c r="X151" s="95">
        <v>0</v>
      </c>
      <c r="Y151" s="94"/>
      <c r="Z151" s="94"/>
      <c r="AA151" s="94"/>
      <c r="AB151" s="94"/>
      <c r="AC151" s="95">
        <v>0</v>
      </c>
      <c r="AD151" s="95">
        <v>35.200000000000003</v>
      </c>
      <c r="AE151" s="94"/>
      <c r="AF151" s="95">
        <v>621.89</v>
      </c>
      <c r="AG151" s="95">
        <v>0</v>
      </c>
    </row>
    <row r="152" spans="1:33" ht="15.75" thickBot="1" x14ac:dyDescent="0.3">
      <c r="A152" s="401">
        <v>42522</v>
      </c>
      <c r="B152" s="432" t="s">
        <v>686</v>
      </c>
      <c r="C152" s="418" t="s">
        <v>878</v>
      </c>
      <c r="D152" s="316" t="s">
        <v>879</v>
      </c>
      <c r="E152" s="93">
        <v>558376.62</v>
      </c>
      <c r="F152" s="93">
        <v>880402</v>
      </c>
      <c r="G152" s="93">
        <v>25744.01</v>
      </c>
      <c r="H152" s="92"/>
      <c r="I152" s="93">
        <v>161142.1</v>
      </c>
      <c r="J152" s="92"/>
      <c r="K152" s="92"/>
      <c r="L152" s="92"/>
      <c r="M152" s="620">
        <f t="shared" si="6"/>
        <v>186886.11000000002</v>
      </c>
      <c r="N152" s="93">
        <v>0</v>
      </c>
      <c r="O152" s="93">
        <v>309278.77</v>
      </c>
      <c r="P152" s="92"/>
      <c r="Q152" s="92"/>
      <c r="R152" s="92"/>
      <c r="S152" s="92"/>
      <c r="T152" s="92"/>
      <c r="U152" s="92"/>
      <c r="V152" s="93">
        <v>309278.77</v>
      </c>
      <c r="W152" s="92"/>
      <c r="X152" s="93">
        <v>62211.74</v>
      </c>
      <c r="Y152" s="92"/>
      <c r="Z152" s="92"/>
      <c r="AA152" s="92"/>
      <c r="AB152" s="92"/>
      <c r="AC152" s="93">
        <v>0</v>
      </c>
      <c r="AD152" s="93">
        <v>28237.69</v>
      </c>
      <c r="AE152" s="92"/>
      <c r="AF152" s="93">
        <v>586614.31000000006</v>
      </c>
      <c r="AG152" s="93">
        <v>0</v>
      </c>
    </row>
    <row r="153" spans="1:33" ht="15.75" thickBot="1" x14ac:dyDescent="0.3">
      <c r="A153" s="401">
        <v>42522</v>
      </c>
      <c r="B153" s="432"/>
      <c r="C153" s="418" t="s">
        <v>31</v>
      </c>
      <c r="D153" s="316" t="s">
        <v>880</v>
      </c>
      <c r="E153" s="95">
        <v>-29982.62</v>
      </c>
      <c r="F153" s="95">
        <v>-58297</v>
      </c>
      <c r="G153" s="95">
        <v>-80.010000000000005</v>
      </c>
      <c r="H153" s="94"/>
      <c r="I153" s="95">
        <v>-10412.43</v>
      </c>
      <c r="J153" s="94"/>
      <c r="K153" s="94"/>
      <c r="L153" s="94"/>
      <c r="M153" s="620"/>
      <c r="N153" s="94"/>
      <c r="O153" s="95">
        <v>-18998.02</v>
      </c>
      <c r="P153" s="94"/>
      <c r="Q153" s="94"/>
      <c r="R153" s="94"/>
      <c r="S153" s="94"/>
      <c r="T153" s="94"/>
      <c r="U153" s="94"/>
      <c r="V153" s="95">
        <v>-18998.02</v>
      </c>
      <c r="W153" s="94"/>
      <c r="X153" s="95">
        <v>-492.16</v>
      </c>
      <c r="Y153" s="94"/>
      <c r="Z153" s="94"/>
      <c r="AA153" s="94"/>
      <c r="AB153" s="94"/>
      <c r="AC153" s="95">
        <v>0</v>
      </c>
      <c r="AD153" s="95">
        <v>-1798.96</v>
      </c>
      <c r="AE153" s="94"/>
      <c r="AF153" s="95">
        <v>-31781.58</v>
      </c>
      <c r="AG153" s="95">
        <v>0</v>
      </c>
    </row>
    <row r="154" spans="1:33" ht="15.75" thickBot="1" x14ac:dyDescent="0.3">
      <c r="A154" s="401">
        <v>42522</v>
      </c>
      <c r="B154" s="432" t="s">
        <v>686</v>
      </c>
      <c r="C154" s="317" t="s">
        <v>118</v>
      </c>
      <c r="D154" s="317" t="s">
        <v>118</v>
      </c>
      <c r="E154" s="93">
        <v>528394</v>
      </c>
      <c r="F154" s="93">
        <v>822105</v>
      </c>
      <c r="G154" s="93">
        <v>25664</v>
      </c>
      <c r="H154" s="92"/>
      <c r="I154" s="93">
        <v>150729.67000000001</v>
      </c>
      <c r="J154" s="92"/>
      <c r="K154" s="92"/>
      <c r="L154" s="92"/>
      <c r="M154" s="620">
        <f t="shared" si="6"/>
        <v>176393.67</v>
      </c>
      <c r="N154" s="93">
        <v>0</v>
      </c>
      <c r="O154" s="93">
        <v>290280.75</v>
      </c>
      <c r="P154" s="92"/>
      <c r="Q154" s="92"/>
      <c r="R154" s="92"/>
      <c r="S154" s="92"/>
      <c r="T154" s="92"/>
      <c r="U154" s="92"/>
      <c r="V154" s="621">
        <f t="shared" si="7"/>
        <v>290280.75</v>
      </c>
      <c r="W154" s="92"/>
      <c r="X154" s="93">
        <v>61719.58</v>
      </c>
      <c r="Y154" s="92"/>
      <c r="Z154" s="92"/>
      <c r="AA154" s="92"/>
      <c r="AB154" s="92"/>
      <c r="AC154" s="93">
        <v>0</v>
      </c>
      <c r="AD154" s="93">
        <v>26438.73</v>
      </c>
      <c r="AE154" s="92"/>
      <c r="AF154" s="93">
        <v>554832.73</v>
      </c>
      <c r="AG154" s="93">
        <v>0</v>
      </c>
    </row>
    <row r="155" spans="1:33" ht="15.75" thickBot="1" x14ac:dyDescent="0.3">
      <c r="A155" s="401">
        <v>42522</v>
      </c>
      <c r="B155" s="432" t="s">
        <v>686</v>
      </c>
      <c r="C155" s="418" t="s">
        <v>35</v>
      </c>
      <c r="D155" s="316" t="s">
        <v>36</v>
      </c>
      <c r="E155" s="95">
        <v>8874477.3900000006</v>
      </c>
      <c r="F155" s="95">
        <v>5195048</v>
      </c>
      <c r="G155" s="95">
        <v>3985292.32</v>
      </c>
      <c r="H155" s="94"/>
      <c r="I155" s="95">
        <v>1490599.5</v>
      </c>
      <c r="J155" s="94"/>
      <c r="K155" s="94"/>
      <c r="L155" s="94"/>
      <c r="M155" s="620">
        <f t="shared" si="6"/>
        <v>5475891.8200000003</v>
      </c>
      <c r="N155" s="95">
        <v>56395.82</v>
      </c>
      <c r="O155" s="95">
        <v>1825421.2</v>
      </c>
      <c r="P155" s="94"/>
      <c r="Q155" s="94"/>
      <c r="R155" s="94"/>
      <c r="S155" s="94"/>
      <c r="T155" s="94"/>
      <c r="U155" s="94"/>
      <c r="V155" s="621">
        <f t="shared" si="7"/>
        <v>1825421.2</v>
      </c>
      <c r="W155" s="94"/>
      <c r="X155" s="95">
        <v>1517365.06</v>
      </c>
      <c r="Y155" s="95">
        <v>-596.51</v>
      </c>
      <c r="Z155" s="94"/>
      <c r="AA155" s="94"/>
      <c r="AB155" s="95">
        <v>74572.75</v>
      </c>
      <c r="AC155" s="95">
        <v>2108.9699999999998</v>
      </c>
      <c r="AD155" s="95">
        <v>37249.980000000003</v>
      </c>
      <c r="AE155" s="94"/>
      <c r="AF155" s="95">
        <v>8988409.0899999999</v>
      </c>
      <c r="AG155" s="95">
        <v>0</v>
      </c>
    </row>
    <row r="156" spans="1:33" ht="15.75" thickBot="1" x14ac:dyDescent="0.3">
      <c r="A156" s="401">
        <v>42522</v>
      </c>
      <c r="B156" s="432" t="s">
        <v>686</v>
      </c>
      <c r="C156" s="317" t="s">
        <v>129</v>
      </c>
      <c r="D156" s="317" t="s">
        <v>129</v>
      </c>
      <c r="E156" s="93">
        <v>8874477.3900000006</v>
      </c>
      <c r="F156" s="93">
        <v>5195048</v>
      </c>
      <c r="G156" s="93">
        <v>3985292.32</v>
      </c>
      <c r="H156" s="92"/>
      <c r="I156" s="93">
        <v>1490599.5</v>
      </c>
      <c r="J156" s="92"/>
      <c r="K156" s="92"/>
      <c r="L156" s="92"/>
      <c r="M156" s="620">
        <f t="shared" si="6"/>
        <v>5475891.8200000003</v>
      </c>
      <c r="N156" s="93">
        <v>56395.82</v>
      </c>
      <c r="O156" s="93">
        <v>1825421.2</v>
      </c>
      <c r="P156" s="92"/>
      <c r="Q156" s="92"/>
      <c r="R156" s="92"/>
      <c r="S156" s="92"/>
      <c r="T156" s="92"/>
      <c r="U156" s="92"/>
      <c r="V156" s="621">
        <f t="shared" si="7"/>
        <v>1825421.2</v>
      </c>
      <c r="W156" s="92"/>
      <c r="X156" s="93">
        <v>1517365.06</v>
      </c>
      <c r="Y156" s="93">
        <v>-596.51</v>
      </c>
      <c r="Z156" s="92"/>
      <c r="AA156" s="92"/>
      <c r="AB156" s="93">
        <v>74572.75</v>
      </c>
      <c r="AC156" s="93">
        <v>2108.9699999999998</v>
      </c>
      <c r="AD156" s="93">
        <v>37249.980000000003</v>
      </c>
      <c r="AE156" s="92"/>
      <c r="AF156" s="93">
        <v>8988409.0899999999</v>
      </c>
      <c r="AG156" s="93">
        <v>0</v>
      </c>
    </row>
    <row r="157" spans="1:33" ht="15.75" thickBot="1" x14ac:dyDescent="0.3">
      <c r="A157" s="401">
        <v>42522</v>
      </c>
      <c r="B157" s="432" t="s">
        <v>686</v>
      </c>
      <c r="C157" s="418" t="s">
        <v>29</v>
      </c>
      <c r="D157" s="316" t="s">
        <v>30</v>
      </c>
      <c r="E157" s="95">
        <v>25149.32</v>
      </c>
      <c r="F157" s="95">
        <v>613</v>
      </c>
      <c r="G157" s="95">
        <v>24800</v>
      </c>
      <c r="H157" s="94"/>
      <c r="I157" s="95">
        <v>134.77000000000001</v>
      </c>
      <c r="J157" s="94"/>
      <c r="K157" s="94"/>
      <c r="L157" s="94"/>
      <c r="M157" s="620">
        <f t="shared" si="6"/>
        <v>24934.77</v>
      </c>
      <c r="N157" s="95">
        <v>0</v>
      </c>
      <c r="O157" s="95">
        <v>214.55</v>
      </c>
      <c r="P157" s="94"/>
      <c r="Q157" s="94"/>
      <c r="R157" s="94"/>
      <c r="S157" s="94"/>
      <c r="T157" s="94"/>
      <c r="U157" s="94"/>
      <c r="V157" s="621">
        <f t="shared" si="7"/>
        <v>214.55</v>
      </c>
      <c r="W157" s="94"/>
      <c r="X157" s="94"/>
      <c r="Y157" s="94"/>
      <c r="Z157" s="95">
        <v>0</v>
      </c>
      <c r="AA157" s="94"/>
      <c r="AB157" s="94"/>
      <c r="AC157" s="95">
        <v>2.44</v>
      </c>
      <c r="AD157" s="95">
        <v>1591.06</v>
      </c>
      <c r="AE157" s="94"/>
      <c r="AF157" s="95">
        <v>26742.82</v>
      </c>
      <c r="AG157" s="95">
        <v>0</v>
      </c>
    </row>
    <row r="158" spans="1:33" ht="15.75" thickBot="1" x14ac:dyDescent="0.3">
      <c r="A158" s="401">
        <v>42522</v>
      </c>
      <c r="B158" s="432" t="s">
        <v>686</v>
      </c>
      <c r="C158" s="317" t="s">
        <v>687</v>
      </c>
      <c r="D158" s="317" t="s">
        <v>687</v>
      </c>
      <c r="E158" s="93">
        <v>25149.32</v>
      </c>
      <c r="F158" s="93">
        <v>613</v>
      </c>
      <c r="G158" s="93">
        <v>24800</v>
      </c>
      <c r="H158" s="92"/>
      <c r="I158" s="93">
        <v>134.77000000000001</v>
      </c>
      <c r="J158" s="92"/>
      <c r="K158" s="92"/>
      <c r="L158" s="92"/>
      <c r="M158" s="620">
        <f t="shared" si="6"/>
        <v>24934.77</v>
      </c>
      <c r="N158" s="93">
        <v>0</v>
      </c>
      <c r="O158" s="93">
        <v>214.55</v>
      </c>
      <c r="P158" s="92"/>
      <c r="Q158" s="92"/>
      <c r="R158" s="92"/>
      <c r="S158" s="92"/>
      <c r="T158" s="92"/>
      <c r="U158" s="92"/>
      <c r="V158" s="621">
        <f t="shared" si="7"/>
        <v>214.55</v>
      </c>
      <c r="W158" s="92"/>
      <c r="X158" s="92"/>
      <c r="Y158" s="92"/>
      <c r="Z158" s="93">
        <v>0</v>
      </c>
      <c r="AA158" s="92"/>
      <c r="AB158" s="92"/>
      <c r="AC158" s="93">
        <v>2.44</v>
      </c>
      <c r="AD158" s="93">
        <v>1591.06</v>
      </c>
      <c r="AE158" s="92"/>
      <c r="AF158" s="93">
        <v>26742.82</v>
      </c>
      <c r="AG158" s="93">
        <v>0</v>
      </c>
    </row>
    <row r="159" spans="1:33" ht="15.75" thickBot="1" x14ac:dyDescent="0.3">
      <c r="A159" s="401">
        <v>42522</v>
      </c>
      <c r="B159" s="432" t="s">
        <v>686</v>
      </c>
      <c r="C159" s="418" t="s">
        <v>37</v>
      </c>
      <c r="D159" s="316" t="s">
        <v>38</v>
      </c>
      <c r="E159" s="95">
        <v>249.34</v>
      </c>
      <c r="F159" s="95">
        <v>298</v>
      </c>
      <c r="G159" s="95">
        <v>40.5</v>
      </c>
      <c r="H159" s="94"/>
      <c r="I159" s="95">
        <v>85.5</v>
      </c>
      <c r="J159" s="94"/>
      <c r="K159" s="94"/>
      <c r="L159" s="94"/>
      <c r="M159" s="620">
        <f t="shared" si="6"/>
        <v>126</v>
      </c>
      <c r="N159" s="95">
        <v>3.23</v>
      </c>
      <c r="O159" s="95">
        <v>104.69</v>
      </c>
      <c r="P159" s="94"/>
      <c r="Q159" s="94"/>
      <c r="R159" s="94"/>
      <c r="S159" s="94"/>
      <c r="T159" s="94"/>
      <c r="U159" s="94"/>
      <c r="V159" s="621">
        <f t="shared" si="7"/>
        <v>104.69</v>
      </c>
      <c r="W159" s="94"/>
      <c r="X159" s="95">
        <v>15.42</v>
      </c>
      <c r="Y159" s="94"/>
      <c r="Z159" s="94"/>
      <c r="AA159" s="94"/>
      <c r="AB159" s="94"/>
      <c r="AC159" s="95">
        <v>0</v>
      </c>
      <c r="AD159" s="95">
        <v>0</v>
      </c>
      <c r="AE159" s="94"/>
      <c r="AF159" s="95">
        <v>249.34</v>
      </c>
      <c r="AG159" s="95">
        <v>0</v>
      </c>
    </row>
    <row r="160" spans="1:33" ht="15.75" thickBot="1" x14ac:dyDescent="0.3">
      <c r="A160" s="401">
        <v>42522</v>
      </c>
      <c r="B160" s="432" t="s">
        <v>686</v>
      </c>
      <c r="C160" s="317" t="s">
        <v>688</v>
      </c>
      <c r="D160" s="317" t="s">
        <v>688</v>
      </c>
      <c r="E160" s="93">
        <v>249.34</v>
      </c>
      <c r="F160" s="93">
        <v>298</v>
      </c>
      <c r="G160" s="93">
        <v>40.5</v>
      </c>
      <c r="H160" s="92"/>
      <c r="I160" s="93">
        <v>85.5</v>
      </c>
      <c r="J160" s="92"/>
      <c r="K160" s="92"/>
      <c r="L160" s="92"/>
      <c r="M160" s="620">
        <f t="shared" si="6"/>
        <v>126</v>
      </c>
      <c r="N160" s="93">
        <v>3.23</v>
      </c>
      <c r="O160" s="93">
        <v>104.69</v>
      </c>
      <c r="P160" s="92"/>
      <c r="Q160" s="92"/>
      <c r="R160" s="92"/>
      <c r="S160" s="92"/>
      <c r="T160" s="92"/>
      <c r="U160" s="92"/>
      <c r="V160" s="621">
        <f t="shared" si="7"/>
        <v>104.69</v>
      </c>
      <c r="W160" s="92"/>
      <c r="X160" s="93">
        <v>15.42</v>
      </c>
      <c r="Y160" s="92"/>
      <c r="Z160" s="92"/>
      <c r="AA160" s="92"/>
      <c r="AB160" s="92"/>
      <c r="AC160" s="93">
        <v>0</v>
      </c>
      <c r="AD160" s="93">
        <v>0</v>
      </c>
      <c r="AE160" s="92"/>
      <c r="AF160" s="93">
        <v>249.34</v>
      </c>
      <c r="AG160" s="93">
        <v>0</v>
      </c>
    </row>
    <row r="161" spans="1:33" ht="15.75" thickBot="1" x14ac:dyDescent="0.3">
      <c r="A161" s="401">
        <v>42522</v>
      </c>
      <c r="B161" s="432" t="s">
        <v>522</v>
      </c>
      <c r="C161" s="418" t="s">
        <v>933</v>
      </c>
      <c r="D161" s="316" t="s">
        <v>1005</v>
      </c>
      <c r="E161" s="93">
        <v>412466.05</v>
      </c>
      <c r="F161" s="93">
        <v>8659494</v>
      </c>
      <c r="G161" s="93">
        <v>36300</v>
      </c>
      <c r="H161" s="92"/>
      <c r="I161" s="93">
        <v>372531.4</v>
      </c>
      <c r="J161" s="93">
        <v>2516.8000000000002</v>
      </c>
      <c r="K161" s="92"/>
      <c r="L161" s="93">
        <v>584.42999999999995</v>
      </c>
      <c r="M161" s="620">
        <f t="shared" si="6"/>
        <v>411932.63</v>
      </c>
      <c r="N161" s="93">
        <v>0</v>
      </c>
      <c r="O161" s="92"/>
      <c r="P161" s="92"/>
      <c r="Q161" s="93">
        <v>0</v>
      </c>
      <c r="R161" s="93">
        <v>533.41999999999996</v>
      </c>
      <c r="S161" s="92"/>
      <c r="T161" s="93">
        <v>0</v>
      </c>
      <c r="U161" s="92"/>
      <c r="V161" s="621">
        <f t="shared" si="7"/>
        <v>533.41999999999996</v>
      </c>
      <c r="W161" s="92"/>
      <c r="X161" s="92"/>
      <c r="Y161" s="92"/>
      <c r="Z161" s="92"/>
      <c r="AA161" s="92"/>
      <c r="AB161" s="92"/>
      <c r="AC161" s="93">
        <v>0</v>
      </c>
      <c r="AD161" s="93">
        <v>18252.22</v>
      </c>
      <c r="AE161" s="92"/>
      <c r="AF161" s="93">
        <v>430718.27</v>
      </c>
      <c r="AG161" s="93">
        <v>0</v>
      </c>
    </row>
    <row r="162" spans="1:33" ht="15.75" thickBot="1" x14ac:dyDescent="0.3">
      <c r="A162" s="401">
        <v>42522</v>
      </c>
      <c r="B162" s="432" t="s">
        <v>522</v>
      </c>
      <c r="C162" s="418" t="s">
        <v>50</v>
      </c>
      <c r="D162" s="316" t="s">
        <v>881</v>
      </c>
      <c r="E162" s="95">
        <v>27941.07</v>
      </c>
      <c r="F162" s="95">
        <v>510849</v>
      </c>
      <c r="G162" s="95">
        <v>5500</v>
      </c>
      <c r="H162" s="94"/>
      <c r="I162" s="95">
        <v>21976.73</v>
      </c>
      <c r="J162" s="95">
        <v>85.44</v>
      </c>
      <c r="K162" s="94"/>
      <c r="L162" s="95">
        <v>45.86</v>
      </c>
      <c r="M162" s="620">
        <f t="shared" si="6"/>
        <v>27608.03</v>
      </c>
      <c r="N162" s="95">
        <v>291.18</v>
      </c>
      <c r="O162" s="94"/>
      <c r="P162" s="94"/>
      <c r="Q162" s="95">
        <v>0</v>
      </c>
      <c r="R162" s="95">
        <v>41.86</v>
      </c>
      <c r="S162" s="94"/>
      <c r="T162" s="94"/>
      <c r="U162" s="94"/>
      <c r="V162" s="621">
        <f t="shared" si="7"/>
        <v>41.86</v>
      </c>
      <c r="W162" s="94"/>
      <c r="X162" s="94"/>
      <c r="Y162" s="94"/>
      <c r="Z162" s="94"/>
      <c r="AA162" s="94"/>
      <c r="AB162" s="94"/>
      <c r="AC162" s="95">
        <v>0</v>
      </c>
      <c r="AD162" s="95">
        <v>510.92</v>
      </c>
      <c r="AE162" s="94"/>
      <c r="AF162" s="95">
        <v>28451.99</v>
      </c>
      <c r="AG162" s="95">
        <v>0</v>
      </c>
    </row>
    <row r="163" spans="1:33" ht="15.75" thickBot="1" x14ac:dyDescent="0.3">
      <c r="A163" s="401">
        <v>42522</v>
      </c>
      <c r="B163" s="432" t="s">
        <v>522</v>
      </c>
      <c r="C163" s="317" t="s">
        <v>49</v>
      </c>
      <c r="D163" s="317" t="s">
        <v>49</v>
      </c>
      <c r="E163" s="93">
        <v>440407.12</v>
      </c>
      <c r="F163" s="93">
        <v>9170343</v>
      </c>
      <c r="G163" s="93">
        <v>41800</v>
      </c>
      <c r="H163" s="92"/>
      <c r="I163" s="93">
        <v>394508.13</v>
      </c>
      <c r="J163" s="93">
        <v>2602.2399999999998</v>
      </c>
      <c r="K163" s="92"/>
      <c r="L163" s="93">
        <v>630.29</v>
      </c>
      <c r="M163" s="620">
        <f t="shared" si="6"/>
        <v>439540.66</v>
      </c>
      <c r="N163" s="93">
        <v>291.18</v>
      </c>
      <c r="O163" s="92"/>
      <c r="P163" s="92"/>
      <c r="Q163" s="93">
        <v>0</v>
      </c>
      <c r="R163" s="93">
        <v>575.28</v>
      </c>
      <c r="S163" s="92"/>
      <c r="T163" s="93">
        <v>0</v>
      </c>
      <c r="U163" s="92"/>
      <c r="V163" s="621">
        <f t="shared" si="7"/>
        <v>575.28</v>
      </c>
      <c r="W163" s="92"/>
      <c r="X163" s="92"/>
      <c r="Y163" s="92"/>
      <c r="Z163" s="92"/>
      <c r="AA163" s="92"/>
      <c r="AB163" s="92"/>
      <c r="AC163" s="93">
        <v>0</v>
      </c>
      <c r="AD163" s="93">
        <v>18763.14</v>
      </c>
      <c r="AE163" s="92"/>
      <c r="AF163" s="93">
        <v>459170.26</v>
      </c>
      <c r="AG163" s="93">
        <v>0</v>
      </c>
    </row>
    <row r="164" spans="1:33" ht="15.75" thickBot="1" x14ac:dyDescent="0.3">
      <c r="A164" s="401">
        <v>42522</v>
      </c>
      <c r="B164" s="432" t="s">
        <v>522</v>
      </c>
      <c r="C164" s="418" t="s">
        <v>54</v>
      </c>
      <c r="D164" s="316" t="s">
        <v>55</v>
      </c>
      <c r="E164" s="95">
        <v>44980.98</v>
      </c>
      <c r="F164" s="94"/>
      <c r="G164" s="95">
        <v>8925</v>
      </c>
      <c r="H164" s="94"/>
      <c r="I164" s="95">
        <v>0</v>
      </c>
      <c r="J164" s="94"/>
      <c r="K164" s="94"/>
      <c r="L164" s="95">
        <v>18850.72</v>
      </c>
      <c r="M164" s="620">
        <f t="shared" si="6"/>
        <v>27775.72</v>
      </c>
      <c r="N164" s="94"/>
      <c r="O164" s="94"/>
      <c r="P164" s="94"/>
      <c r="Q164" s="95">
        <v>0</v>
      </c>
      <c r="R164" s="95">
        <v>17205.259999999998</v>
      </c>
      <c r="S164" s="94"/>
      <c r="T164" s="94"/>
      <c r="U164" s="94"/>
      <c r="V164" s="621">
        <f t="shared" si="7"/>
        <v>17205.259999999998</v>
      </c>
      <c r="W164" s="94"/>
      <c r="X164" s="94"/>
      <c r="Y164" s="94"/>
      <c r="Z164" s="94"/>
      <c r="AA164" s="94"/>
      <c r="AB164" s="94"/>
      <c r="AC164" s="95">
        <v>0</v>
      </c>
      <c r="AD164" s="95">
        <v>391.66</v>
      </c>
      <c r="AE164" s="94"/>
      <c r="AF164" s="95">
        <v>45372.639999999999</v>
      </c>
      <c r="AG164" s="95">
        <v>0</v>
      </c>
    </row>
    <row r="165" spans="1:33" ht="15.75" thickBot="1" x14ac:dyDescent="0.3">
      <c r="A165" s="401">
        <v>42522</v>
      </c>
      <c r="B165" s="432" t="s">
        <v>522</v>
      </c>
      <c r="C165" s="317" t="s">
        <v>56</v>
      </c>
      <c r="D165" s="317" t="s">
        <v>56</v>
      </c>
      <c r="E165" s="93">
        <v>44980.98</v>
      </c>
      <c r="F165" s="92"/>
      <c r="G165" s="93">
        <v>8925</v>
      </c>
      <c r="H165" s="92"/>
      <c r="I165" s="93">
        <v>0</v>
      </c>
      <c r="J165" s="92"/>
      <c r="K165" s="92"/>
      <c r="L165" s="93">
        <v>18850.72</v>
      </c>
      <c r="M165" s="620">
        <f t="shared" si="6"/>
        <v>27775.72</v>
      </c>
      <c r="N165" s="92"/>
      <c r="O165" s="92"/>
      <c r="P165" s="92"/>
      <c r="Q165" s="93">
        <v>0</v>
      </c>
      <c r="R165" s="93">
        <v>17205.259999999998</v>
      </c>
      <c r="S165" s="92"/>
      <c r="T165" s="92"/>
      <c r="U165" s="92"/>
      <c r="V165" s="621">
        <f t="shared" si="7"/>
        <v>17205.259999999998</v>
      </c>
      <c r="W165" s="92"/>
      <c r="X165" s="92"/>
      <c r="Y165" s="92"/>
      <c r="Z165" s="92"/>
      <c r="AA165" s="92"/>
      <c r="AB165" s="92"/>
      <c r="AC165" s="93">
        <v>0</v>
      </c>
      <c r="AD165" s="93">
        <v>391.66</v>
      </c>
      <c r="AE165" s="92"/>
      <c r="AF165" s="93">
        <v>45372.639999999999</v>
      </c>
      <c r="AG165" s="93">
        <v>0</v>
      </c>
    </row>
    <row r="166" spans="1:33" ht="15.75" thickBot="1" x14ac:dyDescent="0.3">
      <c r="A166" s="401">
        <v>42522</v>
      </c>
      <c r="B166" s="432" t="s">
        <v>522</v>
      </c>
      <c r="C166" s="418" t="s">
        <v>93</v>
      </c>
      <c r="D166" s="316" t="s">
        <v>719</v>
      </c>
      <c r="E166" s="95">
        <v>525</v>
      </c>
      <c r="F166" s="94"/>
      <c r="G166" s="95">
        <v>525</v>
      </c>
      <c r="H166" s="94"/>
      <c r="I166" s="95">
        <v>0</v>
      </c>
      <c r="J166" s="94"/>
      <c r="K166" s="94"/>
      <c r="L166" s="94"/>
      <c r="M166" s="620">
        <f t="shared" si="6"/>
        <v>525</v>
      </c>
      <c r="N166" s="94"/>
      <c r="O166" s="94"/>
      <c r="P166" s="94"/>
      <c r="Q166" s="94"/>
      <c r="R166" s="94"/>
      <c r="S166" s="94"/>
      <c r="T166" s="94"/>
      <c r="U166" s="95">
        <v>0</v>
      </c>
      <c r="V166" s="621">
        <f t="shared" si="7"/>
        <v>0</v>
      </c>
      <c r="W166" s="94"/>
      <c r="X166" s="94"/>
      <c r="Y166" s="94"/>
      <c r="Z166" s="94"/>
      <c r="AA166" s="94"/>
      <c r="AB166" s="94"/>
      <c r="AC166" s="95">
        <v>0</v>
      </c>
      <c r="AD166" s="95">
        <v>0</v>
      </c>
      <c r="AE166" s="94"/>
      <c r="AF166" s="95">
        <v>525</v>
      </c>
      <c r="AG166" s="95">
        <v>0</v>
      </c>
    </row>
    <row r="167" spans="1:33" ht="15.75" thickBot="1" x14ac:dyDescent="0.3">
      <c r="A167" s="401">
        <v>42522</v>
      </c>
      <c r="B167" s="432" t="s">
        <v>522</v>
      </c>
      <c r="C167" s="317" t="s">
        <v>720</v>
      </c>
      <c r="D167" s="317" t="s">
        <v>720</v>
      </c>
      <c r="E167" s="93">
        <v>525</v>
      </c>
      <c r="F167" s="92"/>
      <c r="G167" s="93">
        <v>525</v>
      </c>
      <c r="H167" s="92"/>
      <c r="I167" s="93">
        <v>0</v>
      </c>
      <c r="J167" s="92"/>
      <c r="K167" s="92"/>
      <c r="L167" s="92"/>
      <c r="M167" s="620">
        <f t="shared" si="6"/>
        <v>525</v>
      </c>
      <c r="N167" s="92"/>
      <c r="O167" s="92"/>
      <c r="P167" s="92"/>
      <c r="Q167" s="92"/>
      <c r="R167" s="92"/>
      <c r="S167" s="92"/>
      <c r="T167" s="92"/>
      <c r="U167" s="93">
        <v>0</v>
      </c>
      <c r="V167" s="621">
        <f t="shared" si="7"/>
        <v>0</v>
      </c>
      <c r="W167" s="92"/>
      <c r="X167" s="92"/>
      <c r="Y167" s="92"/>
      <c r="Z167" s="92"/>
      <c r="AA167" s="92"/>
      <c r="AB167" s="92"/>
      <c r="AC167" s="93">
        <v>0</v>
      </c>
      <c r="AD167" s="93">
        <v>0</v>
      </c>
      <c r="AE167" s="92"/>
      <c r="AF167" s="93">
        <v>525</v>
      </c>
      <c r="AG167" s="93">
        <v>0</v>
      </c>
    </row>
    <row r="168" spans="1:33" ht="15.75" thickBot="1" x14ac:dyDescent="0.3">
      <c r="A168" s="401">
        <v>42522</v>
      </c>
      <c r="B168" s="432" t="s">
        <v>522</v>
      </c>
      <c r="C168" s="418" t="s">
        <v>1001</v>
      </c>
      <c r="D168" s="316" t="s">
        <v>1002</v>
      </c>
      <c r="E168" s="95">
        <v>127235.5</v>
      </c>
      <c r="F168" s="95">
        <v>427401</v>
      </c>
      <c r="G168" s="95">
        <v>2750</v>
      </c>
      <c r="H168" s="94"/>
      <c r="I168" s="95">
        <v>76237.62</v>
      </c>
      <c r="J168" s="94"/>
      <c r="K168" s="94"/>
      <c r="L168" s="94"/>
      <c r="M168" s="620">
        <f t="shared" si="6"/>
        <v>78987.62</v>
      </c>
      <c r="N168" s="95">
        <v>0</v>
      </c>
      <c r="O168" s="95">
        <v>0</v>
      </c>
      <c r="P168" s="94"/>
      <c r="Q168" s="94"/>
      <c r="R168" s="94"/>
      <c r="S168" s="95">
        <v>36081.19</v>
      </c>
      <c r="T168" s="95">
        <v>10868.99</v>
      </c>
      <c r="U168" s="94"/>
      <c r="V168" s="621">
        <f t="shared" si="7"/>
        <v>46950.18</v>
      </c>
      <c r="W168" s="94"/>
      <c r="X168" s="95">
        <v>1297.7</v>
      </c>
      <c r="Y168" s="94"/>
      <c r="Z168" s="94"/>
      <c r="AA168" s="95">
        <v>0</v>
      </c>
      <c r="AB168" s="94"/>
      <c r="AC168" s="95">
        <v>0</v>
      </c>
      <c r="AD168" s="95">
        <v>1082.58</v>
      </c>
      <c r="AE168" s="94"/>
      <c r="AF168" s="95">
        <v>128318.08</v>
      </c>
      <c r="AG168" s="95">
        <v>0</v>
      </c>
    </row>
    <row r="169" spans="1:33" ht="15.75" thickBot="1" x14ac:dyDescent="0.3">
      <c r="A169" s="401">
        <v>42522</v>
      </c>
      <c r="B169" s="432" t="s">
        <v>522</v>
      </c>
      <c r="C169" s="418" t="s">
        <v>1003</v>
      </c>
      <c r="D169" s="316" t="s">
        <v>1004</v>
      </c>
      <c r="E169" s="93">
        <v>40145.339999999997</v>
      </c>
      <c r="F169" s="93">
        <v>172916</v>
      </c>
      <c r="G169" s="93">
        <v>1100</v>
      </c>
      <c r="H169" s="92"/>
      <c r="I169" s="93">
        <v>12119.68</v>
      </c>
      <c r="J169" s="92"/>
      <c r="K169" s="92"/>
      <c r="L169" s="92"/>
      <c r="M169" s="620">
        <f t="shared" si="6"/>
        <v>13219.68</v>
      </c>
      <c r="N169" s="93">
        <v>0</v>
      </c>
      <c r="O169" s="93">
        <v>0</v>
      </c>
      <c r="P169" s="92"/>
      <c r="Q169" s="92"/>
      <c r="R169" s="92"/>
      <c r="S169" s="93">
        <v>14597.57</v>
      </c>
      <c r="T169" s="93">
        <v>6650.35</v>
      </c>
      <c r="U169" s="92"/>
      <c r="V169" s="621">
        <f t="shared" si="7"/>
        <v>21247.919999999998</v>
      </c>
      <c r="W169" s="92"/>
      <c r="X169" s="93">
        <v>5677.74</v>
      </c>
      <c r="Y169" s="92"/>
      <c r="Z169" s="92"/>
      <c r="AA169" s="93">
        <v>0</v>
      </c>
      <c r="AB169" s="92"/>
      <c r="AC169" s="93">
        <v>0</v>
      </c>
      <c r="AD169" s="93">
        <v>0</v>
      </c>
      <c r="AE169" s="92"/>
      <c r="AF169" s="93">
        <v>40145.339999999997</v>
      </c>
      <c r="AG169" s="93">
        <v>0</v>
      </c>
    </row>
    <row r="170" spans="1:33" ht="15.75" thickBot="1" x14ac:dyDescent="0.3">
      <c r="A170" s="401">
        <v>42522</v>
      </c>
      <c r="B170" s="432" t="s">
        <v>522</v>
      </c>
      <c r="C170" s="317" t="s">
        <v>689</v>
      </c>
      <c r="D170" s="317" t="s">
        <v>689</v>
      </c>
      <c r="E170" s="95">
        <v>167380.84</v>
      </c>
      <c r="F170" s="95">
        <v>600317</v>
      </c>
      <c r="G170" s="95">
        <v>3850</v>
      </c>
      <c r="H170" s="94"/>
      <c r="I170" s="95">
        <v>88357.3</v>
      </c>
      <c r="J170" s="94"/>
      <c r="K170" s="94"/>
      <c r="L170" s="94"/>
      <c r="M170" s="620">
        <f t="shared" si="6"/>
        <v>92207.3</v>
      </c>
      <c r="N170" s="95">
        <v>0</v>
      </c>
      <c r="O170" s="95">
        <v>0</v>
      </c>
      <c r="P170" s="94"/>
      <c r="Q170" s="94"/>
      <c r="R170" s="94"/>
      <c r="S170" s="95">
        <v>50678.76</v>
      </c>
      <c r="T170" s="95">
        <v>17519.34</v>
      </c>
      <c r="U170" s="94"/>
      <c r="V170" s="621">
        <f t="shared" si="7"/>
        <v>68198.100000000006</v>
      </c>
      <c r="W170" s="94"/>
      <c r="X170" s="95">
        <v>6975.44</v>
      </c>
      <c r="Y170" s="94"/>
      <c r="Z170" s="94"/>
      <c r="AA170" s="95">
        <v>0</v>
      </c>
      <c r="AB170" s="94"/>
      <c r="AC170" s="95">
        <v>0</v>
      </c>
      <c r="AD170" s="95">
        <v>1082.58</v>
      </c>
      <c r="AE170" s="94"/>
      <c r="AF170" s="95">
        <v>168463.42</v>
      </c>
      <c r="AG170" s="95">
        <v>0</v>
      </c>
    </row>
    <row r="171" spans="1:33" ht="15.75" thickBot="1" x14ac:dyDescent="0.3">
      <c r="A171" s="401">
        <v>42522</v>
      </c>
      <c r="B171" s="432" t="s">
        <v>690</v>
      </c>
      <c r="C171" s="418" t="s">
        <v>933</v>
      </c>
      <c r="D171" s="316" t="s">
        <v>1005</v>
      </c>
      <c r="E171" s="95">
        <v>-1063.29</v>
      </c>
      <c r="F171" s="95">
        <v>419</v>
      </c>
      <c r="G171" s="94"/>
      <c r="H171" s="94"/>
      <c r="I171" s="95">
        <v>18.03</v>
      </c>
      <c r="J171" s="94"/>
      <c r="K171" s="94"/>
      <c r="L171" s="94"/>
      <c r="M171" s="620">
        <f t="shared" si="6"/>
        <v>18.03</v>
      </c>
      <c r="N171" s="94"/>
      <c r="O171" s="94"/>
      <c r="P171" s="95">
        <v>-2840.06</v>
      </c>
      <c r="Q171" s="94"/>
      <c r="R171" s="94"/>
      <c r="S171" s="94"/>
      <c r="T171" s="94"/>
      <c r="U171" s="94"/>
      <c r="V171" s="621">
        <f t="shared" si="7"/>
        <v>-2840.06</v>
      </c>
      <c r="W171" s="95">
        <v>1758.74</v>
      </c>
      <c r="X171" s="94"/>
      <c r="Y171" s="94"/>
      <c r="Z171" s="94"/>
      <c r="AA171" s="94"/>
      <c r="AB171" s="94"/>
      <c r="AC171" s="94"/>
      <c r="AD171" s="95">
        <v>-63.8</v>
      </c>
      <c r="AE171" s="94"/>
      <c r="AF171" s="95">
        <v>-1127.0899999999999</v>
      </c>
      <c r="AG171" s="95">
        <v>0</v>
      </c>
    </row>
    <row r="172" spans="1:33" ht="15.75" thickBot="1" x14ac:dyDescent="0.3">
      <c r="A172" s="401">
        <v>42522</v>
      </c>
      <c r="B172" s="432" t="s">
        <v>690</v>
      </c>
      <c r="C172" s="418" t="s">
        <v>50</v>
      </c>
      <c r="D172" s="316" t="s">
        <v>881</v>
      </c>
      <c r="E172" s="93">
        <v>446.18</v>
      </c>
      <c r="F172" s="93">
        <v>0</v>
      </c>
      <c r="G172" s="92"/>
      <c r="H172" s="92"/>
      <c r="I172" s="93">
        <v>0</v>
      </c>
      <c r="J172" s="92"/>
      <c r="K172" s="92"/>
      <c r="L172" s="92"/>
      <c r="M172" s="620">
        <f t="shared" si="6"/>
        <v>0</v>
      </c>
      <c r="N172" s="92"/>
      <c r="O172" s="92"/>
      <c r="P172" s="93">
        <v>-103.43</v>
      </c>
      <c r="Q172" s="92"/>
      <c r="R172" s="92"/>
      <c r="S172" s="92"/>
      <c r="T172" s="92"/>
      <c r="U172" s="92"/>
      <c r="V172" s="621">
        <f t="shared" si="7"/>
        <v>-103.43</v>
      </c>
      <c r="W172" s="93">
        <v>549.61</v>
      </c>
      <c r="X172" s="92"/>
      <c r="Y172" s="92"/>
      <c r="Z172" s="92"/>
      <c r="AA172" s="92"/>
      <c r="AB172" s="92"/>
      <c r="AC172" s="92"/>
      <c r="AD172" s="93">
        <v>13.39</v>
      </c>
      <c r="AE172" s="92"/>
      <c r="AF172" s="93">
        <v>459.57</v>
      </c>
      <c r="AG172" s="93">
        <v>0</v>
      </c>
    </row>
    <row r="173" spans="1:33" ht="15.75" thickBot="1" x14ac:dyDescent="0.3">
      <c r="A173" s="401">
        <v>42522</v>
      </c>
      <c r="B173" s="432" t="s">
        <v>690</v>
      </c>
      <c r="C173" s="317" t="s">
        <v>49</v>
      </c>
      <c r="D173" s="317" t="s">
        <v>49</v>
      </c>
      <c r="E173" s="95">
        <v>-617.11</v>
      </c>
      <c r="F173" s="95">
        <v>419</v>
      </c>
      <c r="G173" s="94"/>
      <c r="H173" s="94"/>
      <c r="I173" s="95">
        <v>18.03</v>
      </c>
      <c r="J173" s="94"/>
      <c r="K173" s="94"/>
      <c r="L173" s="94"/>
      <c r="M173" s="620">
        <f t="shared" si="6"/>
        <v>18.03</v>
      </c>
      <c r="N173" s="94"/>
      <c r="O173" s="94"/>
      <c r="P173" s="95">
        <v>-2943.49</v>
      </c>
      <c r="Q173" s="94"/>
      <c r="R173" s="94"/>
      <c r="S173" s="94"/>
      <c r="T173" s="94"/>
      <c r="U173" s="94"/>
      <c r="V173" s="621">
        <f t="shared" si="7"/>
        <v>-2943.49</v>
      </c>
      <c r="W173" s="95">
        <v>2308.35</v>
      </c>
      <c r="X173" s="94"/>
      <c r="Y173" s="94"/>
      <c r="Z173" s="94"/>
      <c r="AA173" s="94"/>
      <c r="AB173" s="94"/>
      <c r="AC173" s="94"/>
      <c r="AD173" s="95">
        <v>-50.41</v>
      </c>
      <c r="AE173" s="94"/>
      <c r="AF173" s="95">
        <v>-667.52</v>
      </c>
      <c r="AG173" s="95">
        <v>0</v>
      </c>
    </row>
    <row r="174" spans="1:33" ht="15.75" thickBot="1" x14ac:dyDescent="0.3">
      <c r="A174" s="401">
        <v>42522</v>
      </c>
      <c r="B174" s="432" t="s">
        <v>690</v>
      </c>
      <c r="C174" s="418" t="s">
        <v>54</v>
      </c>
      <c r="D174" s="316" t="s">
        <v>55</v>
      </c>
      <c r="E174" s="93">
        <v>85365.79</v>
      </c>
      <c r="F174" s="92"/>
      <c r="G174" s="92"/>
      <c r="H174" s="92"/>
      <c r="I174" s="92"/>
      <c r="J174" s="92"/>
      <c r="K174" s="92"/>
      <c r="L174" s="92"/>
      <c r="M174" s="620">
        <f t="shared" si="6"/>
        <v>0</v>
      </c>
      <c r="N174" s="92"/>
      <c r="O174" s="92"/>
      <c r="P174" s="93">
        <v>-3887.73</v>
      </c>
      <c r="Q174" s="92"/>
      <c r="R174" s="92"/>
      <c r="S174" s="92"/>
      <c r="T174" s="92"/>
      <c r="U174" s="92"/>
      <c r="V174" s="621">
        <f t="shared" si="7"/>
        <v>-3887.73</v>
      </c>
      <c r="W174" s="93">
        <v>89253.52</v>
      </c>
      <c r="X174" s="92"/>
      <c r="Y174" s="92"/>
      <c r="Z174" s="92"/>
      <c r="AA174" s="92"/>
      <c r="AB174" s="92"/>
      <c r="AC174" s="92"/>
      <c r="AD174" s="93">
        <v>1218.68</v>
      </c>
      <c r="AE174" s="92"/>
      <c r="AF174" s="93">
        <v>86584.47</v>
      </c>
      <c r="AG174" s="93">
        <v>0</v>
      </c>
    </row>
    <row r="175" spans="1:33" ht="15.75" thickBot="1" x14ac:dyDescent="0.3">
      <c r="A175" s="401">
        <v>42522</v>
      </c>
      <c r="B175" s="432" t="s">
        <v>690</v>
      </c>
      <c r="C175" s="317" t="s">
        <v>56</v>
      </c>
      <c r="D175" s="317" t="s">
        <v>56</v>
      </c>
      <c r="E175" s="95">
        <v>85365.79</v>
      </c>
      <c r="F175" s="94"/>
      <c r="G175" s="94"/>
      <c r="H175" s="94"/>
      <c r="I175" s="94"/>
      <c r="J175" s="94"/>
      <c r="K175" s="94"/>
      <c r="L175" s="94"/>
      <c r="M175" s="620">
        <f t="shared" si="6"/>
        <v>0</v>
      </c>
      <c r="N175" s="94"/>
      <c r="O175" s="94"/>
      <c r="P175" s="95">
        <v>-3887.73</v>
      </c>
      <c r="Q175" s="94"/>
      <c r="R175" s="94"/>
      <c r="S175" s="94"/>
      <c r="T175" s="94"/>
      <c r="U175" s="94"/>
      <c r="V175" s="621">
        <f t="shared" si="7"/>
        <v>-3887.73</v>
      </c>
      <c r="W175" s="95">
        <v>89253.52</v>
      </c>
      <c r="X175" s="94"/>
      <c r="Y175" s="94"/>
      <c r="Z175" s="94"/>
      <c r="AA175" s="94"/>
      <c r="AB175" s="94"/>
      <c r="AC175" s="94"/>
      <c r="AD175" s="95">
        <v>1218.68</v>
      </c>
      <c r="AE175" s="94"/>
      <c r="AF175" s="95">
        <v>86584.47</v>
      </c>
      <c r="AG175" s="95">
        <v>0</v>
      </c>
    </row>
    <row r="176" spans="1:33" ht="15.75" thickBot="1" x14ac:dyDescent="0.3">
      <c r="A176" s="401">
        <v>42522</v>
      </c>
      <c r="B176" s="432" t="s">
        <v>690</v>
      </c>
      <c r="C176" s="418" t="s">
        <v>93</v>
      </c>
      <c r="D176" s="316" t="s">
        <v>719</v>
      </c>
      <c r="E176" s="93">
        <v>5703.51</v>
      </c>
      <c r="F176" s="92"/>
      <c r="G176" s="92"/>
      <c r="H176" s="92"/>
      <c r="I176" s="92"/>
      <c r="J176" s="92"/>
      <c r="K176" s="92"/>
      <c r="L176" s="92"/>
      <c r="M176" s="620">
        <f t="shared" si="6"/>
        <v>0</v>
      </c>
      <c r="N176" s="92"/>
      <c r="O176" s="92"/>
      <c r="P176" s="93">
        <v>2500.69</v>
      </c>
      <c r="Q176" s="92"/>
      <c r="R176" s="92"/>
      <c r="S176" s="92"/>
      <c r="T176" s="92"/>
      <c r="U176" s="92"/>
      <c r="V176" s="621">
        <f t="shared" si="7"/>
        <v>2500.69</v>
      </c>
      <c r="W176" s="93">
        <v>3202.82</v>
      </c>
      <c r="X176" s="92"/>
      <c r="Y176" s="92"/>
      <c r="Z176" s="92"/>
      <c r="AA176" s="92"/>
      <c r="AB176" s="92"/>
      <c r="AC176" s="92"/>
      <c r="AD176" s="93">
        <v>0</v>
      </c>
      <c r="AE176" s="92"/>
      <c r="AF176" s="93">
        <v>5703.51</v>
      </c>
      <c r="AG176" s="93">
        <v>0</v>
      </c>
    </row>
    <row r="177" spans="1:33" ht="15.75" thickBot="1" x14ac:dyDescent="0.3">
      <c r="A177" s="401">
        <v>42522</v>
      </c>
      <c r="B177" s="432" t="s">
        <v>690</v>
      </c>
      <c r="C177" s="317" t="s">
        <v>720</v>
      </c>
      <c r="D177" s="317" t="s">
        <v>720</v>
      </c>
      <c r="E177" s="95">
        <v>5703.51</v>
      </c>
      <c r="F177" s="94"/>
      <c r="G177" s="94"/>
      <c r="H177" s="94"/>
      <c r="I177" s="94"/>
      <c r="J177" s="94"/>
      <c r="K177" s="94"/>
      <c r="L177" s="94"/>
      <c r="M177" s="620">
        <f t="shared" si="6"/>
        <v>0</v>
      </c>
      <c r="N177" s="94"/>
      <c r="O177" s="94"/>
      <c r="P177" s="95">
        <v>2500.69</v>
      </c>
      <c r="Q177" s="94"/>
      <c r="R177" s="94"/>
      <c r="S177" s="94"/>
      <c r="T177" s="94"/>
      <c r="U177" s="94"/>
      <c r="V177" s="621">
        <f t="shared" si="7"/>
        <v>2500.69</v>
      </c>
      <c r="W177" s="95">
        <v>3202.82</v>
      </c>
      <c r="X177" s="94"/>
      <c r="Y177" s="94"/>
      <c r="Z177" s="94"/>
      <c r="AA177" s="94"/>
      <c r="AB177" s="94"/>
      <c r="AC177" s="94"/>
      <c r="AD177" s="95">
        <v>0</v>
      </c>
      <c r="AE177" s="94"/>
      <c r="AF177" s="95">
        <v>5703.51</v>
      </c>
      <c r="AG177" s="95">
        <v>0</v>
      </c>
    </row>
    <row r="178" spans="1:33" ht="15.75" thickBot="1" x14ac:dyDescent="0.3">
      <c r="A178" s="401">
        <v>42522</v>
      </c>
      <c r="B178" s="432" t="s">
        <v>690</v>
      </c>
      <c r="C178" s="418" t="s">
        <v>1001</v>
      </c>
      <c r="D178" s="316" t="s">
        <v>1002</v>
      </c>
      <c r="E178" s="93">
        <v>900</v>
      </c>
      <c r="F178" s="93">
        <v>0</v>
      </c>
      <c r="G178" s="93">
        <v>900</v>
      </c>
      <c r="H178" s="92"/>
      <c r="I178" s="93">
        <v>0</v>
      </c>
      <c r="J178" s="92"/>
      <c r="K178" s="92"/>
      <c r="L178" s="92"/>
      <c r="M178" s="620">
        <f t="shared" si="6"/>
        <v>900</v>
      </c>
      <c r="N178" s="92"/>
      <c r="O178" s="92"/>
      <c r="P178" s="92"/>
      <c r="Q178" s="92"/>
      <c r="R178" s="92"/>
      <c r="S178" s="92"/>
      <c r="T178" s="92"/>
      <c r="U178" s="92"/>
      <c r="V178" s="621">
        <f t="shared" si="7"/>
        <v>0</v>
      </c>
      <c r="W178" s="92"/>
      <c r="X178" s="92"/>
      <c r="Y178" s="92"/>
      <c r="Z178" s="92"/>
      <c r="AA178" s="92"/>
      <c r="AB178" s="92"/>
      <c r="AC178" s="92"/>
      <c r="AD178" s="93">
        <v>16.2</v>
      </c>
      <c r="AE178" s="92"/>
      <c r="AF178" s="93">
        <v>916.2</v>
      </c>
      <c r="AG178" s="93">
        <v>0</v>
      </c>
    </row>
    <row r="179" spans="1:33" ht="15.75" thickBot="1" x14ac:dyDescent="0.3">
      <c r="A179" s="401">
        <v>42522</v>
      </c>
      <c r="B179" s="432" t="s">
        <v>690</v>
      </c>
      <c r="C179" s="418" t="s">
        <v>1003</v>
      </c>
      <c r="D179" s="316" t="s">
        <v>1004</v>
      </c>
      <c r="E179" s="95">
        <v>800</v>
      </c>
      <c r="F179" s="94"/>
      <c r="G179" s="95">
        <v>800</v>
      </c>
      <c r="H179" s="94"/>
      <c r="I179" s="94"/>
      <c r="J179" s="94"/>
      <c r="K179" s="94"/>
      <c r="L179" s="94"/>
      <c r="M179" s="620">
        <f t="shared" si="6"/>
        <v>800</v>
      </c>
      <c r="N179" s="94"/>
      <c r="O179" s="94"/>
      <c r="P179" s="94"/>
      <c r="Q179" s="94"/>
      <c r="R179" s="94"/>
      <c r="S179" s="94"/>
      <c r="T179" s="94"/>
      <c r="U179" s="94"/>
      <c r="V179" s="621">
        <f t="shared" si="7"/>
        <v>0</v>
      </c>
      <c r="W179" s="94"/>
      <c r="X179" s="94"/>
      <c r="Y179" s="94"/>
      <c r="Z179" s="94"/>
      <c r="AA179" s="94"/>
      <c r="AB179" s="94"/>
      <c r="AC179" s="94"/>
      <c r="AD179" s="95">
        <v>0</v>
      </c>
      <c r="AE179" s="94"/>
      <c r="AF179" s="95">
        <v>800</v>
      </c>
      <c r="AG179" s="95">
        <v>0</v>
      </c>
    </row>
    <row r="180" spans="1:33" ht="15.75" thickBot="1" x14ac:dyDescent="0.3">
      <c r="A180" s="401">
        <v>42522</v>
      </c>
      <c r="B180" s="432" t="s">
        <v>690</v>
      </c>
      <c r="C180" s="317" t="s">
        <v>689</v>
      </c>
      <c r="D180" s="317" t="s">
        <v>689</v>
      </c>
      <c r="E180" s="93">
        <v>1700</v>
      </c>
      <c r="F180" s="93">
        <v>0</v>
      </c>
      <c r="G180" s="93">
        <v>1700</v>
      </c>
      <c r="H180" s="92"/>
      <c r="I180" s="93">
        <v>0</v>
      </c>
      <c r="J180" s="92"/>
      <c r="K180" s="92"/>
      <c r="L180" s="92"/>
      <c r="M180" s="620">
        <f t="shared" si="6"/>
        <v>1700</v>
      </c>
      <c r="N180" s="92"/>
      <c r="O180" s="92"/>
      <c r="P180" s="92"/>
      <c r="Q180" s="92"/>
      <c r="R180" s="92"/>
      <c r="S180" s="92"/>
      <c r="T180" s="92"/>
      <c r="U180" s="92"/>
      <c r="V180" s="621">
        <f t="shared" si="7"/>
        <v>0</v>
      </c>
      <c r="W180" s="92"/>
      <c r="X180" s="92"/>
      <c r="Y180" s="92"/>
      <c r="Z180" s="92"/>
      <c r="AA180" s="92"/>
      <c r="AB180" s="92"/>
      <c r="AC180" s="92"/>
      <c r="AD180" s="93">
        <v>16.2</v>
      </c>
      <c r="AE180" s="92"/>
      <c r="AF180" s="93">
        <v>1716.2</v>
      </c>
      <c r="AG180" s="93">
        <v>0</v>
      </c>
    </row>
    <row r="181" spans="1:33" ht="15.75" thickBot="1" x14ac:dyDescent="0.3">
      <c r="A181" s="401">
        <v>42522</v>
      </c>
      <c r="B181" s="432" t="s">
        <v>511</v>
      </c>
      <c r="C181" s="418" t="s">
        <v>57</v>
      </c>
      <c r="D181" s="316" t="s">
        <v>1228</v>
      </c>
      <c r="E181" s="93">
        <v>112077.09</v>
      </c>
      <c r="F181" s="93">
        <v>951278</v>
      </c>
      <c r="G181" s="93">
        <v>0</v>
      </c>
      <c r="H181" s="93">
        <v>107140.32</v>
      </c>
      <c r="I181" s="93">
        <v>4727.8500000000004</v>
      </c>
      <c r="J181" s="92"/>
      <c r="K181" s="92"/>
      <c r="L181" s="93">
        <v>109.23</v>
      </c>
      <c r="M181" s="620">
        <f t="shared" si="6"/>
        <v>111977.40000000001</v>
      </c>
      <c r="N181" s="92"/>
      <c r="O181" s="92"/>
      <c r="P181" s="92"/>
      <c r="Q181" s="93">
        <v>0</v>
      </c>
      <c r="R181" s="93">
        <v>99.69</v>
      </c>
      <c r="S181" s="92"/>
      <c r="T181" s="92"/>
      <c r="U181" s="92"/>
      <c r="V181" s="621">
        <f t="shared" si="7"/>
        <v>99.69</v>
      </c>
      <c r="W181" s="92"/>
      <c r="X181" s="92"/>
      <c r="Y181" s="92"/>
      <c r="Z181" s="92"/>
      <c r="AA181" s="92"/>
      <c r="AB181" s="92"/>
      <c r="AC181" s="93">
        <v>0</v>
      </c>
      <c r="AD181" s="93">
        <v>0</v>
      </c>
      <c r="AE181" s="92"/>
      <c r="AF181" s="93">
        <v>112077.09</v>
      </c>
      <c r="AG181" s="93">
        <v>0</v>
      </c>
    </row>
    <row r="182" spans="1:33" ht="15.75" thickBot="1" x14ac:dyDescent="0.3">
      <c r="A182" s="401">
        <v>42522</v>
      </c>
      <c r="B182" s="432" t="s">
        <v>511</v>
      </c>
      <c r="C182" s="418" t="s">
        <v>45</v>
      </c>
      <c r="D182" s="316" t="s">
        <v>46</v>
      </c>
      <c r="E182" s="95">
        <v>94454.31</v>
      </c>
      <c r="F182" s="94"/>
      <c r="G182" s="95">
        <v>0</v>
      </c>
      <c r="H182" s="94"/>
      <c r="I182" s="94"/>
      <c r="J182" s="94"/>
      <c r="K182" s="94"/>
      <c r="L182" s="94"/>
      <c r="M182" s="620">
        <f t="shared" si="6"/>
        <v>0</v>
      </c>
      <c r="N182" s="94"/>
      <c r="O182" s="95">
        <v>94194.77</v>
      </c>
      <c r="P182" s="94"/>
      <c r="Q182" s="94"/>
      <c r="R182" s="94"/>
      <c r="S182" s="94"/>
      <c r="T182" s="94"/>
      <c r="U182" s="94"/>
      <c r="V182" s="621">
        <f t="shared" si="7"/>
        <v>94194.77</v>
      </c>
      <c r="W182" s="94"/>
      <c r="X182" s="95">
        <v>259.54000000000002</v>
      </c>
      <c r="Y182" s="94"/>
      <c r="Z182" s="94"/>
      <c r="AA182" s="94"/>
      <c r="AB182" s="94"/>
      <c r="AC182" s="95">
        <v>0</v>
      </c>
      <c r="AD182" s="95">
        <v>0</v>
      </c>
      <c r="AE182" s="94"/>
      <c r="AF182" s="95">
        <v>94454.31</v>
      </c>
      <c r="AG182" s="95">
        <v>0</v>
      </c>
    </row>
    <row r="183" spans="1:33" ht="15.75" thickBot="1" x14ac:dyDescent="0.3">
      <c r="A183" s="401">
        <v>42522</v>
      </c>
      <c r="B183" s="432" t="s">
        <v>511</v>
      </c>
      <c r="C183" s="317" t="s">
        <v>687</v>
      </c>
      <c r="D183" s="317" t="s">
        <v>687</v>
      </c>
      <c r="E183" s="93">
        <v>206531.4</v>
      </c>
      <c r="F183" s="93">
        <v>951278</v>
      </c>
      <c r="G183" s="93">
        <v>0</v>
      </c>
      <c r="H183" s="93">
        <v>107140.32</v>
      </c>
      <c r="I183" s="93">
        <v>4727.8500000000004</v>
      </c>
      <c r="J183" s="92"/>
      <c r="K183" s="92"/>
      <c r="L183" s="93">
        <v>109.23</v>
      </c>
      <c r="M183" s="620">
        <f t="shared" si="6"/>
        <v>111977.40000000001</v>
      </c>
      <c r="N183" s="92"/>
      <c r="O183" s="93">
        <v>94194.77</v>
      </c>
      <c r="P183" s="92"/>
      <c r="Q183" s="93">
        <v>0</v>
      </c>
      <c r="R183" s="93">
        <v>99.69</v>
      </c>
      <c r="S183" s="92"/>
      <c r="T183" s="92"/>
      <c r="U183" s="92"/>
      <c r="V183" s="621">
        <f t="shared" si="7"/>
        <v>94294.46</v>
      </c>
      <c r="W183" s="92"/>
      <c r="X183" s="93">
        <v>259.54000000000002</v>
      </c>
      <c r="Y183" s="92"/>
      <c r="Z183" s="92"/>
      <c r="AA183" s="92"/>
      <c r="AB183" s="92"/>
      <c r="AC183" s="93">
        <v>0</v>
      </c>
      <c r="AD183" s="93">
        <v>0</v>
      </c>
      <c r="AE183" s="92"/>
      <c r="AF183" s="93">
        <v>206531.4</v>
      </c>
      <c r="AG183" s="93">
        <v>0</v>
      </c>
    </row>
    <row r="184" spans="1:33" ht="15.75" thickBot="1" x14ac:dyDescent="0.3">
      <c r="A184" s="401">
        <v>42522</v>
      </c>
      <c r="B184" s="432" t="s">
        <v>698</v>
      </c>
      <c r="C184" s="418" t="s">
        <v>57</v>
      </c>
      <c r="D184" s="316" t="s">
        <v>1228</v>
      </c>
      <c r="E184" s="95">
        <v>1192.47</v>
      </c>
      <c r="F184" s="95">
        <v>0</v>
      </c>
      <c r="G184" s="95">
        <v>800</v>
      </c>
      <c r="H184" s="94"/>
      <c r="I184" s="95">
        <v>0</v>
      </c>
      <c r="J184" s="94"/>
      <c r="K184" s="94"/>
      <c r="L184" s="94"/>
      <c r="M184" s="620">
        <f t="shared" si="6"/>
        <v>800</v>
      </c>
      <c r="N184" s="94"/>
      <c r="O184" s="94"/>
      <c r="P184" s="95">
        <v>-728.37</v>
      </c>
      <c r="Q184" s="94"/>
      <c r="R184" s="94"/>
      <c r="S184" s="94"/>
      <c r="T184" s="94"/>
      <c r="U184" s="94"/>
      <c r="V184" s="621">
        <f t="shared" si="7"/>
        <v>-728.37</v>
      </c>
      <c r="W184" s="95">
        <v>1120.8399999999999</v>
      </c>
      <c r="X184" s="94"/>
      <c r="Y184" s="94"/>
      <c r="Z184" s="94"/>
      <c r="AA184" s="94"/>
      <c r="AB184" s="94"/>
      <c r="AC184" s="94"/>
      <c r="AD184" s="95">
        <v>0</v>
      </c>
      <c r="AE184" s="94"/>
      <c r="AF184" s="95">
        <v>1192.47</v>
      </c>
      <c r="AG184" s="95">
        <v>0</v>
      </c>
    </row>
    <row r="185" spans="1:33" ht="15.75" thickBot="1" x14ac:dyDescent="0.3">
      <c r="A185" s="401">
        <v>42522</v>
      </c>
      <c r="B185" s="432" t="s">
        <v>698</v>
      </c>
      <c r="C185" s="418" t="s">
        <v>45</v>
      </c>
      <c r="D185" s="316" t="s">
        <v>46</v>
      </c>
      <c r="E185" s="93">
        <v>195619.73</v>
      </c>
      <c r="F185" s="93">
        <v>268132</v>
      </c>
      <c r="G185" s="93">
        <v>180</v>
      </c>
      <c r="H185" s="93">
        <v>186513.62</v>
      </c>
      <c r="I185" s="93">
        <v>8926.11</v>
      </c>
      <c r="J185" s="92"/>
      <c r="K185" s="92"/>
      <c r="L185" s="92"/>
      <c r="M185" s="620">
        <f t="shared" si="6"/>
        <v>195619.72999999998</v>
      </c>
      <c r="N185" s="92"/>
      <c r="O185" s="92"/>
      <c r="P185" s="92"/>
      <c r="Q185" s="92"/>
      <c r="R185" s="92"/>
      <c r="S185" s="92"/>
      <c r="T185" s="92"/>
      <c r="U185" s="92"/>
      <c r="V185" s="621">
        <f t="shared" si="7"/>
        <v>0</v>
      </c>
      <c r="W185" s="92"/>
      <c r="X185" s="92"/>
      <c r="Y185" s="92"/>
      <c r="Z185" s="92"/>
      <c r="AA185" s="92"/>
      <c r="AB185" s="92"/>
      <c r="AC185" s="92"/>
      <c r="AD185" s="93">
        <v>0</v>
      </c>
      <c r="AE185" s="92"/>
      <c r="AF185" s="93">
        <v>195619.73</v>
      </c>
      <c r="AG185" s="93">
        <v>0</v>
      </c>
    </row>
    <row r="186" spans="1:33" ht="15.75" thickBot="1" x14ac:dyDescent="0.3">
      <c r="A186" s="401">
        <v>42522</v>
      </c>
      <c r="B186" s="432" t="s">
        <v>698</v>
      </c>
      <c r="C186" s="317" t="s">
        <v>687</v>
      </c>
      <c r="D186" s="317" t="s">
        <v>687</v>
      </c>
      <c r="E186" s="95">
        <v>196812.2</v>
      </c>
      <c r="F186" s="95">
        <v>268132</v>
      </c>
      <c r="G186" s="95">
        <v>980</v>
      </c>
      <c r="H186" s="95">
        <v>186513.62</v>
      </c>
      <c r="I186" s="95">
        <v>8926.11</v>
      </c>
      <c r="J186" s="94"/>
      <c r="K186" s="94"/>
      <c r="L186" s="94"/>
      <c r="M186" s="620">
        <f t="shared" si="6"/>
        <v>196419.72999999998</v>
      </c>
      <c r="N186" s="94"/>
      <c r="O186" s="94"/>
      <c r="P186" s="95">
        <v>-728.37</v>
      </c>
      <c r="Q186" s="94"/>
      <c r="R186" s="94"/>
      <c r="S186" s="94"/>
      <c r="T186" s="94"/>
      <c r="U186" s="94"/>
      <c r="V186" s="621">
        <f t="shared" si="7"/>
        <v>-728.37</v>
      </c>
      <c r="W186" s="95">
        <v>1120.8399999999999</v>
      </c>
      <c r="X186" s="94"/>
      <c r="Y186" s="94"/>
      <c r="Z186" s="94"/>
      <c r="AA186" s="94"/>
      <c r="AB186" s="94"/>
      <c r="AC186" s="94"/>
      <c r="AD186" s="95">
        <v>0</v>
      </c>
      <c r="AE186" s="94"/>
      <c r="AF186" s="95">
        <v>196812.2</v>
      </c>
      <c r="AG186" s="95">
        <v>0</v>
      </c>
    </row>
    <row r="187" spans="1:33" ht="15.75" thickBot="1" x14ac:dyDescent="0.3">
      <c r="A187" s="401">
        <v>42552</v>
      </c>
      <c r="B187" s="432" t="s">
        <v>686</v>
      </c>
      <c r="C187" s="418" t="s">
        <v>872</v>
      </c>
      <c r="D187" s="316" t="s">
        <v>873</v>
      </c>
      <c r="E187" s="419">
        <v>21245.77</v>
      </c>
      <c r="F187" s="419">
        <v>35046</v>
      </c>
      <c r="G187" s="419">
        <v>800</v>
      </c>
      <c r="H187" s="419"/>
      <c r="I187" s="419">
        <v>2456.37</v>
      </c>
      <c r="J187" s="419"/>
      <c r="K187" s="419"/>
      <c r="L187" s="419"/>
      <c r="M187" s="620">
        <f t="shared" ref="M187:M228" si="8">SUM(G187:L187)</f>
        <v>3256.37</v>
      </c>
      <c r="N187" s="419">
        <v>0</v>
      </c>
      <c r="O187" s="419">
        <v>12311.66</v>
      </c>
      <c r="P187" s="419"/>
      <c r="Q187" s="419"/>
      <c r="R187" s="419"/>
      <c r="S187" s="419"/>
      <c r="T187" s="419"/>
      <c r="U187" s="419"/>
      <c r="V187" s="621">
        <f t="shared" ref="V187:V228" si="9">SUM(O187:U187)</f>
        <v>12311.66</v>
      </c>
      <c r="W187" s="419"/>
      <c r="X187" s="419">
        <v>5677.74</v>
      </c>
      <c r="Y187" s="419"/>
      <c r="Z187" s="419"/>
      <c r="AA187" s="419"/>
      <c r="AB187" s="419"/>
      <c r="AC187" s="419">
        <v>0</v>
      </c>
      <c r="AD187" s="419">
        <v>0</v>
      </c>
      <c r="AE187" s="419"/>
      <c r="AF187" s="419">
        <v>21245.77</v>
      </c>
      <c r="AG187" s="419">
        <v>0</v>
      </c>
    </row>
    <row r="188" spans="1:33" ht="15.75" thickBot="1" x14ac:dyDescent="0.3">
      <c r="A188" s="401">
        <v>42552</v>
      </c>
      <c r="B188" s="432" t="s">
        <v>686</v>
      </c>
      <c r="C188" s="418" t="s">
        <v>18</v>
      </c>
      <c r="D188" s="316" t="s">
        <v>453</v>
      </c>
      <c r="E188" s="420">
        <v>18254.21</v>
      </c>
      <c r="F188" s="420">
        <v>27909</v>
      </c>
      <c r="G188" s="420">
        <v>800</v>
      </c>
      <c r="H188" s="420"/>
      <c r="I188" s="420">
        <v>1956.14</v>
      </c>
      <c r="J188" s="420"/>
      <c r="K188" s="420"/>
      <c r="L188" s="420"/>
      <c r="M188" s="620">
        <f t="shared" si="8"/>
        <v>2756.1400000000003</v>
      </c>
      <c r="N188" s="420">
        <v>15.9</v>
      </c>
      <c r="O188" s="420">
        <v>9804.43</v>
      </c>
      <c r="P188" s="420"/>
      <c r="Q188" s="420"/>
      <c r="R188" s="420"/>
      <c r="S188" s="420"/>
      <c r="T188" s="420"/>
      <c r="U188" s="420"/>
      <c r="V188" s="621">
        <f t="shared" si="9"/>
        <v>9804.43</v>
      </c>
      <c r="W188" s="420"/>
      <c r="X188" s="420">
        <v>5677.74</v>
      </c>
      <c r="Y188" s="420"/>
      <c r="Z188" s="420">
        <v>0</v>
      </c>
      <c r="AA188" s="420"/>
      <c r="AB188" s="420"/>
      <c r="AC188" s="420">
        <v>0</v>
      </c>
      <c r="AD188" s="420">
        <v>504.57</v>
      </c>
      <c r="AE188" s="420"/>
      <c r="AF188" s="420">
        <v>18758.78</v>
      </c>
      <c r="AG188" s="420">
        <v>0</v>
      </c>
    </row>
    <row r="189" spans="1:33" ht="15.75" thickBot="1" x14ac:dyDescent="0.3">
      <c r="A189" s="401">
        <v>42552</v>
      </c>
      <c r="B189" s="432" t="s">
        <v>686</v>
      </c>
      <c r="C189" s="317" t="s">
        <v>445</v>
      </c>
      <c r="D189" s="317" t="s">
        <v>445</v>
      </c>
      <c r="E189" s="419">
        <v>39499.980000000003</v>
      </c>
      <c r="F189" s="419">
        <v>62955</v>
      </c>
      <c r="G189" s="419">
        <v>1600</v>
      </c>
      <c r="H189" s="419"/>
      <c r="I189" s="419">
        <v>4412.51</v>
      </c>
      <c r="J189" s="419"/>
      <c r="K189" s="419"/>
      <c r="L189" s="419"/>
      <c r="M189" s="620">
        <f t="shared" si="8"/>
        <v>6012.51</v>
      </c>
      <c r="N189" s="419">
        <v>15.9</v>
      </c>
      <c r="O189" s="419">
        <v>22116.09</v>
      </c>
      <c r="P189" s="419"/>
      <c r="Q189" s="419"/>
      <c r="R189" s="419"/>
      <c r="S189" s="419"/>
      <c r="T189" s="419"/>
      <c r="U189" s="419"/>
      <c r="V189" s="621">
        <f t="shared" si="9"/>
        <v>22116.09</v>
      </c>
      <c r="W189" s="419"/>
      <c r="X189" s="419">
        <v>11355.48</v>
      </c>
      <c r="Y189" s="419"/>
      <c r="Z189" s="419">
        <v>0</v>
      </c>
      <c r="AA189" s="419"/>
      <c r="AB189" s="419"/>
      <c r="AC189" s="419">
        <v>0</v>
      </c>
      <c r="AD189" s="419">
        <v>504.57</v>
      </c>
      <c r="AE189" s="419"/>
      <c r="AF189" s="419">
        <v>40004.550000000003</v>
      </c>
      <c r="AG189" s="419">
        <v>0</v>
      </c>
    </row>
    <row r="190" spans="1:33" ht="15.75" thickBot="1" x14ac:dyDescent="0.3">
      <c r="A190" s="401">
        <v>42552</v>
      </c>
      <c r="B190" s="432" t="s">
        <v>686</v>
      </c>
      <c r="C190" s="418" t="s">
        <v>26</v>
      </c>
      <c r="D190" s="316" t="s">
        <v>875</v>
      </c>
      <c r="E190" s="420">
        <v>3305527.34</v>
      </c>
      <c r="F190" s="420">
        <v>2729069</v>
      </c>
      <c r="G190" s="420">
        <v>1131189.95</v>
      </c>
      <c r="H190" s="420"/>
      <c r="I190" s="420">
        <v>543774.37</v>
      </c>
      <c r="J190" s="420"/>
      <c r="K190" s="420"/>
      <c r="L190" s="420"/>
      <c r="M190" s="620">
        <f t="shared" si="8"/>
        <v>1674964.3199999998</v>
      </c>
      <c r="N190" s="420">
        <v>1550.09</v>
      </c>
      <c r="O190" s="420">
        <v>959338.35</v>
      </c>
      <c r="P190" s="420"/>
      <c r="Q190" s="420"/>
      <c r="R190" s="420"/>
      <c r="S190" s="420"/>
      <c r="T190" s="420"/>
      <c r="U190" s="420"/>
      <c r="V190" s="621">
        <f t="shared" si="9"/>
        <v>959338.35</v>
      </c>
      <c r="W190" s="420"/>
      <c r="X190" s="420">
        <v>670825.15</v>
      </c>
      <c r="Y190" s="420">
        <v>-1150.57</v>
      </c>
      <c r="Z190" s="420">
        <v>0</v>
      </c>
      <c r="AA190" s="420"/>
      <c r="AB190" s="420"/>
      <c r="AC190" s="420">
        <v>1182.58</v>
      </c>
      <c r="AD190" s="420">
        <v>178495.53</v>
      </c>
      <c r="AE190" s="420"/>
      <c r="AF190" s="420">
        <v>3485205.45</v>
      </c>
      <c r="AG190" s="420">
        <v>0</v>
      </c>
    </row>
    <row r="191" spans="1:33" ht="15.75" thickBot="1" x14ac:dyDescent="0.3">
      <c r="A191" s="401">
        <v>42552</v>
      </c>
      <c r="B191" s="432" t="s">
        <v>686</v>
      </c>
      <c r="C191" s="418" t="s">
        <v>707</v>
      </c>
      <c r="D191" s="316" t="s">
        <v>876</v>
      </c>
      <c r="E191" s="419">
        <v>226.14</v>
      </c>
      <c r="F191" s="419">
        <v>280</v>
      </c>
      <c r="G191" s="419">
        <v>40</v>
      </c>
      <c r="H191" s="419"/>
      <c r="I191" s="419">
        <v>60.21</v>
      </c>
      <c r="J191" s="419"/>
      <c r="K191" s="419"/>
      <c r="L191" s="419"/>
      <c r="M191" s="620">
        <f t="shared" si="8"/>
        <v>100.21000000000001</v>
      </c>
      <c r="N191" s="419">
        <v>0.16</v>
      </c>
      <c r="O191" s="419">
        <v>98.36</v>
      </c>
      <c r="P191" s="419"/>
      <c r="Q191" s="419"/>
      <c r="R191" s="419"/>
      <c r="S191" s="419"/>
      <c r="T191" s="419"/>
      <c r="U191" s="419"/>
      <c r="V191" s="621">
        <f t="shared" si="9"/>
        <v>98.36</v>
      </c>
      <c r="W191" s="419"/>
      <c r="X191" s="419">
        <v>27.41</v>
      </c>
      <c r="Y191" s="419"/>
      <c r="Z191" s="419"/>
      <c r="AA191" s="419"/>
      <c r="AB191" s="419"/>
      <c r="AC191" s="419">
        <v>0</v>
      </c>
      <c r="AD191" s="419">
        <v>13.57</v>
      </c>
      <c r="AE191" s="419"/>
      <c r="AF191" s="419">
        <v>239.71</v>
      </c>
      <c r="AG191" s="419">
        <v>0</v>
      </c>
    </row>
    <row r="192" spans="1:33" ht="15.75" thickBot="1" x14ac:dyDescent="0.3">
      <c r="A192" s="401">
        <v>42552</v>
      </c>
      <c r="B192" s="432" t="s">
        <v>686</v>
      </c>
      <c r="C192" s="317" t="s">
        <v>109</v>
      </c>
      <c r="D192" s="317" t="s">
        <v>109</v>
      </c>
      <c r="E192" s="420">
        <v>3305753.48</v>
      </c>
      <c r="F192" s="420">
        <v>2729349</v>
      </c>
      <c r="G192" s="420">
        <v>1131229.95</v>
      </c>
      <c r="H192" s="420"/>
      <c r="I192" s="420">
        <v>543834.57999999996</v>
      </c>
      <c r="J192" s="420"/>
      <c r="K192" s="420"/>
      <c r="L192" s="420"/>
      <c r="M192" s="620">
        <f t="shared" si="8"/>
        <v>1675064.5299999998</v>
      </c>
      <c r="N192" s="420">
        <v>1550.25</v>
      </c>
      <c r="O192" s="420">
        <v>959436.71</v>
      </c>
      <c r="P192" s="420"/>
      <c r="Q192" s="420"/>
      <c r="R192" s="420"/>
      <c r="S192" s="420"/>
      <c r="T192" s="420"/>
      <c r="U192" s="420"/>
      <c r="V192" s="621">
        <f t="shared" si="9"/>
        <v>959436.71</v>
      </c>
      <c r="W192" s="420"/>
      <c r="X192" s="420">
        <v>670852.56000000006</v>
      </c>
      <c r="Y192" s="420">
        <v>-1150.57</v>
      </c>
      <c r="Z192" s="420">
        <v>0</v>
      </c>
      <c r="AA192" s="420"/>
      <c r="AB192" s="420"/>
      <c r="AC192" s="420">
        <v>1182.58</v>
      </c>
      <c r="AD192" s="420">
        <v>178509.1</v>
      </c>
      <c r="AE192" s="420"/>
      <c r="AF192" s="420">
        <v>3485445.16</v>
      </c>
      <c r="AG192" s="420">
        <v>0</v>
      </c>
    </row>
    <row r="193" spans="1:33" ht="15.75" thickBot="1" x14ac:dyDescent="0.3">
      <c r="A193" s="401">
        <v>42552</v>
      </c>
      <c r="B193" s="432" t="s">
        <v>686</v>
      </c>
      <c r="C193" s="418" t="s">
        <v>68</v>
      </c>
      <c r="D193" s="316" t="s">
        <v>877</v>
      </c>
      <c r="E193" s="419">
        <v>586.69000000000005</v>
      </c>
      <c r="F193" s="419">
        <v>7</v>
      </c>
      <c r="G193" s="419">
        <v>40</v>
      </c>
      <c r="H193" s="419">
        <v>544</v>
      </c>
      <c r="I193" s="419">
        <v>0.23</v>
      </c>
      <c r="J193" s="419"/>
      <c r="K193" s="419"/>
      <c r="L193" s="419"/>
      <c r="M193" s="620">
        <f t="shared" si="8"/>
        <v>584.23</v>
      </c>
      <c r="N193" s="419"/>
      <c r="O193" s="419">
        <v>2.46</v>
      </c>
      <c r="P193" s="419"/>
      <c r="Q193" s="419"/>
      <c r="R193" s="419"/>
      <c r="S193" s="419"/>
      <c r="T193" s="419"/>
      <c r="U193" s="419"/>
      <c r="V193" s="621">
        <f t="shared" si="9"/>
        <v>2.46</v>
      </c>
      <c r="W193" s="419"/>
      <c r="X193" s="419">
        <v>0</v>
      </c>
      <c r="Y193" s="419"/>
      <c r="Z193" s="419"/>
      <c r="AA193" s="419"/>
      <c r="AB193" s="419"/>
      <c r="AC193" s="419">
        <v>0</v>
      </c>
      <c r="AD193" s="419">
        <v>35.200000000000003</v>
      </c>
      <c r="AE193" s="419"/>
      <c r="AF193" s="419">
        <v>621.89</v>
      </c>
      <c r="AG193" s="419">
        <v>0</v>
      </c>
    </row>
    <row r="194" spans="1:33" ht="15.75" thickBot="1" x14ac:dyDescent="0.3">
      <c r="A194" s="401">
        <v>42552</v>
      </c>
      <c r="B194" s="432" t="s">
        <v>686</v>
      </c>
      <c r="C194" s="317" t="s">
        <v>870</v>
      </c>
      <c r="D194" s="317" t="s">
        <v>870</v>
      </c>
      <c r="E194" s="420">
        <v>586.69000000000005</v>
      </c>
      <c r="F194" s="420">
        <v>7</v>
      </c>
      <c r="G194" s="420">
        <v>40</v>
      </c>
      <c r="H194" s="420">
        <v>544</v>
      </c>
      <c r="I194" s="420">
        <v>0.23</v>
      </c>
      <c r="J194" s="420"/>
      <c r="K194" s="420"/>
      <c r="L194" s="420"/>
      <c r="M194" s="620">
        <f t="shared" si="8"/>
        <v>584.23</v>
      </c>
      <c r="N194" s="420"/>
      <c r="O194" s="420">
        <v>2.46</v>
      </c>
      <c r="P194" s="420"/>
      <c r="Q194" s="420"/>
      <c r="R194" s="420"/>
      <c r="S194" s="420"/>
      <c r="T194" s="420"/>
      <c r="U194" s="420"/>
      <c r="V194" s="420">
        <v>2.46</v>
      </c>
      <c r="W194" s="420"/>
      <c r="X194" s="420">
        <v>0</v>
      </c>
      <c r="Y194" s="420"/>
      <c r="Z194" s="420"/>
      <c r="AA194" s="420"/>
      <c r="AB194" s="420"/>
      <c r="AC194" s="420">
        <v>0</v>
      </c>
      <c r="AD194" s="420">
        <v>35.200000000000003</v>
      </c>
      <c r="AE194" s="420"/>
      <c r="AF194" s="420">
        <v>621.89</v>
      </c>
      <c r="AG194" s="420">
        <v>0</v>
      </c>
    </row>
    <row r="195" spans="1:33" ht="15.75" thickBot="1" x14ac:dyDescent="0.3">
      <c r="A195" s="401">
        <v>42552</v>
      </c>
      <c r="B195" s="432" t="s">
        <v>686</v>
      </c>
      <c r="C195" s="418" t="s">
        <v>878</v>
      </c>
      <c r="D195" s="316" t="s">
        <v>879</v>
      </c>
      <c r="E195" s="419">
        <v>444969.05</v>
      </c>
      <c r="F195" s="419">
        <v>666938</v>
      </c>
      <c r="G195" s="419">
        <v>25800</v>
      </c>
      <c r="H195" s="419"/>
      <c r="I195" s="419">
        <v>122838.8</v>
      </c>
      <c r="J195" s="419"/>
      <c r="K195" s="419"/>
      <c r="L195" s="419"/>
      <c r="M195" s="620">
        <f t="shared" si="8"/>
        <v>148638.79999999999</v>
      </c>
      <c r="N195" s="419">
        <v>0</v>
      </c>
      <c r="O195" s="419">
        <v>234300.19</v>
      </c>
      <c r="P195" s="419"/>
      <c r="Q195" s="419"/>
      <c r="R195" s="419"/>
      <c r="S195" s="419"/>
      <c r="T195" s="419"/>
      <c r="U195" s="419"/>
      <c r="V195" s="419">
        <v>234300.19</v>
      </c>
      <c r="W195" s="419"/>
      <c r="X195" s="419">
        <v>62030.06</v>
      </c>
      <c r="Y195" s="419"/>
      <c r="Z195" s="419"/>
      <c r="AA195" s="419"/>
      <c r="AB195" s="419"/>
      <c r="AC195" s="419">
        <v>0</v>
      </c>
      <c r="AD195" s="419">
        <v>24174.95</v>
      </c>
      <c r="AE195" s="419"/>
      <c r="AF195" s="419">
        <v>469144</v>
      </c>
      <c r="AG195" s="419">
        <v>0</v>
      </c>
    </row>
    <row r="196" spans="1:33" ht="15.75" thickBot="1" x14ac:dyDescent="0.3">
      <c r="A196" s="401">
        <v>42552</v>
      </c>
      <c r="B196" s="432" t="s">
        <v>686</v>
      </c>
      <c r="C196" s="317" t="s">
        <v>118</v>
      </c>
      <c r="D196" s="317" t="s">
        <v>118</v>
      </c>
      <c r="E196" s="420">
        <v>444969.05</v>
      </c>
      <c r="F196" s="420">
        <v>666938</v>
      </c>
      <c r="G196" s="420">
        <v>25800</v>
      </c>
      <c r="H196" s="420"/>
      <c r="I196" s="420">
        <v>122838.8</v>
      </c>
      <c r="J196" s="420"/>
      <c r="K196" s="420"/>
      <c r="L196" s="420"/>
      <c r="M196" s="620">
        <f t="shared" si="8"/>
        <v>148638.79999999999</v>
      </c>
      <c r="N196" s="420">
        <v>0</v>
      </c>
      <c r="O196" s="420">
        <v>234300.19</v>
      </c>
      <c r="P196" s="420"/>
      <c r="Q196" s="420"/>
      <c r="R196" s="420"/>
      <c r="S196" s="420"/>
      <c r="T196" s="420"/>
      <c r="U196" s="420"/>
      <c r="V196" s="621">
        <f t="shared" si="9"/>
        <v>234300.19</v>
      </c>
      <c r="W196" s="420"/>
      <c r="X196" s="420">
        <v>62030.06</v>
      </c>
      <c r="Y196" s="420"/>
      <c r="Z196" s="420"/>
      <c r="AA196" s="420"/>
      <c r="AB196" s="420"/>
      <c r="AC196" s="420">
        <v>0</v>
      </c>
      <c r="AD196" s="420">
        <v>24174.95</v>
      </c>
      <c r="AE196" s="420"/>
      <c r="AF196" s="420">
        <v>469144</v>
      </c>
      <c r="AG196" s="420">
        <v>0</v>
      </c>
    </row>
    <row r="197" spans="1:33" ht="15.75" thickBot="1" x14ac:dyDescent="0.3">
      <c r="A197" s="401">
        <v>42552</v>
      </c>
      <c r="B197" s="432" t="s">
        <v>686</v>
      </c>
      <c r="C197" s="418" t="s">
        <v>35</v>
      </c>
      <c r="D197" s="316" t="s">
        <v>36</v>
      </c>
      <c r="E197" s="419">
        <v>7837250.7999999998</v>
      </c>
      <c r="F197" s="419">
        <v>3635807</v>
      </c>
      <c r="G197" s="419">
        <v>3966884.14</v>
      </c>
      <c r="H197" s="419"/>
      <c r="I197" s="419">
        <v>1043227.11</v>
      </c>
      <c r="J197" s="419"/>
      <c r="K197" s="419"/>
      <c r="L197" s="419"/>
      <c r="M197" s="620">
        <f t="shared" si="8"/>
        <v>5010111.25</v>
      </c>
      <c r="N197" s="419">
        <v>39536.06</v>
      </c>
      <c r="O197" s="419">
        <v>1277744.1100000001</v>
      </c>
      <c r="P197" s="419"/>
      <c r="Q197" s="419"/>
      <c r="R197" s="419"/>
      <c r="S197" s="419"/>
      <c r="T197" s="419"/>
      <c r="U197" s="419"/>
      <c r="V197" s="621">
        <f t="shared" si="9"/>
        <v>1277744.1100000001</v>
      </c>
      <c r="W197" s="419"/>
      <c r="X197" s="419">
        <v>1510324.49</v>
      </c>
      <c r="Y197" s="419">
        <v>-465.11</v>
      </c>
      <c r="Z197" s="419"/>
      <c r="AA197" s="419"/>
      <c r="AB197" s="419">
        <v>74156.75</v>
      </c>
      <c r="AC197" s="419">
        <v>1762.28</v>
      </c>
      <c r="AD197" s="419">
        <v>32189.03</v>
      </c>
      <c r="AE197" s="419"/>
      <c r="AF197" s="419">
        <v>7945358.8600000003</v>
      </c>
      <c r="AG197" s="419">
        <v>0</v>
      </c>
    </row>
    <row r="198" spans="1:33" ht="15.75" thickBot="1" x14ac:dyDescent="0.3">
      <c r="A198" s="401">
        <v>42552</v>
      </c>
      <c r="B198" s="432" t="s">
        <v>686</v>
      </c>
      <c r="C198" s="317" t="s">
        <v>129</v>
      </c>
      <c r="D198" s="317" t="s">
        <v>129</v>
      </c>
      <c r="E198" s="420">
        <v>7837250.7999999998</v>
      </c>
      <c r="F198" s="420">
        <v>3635807</v>
      </c>
      <c r="G198" s="420">
        <v>3966884.14</v>
      </c>
      <c r="H198" s="420"/>
      <c r="I198" s="420">
        <v>1043227.11</v>
      </c>
      <c r="J198" s="420"/>
      <c r="K198" s="420"/>
      <c r="L198" s="420"/>
      <c r="M198" s="620">
        <f t="shared" si="8"/>
        <v>5010111.25</v>
      </c>
      <c r="N198" s="420">
        <v>39536.06</v>
      </c>
      <c r="O198" s="420">
        <v>1277744.1100000001</v>
      </c>
      <c r="P198" s="420"/>
      <c r="Q198" s="420"/>
      <c r="R198" s="420"/>
      <c r="S198" s="420"/>
      <c r="T198" s="420"/>
      <c r="U198" s="420"/>
      <c r="V198" s="621">
        <f t="shared" si="9"/>
        <v>1277744.1100000001</v>
      </c>
      <c r="W198" s="420"/>
      <c r="X198" s="420">
        <v>1510324.49</v>
      </c>
      <c r="Y198" s="420">
        <v>-465.11</v>
      </c>
      <c r="Z198" s="420"/>
      <c r="AA198" s="420"/>
      <c r="AB198" s="420">
        <v>74156.75</v>
      </c>
      <c r="AC198" s="420">
        <v>1762.28</v>
      </c>
      <c r="AD198" s="420">
        <v>32189.03</v>
      </c>
      <c r="AE198" s="420"/>
      <c r="AF198" s="420">
        <v>7945358.8600000003</v>
      </c>
      <c r="AG198" s="420">
        <v>0</v>
      </c>
    </row>
    <row r="199" spans="1:33" ht="15.75" thickBot="1" x14ac:dyDescent="0.3">
      <c r="A199" s="401">
        <v>42552</v>
      </c>
      <c r="B199" s="432" t="s">
        <v>686</v>
      </c>
      <c r="C199" s="418" t="s">
        <v>29</v>
      </c>
      <c r="D199" s="316" t="s">
        <v>30</v>
      </c>
      <c r="E199" s="419">
        <v>25149.32</v>
      </c>
      <c r="F199" s="419">
        <v>613</v>
      </c>
      <c r="G199" s="419">
        <v>24800</v>
      </c>
      <c r="H199" s="419"/>
      <c r="I199" s="419">
        <v>134.77000000000001</v>
      </c>
      <c r="J199" s="419"/>
      <c r="K199" s="419"/>
      <c r="L199" s="419"/>
      <c r="M199" s="620">
        <f t="shared" si="8"/>
        <v>24934.77</v>
      </c>
      <c r="N199" s="419">
        <v>0</v>
      </c>
      <c r="O199" s="419">
        <v>214.55</v>
      </c>
      <c r="P199" s="419"/>
      <c r="Q199" s="419"/>
      <c r="R199" s="419"/>
      <c r="S199" s="419"/>
      <c r="T199" s="419"/>
      <c r="U199" s="419"/>
      <c r="V199" s="621">
        <f t="shared" si="9"/>
        <v>214.55</v>
      </c>
      <c r="W199" s="419"/>
      <c r="X199" s="419"/>
      <c r="Y199" s="419"/>
      <c r="Z199" s="419">
        <v>0</v>
      </c>
      <c r="AA199" s="419"/>
      <c r="AB199" s="419"/>
      <c r="AC199" s="419">
        <v>2.44</v>
      </c>
      <c r="AD199" s="419">
        <v>1591.06</v>
      </c>
      <c r="AE199" s="419"/>
      <c r="AF199" s="419">
        <v>26742.82</v>
      </c>
      <c r="AG199" s="419">
        <v>0</v>
      </c>
    </row>
    <row r="200" spans="1:33" ht="15.75" thickBot="1" x14ac:dyDescent="0.3">
      <c r="A200" s="401">
        <v>42552</v>
      </c>
      <c r="B200" s="432" t="s">
        <v>686</v>
      </c>
      <c r="C200" s="317" t="s">
        <v>687</v>
      </c>
      <c r="D200" s="317" t="s">
        <v>687</v>
      </c>
      <c r="E200" s="420">
        <v>25149.32</v>
      </c>
      <c r="F200" s="420">
        <v>613</v>
      </c>
      <c r="G200" s="420">
        <v>24800</v>
      </c>
      <c r="H200" s="420"/>
      <c r="I200" s="420">
        <v>134.77000000000001</v>
      </c>
      <c r="J200" s="420"/>
      <c r="K200" s="420"/>
      <c r="L200" s="420"/>
      <c r="M200" s="620">
        <f t="shared" si="8"/>
        <v>24934.77</v>
      </c>
      <c r="N200" s="420">
        <v>0</v>
      </c>
      <c r="O200" s="420">
        <v>214.55</v>
      </c>
      <c r="P200" s="420"/>
      <c r="Q200" s="420"/>
      <c r="R200" s="420"/>
      <c r="S200" s="420"/>
      <c r="T200" s="420"/>
      <c r="U200" s="420"/>
      <c r="V200" s="621">
        <f t="shared" si="9"/>
        <v>214.55</v>
      </c>
      <c r="W200" s="420"/>
      <c r="X200" s="420"/>
      <c r="Y200" s="420"/>
      <c r="Z200" s="420">
        <v>0</v>
      </c>
      <c r="AA200" s="420"/>
      <c r="AB200" s="420"/>
      <c r="AC200" s="420">
        <v>2.44</v>
      </c>
      <c r="AD200" s="420">
        <v>1591.06</v>
      </c>
      <c r="AE200" s="420"/>
      <c r="AF200" s="420">
        <v>26742.82</v>
      </c>
      <c r="AG200" s="420">
        <v>0</v>
      </c>
    </row>
    <row r="201" spans="1:33" ht="15.75" thickBot="1" x14ac:dyDescent="0.3">
      <c r="A201" s="401">
        <v>42552</v>
      </c>
      <c r="B201" s="432" t="s">
        <v>686</v>
      </c>
      <c r="C201" s="418" t="s">
        <v>37</v>
      </c>
      <c r="D201" s="316" t="s">
        <v>38</v>
      </c>
      <c r="E201" s="419">
        <v>237</v>
      </c>
      <c r="F201" s="419">
        <v>279</v>
      </c>
      <c r="G201" s="419">
        <v>40.5</v>
      </c>
      <c r="H201" s="419"/>
      <c r="I201" s="419">
        <v>80.05</v>
      </c>
      <c r="J201" s="419"/>
      <c r="K201" s="419"/>
      <c r="L201" s="419"/>
      <c r="M201" s="620">
        <f t="shared" si="8"/>
        <v>120.55</v>
      </c>
      <c r="N201" s="419">
        <v>3.02</v>
      </c>
      <c r="O201" s="419">
        <v>98.01</v>
      </c>
      <c r="P201" s="419"/>
      <c r="Q201" s="419"/>
      <c r="R201" s="419"/>
      <c r="S201" s="419"/>
      <c r="T201" s="419"/>
      <c r="U201" s="419"/>
      <c r="V201" s="621">
        <f t="shared" si="9"/>
        <v>98.01</v>
      </c>
      <c r="W201" s="419"/>
      <c r="X201" s="419">
        <v>15.42</v>
      </c>
      <c r="Y201" s="419"/>
      <c r="Z201" s="419"/>
      <c r="AA201" s="419"/>
      <c r="AB201" s="419"/>
      <c r="AC201" s="419">
        <v>0</v>
      </c>
      <c r="AD201" s="419">
        <v>0</v>
      </c>
      <c r="AE201" s="419"/>
      <c r="AF201" s="419">
        <v>237</v>
      </c>
      <c r="AG201" s="419">
        <v>0</v>
      </c>
    </row>
    <row r="202" spans="1:33" ht="15.75" thickBot="1" x14ac:dyDescent="0.3">
      <c r="A202" s="401">
        <v>42552</v>
      </c>
      <c r="B202" s="432" t="s">
        <v>686</v>
      </c>
      <c r="C202" s="317" t="s">
        <v>688</v>
      </c>
      <c r="D202" s="317" t="s">
        <v>688</v>
      </c>
      <c r="E202" s="420">
        <v>237</v>
      </c>
      <c r="F202" s="420">
        <v>279</v>
      </c>
      <c r="G202" s="420">
        <v>40.5</v>
      </c>
      <c r="H202" s="420"/>
      <c r="I202" s="420">
        <v>80.05</v>
      </c>
      <c r="J202" s="420"/>
      <c r="K202" s="420"/>
      <c r="L202" s="420"/>
      <c r="M202" s="620">
        <f t="shared" si="8"/>
        <v>120.55</v>
      </c>
      <c r="N202" s="420">
        <v>3.02</v>
      </c>
      <c r="O202" s="420">
        <v>98.01</v>
      </c>
      <c r="P202" s="420"/>
      <c r="Q202" s="420"/>
      <c r="R202" s="420"/>
      <c r="S202" s="420"/>
      <c r="T202" s="420"/>
      <c r="U202" s="420"/>
      <c r="V202" s="621">
        <f t="shared" si="9"/>
        <v>98.01</v>
      </c>
      <c r="W202" s="420"/>
      <c r="X202" s="420">
        <v>15.42</v>
      </c>
      <c r="Y202" s="420"/>
      <c r="Z202" s="420"/>
      <c r="AA202" s="420"/>
      <c r="AB202" s="420"/>
      <c r="AC202" s="420">
        <v>0</v>
      </c>
      <c r="AD202" s="420">
        <v>0</v>
      </c>
      <c r="AE202" s="420"/>
      <c r="AF202" s="420">
        <v>237</v>
      </c>
      <c r="AG202" s="420">
        <v>0</v>
      </c>
    </row>
    <row r="203" spans="1:33" ht="15.75" thickBot="1" x14ac:dyDescent="0.3">
      <c r="A203" s="401">
        <v>42552</v>
      </c>
      <c r="B203" s="432" t="s">
        <v>522</v>
      </c>
      <c r="C203" s="418" t="s">
        <v>933</v>
      </c>
      <c r="D203" s="316" t="s">
        <v>1005</v>
      </c>
      <c r="E203" s="420">
        <v>331410.36</v>
      </c>
      <c r="F203" s="420">
        <v>6852804</v>
      </c>
      <c r="G203" s="420">
        <v>34100</v>
      </c>
      <c r="H203" s="420"/>
      <c r="I203" s="420">
        <v>294807.61</v>
      </c>
      <c r="J203" s="420">
        <v>1558.97</v>
      </c>
      <c r="K203" s="420"/>
      <c r="L203" s="420">
        <v>493.43</v>
      </c>
      <c r="M203" s="620">
        <f t="shared" si="8"/>
        <v>330960.00999999995</v>
      </c>
      <c r="N203" s="420">
        <v>0</v>
      </c>
      <c r="O203" s="420"/>
      <c r="P203" s="420"/>
      <c r="Q203" s="420">
        <v>0</v>
      </c>
      <c r="R203" s="420">
        <v>450.35</v>
      </c>
      <c r="S203" s="420"/>
      <c r="T203" s="420"/>
      <c r="U203" s="420"/>
      <c r="V203" s="621">
        <f t="shared" si="9"/>
        <v>450.35</v>
      </c>
      <c r="W203" s="420"/>
      <c r="X203" s="420"/>
      <c r="Y203" s="420"/>
      <c r="Z203" s="420"/>
      <c r="AA203" s="420"/>
      <c r="AB203" s="420"/>
      <c r="AC203" s="420">
        <v>0</v>
      </c>
      <c r="AD203" s="420">
        <v>14825.84</v>
      </c>
      <c r="AE203" s="420"/>
      <c r="AF203" s="420">
        <v>346236.2</v>
      </c>
      <c r="AG203" s="420">
        <v>0</v>
      </c>
    </row>
    <row r="204" spans="1:33" ht="15.75" customHeight="1" thickBot="1" x14ac:dyDescent="0.3">
      <c r="A204" s="401">
        <v>42552</v>
      </c>
      <c r="B204" s="432" t="s">
        <v>522</v>
      </c>
      <c r="C204" s="418" t="s">
        <v>50</v>
      </c>
      <c r="D204" s="316" t="s">
        <v>881</v>
      </c>
      <c r="E204" s="419">
        <v>23488.799999999999</v>
      </c>
      <c r="F204" s="419">
        <v>406154</v>
      </c>
      <c r="G204" s="419">
        <v>5500</v>
      </c>
      <c r="H204" s="419"/>
      <c r="I204" s="419">
        <v>17472.71</v>
      </c>
      <c r="J204" s="419">
        <v>72.83</v>
      </c>
      <c r="K204" s="419"/>
      <c r="L204" s="419">
        <v>110.7</v>
      </c>
      <c r="M204" s="620">
        <f t="shared" si="8"/>
        <v>23156.240000000002</v>
      </c>
      <c r="N204" s="419">
        <v>231.53</v>
      </c>
      <c r="O204" s="419"/>
      <c r="P204" s="419"/>
      <c r="Q204" s="419">
        <v>0</v>
      </c>
      <c r="R204" s="419">
        <v>101.03</v>
      </c>
      <c r="S204" s="419"/>
      <c r="T204" s="419"/>
      <c r="U204" s="419"/>
      <c r="V204" s="621">
        <f t="shared" si="9"/>
        <v>101.03</v>
      </c>
      <c r="W204" s="419"/>
      <c r="X204" s="419"/>
      <c r="Y204" s="419"/>
      <c r="Z204" s="419"/>
      <c r="AA204" s="419"/>
      <c r="AB204" s="419"/>
      <c r="AC204" s="419">
        <v>0</v>
      </c>
      <c r="AD204" s="419">
        <v>427.4</v>
      </c>
      <c r="AE204" s="419"/>
      <c r="AF204" s="419">
        <v>23916.2</v>
      </c>
      <c r="AG204" s="419">
        <v>0</v>
      </c>
    </row>
    <row r="205" spans="1:33" ht="15.75" thickBot="1" x14ac:dyDescent="0.3">
      <c r="A205" s="401">
        <v>42552</v>
      </c>
      <c r="B205" s="432" t="s">
        <v>522</v>
      </c>
      <c r="C205" s="317" t="s">
        <v>49</v>
      </c>
      <c r="D205" s="317" t="s">
        <v>49</v>
      </c>
      <c r="E205" s="420">
        <v>354899.16</v>
      </c>
      <c r="F205" s="420">
        <v>7258958</v>
      </c>
      <c r="G205" s="420">
        <v>39600</v>
      </c>
      <c r="H205" s="420"/>
      <c r="I205" s="420">
        <v>312280.32000000001</v>
      </c>
      <c r="J205" s="420">
        <v>1631.8</v>
      </c>
      <c r="K205" s="420"/>
      <c r="L205" s="420">
        <v>604.13</v>
      </c>
      <c r="M205" s="620">
        <f t="shared" si="8"/>
        <v>354116.25</v>
      </c>
      <c r="N205" s="420">
        <v>231.53</v>
      </c>
      <c r="O205" s="420"/>
      <c r="P205" s="420"/>
      <c r="Q205" s="420">
        <v>0</v>
      </c>
      <c r="R205" s="420">
        <v>551.38</v>
      </c>
      <c r="S205" s="420"/>
      <c r="T205" s="420"/>
      <c r="U205" s="420"/>
      <c r="V205" s="621">
        <f t="shared" si="9"/>
        <v>551.38</v>
      </c>
      <c r="W205" s="420"/>
      <c r="X205" s="420"/>
      <c r="Y205" s="420"/>
      <c r="Z205" s="420"/>
      <c r="AA205" s="420"/>
      <c r="AB205" s="420"/>
      <c r="AC205" s="420">
        <v>0</v>
      </c>
      <c r="AD205" s="420">
        <v>15253.24</v>
      </c>
      <c r="AE205" s="420"/>
      <c r="AF205" s="420">
        <v>370152.4</v>
      </c>
      <c r="AG205" s="420">
        <v>0</v>
      </c>
    </row>
    <row r="206" spans="1:33" ht="15.75" thickBot="1" x14ac:dyDescent="0.3">
      <c r="A206" s="401">
        <v>42552</v>
      </c>
      <c r="B206" s="432" t="s">
        <v>522</v>
      </c>
      <c r="C206" s="418" t="s">
        <v>54</v>
      </c>
      <c r="D206" s="316" t="s">
        <v>55</v>
      </c>
      <c r="E206" s="419">
        <v>2130.71</v>
      </c>
      <c r="F206" s="419"/>
      <c r="G206" s="419">
        <v>1575</v>
      </c>
      <c r="H206" s="419"/>
      <c r="I206" s="419">
        <v>0</v>
      </c>
      <c r="J206" s="419"/>
      <c r="K206" s="419"/>
      <c r="L206" s="419">
        <v>290.52999999999997</v>
      </c>
      <c r="M206" s="620">
        <f t="shared" si="8"/>
        <v>1865.53</v>
      </c>
      <c r="N206" s="419"/>
      <c r="O206" s="419"/>
      <c r="P206" s="419"/>
      <c r="Q206" s="419">
        <v>0</v>
      </c>
      <c r="R206" s="419">
        <v>265.18</v>
      </c>
      <c r="S206" s="419"/>
      <c r="T206" s="419"/>
      <c r="U206" s="419"/>
      <c r="V206" s="621">
        <f t="shared" si="9"/>
        <v>265.18</v>
      </c>
      <c r="W206" s="419"/>
      <c r="X206" s="419"/>
      <c r="Y206" s="419"/>
      <c r="Z206" s="419"/>
      <c r="AA206" s="419"/>
      <c r="AB206" s="419"/>
      <c r="AC206" s="419">
        <v>0</v>
      </c>
      <c r="AD206" s="419">
        <v>145.96</v>
      </c>
      <c r="AE206" s="419"/>
      <c r="AF206" s="419">
        <v>2276.67</v>
      </c>
      <c r="AG206" s="419">
        <v>0</v>
      </c>
    </row>
    <row r="207" spans="1:33" ht="15.75" thickBot="1" x14ac:dyDescent="0.3">
      <c r="A207" s="401">
        <v>42552</v>
      </c>
      <c r="B207" s="432" t="s">
        <v>522</v>
      </c>
      <c r="C207" s="317" t="s">
        <v>56</v>
      </c>
      <c r="D207" s="317" t="s">
        <v>56</v>
      </c>
      <c r="E207" s="420">
        <v>2130.71</v>
      </c>
      <c r="F207" s="420"/>
      <c r="G207" s="420">
        <v>1575</v>
      </c>
      <c r="H207" s="420"/>
      <c r="I207" s="420">
        <v>0</v>
      </c>
      <c r="J207" s="420"/>
      <c r="K207" s="420"/>
      <c r="L207" s="420">
        <v>290.52999999999997</v>
      </c>
      <c r="M207" s="620">
        <f t="shared" si="8"/>
        <v>1865.53</v>
      </c>
      <c r="N207" s="420"/>
      <c r="O207" s="420"/>
      <c r="P207" s="420"/>
      <c r="Q207" s="420">
        <v>0</v>
      </c>
      <c r="R207" s="420">
        <v>265.18</v>
      </c>
      <c r="S207" s="420"/>
      <c r="T207" s="420"/>
      <c r="U207" s="420"/>
      <c r="V207" s="621">
        <f t="shared" si="9"/>
        <v>265.18</v>
      </c>
      <c r="W207" s="420"/>
      <c r="X207" s="420"/>
      <c r="Y207" s="420"/>
      <c r="Z207" s="420"/>
      <c r="AA207" s="420"/>
      <c r="AB207" s="420"/>
      <c r="AC207" s="420">
        <v>0</v>
      </c>
      <c r="AD207" s="420">
        <v>145.96</v>
      </c>
      <c r="AE207" s="420"/>
      <c r="AF207" s="420">
        <v>2276.67</v>
      </c>
      <c r="AG207" s="420">
        <v>0</v>
      </c>
    </row>
    <row r="208" spans="1:33" ht="15.75" thickBot="1" x14ac:dyDescent="0.3">
      <c r="A208" s="401">
        <v>42552</v>
      </c>
      <c r="B208" s="432" t="s">
        <v>522</v>
      </c>
      <c r="C208" s="418" t="s">
        <v>93</v>
      </c>
      <c r="D208" s="316" t="s">
        <v>719</v>
      </c>
      <c r="E208" s="419">
        <v>525</v>
      </c>
      <c r="F208" s="419"/>
      <c r="G208" s="419">
        <v>525</v>
      </c>
      <c r="H208" s="419"/>
      <c r="I208" s="419">
        <v>0</v>
      </c>
      <c r="J208" s="419"/>
      <c r="K208" s="419"/>
      <c r="L208" s="419"/>
      <c r="M208" s="620">
        <f t="shared" si="8"/>
        <v>525</v>
      </c>
      <c r="N208" s="419"/>
      <c r="O208" s="419"/>
      <c r="P208" s="419"/>
      <c r="Q208" s="419"/>
      <c r="R208" s="419"/>
      <c r="S208" s="419"/>
      <c r="T208" s="419"/>
      <c r="U208" s="419">
        <v>0</v>
      </c>
      <c r="V208" s="621">
        <f t="shared" si="9"/>
        <v>0</v>
      </c>
      <c r="W208" s="419"/>
      <c r="X208" s="419"/>
      <c r="Y208" s="419"/>
      <c r="Z208" s="419"/>
      <c r="AA208" s="419"/>
      <c r="AB208" s="419"/>
      <c r="AC208" s="419">
        <v>0</v>
      </c>
      <c r="AD208" s="419">
        <v>0</v>
      </c>
      <c r="AE208" s="419"/>
      <c r="AF208" s="419">
        <v>525</v>
      </c>
      <c r="AG208" s="419">
        <v>0</v>
      </c>
    </row>
    <row r="209" spans="1:33" ht="15.75" thickBot="1" x14ac:dyDescent="0.3">
      <c r="A209" s="401">
        <v>42552</v>
      </c>
      <c r="B209" s="432" t="s">
        <v>522</v>
      </c>
      <c r="C209" s="317" t="s">
        <v>720</v>
      </c>
      <c r="D209" s="317" t="s">
        <v>720</v>
      </c>
      <c r="E209" s="420">
        <v>525</v>
      </c>
      <c r="F209" s="420"/>
      <c r="G209" s="420">
        <v>525</v>
      </c>
      <c r="H209" s="420"/>
      <c r="I209" s="420">
        <v>0</v>
      </c>
      <c r="J209" s="420"/>
      <c r="K209" s="420"/>
      <c r="L209" s="420"/>
      <c r="M209" s="620">
        <f t="shared" si="8"/>
        <v>525</v>
      </c>
      <c r="N209" s="420"/>
      <c r="O209" s="420"/>
      <c r="P209" s="420"/>
      <c r="Q209" s="420"/>
      <c r="R209" s="420"/>
      <c r="S209" s="420"/>
      <c r="T209" s="420"/>
      <c r="U209" s="420">
        <v>0</v>
      </c>
      <c r="V209" s="621">
        <f t="shared" si="9"/>
        <v>0</v>
      </c>
      <c r="W209" s="420"/>
      <c r="X209" s="420"/>
      <c r="Y209" s="420"/>
      <c r="Z209" s="420"/>
      <c r="AA209" s="420"/>
      <c r="AB209" s="420"/>
      <c r="AC209" s="420">
        <v>0</v>
      </c>
      <c r="AD209" s="420">
        <v>0</v>
      </c>
      <c r="AE209" s="420"/>
      <c r="AF209" s="420">
        <v>525</v>
      </c>
      <c r="AG209" s="420">
        <v>0</v>
      </c>
    </row>
    <row r="210" spans="1:33" ht="15.75" thickBot="1" x14ac:dyDescent="0.3">
      <c r="A210" s="401">
        <v>42552</v>
      </c>
      <c r="B210" s="432" t="s">
        <v>522</v>
      </c>
      <c r="C210" s="418" t="s">
        <v>1001</v>
      </c>
      <c r="D210" s="316" t="s">
        <v>1002</v>
      </c>
      <c r="E210" s="419">
        <v>138268.98000000001</v>
      </c>
      <c r="F210" s="419">
        <v>466382</v>
      </c>
      <c r="G210" s="419">
        <v>2750</v>
      </c>
      <c r="H210" s="419"/>
      <c r="I210" s="419">
        <v>83168.05</v>
      </c>
      <c r="J210" s="419"/>
      <c r="K210" s="419"/>
      <c r="L210" s="419"/>
      <c r="M210" s="620">
        <f t="shared" si="8"/>
        <v>85918.05</v>
      </c>
      <c r="N210" s="419">
        <v>0</v>
      </c>
      <c r="O210" s="419">
        <v>0</v>
      </c>
      <c r="P210" s="419"/>
      <c r="Q210" s="419"/>
      <c r="R210" s="419"/>
      <c r="S210" s="419">
        <v>39371.96</v>
      </c>
      <c r="T210" s="419">
        <v>11681.27</v>
      </c>
      <c r="U210" s="419"/>
      <c r="V210" s="621">
        <f t="shared" si="9"/>
        <v>51053.229999999996</v>
      </c>
      <c r="W210" s="419"/>
      <c r="X210" s="419">
        <v>1297.7</v>
      </c>
      <c r="Y210" s="419"/>
      <c r="Z210" s="419"/>
      <c r="AA210" s="419">
        <v>0</v>
      </c>
      <c r="AB210" s="419"/>
      <c r="AC210" s="419">
        <v>0</v>
      </c>
      <c r="AD210" s="419">
        <v>1475.74</v>
      </c>
      <c r="AE210" s="419"/>
      <c r="AF210" s="419">
        <v>139744.72</v>
      </c>
      <c r="AG210" s="419">
        <v>0</v>
      </c>
    </row>
    <row r="211" spans="1:33" ht="15.75" thickBot="1" x14ac:dyDescent="0.3">
      <c r="A211" s="401">
        <v>42552</v>
      </c>
      <c r="B211" s="432" t="s">
        <v>522</v>
      </c>
      <c r="C211" s="418" t="s">
        <v>1003</v>
      </c>
      <c r="D211" s="316" t="s">
        <v>1004</v>
      </c>
      <c r="E211" s="420">
        <v>37914.1</v>
      </c>
      <c r="F211" s="420">
        <v>165660</v>
      </c>
      <c r="G211" s="420">
        <v>1100</v>
      </c>
      <c r="H211" s="420"/>
      <c r="I211" s="420">
        <v>11611.11</v>
      </c>
      <c r="J211" s="420"/>
      <c r="K211" s="420"/>
      <c r="L211" s="420"/>
      <c r="M211" s="620">
        <f t="shared" si="8"/>
        <v>12711.11</v>
      </c>
      <c r="N211" s="420">
        <v>0</v>
      </c>
      <c r="O211" s="420">
        <v>0</v>
      </c>
      <c r="P211" s="420"/>
      <c r="Q211" s="420"/>
      <c r="R211" s="420"/>
      <c r="S211" s="420">
        <v>13985.02</v>
      </c>
      <c r="T211" s="420">
        <v>5540.23</v>
      </c>
      <c r="U211" s="420"/>
      <c r="V211" s="621">
        <f t="shared" si="9"/>
        <v>19525.25</v>
      </c>
      <c r="W211" s="420"/>
      <c r="X211" s="420">
        <v>5677.74</v>
      </c>
      <c r="Y211" s="420"/>
      <c r="Z211" s="420"/>
      <c r="AA211" s="420">
        <v>0</v>
      </c>
      <c r="AB211" s="420"/>
      <c r="AC211" s="420">
        <v>0</v>
      </c>
      <c r="AD211" s="420">
        <v>0</v>
      </c>
      <c r="AE211" s="420"/>
      <c r="AF211" s="420">
        <v>37914.1</v>
      </c>
      <c r="AG211" s="420">
        <v>0</v>
      </c>
    </row>
    <row r="212" spans="1:33" ht="15.75" thickBot="1" x14ac:dyDescent="0.3">
      <c r="A212" s="401">
        <v>42552</v>
      </c>
      <c r="B212" s="432" t="s">
        <v>522</v>
      </c>
      <c r="C212" s="317" t="s">
        <v>689</v>
      </c>
      <c r="D212" s="317" t="s">
        <v>689</v>
      </c>
      <c r="E212" s="419">
        <v>176183.08</v>
      </c>
      <c r="F212" s="419">
        <v>632042</v>
      </c>
      <c r="G212" s="419">
        <v>3850</v>
      </c>
      <c r="H212" s="419"/>
      <c r="I212" s="419">
        <v>94779.16</v>
      </c>
      <c r="J212" s="419"/>
      <c r="K212" s="419"/>
      <c r="L212" s="419"/>
      <c r="M212" s="620">
        <f t="shared" si="8"/>
        <v>98629.16</v>
      </c>
      <c r="N212" s="419">
        <v>0</v>
      </c>
      <c r="O212" s="419">
        <v>0</v>
      </c>
      <c r="P212" s="419"/>
      <c r="Q212" s="419"/>
      <c r="R212" s="419"/>
      <c r="S212" s="419">
        <v>53356.98</v>
      </c>
      <c r="T212" s="419">
        <v>17221.5</v>
      </c>
      <c r="U212" s="419"/>
      <c r="V212" s="621">
        <f t="shared" si="9"/>
        <v>70578.48000000001</v>
      </c>
      <c r="W212" s="419"/>
      <c r="X212" s="419">
        <v>6975.44</v>
      </c>
      <c r="Y212" s="419"/>
      <c r="Z212" s="419"/>
      <c r="AA212" s="419">
        <v>0</v>
      </c>
      <c r="AB212" s="419"/>
      <c r="AC212" s="419">
        <v>0</v>
      </c>
      <c r="AD212" s="419">
        <v>1475.74</v>
      </c>
      <c r="AE212" s="419"/>
      <c r="AF212" s="419">
        <v>177658.82</v>
      </c>
      <c r="AG212" s="419">
        <v>0</v>
      </c>
    </row>
    <row r="213" spans="1:33" ht="15.75" thickBot="1" x14ac:dyDescent="0.3">
      <c r="A213" s="401">
        <v>42552</v>
      </c>
      <c r="B213" s="432" t="s">
        <v>690</v>
      </c>
      <c r="C213" s="418" t="s">
        <v>933</v>
      </c>
      <c r="D213" s="316" t="s">
        <v>1005</v>
      </c>
      <c r="E213" s="419">
        <v>-925.84</v>
      </c>
      <c r="F213" s="419">
        <v>783</v>
      </c>
      <c r="G213" s="419"/>
      <c r="H213" s="419"/>
      <c r="I213" s="419">
        <v>33.69</v>
      </c>
      <c r="J213" s="419"/>
      <c r="K213" s="419"/>
      <c r="L213" s="419"/>
      <c r="M213" s="620">
        <f t="shared" si="8"/>
        <v>33.69</v>
      </c>
      <c r="N213" s="419"/>
      <c r="O213" s="419"/>
      <c r="P213" s="419">
        <v>-1301.06</v>
      </c>
      <c r="Q213" s="419"/>
      <c r="R213" s="419"/>
      <c r="S213" s="419"/>
      <c r="T213" s="419"/>
      <c r="U213" s="419"/>
      <c r="V213" s="621">
        <f t="shared" si="9"/>
        <v>-1301.06</v>
      </c>
      <c r="W213" s="419">
        <v>341.53</v>
      </c>
      <c r="X213" s="419"/>
      <c r="Y213" s="419"/>
      <c r="Z213" s="419"/>
      <c r="AA213" s="419"/>
      <c r="AB213" s="419"/>
      <c r="AC213" s="419"/>
      <c r="AD213" s="419">
        <v>-55.56</v>
      </c>
      <c r="AE213" s="419"/>
      <c r="AF213" s="419">
        <v>-981.4</v>
      </c>
      <c r="AG213" s="419">
        <v>0</v>
      </c>
    </row>
    <row r="214" spans="1:33" ht="15.75" thickBot="1" x14ac:dyDescent="0.3">
      <c r="A214" s="401">
        <v>42552</v>
      </c>
      <c r="B214" s="432" t="s">
        <v>690</v>
      </c>
      <c r="C214" s="418" t="s">
        <v>50</v>
      </c>
      <c r="D214" s="316" t="s">
        <v>881</v>
      </c>
      <c r="E214" s="420">
        <v>-915.74</v>
      </c>
      <c r="F214" s="420">
        <v>0</v>
      </c>
      <c r="G214" s="420"/>
      <c r="H214" s="420"/>
      <c r="I214" s="420">
        <v>0</v>
      </c>
      <c r="J214" s="420"/>
      <c r="K214" s="420"/>
      <c r="L214" s="420"/>
      <c r="M214" s="620">
        <f t="shared" si="8"/>
        <v>0</v>
      </c>
      <c r="N214" s="420"/>
      <c r="O214" s="420"/>
      <c r="P214" s="420">
        <v>-1021.38</v>
      </c>
      <c r="Q214" s="420"/>
      <c r="R214" s="420"/>
      <c r="S214" s="420"/>
      <c r="T214" s="420"/>
      <c r="U214" s="420"/>
      <c r="V214" s="621">
        <f t="shared" si="9"/>
        <v>-1021.38</v>
      </c>
      <c r="W214" s="420">
        <v>105.64</v>
      </c>
      <c r="X214" s="420"/>
      <c r="Y214" s="420"/>
      <c r="Z214" s="420"/>
      <c r="AA214" s="420"/>
      <c r="AB214" s="420"/>
      <c r="AC214" s="420"/>
      <c r="AD214" s="420">
        <v>-27.47</v>
      </c>
      <c r="AE214" s="420"/>
      <c r="AF214" s="420">
        <v>-943.21</v>
      </c>
      <c r="AG214" s="420">
        <v>0</v>
      </c>
    </row>
    <row r="215" spans="1:33" ht="15.75" thickBot="1" x14ac:dyDescent="0.3">
      <c r="A215" s="401">
        <v>42552</v>
      </c>
      <c r="B215" s="432" t="s">
        <v>690</v>
      </c>
      <c r="C215" s="317" t="s">
        <v>49</v>
      </c>
      <c r="D215" s="317" t="s">
        <v>49</v>
      </c>
      <c r="E215" s="419">
        <v>-1841.58</v>
      </c>
      <c r="F215" s="419">
        <v>783</v>
      </c>
      <c r="G215" s="419"/>
      <c r="H215" s="419"/>
      <c r="I215" s="419">
        <v>33.69</v>
      </c>
      <c r="J215" s="419"/>
      <c r="K215" s="419"/>
      <c r="L215" s="419"/>
      <c r="M215" s="620">
        <f t="shared" si="8"/>
        <v>33.69</v>
      </c>
      <c r="N215" s="419"/>
      <c r="O215" s="419"/>
      <c r="P215" s="419">
        <v>-2322.44</v>
      </c>
      <c r="Q215" s="419"/>
      <c r="R215" s="419"/>
      <c r="S215" s="419"/>
      <c r="T215" s="419"/>
      <c r="U215" s="419"/>
      <c r="V215" s="621">
        <f t="shared" si="9"/>
        <v>-2322.44</v>
      </c>
      <c r="W215" s="419">
        <v>447.17</v>
      </c>
      <c r="X215" s="419"/>
      <c r="Y215" s="419"/>
      <c r="Z215" s="419"/>
      <c r="AA215" s="419"/>
      <c r="AB215" s="419"/>
      <c r="AC215" s="419"/>
      <c r="AD215" s="419">
        <v>-83.03</v>
      </c>
      <c r="AE215" s="419"/>
      <c r="AF215" s="419">
        <v>-1924.61</v>
      </c>
      <c r="AG215" s="419">
        <v>0</v>
      </c>
    </row>
    <row r="216" spans="1:33" ht="15.75" thickBot="1" x14ac:dyDescent="0.3">
      <c r="A216" s="401">
        <v>42552</v>
      </c>
      <c r="B216" s="432" t="s">
        <v>690</v>
      </c>
      <c r="C216" s="418" t="s">
        <v>54</v>
      </c>
      <c r="D216" s="316" t="s">
        <v>55</v>
      </c>
      <c r="E216" s="420">
        <v>-5564.77</v>
      </c>
      <c r="F216" s="420"/>
      <c r="G216" s="420"/>
      <c r="H216" s="420"/>
      <c r="I216" s="420"/>
      <c r="J216" s="420"/>
      <c r="K216" s="420"/>
      <c r="L216" s="420"/>
      <c r="M216" s="620">
        <f t="shared" si="8"/>
        <v>0</v>
      </c>
      <c r="N216" s="420"/>
      <c r="O216" s="420"/>
      <c r="P216" s="420">
        <v>9464.39</v>
      </c>
      <c r="Q216" s="420"/>
      <c r="R216" s="420"/>
      <c r="S216" s="420"/>
      <c r="T216" s="420"/>
      <c r="U216" s="420"/>
      <c r="V216" s="621">
        <f t="shared" si="9"/>
        <v>9464.39</v>
      </c>
      <c r="W216" s="420">
        <v>-15029.16</v>
      </c>
      <c r="X216" s="420"/>
      <c r="Y216" s="420"/>
      <c r="Z216" s="420"/>
      <c r="AA216" s="420"/>
      <c r="AB216" s="420"/>
      <c r="AC216" s="420"/>
      <c r="AD216" s="420">
        <v>367.46</v>
      </c>
      <c r="AE216" s="420"/>
      <c r="AF216" s="420">
        <v>-5197.3100000000004</v>
      </c>
      <c r="AG216" s="420">
        <v>0</v>
      </c>
    </row>
    <row r="217" spans="1:33" ht="15.75" thickBot="1" x14ac:dyDescent="0.3">
      <c r="A217" s="401">
        <v>42552</v>
      </c>
      <c r="B217" s="432" t="s">
        <v>690</v>
      </c>
      <c r="C217" s="317" t="s">
        <v>56</v>
      </c>
      <c r="D217" s="317" t="s">
        <v>56</v>
      </c>
      <c r="E217" s="419">
        <v>-5564.77</v>
      </c>
      <c r="F217" s="419"/>
      <c r="G217" s="419"/>
      <c r="H217" s="419"/>
      <c r="I217" s="419"/>
      <c r="J217" s="419"/>
      <c r="K217" s="419"/>
      <c r="L217" s="419"/>
      <c r="M217" s="620">
        <f t="shared" si="8"/>
        <v>0</v>
      </c>
      <c r="N217" s="419"/>
      <c r="O217" s="419"/>
      <c r="P217" s="419">
        <v>9464.39</v>
      </c>
      <c r="Q217" s="419"/>
      <c r="R217" s="419"/>
      <c r="S217" s="419"/>
      <c r="T217" s="419"/>
      <c r="U217" s="419"/>
      <c r="V217" s="621">
        <f t="shared" si="9"/>
        <v>9464.39</v>
      </c>
      <c r="W217" s="419">
        <v>-15029.16</v>
      </c>
      <c r="X217" s="419"/>
      <c r="Y217" s="419"/>
      <c r="Z217" s="419"/>
      <c r="AA217" s="419"/>
      <c r="AB217" s="419"/>
      <c r="AC217" s="419"/>
      <c r="AD217" s="419">
        <v>367.46</v>
      </c>
      <c r="AE217" s="419"/>
      <c r="AF217" s="419">
        <v>-5197.3100000000004</v>
      </c>
      <c r="AG217" s="419">
        <v>0</v>
      </c>
    </row>
    <row r="218" spans="1:33" ht="15.75" thickBot="1" x14ac:dyDescent="0.3">
      <c r="A218" s="401">
        <v>42552</v>
      </c>
      <c r="B218" s="432" t="s">
        <v>690</v>
      </c>
      <c r="C218" s="418" t="s">
        <v>93</v>
      </c>
      <c r="D218" s="316" t="s">
        <v>719</v>
      </c>
      <c r="E218" s="420">
        <v>5779.35</v>
      </c>
      <c r="F218" s="420"/>
      <c r="G218" s="420"/>
      <c r="H218" s="420"/>
      <c r="I218" s="420"/>
      <c r="J218" s="420"/>
      <c r="K218" s="420"/>
      <c r="L218" s="420"/>
      <c r="M218" s="620">
        <f t="shared" si="8"/>
        <v>0</v>
      </c>
      <c r="N218" s="420"/>
      <c r="O218" s="420"/>
      <c r="P218" s="420">
        <v>4368.42</v>
      </c>
      <c r="Q218" s="420"/>
      <c r="R218" s="420"/>
      <c r="S218" s="420"/>
      <c r="T218" s="420"/>
      <c r="U218" s="420"/>
      <c r="V218" s="621">
        <f t="shared" si="9"/>
        <v>4368.42</v>
      </c>
      <c r="W218" s="420">
        <v>1410.93</v>
      </c>
      <c r="X218" s="420"/>
      <c r="Y218" s="420"/>
      <c r="Z218" s="420"/>
      <c r="AA218" s="420"/>
      <c r="AB218" s="420"/>
      <c r="AC218" s="420"/>
      <c r="AD218" s="420">
        <v>0</v>
      </c>
      <c r="AE218" s="420"/>
      <c r="AF218" s="420">
        <v>5779.35</v>
      </c>
      <c r="AG218" s="420">
        <v>0</v>
      </c>
    </row>
    <row r="219" spans="1:33" ht="15.75" thickBot="1" x14ac:dyDescent="0.3">
      <c r="A219" s="401">
        <v>42552</v>
      </c>
      <c r="B219" s="432" t="s">
        <v>690</v>
      </c>
      <c r="C219" s="317" t="s">
        <v>720</v>
      </c>
      <c r="D219" s="317" t="s">
        <v>720</v>
      </c>
      <c r="E219" s="419">
        <v>5779.35</v>
      </c>
      <c r="F219" s="419"/>
      <c r="G219" s="419"/>
      <c r="H219" s="419"/>
      <c r="I219" s="419"/>
      <c r="J219" s="419"/>
      <c r="K219" s="419"/>
      <c r="L219" s="419"/>
      <c r="M219" s="620">
        <f t="shared" si="8"/>
        <v>0</v>
      </c>
      <c r="N219" s="419"/>
      <c r="O219" s="419"/>
      <c r="P219" s="419">
        <v>4368.42</v>
      </c>
      <c r="Q219" s="419"/>
      <c r="R219" s="419"/>
      <c r="S219" s="419"/>
      <c r="T219" s="419"/>
      <c r="U219" s="419"/>
      <c r="V219" s="621">
        <f t="shared" si="9"/>
        <v>4368.42</v>
      </c>
      <c r="W219" s="419">
        <v>1410.93</v>
      </c>
      <c r="X219" s="419"/>
      <c r="Y219" s="419"/>
      <c r="Z219" s="419"/>
      <c r="AA219" s="419"/>
      <c r="AB219" s="419"/>
      <c r="AC219" s="419"/>
      <c r="AD219" s="419">
        <v>0</v>
      </c>
      <c r="AE219" s="419"/>
      <c r="AF219" s="419">
        <v>5779.35</v>
      </c>
      <c r="AG219" s="419">
        <v>0</v>
      </c>
    </row>
    <row r="220" spans="1:33" ht="15.75" thickBot="1" x14ac:dyDescent="0.3">
      <c r="A220" s="401">
        <v>42552</v>
      </c>
      <c r="B220" s="432" t="s">
        <v>690</v>
      </c>
      <c r="C220" s="418" t="s">
        <v>1001</v>
      </c>
      <c r="D220" s="316" t="s">
        <v>1002</v>
      </c>
      <c r="E220" s="420">
        <v>900</v>
      </c>
      <c r="F220" s="420">
        <v>0</v>
      </c>
      <c r="G220" s="420">
        <v>900</v>
      </c>
      <c r="H220" s="420"/>
      <c r="I220" s="420">
        <v>0</v>
      </c>
      <c r="J220" s="420"/>
      <c r="K220" s="420"/>
      <c r="L220" s="420"/>
      <c r="M220" s="620">
        <f t="shared" si="8"/>
        <v>900</v>
      </c>
      <c r="N220" s="420"/>
      <c r="O220" s="420"/>
      <c r="P220" s="420"/>
      <c r="Q220" s="420"/>
      <c r="R220" s="420"/>
      <c r="S220" s="420"/>
      <c r="T220" s="420"/>
      <c r="U220" s="420"/>
      <c r="V220" s="621">
        <f t="shared" si="9"/>
        <v>0</v>
      </c>
      <c r="W220" s="420"/>
      <c r="X220" s="420"/>
      <c r="Y220" s="420"/>
      <c r="Z220" s="420"/>
      <c r="AA220" s="420"/>
      <c r="AB220" s="420"/>
      <c r="AC220" s="420"/>
      <c r="AD220" s="420">
        <v>16.2</v>
      </c>
      <c r="AE220" s="420"/>
      <c r="AF220" s="420">
        <v>916.2</v>
      </c>
      <c r="AG220" s="420">
        <v>0</v>
      </c>
    </row>
    <row r="221" spans="1:33" ht="15.75" thickBot="1" x14ac:dyDescent="0.3">
      <c r="A221" s="401">
        <v>42552</v>
      </c>
      <c r="B221" s="432" t="s">
        <v>690</v>
      </c>
      <c r="C221" s="418" t="s">
        <v>1003</v>
      </c>
      <c r="D221" s="316" t="s">
        <v>1004</v>
      </c>
      <c r="E221" s="419">
        <v>800</v>
      </c>
      <c r="F221" s="419"/>
      <c r="G221" s="419">
        <v>800</v>
      </c>
      <c r="H221" s="419"/>
      <c r="I221" s="419"/>
      <c r="J221" s="419"/>
      <c r="K221" s="419"/>
      <c r="L221" s="419"/>
      <c r="M221" s="620">
        <f t="shared" si="8"/>
        <v>800</v>
      </c>
      <c r="N221" s="419"/>
      <c r="O221" s="419"/>
      <c r="P221" s="419"/>
      <c r="Q221" s="419"/>
      <c r="R221" s="419"/>
      <c r="S221" s="419"/>
      <c r="T221" s="419"/>
      <c r="U221" s="419"/>
      <c r="V221" s="621">
        <f t="shared" si="9"/>
        <v>0</v>
      </c>
      <c r="W221" s="419"/>
      <c r="X221" s="419"/>
      <c r="Y221" s="419"/>
      <c r="Z221" s="419"/>
      <c r="AA221" s="419"/>
      <c r="AB221" s="419"/>
      <c r="AC221" s="419"/>
      <c r="AD221" s="419">
        <v>0</v>
      </c>
      <c r="AE221" s="419"/>
      <c r="AF221" s="419">
        <v>800</v>
      </c>
      <c r="AG221" s="419">
        <v>0</v>
      </c>
    </row>
    <row r="222" spans="1:33" ht="15.75" thickBot="1" x14ac:dyDescent="0.3">
      <c r="A222" s="401">
        <v>42552</v>
      </c>
      <c r="B222" s="432" t="s">
        <v>690</v>
      </c>
      <c r="C222" s="317" t="s">
        <v>689</v>
      </c>
      <c r="D222" s="317" t="s">
        <v>689</v>
      </c>
      <c r="E222" s="420">
        <v>1700</v>
      </c>
      <c r="F222" s="420">
        <v>0</v>
      </c>
      <c r="G222" s="420">
        <v>1700</v>
      </c>
      <c r="H222" s="420"/>
      <c r="I222" s="420">
        <v>0</v>
      </c>
      <c r="J222" s="420"/>
      <c r="K222" s="420"/>
      <c r="L222" s="420"/>
      <c r="M222" s="620">
        <f t="shared" si="8"/>
        <v>1700</v>
      </c>
      <c r="N222" s="420"/>
      <c r="O222" s="420"/>
      <c r="P222" s="420"/>
      <c r="Q222" s="420"/>
      <c r="R222" s="420"/>
      <c r="S222" s="420"/>
      <c r="T222" s="420"/>
      <c r="U222" s="420"/>
      <c r="V222" s="621">
        <f t="shared" si="9"/>
        <v>0</v>
      </c>
      <c r="W222" s="420"/>
      <c r="X222" s="420"/>
      <c r="Y222" s="420"/>
      <c r="Z222" s="420"/>
      <c r="AA222" s="420"/>
      <c r="AB222" s="420"/>
      <c r="AC222" s="420"/>
      <c r="AD222" s="420">
        <v>16.2</v>
      </c>
      <c r="AE222" s="420"/>
      <c r="AF222" s="420">
        <v>1716.2</v>
      </c>
      <c r="AG222" s="420">
        <v>0</v>
      </c>
    </row>
    <row r="223" spans="1:33" ht="15.75" thickBot="1" x14ac:dyDescent="0.3">
      <c r="A223" s="401">
        <v>42552</v>
      </c>
      <c r="B223" s="432" t="s">
        <v>511</v>
      </c>
      <c r="C223" s="418" t="s">
        <v>57</v>
      </c>
      <c r="D223" s="316" t="s">
        <v>1229</v>
      </c>
      <c r="E223" s="420">
        <v>121126.85</v>
      </c>
      <c r="F223" s="420">
        <v>2623561</v>
      </c>
      <c r="G223" s="420">
        <v>0</v>
      </c>
      <c r="H223" s="420">
        <v>107140.32</v>
      </c>
      <c r="I223" s="420">
        <v>13039.1</v>
      </c>
      <c r="J223" s="420"/>
      <c r="K223" s="420"/>
      <c r="L223" s="420">
        <v>495.34</v>
      </c>
      <c r="M223" s="620">
        <f t="shared" si="8"/>
        <v>120674.76000000001</v>
      </c>
      <c r="N223" s="420"/>
      <c r="O223" s="420"/>
      <c r="P223" s="420"/>
      <c r="Q223" s="420">
        <v>0</v>
      </c>
      <c r="R223" s="420">
        <v>452.09</v>
      </c>
      <c r="S223" s="420"/>
      <c r="T223" s="420"/>
      <c r="U223" s="420"/>
      <c r="V223" s="621">
        <f t="shared" si="9"/>
        <v>452.09</v>
      </c>
      <c r="W223" s="420"/>
      <c r="X223" s="420"/>
      <c r="Y223" s="420"/>
      <c r="Z223" s="420"/>
      <c r="AA223" s="420"/>
      <c r="AB223" s="420"/>
      <c r="AC223" s="420">
        <v>0</v>
      </c>
      <c r="AD223" s="420">
        <v>0</v>
      </c>
      <c r="AE223" s="420"/>
      <c r="AF223" s="420">
        <v>121126.85</v>
      </c>
      <c r="AG223" s="420">
        <v>0</v>
      </c>
    </row>
    <row r="224" spans="1:33" ht="15.75" thickBot="1" x14ac:dyDescent="0.3">
      <c r="A224" s="401">
        <v>42552</v>
      </c>
      <c r="B224" s="432" t="s">
        <v>511</v>
      </c>
      <c r="C224" s="418" t="s">
        <v>45</v>
      </c>
      <c r="D224" s="316" t="s">
        <v>46</v>
      </c>
      <c r="E224" s="419">
        <v>83639.89</v>
      </c>
      <c r="F224" s="419"/>
      <c r="G224" s="419">
        <v>0</v>
      </c>
      <c r="H224" s="419"/>
      <c r="I224" s="419"/>
      <c r="J224" s="419"/>
      <c r="K224" s="419"/>
      <c r="L224" s="419"/>
      <c r="M224" s="620">
        <f t="shared" si="8"/>
        <v>0</v>
      </c>
      <c r="N224" s="419"/>
      <c r="O224" s="419">
        <v>83380.350000000006</v>
      </c>
      <c r="P224" s="419"/>
      <c r="Q224" s="419"/>
      <c r="R224" s="419"/>
      <c r="S224" s="419"/>
      <c r="T224" s="419"/>
      <c r="U224" s="419"/>
      <c r="V224" s="621">
        <f t="shared" si="9"/>
        <v>83380.350000000006</v>
      </c>
      <c r="W224" s="419"/>
      <c r="X224" s="419">
        <v>259.54000000000002</v>
      </c>
      <c r="Y224" s="419"/>
      <c r="Z224" s="419"/>
      <c r="AA224" s="419"/>
      <c r="AB224" s="419"/>
      <c r="AC224" s="419">
        <v>0</v>
      </c>
      <c r="AD224" s="419">
        <v>0</v>
      </c>
      <c r="AE224" s="419"/>
      <c r="AF224" s="419">
        <v>83639.89</v>
      </c>
      <c r="AG224" s="419">
        <v>0</v>
      </c>
    </row>
    <row r="225" spans="1:33" ht="15.75" thickBot="1" x14ac:dyDescent="0.3">
      <c r="A225" s="401">
        <v>42552</v>
      </c>
      <c r="B225" s="432" t="s">
        <v>511</v>
      </c>
      <c r="C225" s="317" t="s">
        <v>687</v>
      </c>
      <c r="D225" s="317" t="s">
        <v>687</v>
      </c>
      <c r="E225" s="420">
        <v>204766.74</v>
      </c>
      <c r="F225" s="420">
        <v>2623561</v>
      </c>
      <c r="G225" s="420">
        <v>0</v>
      </c>
      <c r="H225" s="420">
        <v>107140.32</v>
      </c>
      <c r="I225" s="420">
        <v>13039.1</v>
      </c>
      <c r="J225" s="420"/>
      <c r="K225" s="420"/>
      <c r="L225" s="420">
        <v>495.34</v>
      </c>
      <c r="M225" s="620">
        <f t="shared" si="8"/>
        <v>120674.76000000001</v>
      </c>
      <c r="N225" s="420"/>
      <c r="O225" s="420">
        <v>83380.350000000006</v>
      </c>
      <c r="P225" s="420"/>
      <c r="Q225" s="420">
        <v>0</v>
      </c>
      <c r="R225" s="420">
        <v>452.09</v>
      </c>
      <c r="S225" s="420"/>
      <c r="T225" s="420"/>
      <c r="U225" s="420"/>
      <c r="V225" s="621">
        <f t="shared" si="9"/>
        <v>83832.44</v>
      </c>
      <c r="W225" s="420"/>
      <c r="X225" s="420">
        <v>259.54000000000002</v>
      </c>
      <c r="Y225" s="420"/>
      <c r="Z225" s="420"/>
      <c r="AA225" s="420"/>
      <c r="AB225" s="420"/>
      <c r="AC225" s="420">
        <v>0</v>
      </c>
      <c r="AD225" s="420">
        <v>0</v>
      </c>
      <c r="AE225" s="420"/>
      <c r="AF225" s="420">
        <v>204766.74</v>
      </c>
      <c r="AG225" s="420">
        <v>0</v>
      </c>
    </row>
    <row r="226" spans="1:33" ht="15.75" thickBot="1" x14ac:dyDescent="0.3">
      <c r="A226" s="401">
        <v>42552</v>
      </c>
      <c r="B226" s="432" t="s">
        <v>698</v>
      </c>
      <c r="C226" s="418" t="s">
        <v>57</v>
      </c>
      <c r="D226" s="316" t="s">
        <v>1228</v>
      </c>
      <c r="E226" s="419">
        <v>-9833.18</v>
      </c>
      <c r="F226" s="419">
        <v>0</v>
      </c>
      <c r="G226" s="419">
        <v>800</v>
      </c>
      <c r="H226" s="419"/>
      <c r="I226" s="419">
        <v>0</v>
      </c>
      <c r="J226" s="419"/>
      <c r="K226" s="419"/>
      <c r="L226" s="419"/>
      <c r="M226" s="620">
        <f t="shared" si="8"/>
        <v>800</v>
      </c>
      <c r="N226" s="419"/>
      <c r="O226" s="419"/>
      <c r="P226" s="419">
        <v>-10471.48</v>
      </c>
      <c r="Q226" s="419"/>
      <c r="R226" s="419"/>
      <c r="S226" s="419"/>
      <c r="T226" s="419"/>
      <c r="U226" s="419"/>
      <c r="V226" s="621">
        <f t="shared" si="9"/>
        <v>-10471.48</v>
      </c>
      <c r="W226" s="419">
        <v>-161.69999999999999</v>
      </c>
      <c r="X226" s="419"/>
      <c r="Y226" s="419"/>
      <c r="Z226" s="419"/>
      <c r="AA226" s="419"/>
      <c r="AB226" s="419"/>
      <c r="AC226" s="419"/>
      <c r="AD226" s="419">
        <v>0</v>
      </c>
      <c r="AE226" s="419"/>
      <c r="AF226" s="419">
        <v>-9833.18</v>
      </c>
      <c r="AG226" s="419">
        <v>0</v>
      </c>
    </row>
    <row r="227" spans="1:33" ht="15.75" thickBot="1" x14ac:dyDescent="0.3">
      <c r="A227" s="401">
        <v>42552</v>
      </c>
      <c r="B227" s="432" t="s">
        <v>698</v>
      </c>
      <c r="C227" s="418" t="s">
        <v>45</v>
      </c>
      <c r="D227" s="316" t="s">
        <v>46</v>
      </c>
      <c r="E227" s="420">
        <v>194594.93</v>
      </c>
      <c r="F227" s="420">
        <v>237348</v>
      </c>
      <c r="G227" s="420">
        <v>180</v>
      </c>
      <c r="H227" s="420">
        <v>186513.62</v>
      </c>
      <c r="I227" s="420">
        <v>7901.31</v>
      </c>
      <c r="J227" s="420"/>
      <c r="K227" s="420"/>
      <c r="L227" s="420"/>
      <c r="M227" s="620">
        <f t="shared" si="8"/>
        <v>194594.93</v>
      </c>
      <c r="N227" s="420"/>
      <c r="O227" s="420"/>
      <c r="P227" s="420"/>
      <c r="Q227" s="420"/>
      <c r="R227" s="420"/>
      <c r="S227" s="420"/>
      <c r="T227" s="420"/>
      <c r="U227" s="420"/>
      <c r="V227" s="621">
        <f t="shared" si="9"/>
        <v>0</v>
      </c>
      <c r="W227" s="420"/>
      <c r="X227" s="420"/>
      <c r="Y227" s="420"/>
      <c r="Z227" s="420"/>
      <c r="AA227" s="420"/>
      <c r="AB227" s="420"/>
      <c r="AC227" s="420"/>
      <c r="AD227" s="420">
        <v>0</v>
      </c>
      <c r="AE227" s="420"/>
      <c r="AF227" s="420">
        <v>194594.93</v>
      </c>
      <c r="AG227" s="420">
        <v>0</v>
      </c>
    </row>
    <row r="228" spans="1:33" ht="15.75" thickBot="1" x14ac:dyDescent="0.3">
      <c r="A228" s="401">
        <v>42552</v>
      </c>
      <c r="B228" s="432" t="s">
        <v>698</v>
      </c>
      <c r="C228" s="317" t="s">
        <v>687</v>
      </c>
      <c r="D228" s="317" t="s">
        <v>687</v>
      </c>
      <c r="E228" s="419">
        <v>184761.75</v>
      </c>
      <c r="F228" s="419">
        <v>237348</v>
      </c>
      <c r="G228" s="419">
        <v>980</v>
      </c>
      <c r="H228" s="419">
        <v>186513.62</v>
      </c>
      <c r="I228" s="419">
        <v>7901.31</v>
      </c>
      <c r="J228" s="419"/>
      <c r="K228" s="419"/>
      <c r="L228" s="419"/>
      <c r="M228" s="620">
        <f t="shared" si="8"/>
        <v>195394.93</v>
      </c>
      <c r="N228" s="419"/>
      <c r="O228" s="419"/>
      <c r="P228" s="419">
        <v>-10471.48</v>
      </c>
      <c r="Q228" s="419"/>
      <c r="R228" s="419"/>
      <c r="S228" s="419"/>
      <c r="T228" s="419"/>
      <c r="U228" s="419"/>
      <c r="V228" s="621">
        <f t="shared" si="9"/>
        <v>-10471.48</v>
      </c>
      <c r="W228" s="419">
        <v>-161.69999999999999</v>
      </c>
      <c r="X228" s="419"/>
      <c r="Y228" s="419"/>
      <c r="Z228" s="419"/>
      <c r="AA228" s="419"/>
      <c r="AB228" s="419"/>
      <c r="AC228" s="419"/>
      <c r="AD228" s="419">
        <v>0</v>
      </c>
      <c r="AE228" s="419"/>
      <c r="AF228" s="419">
        <v>184761.75</v>
      </c>
      <c r="AG228" s="419">
        <v>0</v>
      </c>
    </row>
    <row r="229" spans="1:33" ht="15.75" thickBot="1" x14ac:dyDescent="0.3">
      <c r="A229" s="401">
        <v>42583</v>
      </c>
      <c r="B229" s="432" t="s">
        <v>686</v>
      </c>
      <c r="C229" s="418" t="s">
        <v>872</v>
      </c>
      <c r="D229" s="316" t="s">
        <v>873</v>
      </c>
      <c r="E229" s="93">
        <v>41988.6</v>
      </c>
      <c r="F229" s="93">
        <v>79023</v>
      </c>
      <c r="G229" s="93">
        <v>800</v>
      </c>
      <c r="H229" s="92"/>
      <c r="I229" s="93">
        <v>5538.72</v>
      </c>
      <c r="J229" s="92"/>
      <c r="K229" s="92"/>
      <c r="L229" s="92"/>
      <c r="M229" s="620">
        <f t="shared" ref="M229:M271" si="10">SUM(G229:L229)</f>
        <v>6338.72</v>
      </c>
      <c r="N229" s="93">
        <v>0</v>
      </c>
      <c r="O229" s="93">
        <v>29972.14</v>
      </c>
      <c r="P229" s="92"/>
      <c r="Q229" s="92"/>
      <c r="R229" s="92"/>
      <c r="S229" s="92"/>
      <c r="T229" s="92"/>
      <c r="U229" s="92"/>
      <c r="V229" s="621">
        <f t="shared" ref="V229:V271" si="11">SUM(O229:U229)</f>
        <v>29972.14</v>
      </c>
      <c r="W229" s="92"/>
      <c r="X229" s="93">
        <v>5677.74</v>
      </c>
      <c r="Y229" s="92"/>
      <c r="Z229" s="92"/>
      <c r="AA229" s="92"/>
      <c r="AB229" s="92"/>
      <c r="AC229" s="93">
        <v>0</v>
      </c>
      <c r="AD229" s="93">
        <v>0</v>
      </c>
      <c r="AE229" s="92"/>
      <c r="AF229" s="93">
        <v>41988.6</v>
      </c>
      <c r="AG229" s="93">
        <v>0</v>
      </c>
    </row>
    <row r="230" spans="1:33" ht="15.75" thickBot="1" x14ac:dyDescent="0.3">
      <c r="A230" s="401">
        <v>42583</v>
      </c>
      <c r="B230" s="432" t="s">
        <v>686</v>
      </c>
      <c r="C230" s="418" t="s">
        <v>18</v>
      </c>
      <c r="D230" s="316" t="s">
        <v>453</v>
      </c>
      <c r="E230" s="95">
        <v>17598.82</v>
      </c>
      <c r="F230" s="95">
        <v>25230</v>
      </c>
      <c r="G230" s="95">
        <v>800</v>
      </c>
      <c r="H230" s="94"/>
      <c r="I230" s="95">
        <v>1768.37</v>
      </c>
      <c r="J230" s="94"/>
      <c r="K230" s="94"/>
      <c r="L230" s="94"/>
      <c r="M230" s="620">
        <f t="shared" si="10"/>
        <v>2568.37</v>
      </c>
      <c r="N230" s="95">
        <v>14.38</v>
      </c>
      <c r="O230" s="95">
        <v>9338.33</v>
      </c>
      <c r="P230" s="94"/>
      <c r="Q230" s="94"/>
      <c r="R230" s="94"/>
      <c r="S230" s="94"/>
      <c r="T230" s="94"/>
      <c r="U230" s="94"/>
      <c r="V230" s="621">
        <f t="shared" si="11"/>
        <v>9338.33</v>
      </c>
      <c r="W230" s="94"/>
      <c r="X230" s="95">
        <v>5677.74</v>
      </c>
      <c r="Y230" s="94"/>
      <c r="Z230" s="95">
        <v>0</v>
      </c>
      <c r="AA230" s="94"/>
      <c r="AB230" s="94"/>
      <c r="AC230" s="95">
        <v>0</v>
      </c>
      <c r="AD230" s="95">
        <v>464.37</v>
      </c>
      <c r="AE230" s="94"/>
      <c r="AF230" s="95">
        <v>18063.189999999999</v>
      </c>
      <c r="AG230" s="95">
        <v>0</v>
      </c>
    </row>
    <row r="231" spans="1:33" ht="15.75" thickBot="1" x14ac:dyDescent="0.3">
      <c r="A231" s="401">
        <v>42583</v>
      </c>
      <c r="B231" s="432" t="s">
        <v>686</v>
      </c>
      <c r="C231" s="317" t="s">
        <v>445</v>
      </c>
      <c r="D231" s="317" t="s">
        <v>445</v>
      </c>
      <c r="E231" s="419">
        <v>59587.42</v>
      </c>
      <c r="F231" s="419">
        <v>104253</v>
      </c>
      <c r="G231" s="419">
        <v>1600</v>
      </c>
      <c r="H231" s="419"/>
      <c r="I231" s="419">
        <v>7307.09</v>
      </c>
      <c r="J231" s="419"/>
      <c r="K231" s="419"/>
      <c r="L231" s="419"/>
      <c r="M231" s="620">
        <f t="shared" si="10"/>
        <v>8907.09</v>
      </c>
      <c r="N231" s="419">
        <v>14.38</v>
      </c>
      <c r="O231" s="419">
        <v>39310.47</v>
      </c>
      <c r="P231" s="419"/>
      <c r="Q231" s="419"/>
      <c r="R231" s="419"/>
      <c r="S231" s="419"/>
      <c r="T231" s="419"/>
      <c r="U231" s="419"/>
      <c r="V231" s="621">
        <f t="shared" si="11"/>
        <v>39310.47</v>
      </c>
      <c r="W231" s="419"/>
      <c r="X231" s="419">
        <v>11355.48</v>
      </c>
      <c r="Y231" s="419"/>
      <c r="Z231" s="419">
        <v>0</v>
      </c>
      <c r="AA231" s="419"/>
      <c r="AB231" s="419"/>
      <c r="AC231" s="419">
        <v>0</v>
      </c>
      <c r="AD231" s="419">
        <v>464.37</v>
      </c>
      <c r="AE231" s="419"/>
      <c r="AF231" s="419">
        <v>60051.79</v>
      </c>
      <c r="AG231" s="419">
        <v>0</v>
      </c>
    </row>
    <row r="232" spans="1:33" ht="15.75" thickBot="1" x14ac:dyDescent="0.3">
      <c r="A232" s="401">
        <v>42583</v>
      </c>
      <c r="B232" s="432" t="s">
        <v>686</v>
      </c>
      <c r="C232" s="418" t="s">
        <v>26</v>
      </c>
      <c r="D232" s="316" t="s">
        <v>875</v>
      </c>
      <c r="E232" s="420">
        <v>3352876.2</v>
      </c>
      <c r="F232" s="420">
        <v>2671044</v>
      </c>
      <c r="G232" s="420">
        <v>1153845.48</v>
      </c>
      <c r="H232" s="420"/>
      <c r="I232" s="420">
        <v>532639.79</v>
      </c>
      <c r="J232" s="420"/>
      <c r="K232" s="420"/>
      <c r="L232" s="420"/>
      <c r="M232" s="620">
        <f t="shared" si="10"/>
        <v>1686485.27</v>
      </c>
      <c r="N232" s="420">
        <v>1521.13</v>
      </c>
      <c r="O232" s="420">
        <v>983916</v>
      </c>
      <c r="P232" s="420"/>
      <c r="Q232" s="420"/>
      <c r="R232" s="420"/>
      <c r="S232" s="420"/>
      <c r="T232" s="420"/>
      <c r="U232" s="420"/>
      <c r="V232" s="621">
        <f t="shared" si="11"/>
        <v>983916</v>
      </c>
      <c r="W232" s="420"/>
      <c r="X232" s="420">
        <v>680847.8</v>
      </c>
      <c r="Y232" s="420">
        <v>106</v>
      </c>
      <c r="Z232" s="420">
        <v>0</v>
      </c>
      <c r="AA232" s="420"/>
      <c r="AB232" s="420"/>
      <c r="AC232" s="420">
        <v>1273.75</v>
      </c>
      <c r="AD232" s="420">
        <v>180048.85</v>
      </c>
      <c r="AE232" s="420"/>
      <c r="AF232" s="420">
        <v>3534198.8</v>
      </c>
      <c r="AG232" s="420">
        <v>0</v>
      </c>
    </row>
    <row r="233" spans="1:33" ht="15.75" thickBot="1" x14ac:dyDescent="0.3">
      <c r="A233" s="401">
        <v>42583</v>
      </c>
      <c r="B233" s="432" t="s">
        <v>686</v>
      </c>
      <c r="C233" s="418" t="s">
        <v>707</v>
      </c>
      <c r="D233" s="316" t="s">
        <v>876</v>
      </c>
      <c r="E233" s="419">
        <v>231.29</v>
      </c>
      <c r="F233" s="419">
        <v>276</v>
      </c>
      <c r="G233" s="419">
        <v>40</v>
      </c>
      <c r="H233" s="419"/>
      <c r="I233" s="419">
        <v>59.35</v>
      </c>
      <c r="J233" s="419"/>
      <c r="K233" s="419"/>
      <c r="L233" s="419"/>
      <c r="M233" s="620">
        <f t="shared" si="10"/>
        <v>99.35</v>
      </c>
      <c r="N233" s="419">
        <v>0.16</v>
      </c>
      <c r="O233" s="419">
        <v>104.37</v>
      </c>
      <c r="P233" s="419"/>
      <c r="Q233" s="419"/>
      <c r="R233" s="419"/>
      <c r="S233" s="419"/>
      <c r="T233" s="419"/>
      <c r="U233" s="419"/>
      <c r="V233" s="621">
        <f t="shared" si="11"/>
        <v>104.37</v>
      </c>
      <c r="W233" s="419"/>
      <c r="X233" s="419">
        <v>27.41</v>
      </c>
      <c r="Y233" s="419"/>
      <c r="Z233" s="419"/>
      <c r="AA233" s="419"/>
      <c r="AB233" s="419"/>
      <c r="AC233" s="419">
        <v>0</v>
      </c>
      <c r="AD233" s="419">
        <v>13.88</v>
      </c>
      <c r="AE233" s="419"/>
      <c r="AF233" s="419">
        <v>245.17</v>
      </c>
      <c r="AG233" s="419">
        <v>0</v>
      </c>
    </row>
    <row r="234" spans="1:33" ht="15.75" thickBot="1" x14ac:dyDescent="0.3">
      <c r="A234" s="401">
        <v>42583</v>
      </c>
      <c r="B234" s="432" t="s">
        <v>686</v>
      </c>
      <c r="C234" s="317" t="s">
        <v>109</v>
      </c>
      <c r="D234" s="317" t="s">
        <v>109</v>
      </c>
      <c r="E234" s="420">
        <v>3353107.49</v>
      </c>
      <c r="F234" s="420">
        <v>2671320</v>
      </c>
      <c r="G234" s="420">
        <v>1153885.48</v>
      </c>
      <c r="H234" s="420"/>
      <c r="I234" s="420">
        <v>532699.14</v>
      </c>
      <c r="J234" s="420"/>
      <c r="K234" s="420"/>
      <c r="L234" s="420"/>
      <c r="M234" s="620">
        <f t="shared" si="10"/>
        <v>1686584.62</v>
      </c>
      <c r="N234" s="420">
        <v>1521.29</v>
      </c>
      <c r="O234" s="420">
        <v>984020.37</v>
      </c>
      <c r="P234" s="420"/>
      <c r="Q234" s="420"/>
      <c r="R234" s="420"/>
      <c r="S234" s="420"/>
      <c r="T234" s="420"/>
      <c r="U234" s="420"/>
      <c r="V234" s="621">
        <f t="shared" si="11"/>
        <v>984020.37</v>
      </c>
      <c r="W234" s="420"/>
      <c r="X234" s="420">
        <v>680875.21</v>
      </c>
      <c r="Y234" s="420">
        <v>106</v>
      </c>
      <c r="Z234" s="420">
        <v>0</v>
      </c>
      <c r="AA234" s="420"/>
      <c r="AB234" s="420"/>
      <c r="AC234" s="420">
        <v>1273.75</v>
      </c>
      <c r="AD234" s="420">
        <v>180062.73</v>
      </c>
      <c r="AE234" s="420"/>
      <c r="AF234" s="420">
        <v>3534443.97</v>
      </c>
      <c r="AG234" s="420">
        <v>0</v>
      </c>
    </row>
    <row r="235" spans="1:33" ht="15.75" thickBot="1" x14ac:dyDescent="0.3">
      <c r="A235" s="401">
        <v>42583</v>
      </c>
      <c r="B235" s="432" t="s">
        <v>686</v>
      </c>
      <c r="C235" s="418" t="s">
        <v>68</v>
      </c>
      <c r="D235" s="316" t="s">
        <v>877</v>
      </c>
      <c r="E235" s="419">
        <v>586.84</v>
      </c>
      <c r="F235" s="419">
        <v>7</v>
      </c>
      <c r="G235" s="419">
        <v>40</v>
      </c>
      <c r="H235" s="419">
        <v>544</v>
      </c>
      <c r="I235" s="419">
        <v>0.23</v>
      </c>
      <c r="J235" s="419"/>
      <c r="K235" s="419"/>
      <c r="L235" s="419"/>
      <c r="M235" s="620">
        <f t="shared" si="10"/>
        <v>584.23</v>
      </c>
      <c r="N235" s="419"/>
      <c r="O235" s="419">
        <v>2.61</v>
      </c>
      <c r="P235" s="419"/>
      <c r="Q235" s="419"/>
      <c r="R235" s="419"/>
      <c r="S235" s="419"/>
      <c r="T235" s="419"/>
      <c r="U235" s="419"/>
      <c r="V235" s="621">
        <f t="shared" si="11"/>
        <v>2.61</v>
      </c>
      <c r="W235" s="419"/>
      <c r="X235" s="419">
        <v>0</v>
      </c>
      <c r="Y235" s="419"/>
      <c r="Z235" s="419"/>
      <c r="AA235" s="419"/>
      <c r="AB235" s="419"/>
      <c r="AC235" s="419">
        <v>0</v>
      </c>
      <c r="AD235" s="419">
        <v>35.21</v>
      </c>
      <c r="AE235" s="419"/>
      <c r="AF235" s="419">
        <v>622.04999999999995</v>
      </c>
      <c r="AG235" s="419">
        <v>0</v>
      </c>
    </row>
    <row r="236" spans="1:33" ht="15.75" thickBot="1" x14ac:dyDescent="0.3">
      <c r="A236" s="401">
        <v>42583</v>
      </c>
      <c r="B236" s="432" t="s">
        <v>686</v>
      </c>
      <c r="C236" s="317" t="s">
        <v>870</v>
      </c>
      <c r="D236" s="317" t="s">
        <v>870</v>
      </c>
      <c r="E236" s="420">
        <v>586.84</v>
      </c>
      <c r="F236" s="420">
        <v>7</v>
      </c>
      <c r="G236" s="420">
        <v>40</v>
      </c>
      <c r="H236" s="420">
        <v>544</v>
      </c>
      <c r="I236" s="420">
        <v>0.23</v>
      </c>
      <c r="J236" s="420"/>
      <c r="K236" s="420"/>
      <c r="L236" s="420"/>
      <c r="M236" s="620">
        <f t="shared" si="10"/>
        <v>584.23</v>
      </c>
      <c r="N236" s="420"/>
      <c r="O236" s="420">
        <v>2.61</v>
      </c>
      <c r="P236" s="420"/>
      <c r="Q236" s="420"/>
      <c r="R236" s="420"/>
      <c r="S236" s="420"/>
      <c r="T236" s="420"/>
      <c r="U236" s="420"/>
      <c r="V236" s="621"/>
      <c r="W236" s="420"/>
      <c r="X236" s="420">
        <v>0</v>
      </c>
      <c r="Y236" s="420"/>
      <c r="Z236" s="420"/>
      <c r="AA236" s="420"/>
      <c r="AB236" s="420"/>
      <c r="AC236" s="420">
        <v>0</v>
      </c>
      <c r="AD236" s="420">
        <v>35.21</v>
      </c>
      <c r="AE236" s="420"/>
      <c r="AF236" s="420">
        <v>622.04999999999995</v>
      </c>
      <c r="AG236" s="420">
        <v>0</v>
      </c>
    </row>
    <row r="237" spans="1:33" ht="15.75" thickBot="1" x14ac:dyDescent="0.3">
      <c r="A237" s="401">
        <v>42583</v>
      </c>
      <c r="B237" s="432" t="s">
        <v>686</v>
      </c>
      <c r="C237" s="418" t="s">
        <v>878</v>
      </c>
      <c r="D237" s="316" t="s">
        <v>879</v>
      </c>
      <c r="E237" s="419">
        <v>425925.9</v>
      </c>
      <c r="F237" s="419">
        <v>614061</v>
      </c>
      <c r="G237" s="419">
        <v>25280.04</v>
      </c>
      <c r="H237" s="419"/>
      <c r="I237" s="419">
        <v>113118.73</v>
      </c>
      <c r="J237" s="419"/>
      <c r="K237" s="419"/>
      <c r="L237" s="419"/>
      <c r="M237" s="620">
        <f t="shared" si="10"/>
        <v>138398.76999999999</v>
      </c>
      <c r="N237" s="419">
        <v>0</v>
      </c>
      <c r="O237" s="419">
        <v>227054.31</v>
      </c>
      <c r="P237" s="419"/>
      <c r="Q237" s="419"/>
      <c r="R237" s="419"/>
      <c r="S237" s="419"/>
      <c r="T237" s="419"/>
      <c r="U237" s="419"/>
      <c r="V237" s="621">
        <f t="shared" si="11"/>
        <v>227054.31</v>
      </c>
      <c r="W237" s="419"/>
      <c r="X237" s="419">
        <v>60472.82</v>
      </c>
      <c r="Y237" s="419"/>
      <c r="Z237" s="419"/>
      <c r="AA237" s="419"/>
      <c r="AB237" s="419"/>
      <c r="AC237" s="419">
        <v>0</v>
      </c>
      <c r="AD237" s="419">
        <v>22382.12</v>
      </c>
      <c r="AE237" s="419"/>
      <c r="AF237" s="419">
        <v>448308.02</v>
      </c>
      <c r="AG237" s="419">
        <v>0</v>
      </c>
    </row>
    <row r="238" spans="1:33" ht="15.75" thickBot="1" x14ac:dyDescent="0.3">
      <c r="A238" s="401">
        <v>42583</v>
      </c>
      <c r="B238" s="432" t="s">
        <v>686</v>
      </c>
      <c r="C238" s="418" t="s">
        <v>31</v>
      </c>
      <c r="D238" s="316" t="s">
        <v>880</v>
      </c>
      <c r="E238" s="420">
        <v>-15420.22</v>
      </c>
      <c r="F238" s="420">
        <v>-13027</v>
      </c>
      <c r="G238" s="420">
        <v>-1966.75</v>
      </c>
      <c r="H238" s="420"/>
      <c r="I238" s="420">
        <v>-2760.17</v>
      </c>
      <c r="J238" s="420"/>
      <c r="K238" s="420"/>
      <c r="L238" s="420"/>
      <c r="M238" s="620"/>
      <c r="N238" s="420"/>
      <c r="O238" s="420">
        <v>-6188.56</v>
      </c>
      <c r="P238" s="420"/>
      <c r="Q238" s="420"/>
      <c r="R238" s="420"/>
      <c r="S238" s="420"/>
      <c r="T238" s="420"/>
      <c r="U238" s="420"/>
      <c r="V238" s="621">
        <f t="shared" si="11"/>
        <v>-6188.56</v>
      </c>
      <c r="W238" s="420"/>
      <c r="X238" s="420">
        <v>-4504.74</v>
      </c>
      <c r="Y238" s="420"/>
      <c r="Z238" s="420">
        <v>0</v>
      </c>
      <c r="AA238" s="420"/>
      <c r="AB238" s="420"/>
      <c r="AC238" s="420">
        <v>-117.7</v>
      </c>
      <c r="AD238" s="420">
        <v>-932.28</v>
      </c>
      <c r="AE238" s="420"/>
      <c r="AF238" s="420">
        <v>-16470.2</v>
      </c>
      <c r="AG238" s="420">
        <v>0</v>
      </c>
    </row>
    <row r="239" spans="1:33" ht="15.75" thickBot="1" x14ac:dyDescent="0.3">
      <c r="A239" s="401">
        <v>42583</v>
      </c>
      <c r="B239" s="432" t="s">
        <v>686</v>
      </c>
      <c r="C239" s="317" t="s">
        <v>118</v>
      </c>
      <c r="D239" s="317" t="s">
        <v>118</v>
      </c>
      <c r="E239" s="419">
        <v>410505.68</v>
      </c>
      <c r="F239" s="419">
        <v>601034</v>
      </c>
      <c r="G239" s="419">
        <v>23313.29</v>
      </c>
      <c r="H239" s="419"/>
      <c r="I239" s="419">
        <v>110358.56</v>
      </c>
      <c r="J239" s="419"/>
      <c r="K239" s="419"/>
      <c r="L239" s="419"/>
      <c r="M239" s="620">
        <f t="shared" si="10"/>
        <v>133671.85</v>
      </c>
      <c r="N239" s="419">
        <v>0</v>
      </c>
      <c r="O239" s="419">
        <v>220865.75</v>
      </c>
      <c r="P239" s="419"/>
      <c r="Q239" s="419"/>
      <c r="R239" s="419"/>
      <c r="S239" s="419"/>
      <c r="T239" s="419"/>
      <c r="U239" s="419"/>
      <c r="V239" s="621">
        <f t="shared" si="11"/>
        <v>220865.75</v>
      </c>
      <c r="W239" s="419"/>
      <c r="X239" s="419">
        <v>55968.08</v>
      </c>
      <c r="Y239" s="419"/>
      <c r="Z239" s="419">
        <v>0</v>
      </c>
      <c r="AA239" s="419"/>
      <c r="AB239" s="419"/>
      <c r="AC239" s="419">
        <v>-117.7</v>
      </c>
      <c r="AD239" s="419">
        <v>21449.84</v>
      </c>
      <c r="AE239" s="419"/>
      <c r="AF239" s="419">
        <v>431837.82</v>
      </c>
      <c r="AG239" s="419">
        <v>0</v>
      </c>
    </row>
    <row r="240" spans="1:33" ht="15.75" thickBot="1" x14ac:dyDescent="0.3">
      <c r="A240" s="401">
        <v>42583</v>
      </c>
      <c r="B240" s="432" t="s">
        <v>686</v>
      </c>
      <c r="C240" s="418" t="s">
        <v>35</v>
      </c>
      <c r="D240" s="316" t="s">
        <v>36</v>
      </c>
      <c r="E240" s="420">
        <v>7713472.1699999999</v>
      </c>
      <c r="F240" s="420">
        <v>3312795</v>
      </c>
      <c r="G240" s="420">
        <v>3986470.1</v>
      </c>
      <c r="H240" s="420"/>
      <c r="I240" s="420">
        <v>950553.75</v>
      </c>
      <c r="J240" s="420"/>
      <c r="K240" s="420"/>
      <c r="L240" s="420"/>
      <c r="M240" s="620">
        <f t="shared" si="10"/>
        <v>4937023.8499999996</v>
      </c>
      <c r="N240" s="420">
        <v>36048.839999999997</v>
      </c>
      <c r="O240" s="420">
        <v>1222669.53</v>
      </c>
      <c r="P240" s="420"/>
      <c r="Q240" s="420"/>
      <c r="R240" s="420"/>
      <c r="S240" s="420"/>
      <c r="T240" s="420"/>
      <c r="U240" s="420"/>
      <c r="V240" s="621">
        <f t="shared" si="11"/>
        <v>1222669.53</v>
      </c>
      <c r="W240" s="420"/>
      <c r="X240" s="420">
        <v>1517815.3</v>
      </c>
      <c r="Y240" s="420">
        <v>-85.35</v>
      </c>
      <c r="Z240" s="420"/>
      <c r="AA240" s="420"/>
      <c r="AB240" s="420">
        <v>74627.5</v>
      </c>
      <c r="AC240" s="420">
        <v>1771.49</v>
      </c>
      <c r="AD240" s="420">
        <v>31296.91</v>
      </c>
      <c r="AE240" s="420"/>
      <c r="AF240" s="420">
        <v>7821168.0700000003</v>
      </c>
      <c r="AG240" s="420">
        <v>0</v>
      </c>
    </row>
    <row r="241" spans="1:33" ht="15.75" thickBot="1" x14ac:dyDescent="0.3">
      <c r="A241" s="401">
        <v>42583</v>
      </c>
      <c r="B241" s="432" t="s">
        <v>686</v>
      </c>
      <c r="C241" s="317" t="s">
        <v>129</v>
      </c>
      <c r="D241" s="317" t="s">
        <v>129</v>
      </c>
      <c r="E241" s="419">
        <v>7713472.1699999999</v>
      </c>
      <c r="F241" s="419">
        <v>3312795</v>
      </c>
      <c r="G241" s="419">
        <v>3986470.1</v>
      </c>
      <c r="H241" s="419"/>
      <c r="I241" s="419">
        <v>950553.75</v>
      </c>
      <c r="J241" s="419"/>
      <c r="K241" s="419"/>
      <c r="L241" s="419"/>
      <c r="M241" s="620">
        <f t="shared" si="10"/>
        <v>4937023.8499999996</v>
      </c>
      <c r="N241" s="419">
        <v>36048.839999999997</v>
      </c>
      <c r="O241" s="419">
        <v>1222669.53</v>
      </c>
      <c r="P241" s="419"/>
      <c r="Q241" s="419"/>
      <c r="R241" s="419"/>
      <c r="S241" s="419"/>
      <c r="T241" s="419"/>
      <c r="U241" s="419"/>
      <c r="V241" s="621">
        <f t="shared" si="11"/>
        <v>1222669.53</v>
      </c>
      <c r="W241" s="419"/>
      <c r="X241" s="419">
        <v>1517815.3</v>
      </c>
      <c r="Y241" s="419">
        <v>-85.35</v>
      </c>
      <c r="Z241" s="419"/>
      <c r="AA241" s="419"/>
      <c r="AB241" s="419">
        <v>74627.5</v>
      </c>
      <c r="AC241" s="419">
        <v>1771.49</v>
      </c>
      <c r="AD241" s="419">
        <v>31296.91</v>
      </c>
      <c r="AE241" s="419"/>
      <c r="AF241" s="419">
        <v>7821168.0700000003</v>
      </c>
      <c r="AG241" s="419">
        <v>0</v>
      </c>
    </row>
    <row r="242" spans="1:33" ht="15.75" thickBot="1" x14ac:dyDescent="0.3">
      <c r="A242" s="401">
        <v>42583</v>
      </c>
      <c r="B242" s="432" t="s">
        <v>686</v>
      </c>
      <c r="C242" s="418" t="s">
        <v>29</v>
      </c>
      <c r="D242" s="316" t="s">
        <v>30</v>
      </c>
      <c r="E242" s="420">
        <v>25157.54</v>
      </c>
      <c r="F242" s="420">
        <v>613</v>
      </c>
      <c r="G242" s="420">
        <v>24800</v>
      </c>
      <c r="H242" s="420"/>
      <c r="I242" s="420">
        <v>134.77000000000001</v>
      </c>
      <c r="J242" s="420"/>
      <c r="K242" s="420"/>
      <c r="L242" s="420"/>
      <c r="M242" s="620">
        <f t="shared" si="10"/>
        <v>24934.77</v>
      </c>
      <c r="N242" s="420">
        <v>0</v>
      </c>
      <c r="O242" s="420">
        <v>222.77</v>
      </c>
      <c r="P242" s="420"/>
      <c r="Q242" s="420"/>
      <c r="R242" s="420"/>
      <c r="S242" s="420"/>
      <c r="T242" s="420"/>
      <c r="U242" s="420"/>
      <c r="V242" s="621">
        <f t="shared" si="11"/>
        <v>222.77</v>
      </c>
      <c r="W242" s="420"/>
      <c r="X242" s="420"/>
      <c r="Y242" s="420"/>
      <c r="Z242" s="420">
        <v>0</v>
      </c>
      <c r="AA242" s="420"/>
      <c r="AB242" s="420"/>
      <c r="AC242" s="420">
        <v>2.44</v>
      </c>
      <c r="AD242" s="420">
        <v>1593.49</v>
      </c>
      <c r="AE242" s="420"/>
      <c r="AF242" s="420">
        <v>26753.47</v>
      </c>
      <c r="AG242" s="420">
        <v>0</v>
      </c>
    </row>
    <row r="243" spans="1:33" ht="15.75" thickBot="1" x14ac:dyDescent="0.3">
      <c r="A243" s="401">
        <v>42583</v>
      </c>
      <c r="B243" s="432" t="s">
        <v>686</v>
      </c>
      <c r="C243" s="317" t="s">
        <v>687</v>
      </c>
      <c r="D243" s="317" t="s">
        <v>687</v>
      </c>
      <c r="E243" s="419">
        <v>25157.54</v>
      </c>
      <c r="F243" s="419">
        <v>613</v>
      </c>
      <c r="G243" s="419">
        <v>24800</v>
      </c>
      <c r="H243" s="419"/>
      <c r="I243" s="419">
        <v>134.77000000000001</v>
      </c>
      <c r="J243" s="419"/>
      <c r="K243" s="419"/>
      <c r="L243" s="419"/>
      <c r="M243" s="620">
        <f t="shared" si="10"/>
        <v>24934.77</v>
      </c>
      <c r="N243" s="419">
        <v>0</v>
      </c>
      <c r="O243" s="419">
        <v>222.77</v>
      </c>
      <c r="P243" s="419"/>
      <c r="Q243" s="419"/>
      <c r="R243" s="419"/>
      <c r="S243" s="419"/>
      <c r="T243" s="419"/>
      <c r="U243" s="419"/>
      <c r="V243" s="621">
        <f t="shared" si="11"/>
        <v>222.77</v>
      </c>
      <c r="W243" s="419"/>
      <c r="X243" s="419"/>
      <c r="Y243" s="419"/>
      <c r="Z243" s="419">
        <v>0</v>
      </c>
      <c r="AA243" s="419"/>
      <c r="AB243" s="419"/>
      <c r="AC243" s="419">
        <v>2.44</v>
      </c>
      <c r="AD243" s="419">
        <v>1593.49</v>
      </c>
      <c r="AE243" s="419"/>
      <c r="AF243" s="419">
        <v>26753.47</v>
      </c>
      <c r="AG243" s="419">
        <v>0</v>
      </c>
    </row>
    <row r="244" spans="1:33" ht="15.75" thickBot="1" x14ac:dyDescent="0.3">
      <c r="A244" s="401">
        <v>42583</v>
      </c>
      <c r="B244" s="432" t="s">
        <v>686</v>
      </c>
      <c r="C244" s="418" t="s">
        <v>37</v>
      </c>
      <c r="D244" s="316" t="s">
        <v>38</v>
      </c>
      <c r="E244" s="420">
        <v>232.15</v>
      </c>
      <c r="F244" s="420">
        <v>264</v>
      </c>
      <c r="G244" s="420">
        <v>40.5</v>
      </c>
      <c r="H244" s="420"/>
      <c r="I244" s="420">
        <v>75.75</v>
      </c>
      <c r="J244" s="420"/>
      <c r="K244" s="420"/>
      <c r="L244" s="420"/>
      <c r="M244" s="620">
        <f t="shared" si="10"/>
        <v>116.25</v>
      </c>
      <c r="N244" s="420">
        <v>2.86</v>
      </c>
      <c r="O244" s="420">
        <v>97.62</v>
      </c>
      <c r="P244" s="420"/>
      <c r="Q244" s="420"/>
      <c r="R244" s="420"/>
      <c r="S244" s="420"/>
      <c r="T244" s="420"/>
      <c r="U244" s="420"/>
      <c r="V244" s="621">
        <f t="shared" si="11"/>
        <v>97.62</v>
      </c>
      <c r="W244" s="420"/>
      <c r="X244" s="420">
        <v>15.42</v>
      </c>
      <c r="Y244" s="420"/>
      <c r="Z244" s="420"/>
      <c r="AA244" s="420"/>
      <c r="AB244" s="420"/>
      <c r="AC244" s="420">
        <v>0</v>
      </c>
      <c r="AD244" s="420">
        <v>0</v>
      </c>
      <c r="AE244" s="420"/>
      <c r="AF244" s="420">
        <v>232.15</v>
      </c>
      <c r="AG244" s="420">
        <v>0</v>
      </c>
    </row>
    <row r="245" spans="1:33" ht="15.75" thickBot="1" x14ac:dyDescent="0.3">
      <c r="A245" s="401">
        <v>42583</v>
      </c>
      <c r="B245" s="432" t="s">
        <v>686</v>
      </c>
      <c r="C245" s="317" t="s">
        <v>688</v>
      </c>
      <c r="D245" s="317" t="s">
        <v>688</v>
      </c>
      <c r="E245" s="419">
        <v>232.15</v>
      </c>
      <c r="F245" s="419">
        <v>264</v>
      </c>
      <c r="G245" s="419">
        <v>40.5</v>
      </c>
      <c r="H245" s="419"/>
      <c r="I245" s="419">
        <v>75.75</v>
      </c>
      <c r="J245" s="419"/>
      <c r="K245" s="419"/>
      <c r="L245" s="419"/>
      <c r="M245" s="620">
        <f t="shared" si="10"/>
        <v>116.25</v>
      </c>
      <c r="N245" s="419">
        <v>2.86</v>
      </c>
      <c r="O245" s="419">
        <v>97.62</v>
      </c>
      <c r="P245" s="419"/>
      <c r="Q245" s="419"/>
      <c r="R245" s="419"/>
      <c r="S245" s="419"/>
      <c r="T245" s="419"/>
      <c r="U245" s="419"/>
      <c r="V245" s="621">
        <f t="shared" si="11"/>
        <v>97.62</v>
      </c>
      <c r="W245" s="419"/>
      <c r="X245" s="419">
        <v>15.42</v>
      </c>
      <c r="Y245" s="419"/>
      <c r="Z245" s="419"/>
      <c r="AA245" s="419"/>
      <c r="AB245" s="419"/>
      <c r="AC245" s="419">
        <v>0</v>
      </c>
      <c r="AD245" s="419">
        <v>0</v>
      </c>
      <c r="AE245" s="419"/>
      <c r="AF245" s="419">
        <v>232.15</v>
      </c>
      <c r="AG245" s="419">
        <v>0</v>
      </c>
    </row>
    <row r="246" spans="1:33" ht="15.75" thickBot="1" x14ac:dyDescent="0.3">
      <c r="A246" s="401">
        <v>42583</v>
      </c>
      <c r="B246" s="432" t="s">
        <v>522</v>
      </c>
      <c r="C246" s="418" t="s">
        <v>933</v>
      </c>
      <c r="D246" s="316" t="s">
        <v>1005</v>
      </c>
      <c r="E246" s="419">
        <v>317087.25</v>
      </c>
      <c r="F246" s="419">
        <v>6439502</v>
      </c>
      <c r="G246" s="419">
        <v>35200</v>
      </c>
      <c r="H246" s="419"/>
      <c r="I246" s="419">
        <v>277027.40000000002</v>
      </c>
      <c r="J246" s="419">
        <v>3709.53</v>
      </c>
      <c r="K246" s="419"/>
      <c r="L246" s="419">
        <v>601.41</v>
      </c>
      <c r="M246" s="620">
        <f t="shared" si="10"/>
        <v>316538.34000000003</v>
      </c>
      <c r="N246" s="419">
        <v>0</v>
      </c>
      <c r="O246" s="419"/>
      <c r="P246" s="419"/>
      <c r="Q246" s="419">
        <v>0</v>
      </c>
      <c r="R246" s="419">
        <v>548.91</v>
      </c>
      <c r="S246" s="419"/>
      <c r="T246" s="419"/>
      <c r="U246" s="419"/>
      <c r="V246" s="621">
        <f t="shared" si="11"/>
        <v>548.91</v>
      </c>
      <c r="W246" s="420"/>
      <c r="X246" s="420"/>
      <c r="Y246" s="420"/>
      <c r="Z246" s="420"/>
      <c r="AA246" s="420"/>
      <c r="AB246" s="420"/>
      <c r="AC246" s="420">
        <v>0</v>
      </c>
      <c r="AD246" s="420">
        <v>14088.86</v>
      </c>
      <c r="AE246" s="420"/>
      <c r="AF246" s="420">
        <v>331176.11</v>
      </c>
      <c r="AG246" s="420">
        <v>0</v>
      </c>
    </row>
    <row r="247" spans="1:33" ht="15.75" thickBot="1" x14ac:dyDescent="0.3">
      <c r="A247" s="401">
        <v>42583</v>
      </c>
      <c r="B247" s="432" t="s">
        <v>522</v>
      </c>
      <c r="C247" s="418" t="s">
        <v>50</v>
      </c>
      <c r="D247" s="316" t="s">
        <v>881</v>
      </c>
      <c r="E247" s="420">
        <v>23451.11</v>
      </c>
      <c r="F247" s="420">
        <v>405901</v>
      </c>
      <c r="G247" s="420">
        <v>5500</v>
      </c>
      <c r="H247" s="420"/>
      <c r="I247" s="420">
        <v>17461.86</v>
      </c>
      <c r="J247" s="420">
        <v>47.15</v>
      </c>
      <c r="K247" s="420"/>
      <c r="L247" s="420">
        <v>110.19</v>
      </c>
      <c r="M247" s="620">
        <f t="shared" si="10"/>
        <v>23119.200000000001</v>
      </c>
      <c r="N247" s="420">
        <v>231.35</v>
      </c>
      <c r="O247" s="420"/>
      <c r="P247" s="420"/>
      <c r="Q247" s="420">
        <v>0</v>
      </c>
      <c r="R247" s="420">
        <v>100.56</v>
      </c>
      <c r="S247" s="420"/>
      <c r="T247" s="420"/>
      <c r="U247" s="420"/>
      <c r="V247" s="621">
        <f t="shared" si="11"/>
        <v>100.56</v>
      </c>
      <c r="W247" s="419"/>
      <c r="X247" s="419"/>
      <c r="Y247" s="419"/>
      <c r="Z247" s="419"/>
      <c r="AA247" s="419"/>
      <c r="AB247" s="419"/>
      <c r="AC247" s="419">
        <v>0</v>
      </c>
      <c r="AD247" s="419">
        <v>433.9</v>
      </c>
      <c r="AE247" s="419"/>
      <c r="AF247" s="419">
        <v>23885.01</v>
      </c>
      <c r="AG247" s="419">
        <v>0</v>
      </c>
    </row>
    <row r="248" spans="1:33" ht="15.75" thickBot="1" x14ac:dyDescent="0.3">
      <c r="A248" s="401">
        <v>42583</v>
      </c>
      <c r="B248" s="432" t="s">
        <v>522</v>
      </c>
      <c r="C248" s="317" t="s">
        <v>49</v>
      </c>
      <c r="D248" s="317" t="s">
        <v>49</v>
      </c>
      <c r="E248" s="419">
        <v>340538.36</v>
      </c>
      <c r="F248" s="419">
        <v>6845403</v>
      </c>
      <c r="G248" s="419">
        <v>40700</v>
      </c>
      <c r="H248" s="419"/>
      <c r="I248" s="419">
        <v>294489.26</v>
      </c>
      <c r="J248" s="419">
        <v>3756.68</v>
      </c>
      <c r="K248" s="419"/>
      <c r="L248" s="419">
        <v>711.6</v>
      </c>
      <c r="M248" s="620">
        <f t="shared" si="10"/>
        <v>339657.54</v>
      </c>
      <c r="N248" s="419">
        <v>231.35</v>
      </c>
      <c r="O248" s="419"/>
      <c r="P248" s="419"/>
      <c r="Q248" s="419">
        <v>0</v>
      </c>
      <c r="R248" s="419">
        <v>649.47</v>
      </c>
      <c r="S248" s="419"/>
      <c r="T248" s="419"/>
      <c r="U248" s="419"/>
      <c r="V248" s="621">
        <f t="shared" si="11"/>
        <v>649.47</v>
      </c>
      <c r="W248" s="420"/>
      <c r="X248" s="420"/>
      <c r="Y248" s="420"/>
      <c r="Z248" s="420"/>
      <c r="AA248" s="420"/>
      <c r="AB248" s="420"/>
      <c r="AC248" s="420">
        <v>0</v>
      </c>
      <c r="AD248" s="420">
        <v>14522.76</v>
      </c>
      <c r="AE248" s="420"/>
      <c r="AF248" s="420">
        <v>355061.12</v>
      </c>
      <c r="AG248" s="420">
        <v>0</v>
      </c>
    </row>
    <row r="249" spans="1:33" ht="15.75" thickBot="1" x14ac:dyDescent="0.3">
      <c r="A249" s="401">
        <v>42583</v>
      </c>
      <c r="B249" s="432" t="s">
        <v>522</v>
      </c>
      <c r="C249" s="418" t="s">
        <v>54</v>
      </c>
      <c r="D249" s="316" t="s">
        <v>55</v>
      </c>
      <c r="E249" s="420">
        <v>27093.81</v>
      </c>
      <c r="F249" s="420"/>
      <c r="G249" s="420">
        <v>5250</v>
      </c>
      <c r="H249" s="420"/>
      <c r="I249" s="420">
        <v>0</v>
      </c>
      <c r="J249" s="420"/>
      <c r="K249" s="420"/>
      <c r="L249" s="420">
        <v>11420.33</v>
      </c>
      <c r="M249" s="620">
        <f t="shared" si="10"/>
        <v>16670.330000000002</v>
      </c>
      <c r="N249" s="420"/>
      <c r="O249" s="420"/>
      <c r="P249" s="420"/>
      <c r="Q249" s="420">
        <v>0</v>
      </c>
      <c r="R249" s="420">
        <v>10423.48</v>
      </c>
      <c r="S249" s="420"/>
      <c r="T249" s="420"/>
      <c r="U249" s="420"/>
      <c r="V249" s="621">
        <f t="shared" si="11"/>
        <v>10423.48</v>
      </c>
      <c r="W249" s="419"/>
      <c r="X249" s="419"/>
      <c r="Y249" s="419"/>
      <c r="Z249" s="419"/>
      <c r="AA249" s="419"/>
      <c r="AB249" s="419"/>
      <c r="AC249" s="419">
        <v>0</v>
      </c>
      <c r="AD249" s="419">
        <v>400.74</v>
      </c>
      <c r="AE249" s="419"/>
      <c r="AF249" s="419">
        <v>27494.55</v>
      </c>
      <c r="AG249" s="419">
        <v>0</v>
      </c>
    </row>
    <row r="250" spans="1:33" ht="15.75" thickBot="1" x14ac:dyDescent="0.3">
      <c r="A250" s="401">
        <v>42583</v>
      </c>
      <c r="B250" s="432" t="s">
        <v>522</v>
      </c>
      <c r="C250" s="317" t="s">
        <v>56</v>
      </c>
      <c r="D250" s="317" t="s">
        <v>56</v>
      </c>
      <c r="E250" s="419">
        <v>27093.81</v>
      </c>
      <c r="F250" s="419"/>
      <c r="G250" s="419">
        <v>5250</v>
      </c>
      <c r="H250" s="419"/>
      <c r="I250" s="419">
        <v>0</v>
      </c>
      <c r="J250" s="419"/>
      <c r="K250" s="419"/>
      <c r="L250" s="419">
        <v>11420.33</v>
      </c>
      <c r="M250" s="620">
        <f t="shared" si="10"/>
        <v>16670.330000000002</v>
      </c>
      <c r="N250" s="419"/>
      <c r="O250" s="419"/>
      <c r="P250" s="419"/>
      <c r="Q250" s="419">
        <v>0</v>
      </c>
      <c r="R250" s="419">
        <v>10423.48</v>
      </c>
      <c r="S250" s="419"/>
      <c r="T250" s="419"/>
      <c r="U250" s="419"/>
      <c r="V250" s="621">
        <f t="shared" si="11"/>
        <v>10423.48</v>
      </c>
      <c r="W250" s="420"/>
      <c r="X250" s="420"/>
      <c r="Y250" s="420"/>
      <c r="Z250" s="420"/>
      <c r="AA250" s="420"/>
      <c r="AB250" s="420"/>
      <c r="AC250" s="420">
        <v>0</v>
      </c>
      <c r="AD250" s="420">
        <v>400.74</v>
      </c>
      <c r="AE250" s="420"/>
      <c r="AF250" s="420">
        <v>27494.55</v>
      </c>
      <c r="AG250" s="420">
        <v>0</v>
      </c>
    </row>
    <row r="251" spans="1:33" ht="15.75" thickBot="1" x14ac:dyDescent="0.3">
      <c r="A251" s="401">
        <v>42583</v>
      </c>
      <c r="B251" s="432" t="s">
        <v>522</v>
      </c>
      <c r="C251" s="418" t="s">
        <v>93</v>
      </c>
      <c r="D251" s="316" t="s">
        <v>719</v>
      </c>
      <c r="E251" s="420">
        <v>525</v>
      </c>
      <c r="F251" s="420"/>
      <c r="G251" s="420">
        <v>525</v>
      </c>
      <c r="H251" s="420"/>
      <c r="I251" s="420">
        <v>0</v>
      </c>
      <c r="J251" s="420"/>
      <c r="K251" s="420"/>
      <c r="L251" s="420"/>
      <c r="M251" s="620">
        <f t="shared" si="10"/>
        <v>525</v>
      </c>
      <c r="N251" s="420"/>
      <c r="O251" s="420"/>
      <c r="P251" s="420"/>
      <c r="Q251" s="420"/>
      <c r="R251" s="420"/>
      <c r="S251" s="420"/>
      <c r="T251" s="420"/>
      <c r="U251" s="420">
        <v>0</v>
      </c>
      <c r="V251" s="621">
        <f t="shared" si="11"/>
        <v>0</v>
      </c>
      <c r="W251" s="419"/>
      <c r="X251" s="419"/>
      <c r="Y251" s="419"/>
      <c r="Z251" s="419"/>
      <c r="AA251" s="419"/>
      <c r="AB251" s="419"/>
      <c r="AC251" s="419">
        <v>0</v>
      </c>
      <c r="AD251" s="419">
        <v>0</v>
      </c>
      <c r="AE251" s="419"/>
      <c r="AF251" s="419">
        <v>525</v>
      </c>
      <c r="AG251" s="419">
        <v>0</v>
      </c>
    </row>
    <row r="252" spans="1:33" ht="15.75" thickBot="1" x14ac:dyDescent="0.3">
      <c r="A252" s="401">
        <v>42583</v>
      </c>
      <c r="B252" s="432" t="s">
        <v>522</v>
      </c>
      <c r="C252" s="317" t="s">
        <v>720</v>
      </c>
      <c r="D252" s="317" t="s">
        <v>720</v>
      </c>
      <c r="E252" s="419">
        <v>525</v>
      </c>
      <c r="F252" s="419"/>
      <c r="G252" s="419">
        <v>525</v>
      </c>
      <c r="H252" s="419"/>
      <c r="I252" s="419">
        <v>0</v>
      </c>
      <c r="J252" s="419"/>
      <c r="K252" s="419"/>
      <c r="L252" s="419"/>
      <c r="M252" s="620">
        <f t="shared" si="10"/>
        <v>525</v>
      </c>
      <c r="N252" s="419"/>
      <c r="O252" s="419"/>
      <c r="P252" s="419"/>
      <c r="Q252" s="419"/>
      <c r="R252" s="419"/>
      <c r="S252" s="419"/>
      <c r="T252" s="419"/>
      <c r="U252" s="419">
        <v>0</v>
      </c>
      <c r="V252" s="621">
        <f t="shared" si="11"/>
        <v>0</v>
      </c>
      <c r="W252" s="420"/>
      <c r="X252" s="420"/>
      <c r="Y252" s="420"/>
      <c r="Z252" s="420"/>
      <c r="AA252" s="420"/>
      <c r="AB252" s="420"/>
      <c r="AC252" s="420">
        <v>0</v>
      </c>
      <c r="AD252" s="420">
        <v>0</v>
      </c>
      <c r="AE252" s="420"/>
      <c r="AF252" s="420">
        <v>525</v>
      </c>
      <c r="AG252" s="420">
        <v>0</v>
      </c>
    </row>
    <row r="253" spans="1:33" ht="15.75" thickBot="1" x14ac:dyDescent="0.3">
      <c r="A253" s="401">
        <v>42583</v>
      </c>
      <c r="B253" s="432" t="s">
        <v>522</v>
      </c>
      <c r="C253" s="418" t="s">
        <v>1001</v>
      </c>
      <c r="D253" s="316" t="s">
        <v>1002</v>
      </c>
      <c r="E253" s="420">
        <v>139008.35999999999</v>
      </c>
      <c r="F253" s="420">
        <v>470322</v>
      </c>
      <c r="G253" s="420">
        <v>2750</v>
      </c>
      <c r="H253" s="420"/>
      <c r="I253" s="420">
        <v>83868.55</v>
      </c>
      <c r="J253" s="420"/>
      <c r="K253" s="420"/>
      <c r="L253" s="420"/>
      <c r="M253" s="620">
        <f t="shared" si="10"/>
        <v>86618.55</v>
      </c>
      <c r="N253" s="420">
        <v>0</v>
      </c>
      <c r="O253" s="420">
        <v>0</v>
      </c>
      <c r="P253" s="420"/>
      <c r="Q253" s="420"/>
      <c r="R253" s="420"/>
      <c r="S253" s="420">
        <v>39704.589999999997</v>
      </c>
      <c r="T253" s="420">
        <v>11387.52</v>
      </c>
      <c r="U253" s="420"/>
      <c r="V253" s="621">
        <f t="shared" si="11"/>
        <v>51092.11</v>
      </c>
      <c r="W253" s="419"/>
      <c r="X253" s="419">
        <v>1297.7</v>
      </c>
      <c r="Y253" s="419"/>
      <c r="Z253" s="419"/>
      <c r="AA253" s="419">
        <v>0</v>
      </c>
      <c r="AB253" s="419"/>
      <c r="AC253" s="419">
        <v>0</v>
      </c>
      <c r="AD253" s="419">
        <v>1473.92</v>
      </c>
      <c r="AE253" s="419"/>
      <c r="AF253" s="419">
        <v>140482.28</v>
      </c>
      <c r="AG253" s="419">
        <v>0</v>
      </c>
    </row>
    <row r="254" spans="1:33" ht="15.75" thickBot="1" x14ac:dyDescent="0.3">
      <c r="A254" s="401">
        <v>42583</v>
      </c>
      <c r="B254" s="432" t="s">
        <v>522</v>
      </c>
      <c r="C254" s="418" t="s">
        <v>1003</v>
      </c>
      <c r="D254" s="316" t="s">
        <v>1004</v>
      </c>
      <c r="E254" s="419">
        <v>42931.01</v>
      </c>
      <c r="F254" s="419">
        <v>193547</v>
      </c>
      <c r="G254" s="419">
        <v>1100</v>
      </c>
      <c r="H254" s="419"/>
      <c r="I254" s="419">
        <v>13565.71</v>
      </c>
      <c r="J254" s="419"/>
      <c r="K254" s="419"/>
      <c r="L254" s="419"/>
      <c r="M254" s="620">
        <f t="shared" si="10"/>
        <v>14665.71</v>
      </c>
      <c r="N254" s="419">
        <v>0</v>
      </c>
      <c r="O254" s="419">
        <v>0</v>
      </c>
      <c r="P254" s="419"/>
      <c r="Q254" s="419"/>
      <c r="R254" s="419"/>
      <c r="S254" s="419">
        <v>16339.23</v>
      </c>
      <c r="T254" s="419">
        <v>6248.33</v>
      </c>
      <c r="U254" s="419"/>
      <c r="V254" s="621">
        <f t="shared" si="11"/>
        <v>22587.559999999998</v>
      </c>
      <c r="W254" s="420"/>
      <c r="X254" s="420">
        <v>5677.74</v>
      </c>
      <c r="Y254" s="420"/>
      <c r="Z254" s="420"/>
      <c r="AA254" s="420">
        <v>0</v>
      </c>
      <c r="AB254" s="420"/>
      <c r="AC254" s="420">
        <v>0</v>
      </c>
      <c r="AD254" s="420">
        <v>0</v>
      </c>
      <c r="AE254" s="420"/>
      <c r="AF254" s="420">
        <v>42931.01</v>
      </c>
      <c r="AG254" s="420">
        <v>0</v>
      </c>
    </row>
    <row r="255" spans="1:33" ht="15.75" thickBot="1" x14ac:dyDescent="0.3">
      <c r="A255" s="401">
        <v>42583</v>
      </c>
      <c r="B255" s="432" t="s">
        <v>522</v>
      </c>
      <c r="C255" s="317" t="s">
        <v>689</v>
      </c>
      <c r="D255" s="317" t="s">
        <v>689</v>
      </c>
      <c r="E255" s="420">
        <v>181939.37</v>
      </c>
      <c r="F255" s="420">
        <v>663869</v>
      </c>
      <c r="G255" s="420">
        <v>3850</v>
      </c>
      <c r="H255" s="420"/>
      <c r="I255" s="420">
        <v>97434.26</v>
      </c>
      <c r="J255" s="420"/>
      <c r="K255" s="420"/>
      <c r="L255" s="420"/>
      <c r="M255" s="620">
        <f t="shared" si="10"/>
        <v>101284.26</v>
      </c>
      <c r="N255" s="420">
        <v>0</v>
      </c>
      <c r="O255" s="420">
        <v>0</v>
      </c>
      <c r="P255" s="420"/>
      <c r="Q255" s="420"/>
      <c r="R255" s="420"/>
      <c r="S255" s="420">
        <v>56043.82</v>
      </c>
      <c r="T255" s="420">
        <v>17635.849999999999</v>
      </c>
      <c r="U255" s="420"/>
      <c r="V255" s="621">
        <f t="shared" si="11"/>
        <v>73679.67</v>
      </c>
      <c r="W255" s="419"/>
      <c r="X255" s="419">
        <v>6975.44</v>
      </c>
      <c r="Y255" s="419"/>
      <c r="Z255" s="419"/>
      <c r="AA255" s="419">
        <v>0</v>
      </c>
      <c r="AB255" s="419"/>
      <c r="AC255" s="419">
        <v>0</v>
      </c>
      <c r="AD255" s="419">
        <v>1473.92</v>
      </c>
      <c r="AE255" s="419"/>
      <c r="AF255" s="419">
        <v>183413.29</v>
      </c>
      <c r="AG255" s="419">
        <v>0</v>
      </c>
    </row>
    <row r="256" spans="1:33" ht="15.75" thickBot="1" x14ac:dyDescent="0.3">
      <c r="A256" s="401">
        <v>42583</v>
      </c>
      <c r="B256" s="432" t="s">
        <v>690</v>
      </c>
      <c r="C256" s="418" t="s">
        <v>933</v>
      </c>
      <c r="D256" s="316" t="s">
        <v>1005</v>
      </c>
      <c r="E256" s="420">
        <v>-3032.72</v>
      </c>
      <c r="F256" s="420">
        <v>0</v>
      </c>
      <c r="G256" s="420"/>
      <c r="H256" s="420"/>
      <c r="I256" s="420">
        <v>0</v>
      </c>
      <c r="J256" s="420"/>
      <c r="K256" s="420"/>
      <c r="L256" s="420"/>
      <c r="M256" s="620">
        <f t="shared" si="10"/>
        <v>0</v>
      </c>
      <c r="N256" s="420"/>
      <c r="O256" s="420"/>
      <c r="P256" s="420">
        <v>-3250.98</v>
      </c>
      <c r="Q256" s="420"/>
      <c r="R256" s="420"/>
      <c r="S256" s="420"/>
      <c r="T256" s="420"/>
      <c r="U256" s="420"/>
      <c r="V256" s="621">
        <f t="shared" si="11"/>
        <v>-3250.98</v>
      </c>
      <c r="W256" s="419">
        <v>218.26</v>
      </c>
      <c r="X256" s="419"/>
      <c r="Y256" s="419"/>
      <c r="Z256" s="419"/>
      <c r="AA256" s="419"/>
      <c r="AB256" s="419"/>
      <c r="AC256" s="419"/>
      <c r="AD256" s="419">
        <v>-181.96</v>
      </c>
      <c r="AE256" s="419"/>
      <c r="AF256" s="419">
        <v>-3214.68</v>
      </c>
      <c r="AG256" s="419">
        <v>0</v>
      </c>
    </row>
    <row r="257" spans="1:33" ht="15.75" thickBot="1" x14ac:dyDescent="0.3">
      <c r="A257" s="401">
        <v>42583</v>
      </c>
      <c r="B257" s="432" t="s">
        <v>690</v>
      </c>
      <c r="C257" s="418" t="s">
        <v>50</v>
      </c>
      <c r="D257" s="316" t="s">
        <v>881</v>
      </c>
      <c r="E257" s="419">
        <v>-1586.78</v>
      </c>
      <c r="F257" s="419">
        <v>0</v>
      </c>
      <c r="G257" s="419"/>
      <c r="H257" s="419"/>
      <c r="I257" s="419">
        <v>0</v>
      </c>
      <c r="J257" s="419"/>
      <c r="K257" s="419"/>
      <c r="L257" s="419"/>
      <c r="M257" s="620">
        <f t="shared" si="10"/>
        <v>0</v>
      </c>
      <c r="N257" s="419"/>
      <c r="O257" s="419"/>
      <c r="P257" s="419">
        <v>-1648.76</v>
      </c>
      <c r="Q257" s="419"/>
      <c r="R257" s="419"/>
      <c r="S257" s="419"/>
      <c r="T257" s="419"/>
      <c r="U257" s="419"/>
      <c r="V257" s="621">
        <f t="shared" si="11"/>
        <v>-1648.76</v>
      </c>
      <c r="W257" s="420">
        <v>61.98</v>
      </c>
      <c r="X257" s="420"/>
      <c r="Y257" s="420"/>
      <c r="Z257" s="420"/>
      <c r="AA257" s="420"/>
      <c r="AB257" s="420"/>
      <c r="AC257" s="420"/>
      <c r="AD257" s="420">
        <v>-47.6</v>
      </c>
      <c r="AE257" s="420"/>
      <c r="AF257" s="420">
        <v>-1634.38</v>
      </c>
      <c r="AG257" s="420">
        <v>0</v>
      </c>
    </row>
    <row r="258" spans="1:33" ht="15.75" thickBot="1" x14ac:dyDescent="0.3">
      <c r="A258" s="401">
        <v>42583</v>
      </c>
      <c r="B258" s="432" t="s">
        <v>690</v>
      </c>
      <c r="C258" s="317" t="s">
        <v>49</v>
      </c>
      <c r="D258" s="317" t="s">
        <v>49</v>
      </c>
      <c r="E258" s="420">
        <v>-4619.5</v>
      </c>
      <c r="F258" s="420">
        <v>0</v>
      </c>
      <c r="G258" s="420"/>
      <c r="H258" s="420"/>
      <c r="I258" s="420">
        <v>0</v>
      </c>
      <c r="J258" s="420"/>
      <c r="K258" s="420"/>
      <c r="L258" s="420"/>
      <c r="M258" s="620">
        <f t="shared" si="10"/>
        <v>0</v>
      </c>
      <c r="N258" s="420"/>
      <c r="O258" s="420"/>
      <c r="P258" s="420">
        <v>-4899.74</v>
      </c>
      <c r="Q258" s="420"/>
      <c r="R258" s="420"/>
      <c r="S258" s="420"/>
      <c r="T258" s="420"/>
      <c r="U258" s="420"/>
      <c r="V258" s="621">
        <f t="shared" si="11"/>
        <v>-4899.74</v>
      </c>
      <c r="W258" s="419">
        <v>280.24</v>
      </c>
      <c r="X258" s="419"/>
      <c r="Y258" s="419"/>
      <c r="Z258" s="419"/>
      <c r="AA258" s="419"/>
      <c r="AB258" s="419"/>
      <c r="AC258" s="419"/>
      <c r="AD258" s="419">
        <v>-229.56</v>
      </c>
      <c r="AE258" s="419"/>
      <c r="AF258" s="419">
        <v>-4849.0600000000004</v>
      </c>
      <c r="AG258" s="419">
        <v>0</v>
      </c>
    </row>
    <row r="259" spans="1:33" ht="15.75" thickBot="1" x14ac:dyDescent="0.3">
      <c r="A259" s="401">
        <v>42583</v>
      </c>
      <c r="B259" s="432" t="s">
        <v>690</v>
      </c>
      <c r="C259" s="418" t="s">
        <v>54</v>
      </c>
      <c r="D259" s="316" t="s">
        <v>55</v>
      </c>
      <c r="E259" s="419">
        <v>-36996.31</v>
      </c>
      <c r="F259" s="419"/>
      <c r="G259" s="419"/>
      <c r="H259" s="419"/>
      <c r="I259" s="419"/>
      <c r="J259" s="419"/>
      <c r="K259" s="419"/>
      <c r="L259" s="419"/>
      <c r="M259" s="620">
        <f t="shared" si="10"/>
        <v>0</v>
      </c>
      <c r="N259" s="419"/>
      <c r="O259" s="419"/>
      <c r="P259" s="419">
        <v>-43733.75</v>
      </c>
      <c r="Q259" s="419"/>
      <c r="R259" s="419"/>
      <c r="S259" s="419"/>
      <c r="T259" s="419"/>
      <c r="U259" s="419"/>
      <c r="V259" s="621">
        <f t="shared" si="11"/>
        <v>-43733.75</v>
      </c>
      <c r="W259" s="420">
        <v>6737.44</v>
      </c>
      <c r="X259" s="420"/>
      <c r="Y259" s="420"/>
      <c r="Z259" s="420"/>
      <c r="AA259" s="420"/>
      <c r="AB259" s="420"/>
      <c r="AC259" s="420"/>
      <c r="AD259" s="420">
        <v>130.4</v>
      </c>
      <c r="AE259" s="420"/>
      <c r="AF259" s="420">
        <v>-36865.910000000003</v>
      </c>
      <c r="AG259" s="420">
        <v>0</v>
      </c>
    </row>
    <row r="260" spans="1:33" ht="15.75" thickBot="1" x14ac:dyDescent="0.3">
      <c r="A260" s="401">
        <v>42583</v>
      </c>
      <c r="B260" s="432" t="s">
        <v>690</v>
      </c>
      <c r="C260" s="317" t="s">
        <v>56</v>
      </c>
      <c r="D260" s="317" t="s">
        <v>56</v>
      </c>
      <c r="E260" s="420">
        <v>-36996.31</v>
      </c>
      <c r="F260" s="420"/>
      <c r="G260" s="420"/>
      <c r="H260" s="420"/>
      <c r="I260" s="420"/>
      <c r="J260" s="420"/>
      <c r="K260" s="420"/>
      <c r="L260" s="420"/>
      <c r="M260" s="620">
        <f t="shared" si="10"/>
        <v>0</v>
      </c>
      <c r="N260" s="420"/>
      <c r="O260" s="420"/>
      <c r="P260" s="420">
        <v>-43733.75</v>
      </c>
      <c r="Q260" s="420"/>
      <c r="R260" s="420"/>
      <c r="S260" s="420"/>
      <c r="T260" s="420"/>
      <c r="U260" s="420"/>
      <c r="V260" s="621">
        <f t="shared" si="11"/>
        <v>-43733.75</v>
      </c>
      <c r="W260" s="419">
        <v>6737.44</v>
      </c>
      <c r="X260" s="419"/>
      <c r="Y260" s="419"/>
      <c r="Z260" s="419"/>
      <c r="AA260" s="419"/>
      <c r="AB260" s="419"/>
      <c r="AC260" s="419"/>
      <c r="AD260" s="419">
        <v>130.4</v>
      </c>
      <c r="AE260" s="419"/>
      <c r="AF260" s="419">
        <v>-36865.910000000003</v>
      </c>
      <c r="AG260" s="419">
        <v>0</v>
      </c>
    </row>
    <row r="261" spans="1:33" ht="15.75" thickBot="1" x14ac:dyDescent="0.3">
      <c r="A261" s="401">
        <v>42583</v>
      </c>
      <c r="B261" s="432" t="s">
        <v>690</v>
      </c>
      <c r="C261" s="418" t="s">
        <v>93</v>
      </c>
      <c r="D261" s="316" t="s">
        <v>719</v>
      </c>
      <c r="E261" s="419">
        <v>2777.9</v>
      </c>
      <c r="F261" s="419"/>
      <c r="G261" s="419"/>
      <c r="H261" s="419"/>
      <c r="I261" s="419"/>
      <c r="J261" s="419"/>
      <c r="K261" s="419"/>
      <c r="L261" s="419"/>
      <c r="M261" s="620">
        <f t="shared" si="10"/>
        <v>0</v>
      </c>
      <c r="N261" s="419"/>
      <c r="O261" s="419"/>
      <c r="P261" s="419">
        <v>2167.64</v>
      </c>
      <c r="Q261" s="419"/>
      <c r="R261" s="419"/>
      <c r="S261" s="419"/>
      <c r="T261" s="419"/>
      <c r="U261" s="419"/>
      <c r="V261" s="621">
        <f t="shared" si="11"/>
        <v>2167.64</v>
      </c>
      <c r="W261" s="420">
        <v>610.26</v>
      </c>
      <c r="X261" s="420"/>
      <c r="Y261" s="420"/>
      <c r="Z261" s="420"/>
      <c r="AA261" s="420"/>
      <c r="AB261" s="420"/>
      <c r="AC261" s="420"/>
      <c r="AD261" s="420">
        <v>0</v>
      </c>
      <c r="AE261" s="420"/>
      <c r="AF261" s="420">
        <v>2777.9</v>
      </c>
      <c r="AG261" s="420">
        <v>0</v>
      </c>
    </row>
    <row r="262" spans="1:33" ht="15.75" thickBot="1" x14ac:dyDescent="0.3">
      <c r="A262" s="401">
        <v>42583</v>
      </c>
      <c r="B262" s="432" t="s">
        <v>690</v>
      </c>
      <c r="C262" s="317" t="s">
        <v>720</v>
      </c>
      <c r="D262" s="317" t="s">
        <v>720</v>
      </c>
      <c r="E262" s="420">
        <v>2777.9</v>
      </c>
      <c r="F262" s="420"/>
      <c r="G262" s="420"/>
      <c r="H262" s="420"/>
      <c r="I262" s="420"/>
      <c r="J262" s="420"/>
      <c r="K262" s="420"/>
      <c r="L262" s="420"/>
      <c r="M262" s="620">
        <f t="shared" si="10"/>
        <v>0</v>
      </c>
      <c r="N262" s="420"/>
      <c r="O262" s="420"/>
      <c r="P262" s="420">
        <v>2167.64</v>
      </c>
      <c r="Q262" s="420"/>
      <c r="R262" s="420"/>
      <c r="S262" s="420"/>
      <c r="T262" s="420"/>
      <c r="U262" s="420"/>
      <c r="V262" s="621">
        <f t="shared" si="11"/>
        <v>2167.64</v>
      </c>
      <c r="W262" s="419">
        <v>610.26</v>
      </c>
      <c r="X262" s="419"/>
      <c r="Y262" s="419"/>
      <c r="Z262" s="419"/>
      <c r="AA262" s="419"/>
      <c r="AB262" s="419"/>
      <c r="AC262" s="419"/>
      <c r="AD262" s="419">
        <v>0</v>
      </c>
      <c r="AE262" s="419"/>
      <c r="AF262" s="419">
        <v>2777.9</v>
      </c>
      <c r="AG262" s="419">
        <v>0</v>
      </c>
    </row>
    <row r="263" spans="1:33" ht="15.75" thickBot="1" x14ac:dyDescent="0.3">
      <c r="A263" s="401">
        <v>42583</v>
      </c>
      <c r="B263" s="432" t="s">
        <v>690</v>
      </c>
      <c r="C263" s="418" t="s">
        <v>1001</v>
      </c>
      <c r="D263" s="316" t="s">
        <v>1002</v>
      </c>
      <c r="E263" s="419">
        <v>900</v>
      </c>
      <c r="F263" s="419">
        <v>0</v>
      </c>
      <c r="G263" s="419">
        <v>900</v>
      </c>
      <c r="H263" s="419"/>
      <c r="I263" s="419">
        <v>0</v>
      </c>
      <c r="J263" s="419"/>
      <c r="K263" s="419"/>
      <c r="L263" s="419"/>
      <c r="M263" s="620">
        <f t="shared" si="10"/>
        <v>900</v>
      </c>
      <c r="N263" s="419"/>
      <c r="O263" s="419"/>
      <c r="P263" s="419"/>
      <c r="Q263" s="419"/>
      <c r="R263" s="419"/>
      <c r="S263" s="419"/>
      <c r="T263" s="419"/>
      <c r="U263" s="419"/>
      <c r="V263" s="621">
        <f t="shared" si="11"/>
        <v>0</v>
      </c>
      <c r="W263" s="420"/>
      <c r="X263" s="420"/>
      <c r="Y263" s="420"/>
      <c r="Z263" s="420"/>
      <c r="AA263" s="420"/>
      <c r="AB263" s="420"/>
      <c r="AC263" s="420"/>
      <c r="AD263" s="420">
        <v>16.190000000000001</v>
      </c>
      <c r="AE263" s="420"/>
      <c r="AF263" s="420">
        <v>916.19</v>
      </c>
      <c r="AG263" s="420">
        <v>0</v>
      </c>
    </row>
    <row r="264" spans="1:33" ht="15.75" thickBot="1" x14ac:dyDescent="0.3">
      <c r="A264" s="401">
        <v>42583</v>
      </c>
      <c r="B264" s="432" t="s">
        <v>690</v>
      </c>
      <c r="C264" s="418" t="s">
        <v>1003</v>
      </c>
      <c r="D264" s="316" t="s">
        <v>1004</v>
      </c>
      <c r="E264" s="420">
        <v>800</v>
      </c>
      <c r="F264" s="420"/>
      <c r="G264" s="420">
        <v>800</v>
      </c>
      <c r="H264" s="420"/>
      <c r="I264" s="420"/>
      <c r="J264" s="420"/>
      <c r="K264" s="420"/>
      <c r="L264" s="420"/>
      <c r="M264" s="620">
        <f t="shared" si="10"/>
        <v>800</v>
      </c>
      <c r="N264" s="420"/>
      <c r="O264" s="420"/>
      <c r="P264" s="420"/>
      <c r="Q264" s="420"/>
      <c r="R264" s="420"/>
      <c r="S264" s="420"/>
      <c r="T264" s="420"/>
      <c r="U264" s="420"/>
      <c r="V264" s="621">
        <f t="shared" si="11"/>
        <v>0</v>
      </c>
      <c r="W264" s="419"/>
      <c r="X264" s="419"/>
      <c r="Y264" s="419"/>
      <c r="Z264" s="419"/>
      <c r="AA264" s="419"/>
      <c r="AB264" s="419"/>
      <c r="AC264" s="419"/>
      <c r="AD264" s="419">
        <v>0</v>
      </c>
      <c r="AE264" s="419"/>
      <c r="AF264" s="419">
        <v>800</v>
      </c>
      <c r="AG264" s="419">
        <v>0</v>
      </c>
    </row>
    <row r="265" spans="1:33" ht="15.75" thickBot="1" x14ac:dyDescent="0.3">
      <c r="A265" s="401">
        <v>42583</v>
      </c>
      <c r="B265" s="432" t="s">
        <v>690</v>
      </c>
      <c r="C265" s="317" t="s">
        <v>689</v>
      </c>
      <c r="D265" s="317" t="s">
        <v>689</v>
      </c>
      <c r="E265" s="419">
        <v>1700</v>
      </c>
      <c r="F265" s="419">
        <v>0</v>
      </c>
      <c r="G265" s="419">
        <v>1700</v>
      </c>
      <c r="H265" s="419"/>
      <c r="I265" s="419">
        <v>0</v>
      </c>
      <c r="J265" s="419"/>
      <c r="K265" s="419"/>
      <c r="L265" s="419"/>
      <c r="M265" s="620">
        <f t="shared" si="10"/>
        <v>1700</v>
      </c>
      <c r="N265" s="419"/>
      <c r="O265" s="419"/>
      <c r="P265" s="419"/>
      <c r="Q265" s="419"/>
      <c r="R265" s="419"/>
      <c r="S265" s="419"/>
      <c r="T265" s="419"/>
      <c r="U265" s="419"/>
      <c r="V265" s="621">
        <f t="shared" si="11"/>
        <v>0</v>
      </c>
      <c r="W265" s="420"/>
      <c r="X265" s="420"/>
      <c r="Y265" s="420"/>
      <c r="Z265" s="420"/>
      <c r="AA265" s="420"/>
      <c r="AB265" s="420"/>
      <c r="AC265" s="420"/>
      <c r="AD265" s="420">
        <v>16.190000000000001</v>
      </c>
      <c r="AE265" s="420"/>
      <c r="AF265" s="420">
        <v>1716.19</v>
      </c>
      <c r="AG265" s="420">
        <v>0</v>
      </c>
    </row>
    <row r="266" spans="1:33" ht="15.75" thickBot="1" x14ac:dyDescent="0.3">
      <c r="A266" s="401">
        <v>42583</v>
      </c>
      <c r="B266" s="432" t="s">
        <v>511</v>
      </c>
      <c r="C266" s="418" t="s">
        <v>57</v>
      </c>
      <c r="D266" s="316" t="s">
        <v>1228</v>
      </c>
      <c r="E266" s="419">
        <v>120754.87</v>
      </c>
      <c r="F266" s="419">
        <v>2705296</v>
      </c>
      <c r="G266" s="419">
        <v>0</v>
      </c>
      <c r="H266" s="419">
        <v>107140.32</v>
      </c>
      <c r="I266" s="419">
        <v>13445.32</v>
      </c>
      <c r="J266" s="419"/>
      <c r="K266" s="419"/>
      <c r="L266" s="419">
        <v>88.47</v>
      </c>
      <c r="M266" s="620">
        <f t="shared" si="10"/>
        <v>120674.11000000002</v>
      </c>
      <c r="N266" s="419"/>
      <c r="O266" s="419"/>
      <c r="P266" s="419"/>
      <c r="Q266" s="419">
        <v>0</v>
      </c>
      <c r="R266" s="419">
        <v>80.760000000000005</v>
      </c>
      <c r="S266" s="419"/>
      <c r="T266" s="419"/>
      <c r="U266" s="419"/>
      <c r="V266" s="621">
        <f t="shared" si="11"/>
        <v>80.760000000000005</v>
      </c>
      <c r="W266" s="419"/>
      <c r="X266" s="419"/>
      <c r="Y266" s="419"/>
      <c r="Z266" s="419"/>
      <c r="AA266" s="419"/>
      <c r="AB266" s="419"/>
      <c r="AC266" s="419">
        <v>0</v>
      </c>
      <c r="AD266" s="419">
        <v>0</v>
      </c>
      <c r="AE266" s="419"/>
      <c r="AF266" s="419">
        <v>120754.87</v>
      </c>
      <c r="AG266" s="419">
        <v>0</v>
      </c>
    </row>
    <row r="267" spans="1:33" ht="15.75" thickBot="1" x14ac:dyDescent="0.3">
      <c r="A267" s="401">
        <v>42583</v>
      </c>
      <c r="B267" s="432" t="s">
        <v>511</v>
      </c>
      <c r="C267" s="418" t="s">
        <v>45</v>
      </c>
      <c r="D267" s="316" t="s">
        <v>46</v>
      </c>
      <c r="E267" s="420">
        <v>91518.97</v>
      </c>
      <c r="F267" s="420"/>
      <c r="G267" s="420">
        <v>0</v>
      </c>
      <c r="H267" s="420"/>
      <c r="I267" s="420"/>
      <c r="J267" s="420"/>
      <c r="K267" s="420"/>
      <c r="L267" s="420"/>
      <c r="M267" s="620">
        <f t="shared" si="10"/>
        <v>0</v>
      </c>
      <c r="N267" s="420"/>
      <c r="O267" s="420">
        <v>91259.43</v>
      </c>
      <c r="P267" s="420"/>
      <c r="Q267" s="420"/>
      <c r="R267" s="420"/>
      <c r="S267" s="420"/>
      <c r="T267" s="420"/>
      <c r="U267" s="420"/>
      <c r="V267" s="621">
        <f t="shared" si="11"/>
        <v>91259.43</v>
      </c>
      <c r="W267" s="420"/>
      <c r="X267" s="420">
        <v>259.54000000000002</v>
      </c>
      <c r="Y267" s="420"/>
      <c r="Z267" s="420"/>
      <c r="AA267" s="420"/>
      <c r="AB267" s="420"/>
      <c r="AC267" s="420">
        <v>0</v>
      </c>
      <c r="AD267" s="420">
        <v>0</v>
      </c>
      <c r="AE267" s="420"/>
      <c r="AF267" s="420">
        <v>91518.97</v>
      </c>
      <c r="AG267" s="420">
        <v>0</v>
      </c>
    </row>
    <row r="268" spans="1:33" ht="15.75" thickBot="1" x14ac:dyDescent="0.3">
      <c r="A268" s="401">
        <v>42583</v>
      </c>
      <c r="B268" s="432" t="s">
        <v>511</v>
      </c>
      <c r="C268" s="317" t="s">
        <v>687</v>
      </c>
      <c r="D268" s="317" t="s">
        <v>687</v>
      </c>
      <c r="E268" s="419">
        <v>212273.84</v>
      </c>
      <c r="F268" s="419">
        <v>2705296</v>
      </c>
      <c r="G268" s="419">
        <v>0</v>
      </c>
      <c r="H268" s="419">
        <v>107140.32</v>
      </c>
      <c r="I268" s="419">
        <v>13445.32</v>
      </c>
      <c r="J268" s="419"/>
      <c r="K268" s="419"/>
      <c r="L268" s="419">
        <v>88.47</v>
      </c>
      <c r="M268" s="620">
        <f t="shared" si="10"/>
        <v>120674.11000000002</v>
      </c>
      <c r="N268" s="419"/>
      <c r="O268" s="419">
        <v>91259.43</v>
      </c>
      <c r="P268" s="419"/>
      <c r="Q268" s="419">
        <v>0</v>
      </c>
      <c r="R268" s="419">
        <v>80.760000000000005</v>
      </c>
      <c r="S268" s="419"/>
      <c r="T268" s="419"/>
      <c r="U268" s="419"/>
      <c r="V268" s="621">
        <f t="shared" si="11"/>
        <v>91340.189999999988</v>
      </c>
      <c r="W268" s="419"/>
      <c r="X268" s="419">
        <v>259.54000000000002</v>
      </c>
      <c r="Y268" s="419"/>
      <c r="Z268" s="419"/>
      <c r="AA268" s="419"/>
      <c r="AB268" s="419"/>
      <c r="AC268" s="419">
        <v>0</v>
      </c>
      <c r="AD268" s="419">
        <v>0</v>
      </c>
      <c r="AE268" s="419"/>
      <c r="AF268" s="419">
        <v>212273.84</v>
      </c>
      <c r="AG268" s="419">
        <v>0</v>
      </c>
    </row>
    <row r="269" spans="1:33" ht="15.75" thickBot="1" x14ac:dyDescent="0.3">
      <c r="A269" s="401">
        <v>42583</v>
      </c>
      <c r="B269" s="432" t="s">
        <v>698</v>
      </c>
      <c r="C269" s="418" t="s">
        <v>57</v>
      </c>
      <c r="D269" s="316" t="s">
        <v>1228</v>
      </c>
      <c r="E269" s="420">
        <v>-8696.85</v>
      </c>
      <c r="F269" s="420">
        <v>0</v>
      </c>
      <c r="G269" s="420">
        <v>800</v>
      </c>
      <c r="H269" s="420"/>
      <c r="I269" s="420">
        <v>0</v>
      </c>
      <c r="J269" s="420"/>
      <c r="K269" s="420"/>
      <c r="L269" s="420"/>
      <c r="M269" s="620">
        <f t="shared" si="10"/>
        <v>800</v>
      </c>
      <c r="N269" s="420"/>
      <c r="O269" s="420"/>
      <c r="P269" s="420">
        <v>-12078.28</v>
      </c>
      <c r="Q269" s="420"/>
      <c r="R269" s="420"/>
      <c r="S269" s="420"/>
      <c r="T269" s="420"/>
      <c r="U269" s="420"/>
      <c r="V269" s="621">
        <f t="shared" si="11"/>
        <v>-12078.28</v>
      </c>
      <c r="W269" s="420">
        <v>2581.4299999999998</v>
      </c>
      <c r="X269" s="420"/>
      <c r="Y269" s="420"/>
      <c r="Z269" s="420"/>
      <c r="AA269" s="420"/>
      <c r="AB269" s="420"/>
      <c r="AC269" s="420"/>
      <c r="AD269" s="420">
        <v>0</v>
      </c>
      <c r="AE269" s="420"/>
      <c r="AF269" s="420">
        <v>-8696.85</v>
      </c>
      <c r="AG269" s="420">
        <v>0</v>
      </c>
    </row>
    <row r="270" spans="1:33" ht="15.75" thickBot="1" x14ac:dyDescent="0.3">
      <c r="A270" s="401">
        <v>42583</v>
      </c>
      <c r="B270" s="432" t="s">
        <v>698</v>
      </c>
      <c r="C270" s="418" t="s">
        <v>45</v>
      </c>
      <c r="D270" s="316" t="s">
        <v>46</v>
      </c>
      <c r="E270" s="419">
        <v>194643.24</v>
      </c>
      <c r="F270" s="419">
        <v>238799</v>
      </c>
      <c r="G270" s="419">
        <v>180</v>
      </c>
      <c r="H270" s="419">
        <v>186513.62</v>
      </c>
      <c r="I270" s="419">
        <v>7949.62</v>
      </c>
      <c r="J270" s="419"/>
      <c r="K270" s="419"/>
      <c r="L270" s="419"/>
      <c r="M270" s="620">
        <f t="shared" si="10"/>
        <v>194643.24</v>
      </c>
      <c r="N270" s="419"/>
      <c r="O270" s="419"/>
      <c r="P270" s="419"/>
      <c r="Q270" s="419"/>
      <c r="R270" s="419"/>
      <c r="S270" s="419"/>
      <c r="T270" s="419"/>
      <c r="U270" s="419"/>
      <c r="V270" s="621">
        <f t="shared" si="11"/>
        <v>0</v>
      </c>
      <c r="W270" s="419"/>
      <c r="X270" s="419"/>
      <c r="Y270" s="419"/>
      <c r="Z270" s="419"/>
      <c r="AA270" s="419"/>
      <c r="AB270" s="419"/>
      <c r="AC270" s="419"/>
      <c r="AD270" s="419">
        <v>0</v>
      </c>
      <c r="AE270" s="419"/>
      <c r="AF270" s="419">
        <v>194643.24</v>
      </c>
      <c r="AG270" s="419">
        <v>0</v>
      </c>
    </row>
    <row r="271" spans="1:33" ht="15.75" thickBot="1" x14ac:dyDescent="0.3">
      <c r="A271" s="401">
        <v>42583</v>
      </c>
      <c r="B271" s="432" t="s">
        <v>698</v>
      </c>
      <c r="C271" s="317" t="s">
        <v>687</v>
      </c>
      <c r="D271" s="317" t="s">
        <v>687</v>
      </c>
      <c r="E271" s="420">
        <v>185946.39</v>
      </c>
      <c r="F271" s="420">
        <v>238799</v>
      </c>
      <c r="G271" s="420">
        <v>980</v>
      </c>
      <c r="H271" s="420">
        <v>186513.62</v>
      </c>
      <c r="I271" s="420">
        <v>7949.62</v>
      </c>
      <c r="J271" s="420"/>
      <c r="K271" s="420"/>
      <c r="L271" s="420"/>
      <c r="M271" s="620">
        <f t="shared" si="10"/>
        <v>195443.24</v>
      </c>
      <c r="N271" s="420"/>
      <c r="O271" s="420"/>
      <c r="P271" s="420">
        <v>-12078.28</v>
      </c>
      <c r="Q271" s="420"/>
      <c r="R271" s="420"/>
      <c r="S271" s="420"/>
      <c r="T271" s="420"/>
      <c r="U271" s="420"/>
      <c r="V271" s="621">
        <f t="shared" si="11"/>
        <v>-12078.28</v>
      </c>
      <c r="W271" s="420">
        <v>2581.4299999999998</v>
      </c>
      <c r="X271" s="420"/>
      <c r="Y271" s="420"/>
      <c r="Z271" s="420"/>
      <c r="AA271" s="420"/>
      <c r="AB271" s="420"/>
      <c r="AC271" s="420"/>
      <c r="AD271" s="420">
        <v>0</v>
      </c>
      <c r="AE271" s="420"/>
      <c r="AF271" s="420">
        <v>185946.39</v>
      </c>
      <c r="AG271" s="420">
        <v>0</v>
      </c>
    </row>
    <row r="272" spans="1:33" ht="15.75" thickBot="1" x14ac:dyDescent="0.3">
      <c r="A272" s="401">
        <v>42614</v>
      </c>
      <c r="B272" s="432" t="s">
        <v>686</v>
      </c>
      <c r="C272" s="418" t="s">
        <v>872</v>
      </c>
      <c r="D272" s="316" t="s">
        <v>873</v>
      </c>
      <c r="E272" s="93">
        <v>40666.019999999997</v>
      </c>
      <c r="F272" s="93">
        <v>75596</v>
      </c>
      <c r="G272" s="93">
        <v>800</v>
      </c>
      <c r="H272" s="92"/>
      <c r="I272" s="93">
        <v>5298.52</v>
      </c>
      <c r="J272" s="92"/>
      <c r="K272" s="92"/>
      <c r="L272" s="92"/>
      <c r="M272" s="620">
        <f t="shared" ref="M272:M315" si="12">SUM(G272:L272)</f>
        <v>6098.52</v>
      </c>
      <c r="N272" s="93">
        <v>0</v>
      </c>
      <c r="O272" s="93">
        <v>28889.759999999998</v>
      </c>
      <c r="P272" s="92"/>
      <c r="Q272" s="92"/>
      <c r="R272" s="92"/>
      <c r="S272" s="92"/>
      <c r="T272" s="92"/>
      <c r="U272" s="92"/>
      <c r="V272" s="621">
        <f t="shared" ref="V272:V315" si="13">SUM(O272:U272)</f>
        <v>28889.759999999998</v>
      </c>
      <c r="W272" s="92"/>
      <c r="X272" s="93">
        <v>5677.74</v>
      </c>
      <c r="Y272" s="92"/>
      <c r="Z272" s="92"/>
      <c r="AA272" s="92"/>
      <c r="AB272" s="92"/>
      <c r="AC272" s="93">
        <v>0</v>
      </c>
      <c r="AD272" s="93">
        <v>0</v>
      </c>
      <c r="AE272" s="92"/>
      <c r="AF272" s="93">
        <v>40666.019999999997</v>
      </c>
      <c r="AG272" s="93">
        <v>0</v>
      </c>
    </row>
    <row r="273" spans="1:33" ht="15.75" thickBot="1" x14ac:dyDescent="0.3">
      <c r="A273" s="401">
        <v>42614</v>
      </c>
      <c r="B273" s="432" t="s">
        <v>686</v>
      </c>
      <c r="C273" s="418" t="s">
        <v>18</v>
      </c>
      <c r="D273" s="316" t="s">
        <v>453</v>
      </c>
      <c r="E273" s="95">
        <v>18212.57</v>
      </c>
      <c r="F273" s="95">
        <v>25915</v>
      </c>
      <c r="G273" s="95">
        <v>800</v>
      </c>
      <c r="H273" s="94"/>
      <c r="I273" s="95">
        <v>1816.38</v>
      </c>
      <c r="J273" s="94"/>
      <c r="K273" s="94"/>
      <c r="L273" s="94"/>
      <c r="M273" s="620">
        <f t="shared" si="12"/>
        <v>2616.38</v>
      </c>
      <c r="N273" s="95">
        <v>14.77</v>
      </c>
      <c r="O273" s="95">
        <v>9903.68</v>
      </c>
      <c r="P273" s="94"/>
      <c r="Q273" s="94"/>
      <c r="R273" s="94"/>
      <c r="S273" s="94"/>
      <c r="T273" s="94"/>
      <c r="U273" s="94"/>
      <c r="V273" s="621">
        <f t="shared" si="13"/>
        <v>9903.68</v>
      </c>
      <c r="W273" s="94"/>
      <c r="X273" s="95">
        <v>5677.74</v>
      </c>
      <c r="Y273" s="94"/>
      <c r="Z273" s="95">
        <v>0</v>
      </c>
      <c r="AA273" s="94"/>
      <c r="AB273" s="94"/>
      <c r="AC273" s="95">
        <v>0</v>
      </c>
      <c r="AD273" s="95">
        <v>491.32</v>
      </c>
      <c r="AE273" s="94"/>
      <c r="AF273" s="95">
        <v>18703.89</v>
      </c>
      <c r="AG273" s="95">
        <v>0</v>
      </c>
    </row>
    <row r="274" spans="1:33" ht="15.75" thickBot="1" x14ac:dyDescent="0.3">
      <c r="A274" s="401">
        <v>42614</v>
      </c>
      <c r="B274" s="432" t="s">
        <v>686</v>
      </c>
      <c r="C274" s="317" t="s">
        <v>445</v>
      </c>
      <c r="D274" s="317" t="s">
        <v>445</v>
      </c>
      <c r="E274" s="419">
        <v>58878.59</v>
      </c>
      <c r="F274" s="419">
        <v>101511</v>
      </c>
      <c r="G274" s="419">
        <v>1600</v>
      </c>
      <c r="H274" s="419"/>
      <c r="I274" s="419">
        <v>7114.9</v>
      </c>
      <c r="J274" s="419"/>
      <c r="K274" s="419"/>
      <c r="L274" s="419"/>
      <c r="M274" s="620">
        <f t="shared" si="12"/>
        <v>8714.9</v>
      </c>
      <c r="N274" s="419">
        <v>14.77</v>
      </c>
      <c r="O274" s="419">
        <v>38793.440000000002</v>
      </c>
      <c r="P274" s="419"/>
      <c r="Q274" s="419"/>
      <c r="R274" s="419"/>
      <c r="S274" s="419"/>
      <c r="T274" s="419"/>
      <c r="U274" s="419"/>
      <c r="V274" s="621">
        <f t="shared" si="13"/>
        <v>38793.440000000002</v>
      </c>
      <c r="W274" s="419"/>
      <c r="X274" s="419">
        <v>11355.48</v>
      </c>
      <c r="Y274" s="419"/>
      <c r="Z274" s="419">
        <v>0</v>
      </c>
      <c r="AA274" s="419"/>
      <c r="AB274" s="419"/>
      <c r="AC274" s="419">
        <v>0</v>
      </c>
      <c r="AD274" s="419">
        <v>491.32</v>
      </c>
      <c r="AE274" s="419"/>
      <c r="AF274" s="419">
        <v>59369.91</v>
      </c>
      <c r="AG274" s="419">
        <v>0</v>
      </c>
    </row>
    <row r="275" spans="1:33" ht="15.75" thickBot="1" x14ac:dyDescent="0.3">
      <c r="A275" s="401">
        <v>42614</v>
      </c>
      <c r="B275" s="432" t="s">
        <v>686</v>
      </c>
      <c r="C275" s="418" t="s">
        <v>26</v>
      </c>
      <c r="D275" s="316" t="s">
        <v>875</v>
      </c>
      <c r="E275" s="420">
        <v>3393095.32</v>
      </c>
      <c r="F275" s="420">
        <v>2731731</v>
      </c>
      <c r="G275" s="420">
        <v>1132757.83</v>
      </c>
      <c r="H275" s="420"/>
      <c r="I275" s="420">
        <v>543945.97</v>
      </c>
      <c r="J275" s="420"/>
      <c r="K275" s="420"/>
      <c r="L275" s="420"/>
      <c r="M275" s="620">
        <f t="shared" si="12"/>
        <v>1676703.8</v>
      </c>
      <c r="N275" s="420">
        <v>1551.61</v>
      </c>
      <c r="O275" s="420">
        <v>1044018.91</v>
      </c>
      <c r="P275" s="420"/>
      <c r="Q275" s="420"/>
      <c r="R275" s="420"/>
      <c r="S275" s="420"/>
      <c r="T275" s="420"/>
      <c r="U275" s="420"/>
      <c r="V275" s="621">
        <f t="shared" si="13"/>
        <v>1044018.91</v>
      </c>
      <c r="W275" s="420"/>
      <c r="X275" s="420">
        <v>670893.06999999995</v>
      </c>
      <c r="Y275" s="420">
        <v>-72.069999999999993</v>
      </c>
      <c r="Z275" s="420">
        <v>0</v>
      </c>
      <c r="AA275" s="420"/>
      <c r="AB275" s="420"/>
      <c r="AC275" s="420">
        <v>1190.54</v>
      </c>
      <c r="AD275" s="420">
        <v>182110.62</v>
      </c>
      <c r="AE275" s="420"/>
      <c r="AF275" s="420">
        <v>3576396.48</v>
      </c>
      <c r="AG275" s="420">
        <v>0</v>
      </c>
    </row>
    <row r="276" spans="1:33" ht="15.75" thickBot="1" x14ac:dyDescent="0.3">
      <c r="A276" s="401">
        <v>42614</v>
      </c>
      <c r="B276" s="432" t="s">
        <v>686</v>
      </c>
      <c r="C276" s="418" t="s">
        <v>707</v>
      </c>
      <c r="D276" s="316" t="s">
        <v>876</v>
      </c>
      <c r="E276" s="419">
        <v>241.96</v>
      </c>
      <c r="F276" s="419">
        <v>292</v>
      </c>
      <c r="G276" s="419">
        <v>40</v>
      </c>
      <c r="H276" s="419"/>
      <c r="I276" s="419">
        <v>62.79</v>
      </c>
      <c r="J276" s="419"/>
      <c r="K276" s="419"/>
      <c r="L276" s="419"/>
      <c r="M276" s="620">
        <f t="shared" si="12"/>
        <v>102.78999999999999</v>
      </c>
      <c r="N276" s="419">
        <v>0.17</v>
      </c>
      <c r="O276" s="419">
        <v>111.59</v>
      </c>
      <c r="P276" s="419"/>
      <c r="Q276" s="419"/>
      <c r="R276" s="419"/>
      <c r="S276" s="419"/>
      <c r="T276" s="419"/>
      <c r="U276" s="419"/>
      <c r="V276" s="621">
        <f t="shared" si="13"/>
        <v>111.59</v>
      </c>
      <c r="W276" s="419"/>
      <c r="X276" s="419">
        <v>27.41</v>
      </c>
      <c r="Y276" s="419"/>
      <c r="Z276" s="419"/>
      <c r="AA276" s="419"/>
      <c r="AB276" s="419"/>
      <c r="AC276" s="419">
        <v>0</v>
      </c>
      <c r="AD276" s="419">
        <v>14.52</v>
      </c>
      <c r="AE276" s="419"/>
      <c r="AF276" s="419">
        <v>256.48</v>
      </c>
      <c r="AG276" s="419">
        <v>0</v>
      </c>
    </row>
    <row r="277" spans="1:33" ht="15.75" thickBot="1" x14ac:dyDescent="0.3">
      <c r="A277" s="401">
        <v>42614</v>
      </c>
      <c r="B277" s="432" t="s">
        <v>686</v>
      </c>
      <c r="C277" s="317" t="s">
        <v>109</v>
      </c>
      <c r="D277" s="317" t="s">
        <v>109</v>
      </c>
      <c r="E277" s="420">
        <v>3393337.28</v>
      </c>
      <c r="F277" s="420">
        <v>2732023</v>
      </c>
      <c r="G277" s="420">
        <v>1132797.83</v>
      </c>
      <c r="H277" s="420"/>
      <c r="I277" s="420">
        <v>544008.76</v>
      </c>
      <c r="J277" s="420"/>
      <c r="K277" s="420"/>
      <c r="L277" s="420"/>
      <c r="M277" s="620">
        <f t="shared" si="12"/>
        <v>1676806.59</v>
      </c>
      <c r="N277" s="420">
        <v>1551.78</v>
      </c>
      <c r="O277" s="420">
        <v>1044130.5</v>
      </c>
      <c r="P277" s="420"/>
      <c r="Q277" s="420"/>
      <c r="R277" s="420"/>
      <c r="S277" s="420"/>
      <c r="T277" s="420"/>
      <c r="U277" s="420"/>
      <c r="V277" s="621">
        <f t="shared" si="13"/>
        <v>1044130.5</v>
      </c>
      <c r="W277" s="420"/>
      <c r="X277" s="420">
        <v>670920.48</v>
      </c>
      <c r="Y277" s="420">
        <v>-72.069999999999993</v>
      </c>
      <c r="Z277" s="420">
        <v>0</v>
      </c>
      <c r="AA277" s="420"/>
      <c r="AB277" s="420"/>
      <c r="AC277" s="420">
        <v>1190.54</v>
      </c>
      <c r="AD277" s="420">
        <v>182125.14</v>
      </c>
      <c r="AE277" s="420"/>
      <c r="AF277" s="420">
        <v>3576652.96</v>
      </c>
      <c r="AG277" s="420">
        <v>0</v>
      </c>
    </row>
    <row r="278" spans="1:33" ht="15.75" thickBot="1" x14ac:dyDescent="0.3">
      <c r="A278" s="401">
        <v>42614</v>
      </c>
      <c r="B278" s="432" t="s">
        <v>686</v>
      </c>
      <c r="C278" s="418" t="s">
        <v>68</v>
      </c>
      <c r="D278" s="316" t="s">
        <v>877</v>
      </c>
      <c r="E278" s="419">
        <v>586.91</v>
      </c>
      <c r="F278" s="419">
        <v>7</v>
      </c>
      <c r="G278" s="419">
        <v>40</v>
      </c>
      <c r="H278" s="419">
        <v>544</v>
      </c>
      <c r="I278" s="419">
        <v>0.23</v>
      </c>
      <c r="J278" s="419"/>
      <c r="K278" s="419"/>
      <c r="L278" s="419"/>
      <c r="M278" s="620">
        <f t="shared" si="12"/>
        <v>584.23</v>
      </c>
      <c r="N278" s="419"/>
      <c r="O278" s="419">
        <v>2.68</v>
      </c>
      <c r="P278" s="419"/>
      <c r="Q278" s="419"/>
      <c r="R278" s="419"/>
      <c r="S278" s="419"/>
      <c r="T278" s="419"/>
      <c r="U278" s="419"/>
      <c r="V278" s="621">
        <f t="shared" si="13"/>
        <v>2.68</v>
      </c>
      <c r="W278" s="419"/>
      <c r="X278" s="419">
        <v>0</v>
      </c>
      <c r="Y278" s="419"/>
      <c r="Z278" s="419"/>
      <c r="AA278" s="419"/>
      <c r="AB278" s="419"/>
      <c r="AC278" s="419">
        <v>0</v>
      </c>
      <c r="AD278" s="419">
        <v>35.21</v>
      </c>
      <c r="AE278" s="419"/>
      <c r="AF278" s="419">
        <v>622.12</v>
      </c>
      <c r="AG278" s="419">
        <v>0</v>
      </c>
    </row>
    <row r="279" spans="1:33" ht="15.75" thickBot="1" x14ac:dyDescent="0.3">
      <c r="A279" s="401">
        <v>42614</v>
      </c>
      <c r="B279" s="432" t="s">
        <v>686</v>
      </c>
      <c r="C279" s="317" t="s">
        <v>870</v>
      </c>
      <c r="D279" s="317" t="s">
        <v>870</v>
      </c>
      <c r="E279" s="420">
        <v>586.91</v>
      </c>
      <c r="F279" s="420">
        <v>7</v>
      </c>
      <c r="G279" s="420">
        <v>40</v>
      </c>
      <c r="H279" s="420">
        <v>544</v>
      </c>
      <c r="I279" s="420">
        <v>0.23</v>
      </c>
      <c r="J279" s="420"/>
      <c r="K279" s="420"/>
      <c r="L279" s="420"/>
      <c r="M279" s="620">
        <f t="shared" si="12"/>
        <v>584.23</v>
      </c>
      <c r="N279" s="420"/>
      <c r="O279" s="420">
        <v>2.68</v>
      </c>
      <c r="P279" s="420"/>
      <c r="Q279" s="420"/>
      <c r="R279" s="420"/>
      <c r="S279" s="420"/>
      <c r="T279" s="420"/>
      <c r="U279" s="420"/>
      <c r="V279" s="621"/>
      <c r="W279" s="420"/>
      <c r="X279" s="420">
        <v>0</v>
      </c>
      <c r="Y279" s="420"/>
      <c r="Z279" s="420"/>
      <c r="AA279" s="420"/>
      <c r="AB279" s="420"/>
      <c r="AC279" s="420">
        <v>0</v>
      </c>
      <c r="AD279" s="420">
        <v>35.21</v>
      </c>
      <c r="AE279" s="420"/>
      <c r="AF279" s="420">
        <v>622.12</v>
      </c>
      <c r="AG279" s="420">
        <v>0</v>
      </c>
    </row>
    <row r="280" spans="1:33" ht="15.75" thickBot="1" x14ac:dyDescent="0.3">
      <c r="A280" s="401">
        <v>42614</v>
      </c>
      <c r="B280" s="432" t="s">
        <v>686</v>
      </c>
      <c r="C280" s="418" t="s">
        <v>878</v>
      </c>
      <c r="D280" s="316" t="s">
        <v>879</v>
      </c>
      <c r="E280" s="420">
        <v>477916.36</v>
      </c>
      <c r="F280" s="420">
        <v>686337</v>
      </c>
      <c r="G280" s="420">
        <v>26100</v>
      </c>
      <c r="H280" s="420"/>
      <c r="I280" s="420">
        <v>126461.15</v>
      </c>
      <c r="J280" s="420"/>
      <c r="K280" s="420"/>
      <c r="L280" s="420"/>
      <c r="M280" s="620"/>
      <c r="N280" s="420">
        <v>0</v>
      </c>
      <c r="O280" s="420">
        <v>262286.99</v>
      </c>
      <c r="P280" s="420"/>
      <c r="Q280" s="420"/>
      <c r="R280" s="420"/>
      <c r="S280" s="420"/>
      <c r="T280" s="420"/>
      <c r="U280" s="420"/>
      <c r="V280" s="621"/>
      <c r="W280" s="420"/>
      <c r="X280" s="420">
        <v>63068.22</v>
      </c>
      <c r="Y280" s="420"/>
      <c r="Z280" s="420"/>
      <c r="AA280" s="420"/>
      <c r="AB280" s="420"/>
      <c r="AC280" s="420">
        <v>0</v>
      </c>
      <c r="AD280" s="420">
        <v>26304.82</v>
      </c>
      <c r="AE280" s="420"/>
      <c r="AF280" s="420">
        <v>504221.18</v>
      </c>
      <c r="AG280" s="420">
        <v>0</v>
      </c>
    </row>
    <row r="281" spans="1:33" ht="15.75" thickBot="1" x14ac:dyDescent="0.3">
      <c r="A281" s="401">
        <v>42614</v>
      </c>
      <c r="B281" s="432" t="s">
        <v>686</v>
      </c>
      <c r="C281" s="317" t="s">
        <v>118</v>
      </c>
      <c r="D281" s="317" t="s">
        <v>118</v>
      </c>
      <c r="E281" s="419">
        <v>477916.36</v>
      </c>
      <c r="F281" s="419">
        <v>686337</v>
      </c>
      <c r="G281" s="419">
        <v>26100</v>
      </c>
      <c r="H281" s="419"/>
      <c r="I281" s="419">
        <v>126461.15</v>
      </c>
      <c r="J281" s="419"/>
      <c r="K281" s="419"/>
      <c r="L281" s="419"/>
      <c r="M281" s="620">
        <f t="shared" si="12"/>
        <v>152561.15</v>
      </c>
      <c r="N281" s="419">
        <v>0</v>
      </c>
      <c r="O281" s="419">
        <v>262286.99</v>
      </c>
      <c r="P281" s="419"/>
      <c r="Q281" s="419"/>
      <c r="R281" s="419"/>
      <c r="S281" s="419"/>
      <c r="T281" s="419"/>
      <c r="U281" s="419"/>
      <c r="V281" s="621">
        <f t="shared" si="13"/>
        <v>262286.99</v>
      </c>
      <c r="W281" s="419"/>
      <c r="X281" s="419">
        <v>63068.22</v>
      </c>
      <c r="Y281" s="419"/>
      <c r="Z281" s="419"/>
      <c r="AA281" s="419"/>
      <c r="AB281" s="419"/>
      <c r="AC281" s="419">
        <v>0</v>
      </c>
      <c r="AD281" s="419">
        <v>26304.82</v>
      </c>
      <c r="AE281" s="419"/>
      <c r="AF281" s="419">
        <v>504221.18</v>
      </c>
      <c r="AG281" s="419">
        <v>0</v>
      </c>
    </row>
    <row r="282" spans="1:33" ht="15.75" thickBot="1" x14ac:dyDescent="0.3">
      <c r="A282" s="401">
        <v>42614</v>
      </c>
      <c r="B282" s="432" t="s">
        <v>686</v>
      </c>
      <c r="C282" s="418" t="s">
        <v>35</v>
      </c>
      <c r="D282" s="316" t="s">
        <v>36</v>
      </c>
      <c r="E282" s="420">
        <v>7796273.9400000004</v>
      </c>
      <c r="F282" s="420">
        <v>3407393</v>
      </c>
      <c r="G282" s="420">
        <v>3968218.6</v>
      </c>
      <c r="H282" s="420"/>
      <c r="I282" s="420">
        <v>977696.38</v>
      </c>
      <c r="J282" s="420"/>
      <c r="K282" s="420"/>
      <c r="L282" s="420"/>
      <c r="M282" s="620">
        <f t="shared" si="12"/>
        <v>4945914.9800000004</v>
      </c>
      <c r="N282" s="420">
        <v>37073.97</v>
      </c>
      <c r="O282" s="420">
        <v>1302520</v>
      </c>
      <c r="P282" s="420"/>
      <c r="Q282" s="420"/>
      <c r="R282" s="420"/>
      <c r="S282" s="420"/>
      <c r="T282" s="420"/>
      <c r="U282" s="420"/>
      <c r="V282" s="621">
        <f t="shared" si="13"/>
        <v>1302520</v>
      </c>
      <c r="W282" s="420"/>
      <c r="X282" s="420">
        <v>1510864.39</v>
      </c>
      <c r="Y282" s="420">
        <v>-99.4</v>
      </c>
      <c r="Z282" s="420"/>
      <c r="AA282" s="420"/>
      <c r="AB282" s="420">
        <v>74122.25</v>
      </c>
      <c r="AC282" s="420">
        <v>1707.74</v>
      </c>
      <c r="AD282" s="420">
        <v>31883.17</v>
      </c>
      <c r="AE282" s="420"/>
      <c r="AF282" s="420">
        <v>7903987.0999999996</v>
      </c>
      <c r="AG282" s="420">
        <v>0</v>
      </c>
    </row>
    <row r="283" spans="1:33" ht="15.75" thickBot="1" x14ac:dyDescent="0.3">
      <c r="A283" s="401">
        <v>42614</v>
      </c>
      <c r="B283" s="432" t="s">
        <v>686</v>
      </c>
      <c r="C283" s="317" t="s">
        <v>129</v>
      </c>
      <c r="D283" s="317" t="s">
        <v>129</v>
      </c>
      <c r="E283" s="419">
        <v>7796273.9400000004</v>
      </c>
      <c r="F283" s="419">
        <v>3407393</v>
      </c>
      <c r="G283" s="419">
        <v>3968218.6</v>
      </c>
      <c r="H283" s="419"/>
      <c r="I283" s="419">
        <v>977696.38</v>
      </c>
      <c r="J283" s="419"/>
      <c r="K283" s="419"/>
      <c r="L283" s="419"/>
      <c r="M283" s="620">
        <f t="shared" si="12"/>
        <v>4945914.9800000004</v>
      </c>
      <c r="N283" s="419">
        <v>37073.97</v>
      </c>
      <c r="O283" s="419">
        <v>1302520</v>
      </c>
      <c r="P283" s="419"/>
      <c r="Q283" s="419"/>
      <c r="R283" s="419"/>
      <c r="S283" s="419"/>
      <c r="T283" s="419"/>
      <c r="U283" s="419"/>
      <c r="V283" s="621">
        <f t="shared" si="13"/>
        <v>1302520</v>
      </c>
      <c r="W283" s="419"/>
      <c r="X283" s="419">
        <v>1510864.39</v>
      </c>
      <c r="Y283" s="419">
        <v>-99.4</v>
      </c>
      <c r="Z283" s="419"/>
      <c r="AA283" s="419"/>
      <c r="AB283" s="419">
        <v>74122.25</v>
      </c>
      <c r="AC283" s="419">
        <v>1707.74</v>
      </c>
      <c r="AD283" s="419">
        <v>31883.17</v>
      </c>
      <c r="AE283" s="419"/>
      <c r="AF283" s="419">
        <v>7903987.0999999996</v>
      </c>
      <c r="AG283" s="419">
        <v>0</v>
      </c>
    </row>
    <row r="284" spans="1:33" ht="15.75" thickBot="1" x14ac:dyDescent="0.3">
      <c r="A284" s="401">
        <v>42614</v>
      </c>
      <c r="B284" s="432" t="s">
        <v>686</v>
      </c>
      <c r="C284" s="418" t="s">
        <v>29</v>
      </c>
      <c r="D284" s="316" t="s">
        <v>30</v>
      </c>
      <c r="E284" s="420">
        <v>25127.119999999999</v>
      </c>
      <c r="F284" s="420">
        <v>612</v>
      </c>
      <c r="G284" s="420">
        <v>24760</v>
      </c>
      <c r="H284" s="420"/>
      <c r="I284" s="420">
        <v>134.55000000000001</v>
      </c>
      <c r="J284" s="420"/>
      <c r="K284" s="420"/>
      <c r="L284" s="420"/>
      <c r="M284" s="620">
        <f t="shared" si="12"/>
        <v>24894.55</v>
      </c>
      <c r="N284" s="420">
        <v>0</v>
      </c>
      <c r="O284" s="420">
        <v>232.57</v>
      </c>
      <c r="P284" s="420"/>
      <c r="Q284" s="420"/>
      <c r="R284" s="420"/>
      <c r="S284" s="420"/>
      <c r="T284" s="420"/>
      <c r="U284" s="420"/>
      <c r="V284" s="621">
        <f t="shared" si="13"/>
        <v>232.57</v>
      </c>
      <c r="W284" s="420"/>
      <c r="X284" s="420"/>
      <c r="Y284" s="420"/>
      <c r="Z284" s="420">
        <v>0</v>
      </c>
      <c r="AA284" s="420"/>
      <c r="AB284" s="420"/>
      <c r="AC284" s="420">
        <v>2.44</v>
      </c>
      <c r="AD284" s="420">
        <v>1593.94</v>
      </c>
      <c r="AE284" s="420"/>
      <c r="AF284" s="420">
        <v>26723.5</v>
      </c>
      <c r="AG284" s="420">
        <v>0</v>
      </c>
    </row>
    <row r="285" spans="1:33" ht="15.75" thickBot="1" x14ac:dyDescent="0.3">
      <c r="A285" s="401">
        <v>42614</v>
      </c>
      <c r="B285" s="432" t="s">
        <v>686</v>
      </c>
      <c r="C285" s="317" t="s">
        <v>687</v>
      </c>
      <c r="D285" s="317" t="s">
        <v>687</v>
      </c>
      <c r="E285" s="419">
        <v>25127.119999999999</v>
      </c>
      <c r="F285" s="419">
        <v>612</v>
      </c>
      <c r="G285" s="419">
        <v>24760</v>
      </c>
      <c r="H285" s="419"/>
      <c r="I285" s="419">
        <v>134.55000000000001</v>
      </c>
      <c r="J285" s="419"/>
      <c r="K285" s="419"/>
      <c r="L285" s="419"/>
      <c r="M285" s="620">
        <f t="shared" si="12"/>
        <v>24894.55</v>
      </c>
      <c r="N285" s="419">
        <v>0</v>
      </c>
      <c r="O285" s="419">
        <v>232.57</v>
      </c>
      <c r="P285" s="419"/>
      <c r="Q285" s="419"/>
      <c r="R285" s="419"/>
      <c r="S285" s="419"/>
      <c r="T285" s="419"/>
      <c r="U285" s="419"/>
      <c r="V285" s="621">
        <f t="shared" si="13"/>
        <v>232.57</v>
      </c>
      <c r="W285" s="419"/>
      <c r="X285" s="419"/>
      <c r="Y285" s="419"/>
      <c r="Z285" s="419">
        <v>0</v>
      </c>
      <c r="AA285" s="419"/>
      <c r="AB285" s="419"/>
      <c r="AC285" s="419">
        <v>2.44</v>
      </c>
      <c r="AD285" s="419">
        <v>1593.94</v>
      </c>
      <c r="AE285" s="419"/>
      <c r="AF285" s="419">
        <v>26723.5</v>
      </c>
      <c r="AG285" s="419">
        <v>0</v>
      </c>
    </row>
    <row r="286" spans="1:33" ht="15.75" thickBot="1" x14ac:dyDescent="0.3">
      <c r="A286" s="401">
        <v>42614</v>
      </c>
      <c r="B286" s="432" t="s">
        <v>686</v>
      </c>
      <c r="C286" s="418" t="s">
        <v>37</v>
      </c>
      <c r="D286" s="316" t="s">
        <v>38</v>
      </c>
      <c r="E286" s="420">
        <v>240.87</v>
      </c>
      <c r="F286" s="420">
        <v>272</v>
      </c>
      <c r="G286" s="420">
        <v>40.5</v>
      </c>
      <c r="H286" s="420"/>
      <c r="I286" s="420">
        <v>78.05</v>
      </c>
      <c r="J286" s="420"/>
      <c r="K286" s="420"/>
      <c r="L286" s="420"/>
      <c r="M286" s="620">
        <f t="shared" si="12"/>
        <v>118.55</v>
      </c>
      <c r="N286" s="420">
        <v>2.95</v>
      </c>
      <c r="O286" s="420">
        <v>103.95</v>
      </c>
      <c r="P286" s="420"/>
      <c r="Q286" s="420"/>
      <c r="R286" s="420"/>
      <c r="S286" s="420"/>
      <c r="T286" s="420"/>
      <c r="U286" s="420"/>
      <c r="V286" s="621">
        <f t="shared" si="13"/>
        <v>103.95</v>
      </c>
      <c r="W286" s="420"/>
      <c r="X286" s="420">
        <v>15.42</v>
      </c>
      <c r="Y286" s="420"/>
      <c r="Z286" s="420"/>
      <c r="AA286" s="420"/>
      <c r="AB286" s="420"/>
      <c r="AC286" s="420">
        <v>0</v>
      </c>
      <c r="AD286" s="420">
        <v>0</v>
      </c>
      <c r="AE286" s="420"/>
      <c r="AF286" s="420">
        <v>240.87</v>
      </c>
      <c r="AG286" s="420">
        <v>0</v>
      </c>
    </row>
    <row r="287" spans="1:33" ht="15.75" thickBot="1" x14ac:dyDescent="0.3">
      <c r="A287" s="401">
        <v>42614</v>
      </c>
      <c r="B287" s="432" t="s">
        <v>686</v>
      </c>
      <c r="C287" s="317" t="s">
        <v>688</v>
      </c>
      <c r="D287" s="317" t="s">
        <v>688</v>
      </c>
      <c r="E287" s="419">
        <v>240.87</v>
      </c>
      <c r="F287" s="419">
        <v>272</v>
      </c>
      <c r="G287" s="419">
        <v>40.5</v>
      </c>
      <c r="H287" s="419"/>
      <c r="I287" s="419">
        <v>78.05</v>
      </c>
      <c r="J287" s="419"/>
      <c r="K287" s="419"/>
      <c r="L287" s="419"/>
      <c r="M287" s="620">
        <f t="shared" si="12"/>
        <v>118.55</v>
      </c>
      <c r="N287" s="419">
        <v>2.95</v>
      </c>
      <c r="O287" s="419">
        <v>103.95</v>
      </c>
      <c r="P287" s="419"/>
      <c r="Q287" s="419"/>
      <c r="R287" s="419"/>
      <c r="S287" s="419"/>
      <c r="T287" s="419"/>
      <c r="U287" s="419"/>
      <c r="V287" s="621">
        <f t="shared" si="13"/>
        <v>103.95</v>
      </c>
      <c r="W287" s="419"/>
      <c r="X287" s="419">
        <v>15.42</v>
      </c>
      <c r="Y287" s="419"/>
      <c r="Z287" s="419"/>
      <c r="AA287" s="419"/>
      <c r="AB287" s="419"/>
      <c r="AC287" s="419">
        <v>0</v>
      </c>
      <c r="AD287" s="419">
        <v>0</v>
      </c>
      <c r="AE287" s="419"/>
      <c r="AF287" s="419">
        <v>240.87</v>
      </c>
      <c r="AG287" s="419">
        <v>0</v>
      </c>
    </row>
    <row r="288" spans="1:33" ht="15.75" thickBot="1" x14ac:dyDescent="0.3">
      <c r="A288" s="401">
        <v>42614</v>
      </c>
      <c r="B288" s="90" t="s">
        <v>158</v>
      </c>
      <c r="C288" s="418" t="s">
        <v>104</v>
      </c>
      <c r="D288" s="316" t="s">
        <v>86</v>
      </c>
      <c r="E288" s="420">
        <v>183900</v>
      </c>
      <c r="F288" s="420"/>
      <c r="G288" s="420"/>
      <c r="H288" s="420"/>
      <c r="I288" s="420"/>
      <c r="J288" s="420"/>
      <c r="K288" s="420"/>
      <c r="L288" s="420"/>
      <c r="M288" s="620">
        <f t="shared" si="12"/>
        <v>0</v>
      </c>
      <c r="N288" s="420"/>
      <c r="O288" s="420"/>
      <c r="P288" s="420"/>
      <c r="Q288" s="420"/>
      <c r="R288" s="420"/>
      <c r="S288" s="420"/>
      <c r="T288" s="420"/>
      <c r="U288" s="420"/>
      <c r="V288" s="621">
        <f t="shared" si="13"/>
        <v>0</v>
      </c>
      <c r="W288" s="419"/>
      <c r="X288" s="419"/>
      <c r="Y288" s="419"/>
      <c r="Z288" s="419"/>
      <c r="AA288" s="419"/>
      <c r="AB288" s="419"/>
      <c r="AC288" s="419"/>
      <c r="AD288" s="419">
        <v>0</v>
      </c>
      <c r="AE288" s="419">
        <v>183900</v>
      </c>
      <c r="AF288" s="419">
        <v>183900</v>
      </c>
      <c r="AG288" s="419">
        <v>0</v>
      </c>
    </row>
    <row r="289" spans="1:33" ht="15.75" thickBot="1" x14ac:dyDescent="0.3">
      <c r="A289" s="401">
        <v>42614</v>
      </c>
      <c r="B289" s="90" t="s">
        <v>158</v>
      </c>
      <c r="C289" s="1163" t="s">
        <v>1172</v>
      </c>
      <c r="D289" s="1164"/>
      <c r="E289" s="419">
        <f>E288</f>
        <v>183900</v>
      </c>
      <c r="F289" s="419">
        <f t="shared" ref="F289:L289" si="14">F288</f>
        <v>0</v>
      </c>
      <c r="G289" s="419">
        <f t="shared" si="14"/>
        <v>0</v>
      </c>
      <c r="H289" s="419">
        <f t="shared" si="14"/>
        <v>0</v>
      </c>
      <c r="I289" s="419">
        <f t="shared" si="14"/>
        <v>0</v>
      </c>
      <c r="J289" s="419">
        <f t="shared" si="14"/>
        <v>0</v>
      </c>
      <c r="K289" s="419">
        <f t="shared" si="14"/>
        <v>0</v>
      </c>
      <c r="L289" s="419">
        <f t="shared" si="14"/>
        <v>0</v>
      </c>
      <c r="M289" s="620">
        <f t="shared" si="12"/>
        <v>0</v>
      </c>
      <c r="N289" s="419">
        <f t="shared" ref="N289:U289" si="15">N288</f>
        <v>0</v>
      </c>
      <c r="O289" s="419">
        <f t="shared" si="15"/>
        <v>0</v>
      </c>
      <c r="P289" s="419">
        <f t="shared" si="15"/>
        <v>0</v>
      </c>
      <c r="Q289" s="419">
        <f t="shared" si="15"/>
        <v>0</v>
      </c>
      <c r="R289" s="419">
        <f t="shared" si="15"/>
        <v>0</v>
      </c>
      <c r="S289" s="419">
        <f t="shared" si="15"/>
        <v>0</v>
      </c>
      <c r="T289" s="419">
        <f t="shared" si="15"/>
        <v>0</v>
      </c>
      <c r="U289" s="419">
        <f t="shared" si="15"/>
        <v>0</v>
      </c>
      <c r="V289" s="621">
        <f t="shared" si="13"/>
        <v>0</v>
      </c>
      <c r="W289" s="419">
        <f t="shared" ref="W289:AG289" si="16">W288</f>
        <v>0</v>
      </c>
      <c r="X289" s="419">
        <f t="shared" si="16"/>
        <v>0</v>
      </c>
      <c r="Y289" s="419">
        <f t="shared" si="16"/>
        <v>0</v>
      </c>
      <c r="Z289" s="419">
        <f t="shared" si="16"/>
        <v>0</v>
      </c>
      <c r="AA289" s="419">
        <f t="shared" si="16"/>
        <v>0</v>
      </c>
      <c r="AB289" s="419">
        <f t="shared" si="16"/>
        <v>0</v>
      </c>
      <c r="AC289" s="419">
        <f t="shared" si="16"/>
        <v>0</v>
      </c>
      <c r="AD289" s="419">
        <f t="shared" si="16"/>
        <v>0</v>
      </c>
      <c r="AE289" s="419">
        <f t="shared" si="16"/>
        <v>183900</v>
      </c>
      <c r="AF289" s="419">
        <f t="shared" si="16"/>
        <v>183900</v>
      </c>
      <c r="AG289" s="419">
        <f t="shared" si="16"/>
        <v>0</v>
      </c>
    </row>
    <row r="290" spans="1:33" ht="15.75" thickBot="1" x14ac:dyDescent="0.3">
      <c r="A290" s="401">
        <v>42614</v>
      </c>
      <c r="B290" s="432" t="s">
        <v>522</v>
      </c>
      <c r="C290" s="418" t="s">
        <v>933</v>
      </c>
      <c r="D290" s="316" t="s">
        <v>1005</v>
      </c>
      <c r="E290" s="419">
        <v>342547.59</v>
      </c>
      <c r="F290" s="419">
        <v>7079942</v>
      </c>
      <c r="G290" s="419">
        <v>35200</v>
      </c>
      <c r="H290" s="419"/>
      <c r="I290" s="419">
        <v>304579.11</v>
      </c>
      <c r="J290" s="419">
        <v>2367.5700000000002</v>
      </c>
      <c r="K290" s="419"/>
      <c r="L290" s="419">
        <v>210.27</v>
      </c>
      <c r="M290" s="620">
        <f t="shared" si="12"/>
        <v>342356.95</v>
      </c>
      <c r="N290" s="419">
        <v>0</v>
      </c>
      <c r="O290" s="419"/>
      <c r="P290" s="419"/>
      <c r="Q290" s="419">
        <v>0</v>
      </c>
      <c r="R290" s="419">
        <v>190.64</v>
      </c>
      <c r="S290" s="419"/>
      <c r="T290" s="419"/>
      <c r="U290" s="419"/>
      <c r="V290" s="621">
        <f t="shared" si="13"/>
        <v>190.64</v>
      </c>
      <c r="W290" s="420"/>
      <c r="X290" s="420"/>
      <c r="Y290" s="420"/>
      <c r="Z290" s="420"/>
      <c r="AA290" s="420"/>
      <c r="AB290" s="420"/>
      <c r="AC290" s="420">
        <v>0</v>
      </c>
      <c r="AD290" s="420">
        <v>15103.56</v>
      </c>
      <c r="AE290" s="420"/>
      <c r="AF290" s="420">
        <v>357651.15</v>
      </c>
      <c r="AG290" s="420">
        <v>0</v>
      </c>
    </row>
    <row r="291" spans="1:33" ht="15.75" thickBot="1" x14ac:dyDescent="0.3">
      <c r="A291" s="401">
        <v>42614</v>
      </c>
      <c r="B291" s="432" t="s">
        <v>522</v>
      </c>
      <c r="C291" s="418" t="s">
        <v>50</v>
      </c>
      <c r="D291" s="316" t="s">
        <v>881</v>
      </c>
      <c r="E291" s="420">
        <v>22395.21</v>
      </c>
      <c r="F291" s="420">
        <v>385891</v>
      </c>
      <c r="G291" s="420">
        <v>5500</v>
      </c>
      <c r="H291" s="420"/>
      <c r="I291" s="420">
        <v>16601.03</v>
      </c>
      <c r="J291" s="420">
        <v>56.83</v>
      </c>
      <c r="K291" s="420"/>
      <c r="L291" s="420">
        <v>9.1300000000000008</v>
      </c>
      <c r="M291" s="620">
        <f t="shared" si="12"/>
        <v>22166.99</v>
      </c>
      <c r="N291" s="420">
        <v>219.94</v>
      </c>
      <c r="O291" s="420"/>
      <c r="P291" s="420"/>
      <c r="Q291" s="420">
        <v>0</v>
      </c>
      <c r="R291" s="420">
        <v>8.2799999999999994</v>
      </c>
      <c r="S291" s="420"/>
      <c r="T291" s="420"/>
      <c r="U291" s="420"/>
      <c r="V291" s="621">
        <f t="shared" si="13"/>
        <v>8.2799999999999994</v>
      </c>
      <c r="W291" s="419"/>
      <c r="X291" s="419"/>
      <c r="Y291" s="419"/>
      <c r="Z291" s="419"/>
      <c r="AA291" s="419"/>
      <c r="AB291" s="419"/>
      <c r="AC291" s="419">
        <v>0</v>
      </c>
      <c r="AD291" s="419">
        <v>392.71</v>
      </c>
      <c r="AE291" s="419"/>
      <c r="AF291" s="419">
        <v>22787.919999999998</v>
      </c>
      <c r="AG291" s="419">
        <v>0</v>
      </c>
    </row>
    <row r="292" spans="1:33" ht="15.75" thickBot="1" x14ac:dyDescent="0.3">
      <c r="A292" s="401">
        <v>42614</v>
      </c>
      <c r="B292" s="432" t="s">
        <v>522</v>
      </c>
      <c r="C292" s="317" t="s">
        <v>49</v>
      </c>
      <c r="D292" s="317" t="s">
        <v>49</v>
      </c>
      <c r="E292" s="419">
        <v>364942.8</v>
      </c>
      <c r="F292" s="419">
        <v>7465833</v>
      </c>
      <c r="G292" s="419">
        <v>40700</v>
      </c>
      <c r="H292" s="419"/>
      <c r="I292" s="419">
        <v>321180.14</v>
      </c>
      <c r="J292" s="419">
        <v>2424.4</v>
      </c>
      <c r="K292" s="419"/>
      <c r="L292" s="419">
        <v>219.4</v>
      </c>
      <c r="M292" s="620">
        <f t="shared" si="12"/>
        <v>364523.94000000006</v>
      </c>
      <c r="N292" s="419">
        <v>219.94</v>
      </c>
      <c r="O292" s="419"/>
      <c r="P292" s="419"/>
      <c r="Q292" s="419">
        <v>0</v>
      </c>
      <c r="R292" s="419">
        <v>198.92</v>
      </c>
      <c r="S292" s="419"/>
      <c r="T292" s="419"/>
      <c r="U292" s="419"/>
      <c r="V292" s="621">
        <f t="shared" si="13"/>
        <v>198.92</v>
      </c>
      <c r="W292" s="420"/>
      <c r="X292" s="420"/>
      <c r="Y292" s="420"/>
      <c r="Z292" s="420"/>
      <c r="AA292" s="420"/>
      <c r="AB292" s="420"/>
      <c r="AC292" s="420">
        <v>0</v>
      </c>
      <c r="AD292" s="420">
        <v>15496.27</v>
      </c>
      <c r="AE292" s="420"/>
      <c r="AF292" s="420">
        <v>380439.07</v>
      </c>
      <c r="AG292" s="420">
        <v>0</v>
      </c>
    </row>
    <row r="293" spans="1:33" ht="15.75" thickBot="1" x14ac:dyDescent="0.3">
      <c r="A293" s="401">
        <v>42614</v>
      </c>
      <c r="B293" s="432" t="s">
        <v>522</v>
      </c>
      <c r="C293" s="418" t="s">
        <v>54</v>
      </c>
      <c r="D293" s="316" t="s">
        <v>55</v>
      </c>
      <c r="E293" s="420">
        <v>16043.71</v>
      </c>
      <c r="F293" s="420"/>
      <c r="G293" s="420">
        <v>5250</v>
      </c>
      <c r="H293" s="420"/>
      <c r="I293" s="420">
        <v>0</v>
      </c>
      <c r="J293" s="420"/>
      <c r="K293" s="420"/>
      <c r="L293" s="420">
        <v>5660.9</v>
      </c>
      <c r="M293" s="620">
        <f t="shared" si="12"/>
        <v>10910.9</v>
      </c>
      <c r="N293" s="420"/>
      <c r="O293" s="420"/>
      <c r="P293" s="420"/>
      <c r="Q293" s="420">
        <v>0</v>
      </c>
      <c r="R293" s="420">
        <v>5132.8100000000004</v>
      </c>
      <c r="S293" s="420"/>
      <c r="T293" s="420"/>
      <c r="U293" s="420"/>
      <c r="V293" s="621">
        <f t="shared" si="13"/>
        <v>5132.8100000000004</v>
      </c>
      <c r="W293" s="419"/>
      <c r="X293" s="419"/>
      <c r="Y293" s="419"/>
      <c r="Z293" s="419"/>
      <c r="AA293" s="419"/>
      <c r="AB293" s="419"/>
      <c r="AC293" s="419">
        <v>0</v>
      </c>
      <c r="AD293" s="419">
        <v>79.44</v>
      </c>
      <c r="AE293" s="419"/>
      <c r="AF293" s="419">
        <v>16123.15</v>
      </c>
      <c r="AG293" s="419">
        <v>0</v>
      </c>
    </row>
    <row r="294" spans="1:33" ht="15.75" thickBot="1" x14ac:dyDescent="0.3">
      <c r="A294" s="401">
        <v>42614</v>
      </c>
      <c r="B294" s="432" t="s">
        <v>522</v>
      </c>
      <c r="C294" s="317" t="s">
        <v>56</v>
      </c>
      <c r="D294" s="317" t="s">
        <v>56</v>
      </c>
      <c r="E294" s="419">
        <v>16043.71</v>
      </c>
      <c r="F294" s="419"/>
      <c r="G294" s="419">
        <v>5250</v>
      </c>
      <c r="H294" s="419"/>
      <c r="I294" s="419">
        <v>0</v>
      </c>
      <c r="J294" s="419"/>
      <c r="K294" s="419"/>
      <c r="L294" s="419">
        <v>5660.9</v>
      </c>
      <c r="M294" s="620">
        <f t="shared" si="12"/>
        <v>10910.9</v>
      </c>
      <c r="N294" s="419"/>
      <c r="O294" s="419"/>
      <c r="P294" s="419"/>
      <c r="Q294" s="419">
        <v>0</v>
      </c>
      <c r="R294" s="419">
        <v>5132.8100000000004</v>
      </c>
      <c r="S294" s="419"/>
      <c r="T294" s="419"/>
      <c r="U294" s="419"/>
      <c r="V294" s="621">
        <f t="shared" si="13"/>
        <v>5132.8100000000004</v>
      </c>
      <c r="W294" s="420"/>
      <c r="X294" s="420"/>
      <c r="Y294" s="420"/>
      <c r="Z294" s="420"/>
      <c r="AA294" s="420"/>
      <c r="AB294" s="420"/>
      <c r="AC294" s="420">
        <v>0</v>
      </c>
      <c r="AD294" s="420">
        <v>79.44</v>
      </c>
      <c r="AE294" s="420"/>
      <c r="AF294" s="420">
        <v>16123.15</v>
      </c>
      <c r="AG294" s="420">
        <v>0</v>
      </c>
    </row>
    <row r="295" spans="1:33" ht="15.75" thickBot="1" x14ac:dyDescent="0.3">
      <c r="A295" s="401">
        <v>42614</v>
      </c>
      <c r="B295" s="432" t="s">
        <v>522</v>
      </c>
      <c r="C295" s="418" t="s">
        <v>93</v>
      </c>
      <c r="D295" s="316" t="s">
        <v>719</v>
      </c>
      <c r="E295" s="420">
        <v>525</v>
      </c>
      <c r="F295" s="420"/>
      <c r="G295" s="420">
        <v>525</v>
      </c>
      <c r="H295" s="420"/>
      <c r="I295" s="420">
        <v>0</v>
      </c>
      <c r="J295" s="420"/>
      <c r="K295" s="420"/>
      <c r="L295" s="420"/>
      <c r="M295" s="620">
        <f t="shared" si="12"/>
        <v>525</v>
      </c>
      <c r="N295" s="420"/>
      <c r="O295" s="420"/>
      <c r="P295" s="420"/>
      <c r="Q295" s="420"/>
      <c r="R295" s="420"/>
      <c r="S295" s="420"/>
      <c r="T295" s="420"/>
      <c r="U295" s="420">
        <v>0</v>
      </c>
      <c r="V295" s="621">
        <f t="shared" si="13"/>
        <v>0</v>
      </c>
      <c r="W295" s="419"/>
      <c r="X295" s="419"/>
      <c r="Y295" s="419"/>
      <c r="Z295" s="419"/>
      <c r="AA295" s="419"/>
      <c r="AB295" s="419"/>
      <c r="AC295" s="419">
        <v>0</v>
      </c>
      <c r="AD295" s="419">
        <v>0</v>
      </c>
      <c r="AE295" s="419"/>
      <c r="AF295" s="419">
        <v>525</v>
      </c>
      <c r="AG295" s="419">
        <v>0</v>
      </c>
    </row>
    <row r="296" spans="1:33" ht="15.75" thickBot="1" x14ac:dyDescent="0.3">
      <c r="A296" s="401">
        <v>42614</v>
      </c>
      <c r="B296" s="432" t="s">
        <v>522</v>
      </c>
      <c r="C296" s="317" t="s">
        <v>720</v>
      </c>
      <c r="D296" s="317" t="s">
        <v>720</v>
      </c>
      <c r="E296" s="419">
        <v>525</v>
      </c>
      <c r="F296" s="419"/>
      <c r="G296" s="419">
        <v>525</v>
      </c>
      <c r="H296" s="419"/>
      <c r="I296" s="419">
        <v>0</v>
      </c>
      <c r="J296" s="419"/>
      <c r="K296" s="419"/>
      <c r="L296" s="419"/>
      <c r="M296" s="620">
        <f t="shared" si="12"/>
        <v>525</v>
      </c>
      <c r="N296" s="419"/>
      <c r="O296" s="419"/>
      <c r="P296" s="419"/>
      <c r="Q296" s="419"/>
      <c r="R296" s="419"/>
      <c r="S296" s="419"/>
      <c r="T296" s="419"/>
      <c r="U296" s="419">
        <v>0</v>
      </c>
      <c r="V296" s="621">
        <f t="shared" si="13"/>
        <v>0</v>
      </c>
      <c r="W296" s="420"/>
      <c r="X296" s="420"/>
      <c r="Y296" s="420"/>
      <c r="Z296" s="420"/>
      <c r="AA296" s="420"/>
      <c r="AB296" s="420"/>
      <c r="AC296" s="420">
        <v>0</v>
      </c>
      <c r="AD296" s="420">
        <v>0</v>
      </c>
      <c r="AE296" s="420"/>
      <c r="AF296" s="420">
        <v>525</v>
      </c>
      <c r="AG296" s="420">
        <v>0</v>
      </c>
    </row>
    <row r="297" spans="1:33" ht="15.75" thickBot="1" x14ac:dyDescent="0.3">
      <c r="A297" s="401">
        <v>42614</v>
      </c>
      <c r="B297" s="432" t="s">
        <v>522</v>
      </c>
      <c r="C297" s="418" t="s">
        <v>1001</v>
      </c>
      <c r="D297" s="316" t="s">
        <v>1002</v>
      </c>
      <c r="E297" s="420">
        <v>141206.75</v>
      </c>
      <c r="F297" s="420">
        <v>535260</v>
      </c>
      <c r="G297" s="420">
        <v>2750</v>
      </c>
      <c r="H297" s="420"/>
      <c r="I297" s="420">
        <v>95413.88</v>
      </c>
      <c r="J297" s="420"/>
      <c r="K297" s="420"/>
      <c r="L297" s="420"/>
      <c r="M297" s="620">
        <f t="shared" si="12"/>
        <v>98163.88</v>
      </c>
      <c r="N297" s="420">
        <v>0</v>
      </c>
      <c r="O297" s="420">
        <v>0</v>
      </c>
      <c r="P297" s="420"/>
      <c r="Q297" s="420"/>
      <c r="R297" s="420"/>
      <c r="S297" s="420">
        <v>44913.67</v>
      </c>
      <c r="T297" s="420">
        <v>-3168.5</v>
      </c>
      <c r="U297" s="420"/>
      <c r="V297" s="621">
        <f t="shared" si="13"/>
        <v>41745.17</v>
      </c>
      <c r="W297" s="419"/>
      <c r="X297" s="419">
        <v>1297.7</v>
      </c>
      <c r="Y297" s="419"/>
      <c r="Z297" s="419"/>
      <c r="AA297" s="419">
        <v>0</v>
      </c>
      <c r="AB297" s="419"/>
      <c r="AC297" s="419">
        <v>0</v>
      </c>
      <c r="AD297" s="419">
        <v>1829.54</v>
      </c>
      <c r="AE297" s="419"/>
      <c r="AF297" s="419">
        <v>143036.29</v>
      </c>
      <c r="AG297" s="419">
        <v>0</v>
      </c>
    </row>
    <row r="298" spans="1:33" ht="15.75" thickBot="1" x14ac:dyDescent="0.3">
      <c r="A298" s="401">
        <v>42614</v>
      </c>
      <c r="B298" s="432" t="s">
        <v>522</v>
      </c>
      <c r="C298" s="418" t="s">
        <v>1003</v>
      </c>
      <c r="D298" s="316" t="s">
        <v>1004</v>
      </c>
      <c r="E298" s="419">
        <v>27752.18</v>
      </c>
      <c r="F298" s="419">
        <v>145881</v>
      </c>
      <c r="G298" s="419">
        <v>1100</v>
      </c>
      <c r="H298" s="419"/>
      <c r="I298" s="419">
        <v>10224.799999999999</v>
      </c>
      <c r="J298" s="419"/>
      <c r="K298" s="419"/>
      <c r="L298" s="419"/>
      <c r="M298" s="620">
        <f t="shared" si="12"/>
        <v>11324.8</v>
      </c>
      <c r="N298" s="419">
        <v>0</v>
      </c>
      <c r="O298" s="419">
        <v>0</v>
      </c>
      <c r="P298" s="419"/>
      <c r="Q298" s="419"/>
      <c r="R298" s="419"/>
      <c r="S298" s="419">
        <v>12240.87</v>
      </c>
      <c r="T298" s="419">
        <v>-1491.23</v>
      </c>
      <c r="U298" s="419"/>
      <c r="V298" s="621">
        <f t="shared" si="13"/>
        <v>10749.640000000001</v>
      </c>
      <c r="W298" s="420"/>
      <c r="X298" s="420">
        <v>5677.74</v>
      </c>
      <c r="Y298" s="420"/>
      <c r="Z298" s="420"/>
      <c r="AA298" s="420">
        <v>0</v>
      </c>
      <c r="AB298" s="420"/>
      <c r="AC298" s="420">
        <v>0</v>
      </c>
      <c r="AD298" s="420">
        <v>0</v>
      </c>
      <c r="AE298" s="420"/>
      <c r="AF298" s="420">
        <v>27752.18</v>
      </c>
      <c r="AG298" s="420">
        <v>0</v>
      </c>
    </row>
    <row r="299" spans="1:33" ht="15.75" thickBot="1" x14ac:dyDescent="0.3">
      <c r="A299" s="401">
        <v>42614</v>
      </c>
      <c r="B299" s="432" t="s">
        <v>522</v>
      </c>
      <c r="C299" s="317" t="s">
        <v>689</v>
      </c>
      <c r="D299" s="317" t="s">
        <v>689</v>
      </c>
      <c r="E299" s="420">
        <v>168958.93</v>
      </c>
      <c r="F299" s="420">
        <v>681141</v>
      </c>
      <c r="G299" s="420">
        <v>3850</v>
      </c>
      <c r="H299" s="420"/>
      <c r="I299" s="420">
        <v>105638.68</v>
      </c>
      <c r="J299" s="420"/>
      <c r="K299" s="420"/>
      <c r="L299" s="420"/>
      <c r="M299" s="620">
        <f t="shared" si="12"/>
        <v>109488.68</v>
      </c>
      <c r="N299" s="420">
        <v>0</v>
      </c>
      <c r="O299" s="420">
        <v>0</v>
      </c>
      <c r="P299" s="420"/>
      <c r="Q299" s="420"/>
      <c r="R299" s="420"/>
      <c r="S299" s="420">
        <v>57154.54</v>
      </c>
      <c r="T299" s="420">
        <v>-4659.7299999999996</v>
      </c>
      <c r="U299" s="420"/>
      <c r="V299" s="621">
        <f t="shared" si="13"/>
        <v>52494.81</v>
      </c>
      <c r="W299" s="419"/>
      <c r="X299" s="419">
        <v>6975.44</v>
      </c>
      <c r="Y299" s="419"/>
      <c r="Z299" s="419"/>
      <c r="AA299" s="419">
        <v>0</v>
      </c>
      <c r="AB299" s="419"/>
      <c r="AC299" s="419">
        <v>0</v>
      </c>
      <c r="AD299" s="419">
        <v>1829.54</v>
      </c>
      <c r="AE299" s="419"/>
      <c r="AF299" s="419">
        <v>170788.47</v>
      </c>
      <c r="AG299" s="419">
        <v>0</v>
      </c>
    </row>
    <row r="300" spans="1:33" ht="15.75" thickBot="1" x14ac:dyDescent="0.3">
      <c r="A300" s="401">
        <v>42614</v>
      </c>
      <c r="B300" s="432" t="s">
        <v>690</v>
      </c>
      <c r="C300" s="418" t="s">
        <v>933</v>
      </c>
      <c r="D300" s="316" t="s">
        <v>1005</v>
      </c>
      <c r="E300" s="420">
        <v>-1114.5899999999999</v>
      </c>
      <c r="F300" s="420">
        <v>0</v>
      </c>
      <c r="G300" s="420"/>
      <c r="H300" s="420"/>
      <c r="I300" s="420">
        <v>0</v>
      </c>
      <c r="J300" s="420"/>
      <c r="K300" s="420"/>
      <c r="L300" s="420"/>
      <c r="M300" s="620">
        <f t="shared" si="12"/>
        <v>0</v>
      </c>
      <c r="N300" s="420"/>
      <c r="O300" s="420"/>
      <c r="P300" s="420">
        <v>-2135.4</v>
      </c>
      <c r="Q300" s="420"/>
      <c r="R300" s="420"/>
      <c r="S300" s="420"/>
      <c r="T300" s="420"/>
      <c r="U300" s="420"/>
      <c r="V300" s="621">
        <f t="shared" si="13"/>
        <v>-2135.4</v>
      </c>
      <c r="W300" s="419">
        <v>1020.81</v>
      </c>
      <c r="X300" s="419"/>
      <c r="Y300" s="419"/>
      <c r="Z300" s="419"/>
      <c r="AA300" s="419"/>
      <c r="AB300" s="419"/>
      <c r="AC300" s="419"/>
      <c r="AD300" s="419">
        <v>-66.89</v>
      </c>
      <c r="AE300" s="419"/>
      <c r="AF300" s="419">
        <v>-1181.48</v>
      </c>
      <c r="AG300" s="419">
        <v>0</v>
      </c>
    </row>
    <row r="301" spans="1:33" ht="15.75" thickBot="1" x14ac:dyDescent="0.3">
      <c r="A301" s="401">
        <v>42614</v>
      </c>
      <c r="B301" s="432" t="s">
        <v>690</v>
      </c>
      <c r="C301" s="418" t="s">
        <v>50</v>
      </c>
      <c r="D301" s="316" t="s">
        <v>881</v>
      </c>
      <c r="E301" s="419">
        <v>-120.57</v>
      </c>
      <c r="F301" s="419">
        <v>0</v>
      </c>
      <c r="G301" s="419"/>
      <c r="H301" s="419"/>
      <c r="I301" s="419">
        <v>0</v>
      </c>
      <c r="J301" s="419"/>
      <c r="K301" s="419"/>
      <c r="L301" s="419"/>
      <c r="M301" s="620">
        <f t="shared" si="12"/>
        <v>0</v>
      </c>
      <c r="N301" s="419"/>
      <c r="O301" s="419"/>
      <c r="P301" s="419">
        <v>-313.48</v>
      </c>
      <c r="Q301" s="419"/>
      <c r="R301" s="419"/>
      <c r="S301" s="419"/>
      <c r="T301" s="419"/>
      <c r="U301" s="419"/>
      <c r="V301" s="621">
        <f t="shared" si="13"/>
        <v>-313.48</v>
      </c>
      <c r="W301" s="420">
        <v>192.91</v>
      </c>
      <c r="X301" s="420"/>
      <c r="Y301" s="420"/>
      <c r="Z301" s="420"/>
      <c r="AA301" s="420"/>
      <c r="AB301" s="420"/>
      <c r="AC301" s="420"/>
      <c r="AD301" s="420">
        <v>-3.62</v>
      </c>
      <c r="AE301" s="420"/>
      <c r="AF301" s="420">
        <v>-124.19</v>
      </c>
      <c r="AG301" s="420">
        <v>0</v>
      </c>
    </row>
    <row r="302" spans="1:33" ht="15.75" thickBot="1" x14ac:dyDescent="0.3">
      <c r="A302" s="401">
        <v>42614</v>
      </c>
      <c r="B302" s="432" t="s">
        <v>690</v>
      </c>
      <c r="C302" s="317" t="s">
        <v>49</v>
      </c>
      <c r="D302" s="317" t="s">
        <v>49</v>
      </c>
      <c r="E302" s="420">
        <v>-1235.1600000000001</v>
      </c>
      <c r="F302" s="420">
        <v>0</v>
      </c>
      <c r="G302" s="420"/>
      <c r="H302" s="420"/>
      <c r="I302" s="420">
        <v>0</v>
      </c>
      <c r="J302" s="420"/>
      <c r="K302" s="420"/>
      <c r="L302" s="420"/>
      <c r="M302" s="620">
        <f t="shared" si="12"/>
        <v>0</v>
      </c>
      <c r="N302" s="420"/>
      <c r="O302" s="420"/>
      <c r="P302" s="420">
        <v>-2448.88</v>
      </c>
      <c r="Q302" s="420"/>
      <c r="R302" s="420"/>
      <c r="S302" s="420"/>
      <c r="T302" s="420"/>
      <c r="U302" s="420"/>
      <c r="V302" s="621">
        <f t="shared" si="13"/>
        <v>-2448.88</v>
      </c>
      <c r="W302" s="419">
        <v>1213.72</v>
      </c>
      <c r="X302" s="419"/>
      <c r="Y302" s="419"/>
      <c r="Z302" s="419"/>
      <c r="AA302" s="419"/>
      <c r="AB302" s="419"/>
      <c r="AC302" s="419"/>
      <c r="AD302" s="419">
        <v>-70.510000000000005</v>
      </c>
      <c r="AE302" s="419"/>
      <c r="AF302" s="419">
        <v>-1305.67</v>
      </c>
      <c r="AG302" s="419">
        <v>0</v>
      </c>
    </row>
    <row r="303" spans="1:33" ht="15.75" thickBot="1" x14ac:dyDescent="0.3">
      <c r="A303" s="401">
        <v>42614</v>
      </c>
      <c r="B303" s="432" t="s">
        <v>690</v>
      </c>
      <c r="C303" s="418" t="s">
        <v>54</v>
      </c>
      <c r="D303" s="316" t="s">
        <v>55</v>
      </c>
      <c r="E303" s="419">
        <v>14181.01</v>
      </c>
      <c r="F303" s="419"/>
      <c r="G303" s="419"/>
      <c r="H303" s="419"/>
      <c r="I303" s="419"/>
      <c r="J303" s="419"/>
      <c r="K303" s="419"/>
      <c r="L303" s="419"/>
      <c r="M303" s="620">
        <f t="shared" si="12"/>
        <v>0</v>
      </c>
      <c r="N303" s="419"/>
      <c r="O303" s="419"/>
      <c r="P303" s="419">
        <v>-16130.09</v>
      </c>
      <c r="Q303" s="419"/>
      <c r="R303" s="419"/>
      <c r="S303" s="419"/>
      <c r="T303" s="419"/>
      <c r="U303" s="419"/>
      <c r="V303" s="621">
        <f t="shared" si="13"/>
        <v>-16130.09</v>
      </c>
      <c r="W303" s="420">
        <v>30311.1</v>
      </c>
      <c r="X303" s="420"/>
      <c r="Y303" s="420"/>
      <c r="Z303" s="420"/>
      <c r="AA303" s="420"/>
      <c r="AB303" s="420"/>
      <c r="AC303" s="420"/>
      <c r="AD303" s="420">
        <v>250.89</v>
      </c>
      <c r="AE303" s="420"/>
      <c r="AF303" s="420">
        <v>14431.9</v>
      </c>
      <c r="AG303" s="420">
        <v>0</v>
      </c>
    </row>
    <row r="304" spans="1:33" ht="15.75" thickBot="1" x14ac:dyDescent="0.3">
      <c r="A304" s="401">
        <v>42614</v>
      </c>
      <c r="B304" s="432" t="s">
        <v>690</v>
      </c>
      <c r="C304" s="317" t="s">
        <v>56</v>
      </c>
      <c r="D304" s="317" t="s">
        <v>56</v>
      </c>
      <c r="E304" s="420">
        <v>14181.01</v>
      </c>
      <c r="F304" s="420"/>
      <c r="G304" s="420"/>
      <c r="H304" s="420"/>
      <c r="I304" s="420"/>
      <c r="J304" s="420"/>
      <c r="K304" s="420"/>
      <c r="L304" s="420"/>
      <c r="M304" s="620">
        <f t="shared" si="12"/>
        <v>0</v>
      </c>
      <c r="N304" s="420"/>
      <c r="O304" s="420"/>
      <c r="P304" s="420">
        <v>-16130.09</v>
      </c>
      <c r="Q304" s="420"/>
      <c r="R304" s="420"/>
      <c r="S304" s="420"/>
      <c r="T304" s="420"/>
      <c r="U304" s="420"/>
      <c r="V304" s="621">
        <f t="shared" si="13"/>
        <v>-16130.09</v>
      </c>
      <c r="W304" s="419">
        <v>30311.1</v>
      </c>
      <c r="X304" s="419"/>
      <c r="Y304" s="419"/>
      <c r="Z304" s="419"/>
      <c r="AA304" s="419"/>
      <c r="AB304" s="419"/>
      <c r="AC304" s="419"/>
      <c r="AD304" s="419">
        <v>250.89</v>
      </c>
      <c r="AE304" s="419"/>
      <c r="AF304" s="419">
        <v>14431.9</v>
      </c>
      <c r="AG304" s="419">
        <v>0</v>
      </c>
    </row>
    <row r="305" spans="1:33" ht="15.75" thickBot="1" x14ac:dyDescent="0.3">
      <c r="A305" s="401">
        <v>42614</v>
      </c>
      <c r="B305" s="432" t="s">
        <v>690</v>
      </c>
      <c r="C305" s="418" t="s">
        <v>93</v>
      </c>
      <c r="D305" s="316" t="s">
        <v>719</v>
      </c>
      <c r="E305" s="419">
        <v>2282.2399999999998</v>
      </c>
      <c r="F305" s="419"/>
      <c r="G305" s="419"/>
      <c r="H305" s="419"/>
      <c r="I305" s="419"/>
      <c r="J305" s="419"/>
      <c r="K305" s="419"/>
      <c r="L305" s="419"/>
      <c r="M305" s="620">
        <f t="shared" si="12"/>
        <v>0</v>
      </c>
      <c r="N305" s="419"/>
      <c r="O305" s="419"/>
      <c r="P305" s="419">
        <v>-646.91999999999996</v>
      </c>
      <c r="Q305" s="419"/>
      <c r="R305" s="419"/>
      <c r="S305" s="419"/>
      <c r="T305" s="419"/>
      <c r="U305" s="419"/>
      <c r="V305" s="621">
        <f t="shared" si="13"/>
        <v>-646.91999999999996</v>
      </c>
      <c r="W305" s="420">
        <v>2929.16</v>
      </c>
      <c r="X305" s="420"/>
      <c r="Y305" s="420"/>
      <c r="Z305" s="420"/>
      <c r="AA305" s="420"/>
      <c r="AB305" s="420"/>
      <c r="AC305" s="420"/>
      <c r="AD305" s="420">
        <v>0</v>
      </c>
      <c r="AE305" s="420"/>
      <c r="AF305" s="420">
        <v>2282.2399999999998</v>
      </c>
      <c r="AG305" s="420">
        <v>0</v>
      </c>
    </row>
    <row r="306" spans="1:33" ht="15.75" thickBot="1" x14ac:dyDescent="0.3">
      <c r="A306" s="401">
        <v>42614</v>
      </c>
      <c r="B306" s="432" t="s">
        <v>690</v>
      </c>
      <c r="C306" s="317" t="s">
        <v>720</v>
      </c>
      <c r="D306" s="317" t="s">
        <v>720</v>
      </c>
      <c r="E306" s="420">
        <v>2282.2399999999998</v>
      </c>
      <c r="F306" s="420"/>
      <c r="G306" s="420"/>
      <c r="H306" s="420"/>
      <c r="I306" s="420"/>
      <c r="J306" s="420"/>
      <c r="K306" s="420"/>
      <c r="L306" s="420"/>
      <c r="M306" s="620">
        <f t="shared" si="12"/>
        <v>0</v>
      </c>
      <c r="N306" s="420"/>
      <c r="O306" s="420"/>
      <c r="P306" s="420">
        <v>-646.91999999999996</v>
      </c>
      <c r="Q306" s="420"/>
      <c r="R306" s="420"/>
      <c r="S306" s="420"/>
      <c r="T306" s="420"/>
      <c r="U306" s="420"/>
      <c r="V306" s="621">
        <f t="shared" si="13"/>
        <v>-646.91999999999996</v>
      </c>
      <c r="W306" s="419">
        <v>2929.16</v>
      </c>
      <c r="X306" s="419"/>
      <c r="Y306" s="419"/>
      <c r="Z306" s="419"/>
      <c r="AA306" s="419"/>
      <c r="AB306" s="419"/>
      <c r="AC306" s="419"/>
      <c r="AD306" s="419">
        <v>0</v>
      </c>
      <c r="AE306" s="419"/>
      <c r="AF306" s="419">
        <v>2282.2399999999998</v>
      </c>
      <c r="AG306" s="419">
        <v>0</v>
      </c>
    </row>
    <row r="307" spans="1:33" ht="15.75" thickBot="1" x14ac:dyDescent="0.3">
      <c r="A307" s="401">
        <v>42614</v>
      </c>
      <c r="B307" s="432" t="s">
        <v>690</v>
      </c>
      <c r="C307" s="418" t="s">
        <v>1001</v>
      </c>
      <c r="D307" s="316" t="s">
        <v>1002</v>
      </c>
      <c r="E307" s="419">
        <v>900</v>
      </c>
      <c r="F307" s="419">
        <v>0</v>
      </c>
      <c r="G307" s="419">
        <v>900</v>
      </c>
      <c r="H307" s="419"/>
      <c r="I307" s="419">
        <v>0</v>
      </c>
      <c r="J307" s="419"/>
      <c r="K307" s="419"/>
      <c r="L307" s="419"/>
      <c r="M307" s="620">
        <f t="shared" si="12"/>
        <v>900</v>
      </c>
      <c r="N307" s="419"/>
      <c r="O307" s="419"/>
      <c r="P307" s="419"/>
      <c r="Q307" s="419"/>
      <c r="R307" s="419"/>
      <c r="S307" s="419"/>
      <c r="T307" s="419"/>
      <c r="U307" s="419"/>
      <c r="V307" s="621">
        <f t="shared" si="13"/>
        <v>0</v>
      </c>
      <c r="W307" s="420"/>
      <c r="X307" s="420"/>
      <c r="Y307" s="420"/>
      <c r="Z307" s="420"/>
      <c r="AA307" s="420"/>
      <c r="AB307" s="420"/>
      <c r="AC307" s="420"/>
      <c r="AD307" s="420">
        <v>16.190000000000001</v>
      </c>
      <c r="AE307" s="420"/>
      <c r="AF307" s="420">
        <v>916.19</v>
      </c>
      <c r="AG307" s="420">
        <v>0</v>
      </c>
    </row>
    <row r="308" spans="1:33" ht="15.75" thickBot="1" x14ac:dyDescent="0.3">
      <c r="A308" s="401">
        <v>42614</v>
      </c>
      <c r="B308" s="432" t="s">
        <v>690</v>
      </c>
      <c r="C308" s="418" t="s">
        <v>1003</v>
      </c>
      <c r="D308" s="316" t="s">
        <v>1004</v>
      </c>
      <c r="E308" s="420">
        <v>800</v>
      </c>
      <c r="F308" s="420"/>
      <c r="G308" s="420">
        <v>800</v>
      </c>
      <c r="H308" s="420"/>
      <c r="I308" s="420"/>
      <c r="J308" s="420"/>
      <c r="K308" s="420"/>
      <c r="L308" s="420"/>
      <c r="M308" s="620">
        <f t="shared" si="12"/>
        <v>800</v>
      </c>
      <c r="N308" s="420"/>
      <c r="O308" s="420"/>
      <c r="P308" s="420"/>
      <c r="Q308" s="420"/>
      <c r="R308" s="420"/>
      <c r="S308" s="420"/>
      <c r="T308" s="420"/>
      <c r="U308" s="420"/>
      <c r="V308" s="621">
        <f t="shared" si="13"/>
        <v>0</v>
      </c>
      <c r="W308" s="419"/>
      <c r="X308" s="419"/>
      <c r="Y308" s="419"/>
      <c r="Z308" s="419"/>
      <c r="AA308" s="419"/>
      <c r="AB308" s="419"/>
      <c r="AC308" s="419"/>
      <c r="AD308" s="419">
        <v>0</v>
      </c>
      <c r="AE308" s="419"/>
      <c r="AF308" s="419">
        <v>800</v>
      </c>
      <c r="AG308" s="419">
        <v>0</v>
      </c>
    </row>
    <row r="309" spans="1:33" ht="15.75" thickBot="1" x14ac:dyDescent="0.3">
      <c r="A309" s="401">
        <v>42614</v>
      </c>
      <c r="B309" s="432" t="s">
        <v>690</v>
      </c>
      <c r="C309" s="317" t="s">
        <v>689</v>
      </c>
      <c r="D309" s="317" t="s">
        <v>689</v>
      </c>
      <c r="E309" s="419">
        <v>1700</v>
      </c>
      <c r="F309" s="419">
        <v>0</v>
      </c>
      <c r="G309" s="419">
        <v>1700</v>
      </c>
      <c r="H309" s="419"/>
      <c r="I309" s="419">
        <v>0</v>
      </c>
      <c r="J309" s="419"/>
      <c r="K309" s="419"/>
      <c r="L309" s="419"/>
      <c r="M309" s="620">
        <f t="shared" si="12"/>
        <v>1700</v>
      </c>
      <c r="N309" s="419"/>
      <c r="O309" s="419"/>
      <c r="P309" s="419"/>
      <c r="Q309" s="419"/>
      <c r="R309" s="419"/>
      <c r="S309" s="419"/>
      <c r="T309" s="419"/>
      <c r="U309" s="419"/>
      <c r="V309" s="621">
        <f t="shared" si="13"/>
        <v>0</v>
      </c>
      <c r="W309" s="420"/>
      <c r="X309" s="420"/>
      <c r="Y309" s="420"/>
      <c r="Z309" s="420"/>
      <c r="AA309" s="420"/>
      <c r="AB309" s="420"/>
      <c r="AC309" s="420"/>
      <c r="AD309" s="420">
        <v>16.190000000000001</v>
      </c>
      <c r="AE309" s="420"/>
      <c r="AF309" s="420">
        <v>1716.19</v>
      </c>
      <c r="AG309" s="420">
        <v>0</v>
      </c>
    </row>
    <row r="310" spans="1:33" ht="15.75" thickBot="1" x14ac:dyDescent="0.3">
      <c r="A310" s="401">
        <v>42614</v>
      </c>
      <c r="B310" s="432" t="s">
        <v>511</v>
      </c>
      <c r="C310" s="418" t="s">
        <v>57</v>
      </c>
      <c r="D310" s="316" t="s">
        <v>1228</v>
      </c>
      <c r="E310" s="419">
        <v>113917.47</v>
      </c>
      <c r="F310" s="419">
        <v>1296348</v>
      </c>
      <c r="G310" s="419">
        <v>0</v>
      </c>
      <c r="H310" s="419">
        <v>107140.32</v>
      </c>
      <c r="I310" s="419">
        <v>6442.85</v>
      </c>
      <c r="J310" s="419"/>
      <c r="K310" s="419"/>
      <c r="L310" s="419">
        <v>175.33</v>
      </c>
      <c r="M310" s="620">
        <f t="shared" si="12"/>
        <v>113758.50000000001</v>
      </c>
      <c r="N310" s="419"/>
      <c r="O310" s="419"/>
      <c r="P310" s="419"/>
      <c r="Q310" s="419">
        <v>0</v>
      </c>
      <c r="R310" s="419">
        <v>158.97</v>
      </c>
      <c r="S310" s="419"/>
      <c r="T310" s="419"/>
      <c r="U310" s="419"/>
      <c r="V310" s="621">
        <f t="shared" si="13"/>
        <v>158.97</v>
      </c>
      <c r="W310" s="419"/>
      <c r="X310" s="419"/>
      <c r="Y310" s="419"/>
      <c r="Z310" s="419"/>
      <c r="AA310" s="419"/>
      <c r="AB310" s="419"/>
      <c r="AC310" s="419">
        <v>0</v>
      </c>
      <c r="AD310" s="419">
        <v>0</v>
      </c>
      <c r="AE310" s="419"/>
      <c r="AF310" s="419">
        <v>113917.47</v>
      </c>
      <c r="AG310" s="419">
        <v>0</v>
      </c>
    </row>
    <row r="311" spans="1:33" ht="15.75" thickBot="1" x14ac:dyDescent="0.3">
      <c r="A311" s="401">
        <v>42614</v>
      </c>
      <c r="B311" s="432" t="s">
        <v>511</v>
      </c>
      <c r="C311" s="418" t="s">
        <v>45</v>
      </c>
      <c r="D311" s="316" t="s">
        <v>46</v>
      </c>
      <c r="E311" s="420">
        <v>195028.53</v>
      </c>
      <c r="F311" s="420"/>
      <c r="G311" s="420">
        <v>0</v>
      </c>
      <c r="H311" s="420"/>
      <c r="I311" s="420"/>
      <c r="J311" s="420"/>
      <c r="K311" s="420"/>
      <c r="L311" s="420"/>
      <c r="M311" s="620">
        <f t="shared" si="12"/>
        <v>0</v>
      </c>
      <c r="N311" s="420"/>
      <c r="O311" s="420">
        <v>194768.99</v>
      </c>
      <c r="P311" s="420"/>
      <c r="Q311" s="420"/>
      <c r="R311" s="420"/>
      <c r="S311" s="420"/>
      <c r="T311" s="420"/>
      <c r="U311" s="420"/>
      <c r="V311" s="621">
        <f t="shared" si="13"/>
        <v>194768.99</v>
      </c>
      <c r="W311" s="420"/>
      <c r="X311" s="420">
        <v>259.54000000000002</v>
      </c>
      <c r="Y311" s="420"/>
      <c r="Z311" s="420"/>
      <c r="AA311" s="420"/>
      <c r="AB311" s="420"/>
      <c r="AC311" s="420">
        <v>0</v>
      </c>
      <c r="AD311" s="420">
        <v>0</v>
      </c>
      <c r="AE311" s="420"/>
      <c r="AF311" s="420">
        <v>195028.53</v>
      </c>
      <c r="AG311" s="420">
        <v>0</v>
      </c>
    </row>
    <row r="312" spans="1:33" ht="15.75" thickBot="1" x14ac:dyDescent="0.3">
      <c r="A312" s="401">
        <v>42614</v>
      </c>
      <c r="B312" s="432" t="s">
        <v>511</v>
      </c>
      <c r="C312" s="317" t="s">
        <v>687</v>
      </c>
      <c r="D312" s="317" t="s">
        <v>687</v>
      </c>
      <c r="E312" s="419">
        <v>308946</v>
      </c>
      <c r="F312" s="419">
        <v>1296348</v>
      </c>
      <c r="G312" s="419">
        <v>0</v>
      </c>
      <c r="H312" s="419">
        <v>107140.32</v>
      </c>
      <c r="I312" s="419">
        <v>6442.85</v>
      </c>
      <c r="J312" s="419"/>
      <c r="K312" s="419"/>
      <c r="L312" s="419">
        <v>175.33</v>
      </c>
      <c r="M312" s="620">
        <f t="shared" si="12"/>
        <v>113758.50000000001</v>
      </c>
      <c r="N312" s="419"/>
      <c r="O312" s="419">
        <v>194768.99</v>
      </c>
      <c r="P312" s="419"/>
      <c r="Q312" s="419">
        <v>0</v>
      </c>
      <c r="R312" s="419">
        <v>158.97</v>
      </c>
      <c r="S312" s="419"/>
      <c r="T312" s="419"/>
      <c r="U312" s="419"/>
      <c r="V312" s="621">
        <f t="shared" si="13"/>
        <v>194927.96</v>
      </c>
      <c r="W312" s="419"/>
      <c r="X312" s="419">
        <v>259.54000000000002</v>
      </c>
      <c r="Y312" s="419"/>
      <c r="Z312" s="419"/>
      <c r="AA312" s="419"/>
      <c r="AB312" s="419"/>
      <c r="AC312" s="419">
        <v>0</v>
      </c>
      <c r="AD312" s="419">
        <v>0</v>
      </c>
      <c r="AE312" s="419"/>
      <c r="AF312" s="419">
        <v>308946</v>
      </c>
      <c r="AG312" s="419">
        <v>0</v>
      </c>
    </row>
    <row r="313" spans="1:33" ht="15.75" thickBot="1" x14ac:dyDescent="0.3">
      <c r="A313" s="401">
        <v>42614</v>
      </c>
      <c r="B313" s="432" t="s">
        <v>698</v>
      </c>
      <c r="C313" s="418" t="s">
        <v>57</v>
      </c>
      <c r="D313" s="316" t="s">
        <v>1228</v>
      </c>
      <c r="E313" s="420">
        <v>12749.14</v>
      </c>
      <c r="F313" s="420">
        <v>0</v>
      </c>
      <c r="G313" s="420">
        <v>800</v>
      </c>
      <c r="H313" s="420"/>
      <c r="I313" s="420">
        <v>0</v>
      </c>
      <c r="J313" s="420"/>
      <c r="K313" s="420"/>
      <c r="L313" s="420"/>
      <c r="M313" s="620">
        <f t="shared" si="12"/>
        <v>800</v>
      </c>
      <c r="N313" s="420"/>
      <c r="O313" s="420"/>
      <c r="P313" s="420">
        <v>-102.35</v>
      </c>
      <c r="Q313" s="420"/>
      <c r="R313" s="420"/>
      <c r="S313" s="420"/>
      <c r="T313" s="420"/>
      <c r="U313" s="420"/>
      <c r="V313" s="621">
        <f t="shared" si="13"/>
        <v>-102.35</v>
      </c>
      <c r="W313" s="420">
        <v>12051.49</v>
      </c>
      <c r="X313" s="420"/>
      <c r="Y313" s="420"/>
      <c r="Z313" s="420"/>
      <c r="AA313" s="420"/>
      <c r="AB313" s="420"/>
      <c r="AC313" s="420"/>
      <c r="AD313" s="420">
        <v>0</v>
      </c>
      <c r="AE313" s="420"/>
      <c r="AF313" s="420">
        <v>12749.14</v>
      </c>
      <c r="AG313" s="420">
        <v>0</v>
      </c>
    </row>
    <row r="314" spans="1:33" ht="15.75" thickBot="1" x14ac:dyDescent="0.3">
      <c r="A314" s="401">
        <v>42614</v>
      </c>
      <c r="B314" s="432" t="s">
        <v>698</v>
      </c>
      <c r="C314" s="418" t="s">
        <v>45</v>
      </c>
      <c r="D314" s="316" t="s">
        <v>46</v>
      </c>
      <c r="E314" s="419">
        <v>203659.97</v>
      </c>
      <c r="F314" s="419">
        <v>509653</v>
      </c>
      <c r="G314" s="419">
        <v>180</v>
      </c>
      <c r="H314" s="419">
        <v>186513.62</v>
      </c>
      <c r="I314" s="419">
        <v>16966.349999999999</v>
      </c>
      <c r="J314" s="419"/>
      <c r="K314" s="419"/>
      <c r="L314" s="419"/>
      <c r="M314" s="620">
        <f t="shared" si="12"/>
        <v>203659.97</v>
      </c>
      <c r="N314" s="419"/>
      <c r="O314" s="419"/>
      <c r="P314" s="419"/>
      <c r="Q314" s="419"/>
      <c r="R314" s="419"/>
      <c r="S314" s="419"/>
      <c r="T314" s="419"/>
      <c r="U314" s="419"/>
      <c r="V314" s="621">
        <f t="shared" si="13"/>
        <v>0</v>
      </c>
      <c r="W314" s="419"/>
      <c r="X314" s="419"/>
      <c r="Y314" s="419"/>
      <c r="Z314" s="419"/>
      <c r="AA314" s="419"/>
      <c r="AB314" s="419"/>
      <c r="AC314" s="419"/>
      <c r="AD314" s="419">
        <v>0</v>
      </c>
      <c r="AE314" s="419"/>
      <c r="AF314" s="419">
        <v>203659.97</v>
      </c>
      <c r="AG314" s="419">
        <v>0</v>
      </c>
    </row>
    <row r="315" spans="1:33" ht="15.75" thickBot="1" x14ac:dyDescent="0.3">
      <c r="A315" s="401">
        <v>42614</v>
      </c>
      <c r="B315" s="432" t="s">
        <v>698</v>
      </c>
      <c r="C315" s="317" t="s">
        <v>687</v>
      </c>
      <c r="D315" s="317" t="s">
        <v>687</v>
      </c>
      <c r="E315" s="420">
        <v>216409.11</v>
      </c>
      <c r="F315" s="420">
        <v>509653</v>
      </c>
      <c r="G315" s="420">
        <v>980</v>
      </c>
      <c r="H315" s="420">
        <v>186513.62</v>
      </c>
      <c r="I315" s="420">
        <v>16966.349999999999</v>
      </c>
      <c r="J315" s="420"/>
      <c r="K315" s="420"/>
      <c r="L315" s="420"/>
      <c r="M315" s="620">
        <f t="shared" si="12"/>
        <v>204459.97</v>
      </c>
      <c r="N315" s="420"/>
      <c r="O315" s="420"/>
      <c r="P315" s="420">
        <v>-102.35</v>
      </c>
      <c r="Q315" s="420"/>
      <c r="R315" s="420"/>
      <c r="S315" s="420"/>
      <c r="T315" s="420"/>
      <c r="U315" s="420"/>
      <c r="V315" s="621">
        <f t="shared" si="13"/>
        <v>-102.35</v>
      </c>
      <c r="W315" s="420">
        <v>12051.49</v>
      </c>
      <c r="X315" s="420"/>
      <c r="Y315" s="420"/>
      <c r="Z315" s="420"/>
      <c r="AA315" s="420"/>
      <c r="AB315" s="420"/>
      <c r="AC315" s="420"/>
      <c r="AD315" s="420">
        <v>0</v>
      </c>
      <c r="AE315" s="420"/>
      <c r="AF315" s="420">
        <v>216409.11</v>
      </c>
      <c r="AG315" s="420">
        <v>0</v>
      </c>
    </row>
    <row r="317" spans="1:33" x14ac:dyDescent="0.2">
      <c r="E317" s="318">
        <f>SUBTOTAL(9,E16:E316)</f>
        <v>249657151.68000001</v>
      </c>
    </row>
  </sheetData>
  <mergeCells count="1">
    <mergeCell ref="C289:D289"/>
  </mergeCells>
  <printOptions horizontalCentered="1"/>
  <pageMargins left="0.25" right="0" top="0.25" bottom="0.5" header="0.25" footer="0.25"/>
  <pageSetup scale="41" orientation="landscape" r:id="rId1"/>
  <headerFooter alignWithMargins="0">
    <oddFooter>&amp;C&amp;P of &amp;N</oddFooter>
  </headerFooter>
  <colBreaks count="1" manualBreakCount="1">
    <brk id="4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9"/>
  <sheetViews>
    <sheetView workbookViewId="0"/>
  </sheetViews>
  <sheetFormatPr defaultRowHeight="15" x14ac:dyDescent="0.25"/>
  <cols>
    <col min="1" max="1" width="19" customWidth="1"/>
    <col min="2" max="2" width="21.7109375" customWidth="1"/>
    <col min="3" max="3" width="19.85546875" customWidth="1"/>
    <col min="4" max="4" width="27.85546875" style="644" bestFit="1" customWidth="1"/>
    <col min="23" max="23" width="9.140625" customWidth="1"/>
  </cols>
  <sheetData>
    <row r="1" spans="1:4" x14ac:dyDescent="0.25">
      <c r="B1" t="s">
        <v>705</v>
      </c>
    </row>
    <row r="4" spans="1:4" x14ac:dyDescent="0.25">
      <c r="A4" s="400" t="s">
        <v>161</v>
      </c>
      <c r="B4" s="501" t="s">
        <v>167</v>
      </c>
      <c r="C4" s="400" t="s">
        <v>239</v>
      </c>
      <c r="D4" s="502" t="s">
        <v>951</v>
      </c>
    </row>
    <row r="5" spans="1:4" x14ac:dyDescent="0.25">
      <c r="A5" s="663">
        <v>42430</v>
      </c>
      <c r="B5" s="661" t="s">
        <v>926</v>
      </c>
      <c r="C5" s="662">
        <v>38757.300000000003</v>
      </c>
      <c r="D5" s="660" t="s">
        <v>954</v>
      </c>
    </row>
    <row r="6" spans="1:4" x14ac:dyDescent="0.25">
      <c r="A6" s="663">
        <v>42430</v>
      </c>
      <c r="B6" s="661" t="s">
        <v>950</v>
      </c>
      <c r="C6" s="662">
        <v>60278.84</v>
      </c>
      <c r="D6" s="644" t="s">
        <v>954</v>
      </c>
    </row>
    <row r="7" spans="1:4" x14ac:dyDescent="0.25">
      <c r="A7" s="663">
        <v>42430</v>
      </c>
      <c r="B7" s="661" t="s">
        <v>506</v>
      </c>
      <c r="C7" s="662">
        <v>27552.59</v>
      </c>
      <c r="D7" s="644">
        <v>895</v>
      </c>
    </row>
    <row r="8" spans="1:4" x14ac:dyDescent="0.25">
      <c r="A8" s="663">
        <v>42430</v>
      </c>
      <c r="B8" s="661" t="s">
        <v>507</v>
      </c>
      <c r="C8" s="662">
        <v>666826.1</v>
      </c>
      <c r="D8" s="644">
        <v>896</v>
      </c>
    </row>
    <row r="9" spans="1:4" x14ac:dyDescent="0.25">
      <c r="A9" s="663">
        <v>42430</v>
      </c>
      <c r="B9" s="661" t="s">
        <v>952</v>
      </c>
      <c r="C9" s="662">
        <v>21009.9</v>
      </c>
      <c r="D9" s="644" t="s">
        <v>955</v>
      </c>
    </row>
    <row r="10" spans="1:4" x14ac:dyDescent="0.25">
      <c r="A10" s="663">
        <v>42430</v>
      </c>
      <c r="B10" s="661" t="s">
        <v>953</v>
      </c>
      <c r="C10" s="662">
        <v>107818.13</v>
      </c>
      <c r="D10" s="644">
        <v>997</v>
      </c>
    </row>
    <row r="11" spans="1:4" x14ac:dyDescent="0.25">
      <c r="A11" s="663">
        <v>42461</v>
      </c>
      <c r="B11" s="661" t="s">
        <v>926</v>
      </c>
      <c r="C11" s="662">
        <v>71951.240000000005</v>
      </c>
      <c r="D11" s="660" t="s">
        <v>954</v>
      </c>
    </row>
    <row r="12" spans="1:4" x14ac:dyDescent="0.25">
      <c r="A12" s="663">
        <v>42461</v>
      </c>
      <c r="B12" s="661" t="s">
        <v>950</v>
      </c>
      <c r="C12" s="662">
        <v>73447.66</v>
      </c>
      <c r="D12" s="644" t="s">
        <v>954</v>
      </c>
    </row>
    <row r="13" spans="1:4" x14ac:dyDescent="0.25">
      <c r="A13" s="663">
        <v>42461</v>
      </c>
      <c r="B13" s="661" t="s">
        <v>506</v>
      </c>
      <c r="C13" s="662">
        <v>25406.66</v>
      </c>
      <c r="D13" s="644">
        <v>895</v>
      </c>
    </row>
    <row r="14" spans="1:4" x14ac:dyDescent="0.25">
      <c r="A14" s="663">
        <v>42461</v>
      </c>
      <c r="B14" s="661" t="s">
        <v>507</v>
      </c>
      <c r="C14" s="662">
        <v>527155.80000000005</v>
      </c>
      <c r="D14" s="644">
        <v>896</v>
      </c>
    </row>
    <row r="15" spans="1:4" x14ac:dyDescent="0.25">
      <c r="A15" s="663">
        <v>42461</v>
      </c>
      <c r="B15" s="661" t="s">
        <v>952</v>
      </c>
      <c r="C15" s="662">
        <v>20188.669999999998</v>
      </c>
      <c r="D15" s="644" t="s">
        <v>955</v>
      </c>
    </row>
    <row r="16" spans="1:4" x14ac:dyDescent="0.25">
      <c r="A16" s="663">
        <v>42461</v>
      </c>
      <c r="B16" s="661" t="s">
        <v>953</v>
      </c>
      <c r="C16" s="662">
        <v>110942.16</v>
      </c>
      <c r="D16" s="644">
        <v>997</v>
      </c>
    </row>
    <row r="17" spans="1:4" x14ac:dyDescent="0.25">
      <c r="A17" s="663">
        <v>42491</v>
      </c>
      <c r="B17" s="661" t="s">
        <v>926</v>
      </c>
      <c r="C17" s="662">
        <v>82554.759999999995</v>
      </c>
      <c r="D17" s="660" t="s">
        <v>954</v>
      </c>
    </row>
    <row r="18" spans="1:4" x14ac:dyDescent="0.25">
      <c r="A18" s="663">
        <v>42491</v>
      </c>
      <c r="B18" s="661" t="s">
        <v>950</v>
      </c>
      <c r="C18" s="662">
        <v>31825.64</v>
      </c>
      <c r="D18" s="644" t="s">
        <v>954</v>
      </c>
    </row>
    <row r="19" spans="1:4" x14ac:dyDescent="0.25">
      <c r="A19" s="663">
        <v>42491</v>
      </c>
      <c r="B19" s="661" t="s">
        <v>506</v>
      </c>
      <c r="C19" s="662">
        <v>22645.55</v>
      </c>
      <c r="D19" s="644">
        <v>895</v>
      </c>
    </row>
    <row r="20" spans="1:4" x14ac:dyDescent="0.25">
      <c r="A20" s="663">
        <v>42491</v>
      </c>
      <c r="B20" s="661" t="s">
        <v>507</v>
      </c>
      <c r="C20" s="662">
        <v>429098.21</v>
      </c>
      <c r="D20" s="644">
        <v>896</v>
      </c>
    </row>
    <row r="21" spans="1:4" x14ac:dyDescent="0.25">
      <c r="A21" s="663">
        <v>42491</v>
      </c>
      <c r="B21" s="661" t="s">
        <v>952</v>
      </c>
      <c r="C21" s="662">
        <v>16082.95</v>
      </c>
      <c r="D21" s="644" t="s">
        <v>955</v>
      </c>
    </row>
    <row r="22" spans="1:4" x14ac:dyDescent="0.25">
      <c r="A22" s="663">
        <v>42491</v>
      </c>
      <c r="B22" s="661" t="s">
        <v>953</v>
      </c>
      <c r="C22" s="662">
        <v>108359.91</v>
      </c>
      <c r="D22" s="644">
        <v>997</v>
      </c>
    </row>
    <row r="23" spans="1:4" x14ac:dyDescent="0.25">
      <c r="A23" s="663">
        <v>42522</v>
      </c>
      <c r="B23" s="661" t="s">
        <v>926</v>
      </c>
      <c r="C23" s="662">
        <v>83345</v>
      </c>
      <c r="D23" s="660" t="s">
        <v>954</v>
      </c>
    </row>
    <row r="24" spans="1:4" x14ac:dyDescent="0.25">
      <c r="A24" s="663">
        <v>42522</v>
      </c>
      <c r="B24" s="661" t="s">
        <v>950</v>
      </c>
      <c r="C24" s="662">
        <v>77585.42</v>
      </c>
      <c r="D24" s="644" t="s">
        <v>954</v>
      </c>
    </row>
    <row r="25" spans="1:4" x14ac:dyDescent="0.25">
      <c r="A25" s="663">
        <v>42522</v>
      </c>
      <c r="B25" s="661" t="s">
        <v>506</v>
      </c>
      <c r="C25" s="662">
        <v>22250.15</v>
      </c>
      <c r="D25" s="644">
        <v>895</v>
      </c>
    </row>
    <row r="26" spans="1:4" x14ac:dyDescent="0.25">
      <c r="A26" s="663">
        <v>42522</v>
      </c>
      <c r="B26" s="661" t="s">
        <v>507</v>
      </c>
      <c r="C26" s="662">
        <v>428794.22</v>
      </c>
      <c r="D26" s="644">
        <v>896</v>
      </c>
    </row>
    <row r="27" spans="1:4" x14ac:dyDescent="0.25">
      <c r="A27" s="663">
        <v>42522</v>
      </c>
      <c r="B27" s="661" t="s">
        <v>952</v>
      </c>
      <c r="C27" s="662">
        <v>14537.68</v>
      </c>
      <c r="D27" s="644" t="s">
        <v>955</v>
      </c>
    </row>
    <row r="28" spans="1:4" x14ac:dyDescent="0.25">
      <c r="A28" s="663">
        <v>42522</v>
      </c>
      <c r="B28" s="661" t="s">
        <v>953</v>
      </c>
      <c r="C28" s="662">
        <v>112077.09</v>
      </c>
      <c r="D28" s="644">
        <v>997</v>
      </c>
    </row>
    <row r="29" spans="1:4" x14ac:dyDescent="0.25">
      <c r="A29" s="663">
        <v>42552</v>
      </c>
      <c r="B29" s="661" t="s">
        <v>926</v>
      </c>
      <c r="C29" s="662">
        <f>3275+64751.63+33033.71+6019.87</f>
        <v>107080.20999999999</v>
      </c>
      <c r="D29" s="660" t="s">
        <v>954</v>
      </c>
    </row>
    <row r="30" spans="1:4" x14ac:dyDescent="0.25">
      <c r="A30" s="663">
        <v>42552</v>
      </c>
      <c r="B30" s="661" t="s">
        <v>950</v>
      </c>
      <c r="C30" s="402">
        <v>62652.44</v>
      </c>
      <c r="D30" s="644" t="s">
        <v>954</v>
      </c>
    </row>
    <row r="31" spans="1:4" x14ac:dyDescent="0.25">
      <c r="A31" s="663">
        <v>42552</v>
      </c>
      <c r="B31" s="661" t="s">
        <v>506</v>
      </c>
      <c r="C31" s="402">
        <v>18652.48</v>
      </c>
      <c r="D31" s="644">
        <v>895</v>
      </c>
    </row>
    <row r="32" spans="1:4" x14ac:dyDescent="0.25">
      <c r="A32" s="663">
        <v>42552</v>
      </c>
      <c r="B32" s="661" t="s">
        <v>507</v>
      </c>
      <c r="C32" s="402">
        <v>345809.77</v>
      </c>
      <c r="D32" s="644">
        <v>896</v>
      </c>
    </row>
    <row r="33" spans="1:4" x14ac:dyDescent="0.25">
      <c r="A33" s="663">
        <v>42552</v>
      </c>
      <c r="B33" s="661" t="s">
        <v>952</v>
      </c>
      <c r="C33" s="402">
        <v>12373.68</v>
      </c>
      <c r="D33" s="644" t="s">
        <v>955</v>
      </c>
    </row>
    <row r="34" spans="1:4" x14ac:dyDescent="0.25">
      <c r="A34" s="663">
        <v>42552</v>
      </c>
      <c r="B34" s="661" t="s">
        <v>953</v>
      </c>
      <c r="C34" s="402">
        <v>121126.85</v>
      </c>
      <c r="D34" s="644">
        <v>997</v>
      </c>
    </row>
    <row r="35" spans="1:4" x14ac:dyDescent="0.25">
      <c r="A35" s="663">
        <v>42583</v>
      </c>
      <c r="B35" s="661" t="s">
        <v>926</v>
      </c>
      <c r="C35" s="402">
        <v>107975.55</v>
      </c>
      <c r="D35" s="660" t="s">
        <v>954</v>
      </c>
    </row>
    <row r="36" spans="1:4" x14ac:dyDescent="0.25">
      <c r="A36" s="663">
        <v>42583</v>
      </c>
      <c r="B36" s="661" t="s">
        <v>950</v>
      </c>
      <c r="C36" s="402">
        <v>67513.37</v>
      </c>
      <c r="D36" s="644" t="s">
        <v>954</v>
      </c>
    </row>
    <row r="37" spans="1:4" x14ac:dyDescent="0.25">
      <c r="A37" s="663">
        <v>42583</v>
      </c>
      <c r="B37" s="661" t="s">
        <v>506</v>
      </c>
      <c r="C37" s="402">
        <v>18958.439999999999</v>
      </c>
      <c r="D37" s="644">
        <v>895</v>
      </c>
    </row>
    <row r="38" spans="1:4" x14ac:dyDescent="0.25">
      <c r="A38" s="663">
        <v>42583</v>
      </c>
      <c r="B38" s="661" t="s">
        <v>507</v>
      </c>
      <c r="C38" s="402">
        <v>335493.87</v>
      </c>
      <c r="D38" s="644">
        <v>896</v>
      </c>
    </row>
    <row r="39" spans="1:4" x14ac:dyDescent="0.25">
      <c r="A39" s="663">
        <v>42583</v>
      </c>
      <c r="B39" s="661" t="s">
        <v>952</v>
      </c>
      <c r="C39" s="402">
        <v>13179.87</v>
      </c>
      <c r="D39" s="644" t="s">
        <v>955</v>
      </c>
    </row>
    <row r="40" spans="1:4" x14ac:dyDescent="0.25">
      <c r="A40" s="663">
        <v>42583</v>
      </c>
      <c r="B40" s="661" t="s">
        <v>953</v>
      </c>
      <c r="C40" s="402">
        <v>120754.87</v>
      </c>
      <c r="D40" s="644">
        <v>997</v>
      </c>
    </row>
    <row r="41" spans="1:4" x14ac:dyDescent="0.25">
      <c r="A41" s="663">
        <v>42614</v>
      </c>
      <c r="B41" s="661" t="s">
        <v>926</v>
      </c>
      <c r="C41" s="402">
        <v>112238.52</v>
      </c>
      <c r="D41" s="660" t="s">
        <v>954</v>
      </c>
    </row>
    <row r="42" spans="1:4" x14ac:dyDescent="0.25">
      <c r="A42" s="663">
        <v>42614</v>
      </c>
      <c r="B42" s="661" t="s">
        <v>950</v>
      </c>
      <c r="C42" s="402">
        <v>50269.97</v>
      </c>
      <c r="D42" s="644" t="s">
        <v>954</v>
      </c>
    </row>
    <row r="43" spans="1:4" x14ac:dyDescent="0.25">
      <c r="A43" s="663">
        <v>42614</v>
      </c>
      <c r="B43" s="661" t="s">
        <v>506</v>
      </c>
      <c r="C43" s="402">
        <v>18638.22</v>
      </c>
      <c r="D43" s="644">
        <v>895</v>
      </c>
    </row>
    <row r="44" spans="1:4" x14ac:dyDescent="0.25">
      <c r="A44" s="663">
        <v>42614</v>
      </c>
      <c r="B44" s="661" t="s">
        <v>507</v>
      </c>
      <c r="C44" s="402">
        <v>349569.54</v>
      </c>
      <c r="D44" s="644">
        <v>896</v>
      </c>
    </row>
    <row r="45" spans="1:4" x14ac:dyDescent="0.25">
      <c r="A45" s="663">
        <v>42614</v>
      </c>
      <c r="B45" s="661" t="s">
        <v>952</v>
      </c>
      <c r="C45" s="402">
        <v>12778.76</v>
      </c>
      <c r="D45" s="644" t="s">
        <v>955</v>
      </c>
    </row>
    <row r="46" spans="1:4" x14ac:dyDescent="0.25">
      <c r="A46" s="663">
        <v>42614</v>
      </c>
      <c r="B46" s="661" t="s">
        <v>953</v>
      </c>
      <c r="C46" s="402">
        <v>113917.47</v>
      </c>
      <c r="D46" s="644">
        <v>997</v>
      </c>
    </row>
    <row r="47" spans="1:4" x14ac:dyDescent="0.25">
      <c r="A47" s="663">
        <v>42644</v>
      </c>
      <c r="B47" s="661" t="s">
        <v>926</v>
      </c>
      <c r="C47" s="402"/>
      <c r="D47" s="660" t="s">
        <v>954</v>
      </c>
    </row>
    <row r="48" spans="1:4" x14ac:dyDescent="0.25">
      <c r="A48" s="663">
        <v>42644</v>
      </c>
      <c r="B48" s="661" t="s">
        <v>950</v>
      </c>
      <c r="C48" s="402"/>
      <c r="D48" s="644" t="s">
        <v>954</v>
      </c>
    </row>
    <row r="49" spans="1:4" x14ac:dyDescent="0.25">
      <c r="A49" s="663">
        <v>42644</v>
      </c>
      <c r="B49" s="661" t="s">
        <v>506</v>
      </c>
      <c r="C49" s="402"/>
      <c r="D49" s="644">
        <v>895</v>
      </c>
    </row>
    <row r="50" spans="1:4" x14ac:dyDescent="0.25">
      <c r="A50" s="663">
        <v>42644</v>
      </c>
      <c r="B50" s="661" t="s">
        <v>507</v>
      </c>
      <c r="C50" s="402"/>
      <c r="D50" s="644">
        <v>896</v>
      </c>
    </row>
    <row r="51" spans="1:4" x14ac:dyDescent="0.25">
      <c r="A51" s="663">
        <v>42644</v>
      </c>
      <c r="B51" s="661" t="s">
        <v>952</v>
      </c>
      <c r="C51" s="402"/>
      <c r="D51" s="644" t="s">
        <v>955</v>
      </c>
    </row>
    <row r="52" spans="1:4" x14ac:dyDescent="0.25">
      <c r="A52" s="663">
        <v>42644</v>
      </c>
      <c r="B52" s="661" t="s">
        <v>953</v>
      </c>
      <c r="C52" s="402"/>
      <c r="D52" s="644">
        <v>997</v>
      </c>
    </row>
    <row r="53" spans="1:4" x14ac:dyDescent="0.25">
      <c r="A53" s="663">
        <v>42675</v>
      </c>
      <c r="B53" s="661" t="s">
        <v>926</v>
      </c>
      <c r="C53" s="402"/>
      <c r="D53" s="660" t="s">
        <v>954</v>
      </c>
    </row>
    <row r="54" spans="1:4" x14ac:dyDescent="0.25">
      <c r="A54" s="663">
        <v>42675</v>
      </c>
      <c r="B54" s="661" t="s">
        <v>950</v>
      </c>
      <c r="C54" s="402"/>
      <c r="D54" s="644" t="s">
        <v>954</v>
      </c>
    </row>
    <row r="55" spans="1:4" x14ac:dyDescent="0.25">
      <c r="A55" s="663">
        <v>42675</v>
      </c>
      <c r="B55" s="661" t="s">
        <v>506</v>
      </c>
      <c r="C55" s="402"/>
      <c r="D55" s="644">
        <v>895</v>
      </c>
    </row>
    <row r="56" spans="1:4" x14ac:dyDescent="0.25">
      <c r="A56" s="663">
        <v>42675</v>
      </c>
      <c r="B56" s="661" t="s">
        <v>507</v>
      </c>
      <c r="C56" s="402"/>
      <c r="D56" s="644">
        <v>896</v>
      </c>
    </row>
    <row r="57" spans="1:4" x14ac:dyDescent="0.25">
      <c r="A57" s="663">
        <v>42675</v>
      </c>
      <c r="B57" s="661" t="s">
        <v>952</v>
      </c>
      <c r="C57" s="402"/>
      <c r="D57" s="644" t="s">
        <v>955</v>
      </c>
    </row>
    <row r="58" spans="1:4" x14ac:dyDescent="0.25">
      <c r="A58" s="663">
        <v>42675</v>
      </c>
      <c r="B58" s="661" t="s">
        <v>953</v>
      </c>
      <c r="C58" s="402"/>
      <c r="D58" s="644">
        <v>997</v>
      </c>
    </row>
    <row r="59" spans="1:4" x14ac:dyDescent="0.25">
      <c r="A59" s="663">
        <v>42705</v>
      </c>
      <c r="B59" s="661" t="s">
        <v>926</v>
      </c>
      <c r="C59" s="402"/>
      <c r="D59" s="660" t="s">
        <v>954</v>
      </c>
    </row>
    <row r="60" spans="1:4" x14ac:dyDescent="0.25">
      <c r="A60" s="663">
        <v>42705</v>
      </c>
      <c r="B60" s="661" t="s">
        <v>950</v>
      </c>
      <c r="C60" s="402"/>
      <c r="D60" s="644" t="s">
        <v>954</v>
      </c>
    </row>
    <row r="61" spans="1:4" x14ac:dyDescent="0.25">
      <c r="A61" s="663">
        <v>42705</v>
      </c>
      <c r="B61" s="661" t="s">
        <v>506</v>
      </c>
      <c r="C61" s="402"/>
      <c r="D61" s="644">
        <v>895</v>
      </c>
    </row>
    <row r="62" spans="1:4" x14ac:dyDescent="0.25">
      <c r="A62" s="663">
        <v>42705</v>
      </c>
      <c r="B62" s="661" t="s">
        <v>507</v>
      </c>
      <c r="C62" s="402"/>
      <c r="D62" s="644">
        <v>896</v>
      </c>
    </row>
    <row r="63" spans="1:4" x14ac:dyDescent="0.25">
      <c r="A63" s="663">
        <v>42705</v>
      </c>
      <c r="B63" s="661" t="s">
        <v>952</v>
      </c>
      <c r="C63" s="402"/>
      <c r="D63" s="644" t="s">
        <v>955</v>
      </c>
    </row>
    <row r="64" spans="1:4" x14ac:dyDescent="0.25">
      <c r="A64" s="663">
        <v>42705</v>
      </c>
      <c r="B64" s="661" t="s">
        <v>953</v>
      </c>
      <c r="C64" s="402"/>
      <c r="D64" s="644">
        <v>997</v>
      </c>
    </row>
    <row r="65" spans="1:4" x14ac:dyDescent="0.25">
      <c r="A65" s="663">
        <v>42736</v>
      </c>
      <c r="B65" s="661" t="s">
        <v>926</v>
      </c>
      <c r="C65" s="402"/>
      <c r="D65" s="660" t="s">
        <v>954</v>
      </c>
    </row>
    <row r="66" spans="1:4" x14ac:dyDescent="0.25">
      <c r="A66" s="663">
        <v>42736</v>
      </c>
      <c r="B66" s="661" t="s">
        <v>950</v>
      </c>
      <c r="C66" s="402"/>
      <c r="D66" s="644" t="s">
        <v>954</v>
      </c>
    </row>
    <row r="67" spans="1:4" x14ac:dyDescent="0.25">
      <c r="A67" s="663">
        <v>42736</v>
      </c>
      <c r="B67" s="661" t="s">
        <v>506</v>
      </c>
      <c r="C67" s="402"/>
      <c r="D67" s="644">
        <v>895</v>
      </c>
    </row>
    <row r="68" spans="1:4" x14ac:dyDescent="0.25">
      <c r="A68" s="663">
        <v>42736</v>
      </c>
      <c r="B68" s="661" t="s">
        <v>507</v>
      </c>
      <c r="C68" s="402"/>
      <c r="D68" s="644">
        <v>896</v>
      </c>
    </row>
    <row r="69" spans="1:4" x14ac:dyDescent="0.25">
      <c r="A69" s="663">
        <v>42736</v>
      </c>
      <c r="B69" s="661" t="s">
        <v>952</v>
      </c>
      <c r="C69" s="402"/>
      <c r="D69" s="644" t="s">
        <v>955</v>
      </c>
    </row>
    <row r="70" spans="1:4" x14ac:dyDescent="0.25">
      <c r="A70" s="663">
        <v>42736</v>
      </c>
      <c r="B70" s="661" t="s">
        <v>953</v>
      </c>
      <c r="C70" s="402"/>
      <c r="D70" s="644">
        <v>997</v>
      </c>
    </row>
    <row r="71" spans="1:4" x14ac:dyDescent="0.25">
      <c r="A71" s="663">
        <v>42767</v>
      </c>
      <c r="B71" s="661" t="s">
        <v>926</v>
      </c>
      <c r="C71" s="402"/>
      <c r="D71" s="660" t="s">
        <v>954</v>
      </c>
    </row>
    <row r="72" spans="1:4" x14ac:dyDescent="0.25">
      <c r="A72" s="663">
        <v>42767</v>
      </c>
      <c r="B72" s="661" t="s">
        <v>950</v>
      </c>
      <c r="C72" s="402"/>
      <c r="D72" s="644" t="s">
        <v>954</v>
      </c>
    </row>
    <row r="73" spans="1:4" x14ac:dyDescent="0.25">
      <c r="A73" s="663">
        <v>42767</v>
      </c>
      <c r="B73" s="661" t="s">
        <v>506</v>
      </c>
      <c r="C73" s="402"/>
      <c r="D73" s="644">
        <v>895</v>
      </c>
    </row>
    <row r="74" spans="1:4" x14ac:dyDescent="0.25">
      <c r="A74" s="663">
        <v>42767</v>
      </c>
      <c r="B74" s="661" t="s">
        <v>507</v>
      </c>
      <c r="C74" s="402"/>
      <c r="D74" s="644">
        <v>896</v>
      </c>
    </row>
    <row r="75" spans="1:4" x14ac:dyDescent="0.25">
      <c r="A75" s="663">
        <v>42767</v>
      </c>
      <c r="B75" s="661" t="s">
        <v>952</v>
      </c>
      <c r="C75" s="402"/>
      <c r="D75" s="644" t="s">
        <v>955</v>
      </c>
    </row>
    <row r="76" spans="1:4" x14ac:dyDescent="0.25">
      <c r="A76" s="663">
        <v>42767</v>
      </c>
      <c r="B76" s="661" t="s">
        <v>953</v>
      </c>
      <c r="C76" s="402"/>
      <c r="D76" s="644">
        <v>997</v>
      </c>
    </row>
    <row r="77" spans="1:4" x14ac:dyDescent="0.25">
      <c r="A77" s="401"/>
      <c r="B77" s="501"/>
      <c r="C77" s="402"/>
    </row>
    <row r="78" spans="1:4" x14ac:dyDescent="0.25">
      <c r="A78" s="401"/>
      <c r="B78" s="501"/>
      <c r="C78" s="402">
        <f>SUM(C5:C76)</f>
        <v>5169475.5099999988</v>
      </c>
    </row>
    <row r="79" spans="1:4" x14ac:dyDescent="0.25">
      <c r="A79" s="401"/>
      <c r="B79" s="501"/>
      <c r="C79" s="402"/>
    </row>
    <row r="80" spans="1:4" x14ac:dyDescent="0.25">
      <c r="A80" s="401"/>
      <c r="B80" s="501"/>
      <c r="C80" s="402"/>
    </row>
    <row r="81" spans="1:3" x14ac:dyDescent="0.25">
      <c r="A81" s="401"/>
      <c r="B81" s="501"/>
      <c r="C81" s="402"/>
    </row>
    <row r="82" spans="1:3" x14ac:dyDescent="0.25">
      <c r="A82" s="401"/>
      <c r="B82" s="407"/>
      <c r="C82" s="402"/>
    </row>
    <row r="83" spans="1:3" x14ac:dyDescent="0.25">
      <c r="A83" s="401"/>
      <c r="B83" s="407"/>
      <c r="C83" s="402"/>
    </row>
    <row r="84" spans="1:3" x14ac:dyDescent="0.25">
      <c r="A84" s="401"/>
      <c r="B84" s="407"/>
      <c r="C84" s="402"/>
    </row>
    <row r="85" spans="1:3" x14ac:dyDescent="0.25">
      <c r="A85" s="401"/>
      <c r="B85" s="407"/>
      <c r="C85" s="402"/>
    </row>
    <row r="86" spans="1:3" x14ac:dyDescent="0.25">
      <c r="A86" s="401"/>
      <c r="B86" s="406"/>
      <c r="C86" s="402"/>
    </row>
    <row r="87" spans="1:3" x14ac:dyDescent="0.25">
      <c r="A87" s="401"/>
      <c r="B87" s="407"/>
      <c r="C87" s="402"/>
    </row>
    <row r="88" spans="1:3" x14ac:dyDescent="0.25">
      <c r="A88" s="401"/>
      <c r="B88" s="406"/>
      <c r="C88" s="402"/>
    </row>
    <row r="89" spans="1:3" x14ac:dyDescent="0.25">
      <c r="A89" s="401"/>
      <c r="B89" s="407"/>
      <c r="C89" s="402"/>
    </row>
    <row r="90" spans="1:3" x14ac:dyDescent="0.25">
      <c r="A90" s="401"/>
      <c r="B90" s="407"/>
      <c r="C90" s="402"/>
    </row>
    <row r="91" spans="1:3" x14ac:dyDescent="0.25">
      <c r="A91" s="401"/>
      <c r="B91" s="407"/>
      <c r="C91" s="402"/>
    </row>
    <row r="92" spans="1:3" x14ac:dyDescent="0.25">
      <c r="A92" s="401"/>
      <c r="B92" s="407"/>
      <c r="C92" s="402"/>
    </row>
    <row r="93" spans="1:3" x14ac:dyDescent="0.25">
      <c r="A93" s="401"/>
      <c r="B93" s="407"/>
      <c r="C93" s="402"/>
    </row>
    <row r="94" spans="1:3" x14ac:dyDescent="0.25">
      <c r="A94" s="401"/>
      <c r="B94" s="406"/>
      <c r="C94" s="402"/>
    </row>
    <row r="95" spans="1:3" x14ac:dyDescent="0.25">
      <c r="A95" s="401"/>
      <c r="B95" s="407"/>
      <c r="C95" s="402"/>
    </row>
    <row r="96" spans="1:3" x14ac:dyDescent="0.25">
      <c r="A96" s="401"/>
      <c r="B96" s="406"/>
      <c r="C96" s="402"/>
    </row>
    <row r="97" spans="1:3" x14ac:dyDescent="0.25">
      <c r="A97" s="401"/>
      <c r="B97" s="407"/>
      <c r="C97" s="402"/>
    </row>
    <row r="98" spans="1:3" x14ac:dyDescent="0.25">
      <c r="A98" s="401"/>
      <c r="B98" s="407"/>
      <c r="C98" s="402"/>
    </row>
    <row r="99" spans="1:3" x14ac:dyDescent="0.25">
      <c r="A99" s="401"/>
      <c r="B99" s="407"/>
      <c r="C99" s="402"/>
    </row>
    <row r="100" spans="1:3" x14ac:dyDescent="0.25">
      <c r="A100" s="401"/>
      <c r="B100" s="407"/>
      <c r="C100" s="402"/>
    </row>
    <row r="101" spans="1:3" x14ac:dyDescent="0.25">
      <c r="A101" s="401"/>
      <c r="B101" s="407"/>
      <c r="C101" s="402"/>
    </row>
    <row r="102" spans="1:3" x14ac:dyDescent="0.25">
      <c r="A102" s="401"/>
      <c r="B102" s="406"/>
      <c r="C102" s="402"/>
    </row>
    <row r="103" spans="1:3" x14ac:dyDescent="0.25">
      <c r="A103" s="401"/>
      <c r="B103" s="407"/>
      <c r="C103" s="402"/>
    </row>
    <row r="104" spans="1:3" x14ac:dyDescent="0.25">
      <c r="A104" s="401"/>
      <c r="B104" s="406"/>
      <c r="C104" s="402"/>
    </row>
    <row r="105" spans="1:3" x14ac:dyDescent="0.25">
      <c r="A105" s="401"/>
      <c r="B105" s="407"/>
      <c r="C105" s="402"/>
    </row>
    <row r="106" spans="1:3" x14ac:dyDescent="0.25">
      <c r="A106" s="401"/>
      <c r="B106" s="407"/>
      <c r="C106" s="402"/>
    </row>
    <row r="107" spans="1:3" x14ac:dyDescent="0.25">
      <c r="A107" s="401"/>
      <c r="B107" s="407"/>
      <c r="C107" s="402"/>
    </row>
    <row r="108" spans="1:3" x14ac:dyDescent="0.25">
      <c r="A108" s="401"/>
      <c r="B108" s="407"/>
      <c r="C108" s="402"/>
    </row>
    <row r="109" spans="1:3" x14ac:dyDescent="0.25">
      <c r="A109" s="401"/>
      <c r="B109" s="407"/>
      <c r="C109" s="40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E32"/>
  <sheetViews>
    <sheetView tabSelected="1" workbookViewId="0">
      <selection activeCell="B9" sqref="B9"/>
    </sheetView>
  </sheetViews>
  <sheetFormatPr defaultRowHeight="15.75" x14ac:dyDescent="0.25"/>
  <cols>
    <col min="1" max="1" width="77.28515625" style="1106" customWidth="1"/>
    <col min="2" max="2" width="25.7109375" style="1106" customWidth="1"/>
    <col min="3" max="3" width="19.140625" style="1106" customWidth="1"/>
    <col min="4" max="4" width="20.140625" style="1106" customWidth="1"/>
    <col min="5" max="5" width="20.28515625" style="1106" customWidth="1"/>
    <col min="6" max="16384" width="9.140625" style="1106"/>
  </cols>
  <sheetData>
    <row r="1" spans="1:5" x14ac:dyDescent="0.25">
      <c r="A1" s="1104" t="s">
        <v>823</v>
      </c>
      <c r="B1" s="1074" t="s">
        <v>853</v>
      </c>
      <c r="C1" s="1105"/>
    </row>
    <row r="2" spans="1:5" x14ac:dyDescent="0.25">
      <c r="A2" s="1105" t="s">
        <v>824</v>
      </c>
      <c r="B2" s="1074" t="s">
        <v>854</v>
      </c>
      <c r="C2" s="1105"/>
    </row>
    <row r="3" spans="1:5" x14ac:dyDescent="0.25">
      <c r="A3" s="1105" t="s">
        <v>825</v>
      </c>
      <c r="B3" s="1074" t="s">
        <v>1057</v>
      </c>
      <c r="C3" s="1105"/>
    </row>
    <row r="4" spans="1:5" x14ac:dyDescent="0.25">
      <c r="A4" s="1105"/>
      <c r="B4" s="1105"/>
      <c r="C4" s="1105"/>
      <c r="D4" s="1074"/>
    </row>
    <row r="5" spans="1:5" x14ac:dyDescent="0.25">
      <c r="A5" s="1105"/>
      <c r="B5" s="1105"/>
      <c r="C5" s="1105"/>
      <c r="D5" s="1074"/>
    </row>
    <row r="6" spans="1:5" x14ac:dyDescent="0.25">
      <c r="A6" s="1107"/>
      <c r="B6" s="1107"/>
      <c r="C6" s="1107"/>
      <c r="D6" s="1108"/>
    </row>
    <row r="7" spans="1:5" ht="32.25" thickBot="1" x14ac:dyDescent="0.3">
      <c r="A7" s="1109" t="s">
        <v>167</v>
      </c>
      <c r="B7" s="1110" t="s">
        <v>846</v>
      </c>
    </row>
    <row r="8" spans="1:5" x14ac:dyDescent="0.25">
      <c r="A8" s="1111"/>
      <c r="B8" s="1111"/>
    </row>
    <row r="9" spans="1:5" x14ac:dyDescent="0.25">
      <c r="A9" s="1083" t="s">
        <v>847</v>
      </c>
      <c r="B9" s="207">
        <f ca="1">'Sch M-1.2-G'!G9</f>
        <v>212693838.69080076</v>
      </c>
      <c r="D9" s="1117"/>
      <c r="E9" s="1115"/>
    </row>
    <row r="10" spans="1:5" x14ac:dyDescent="0.25">
      <c r="A10" s="1083"/>
      <c r="B10" s="207"/>
      <c r="D10" s="1117"/>
    </row>
    <row r="11" spans="1:5" x14ac:dyDescent="0.25">
      <c r="A11" s="1083" t="s">
        <v>848</v>
      </c>
      <c r="B11" s="207">
        <f ca="1">'Sch M-1.2-G'!G11</f>
        <v>88433493.489999995</v>
      </c>
      <c r="D11" s="1117"/>
    </row>
    <row r="12" spans="1:5" x14ac:dyDescent="0.25">
      <c r="A12" s="1083"/>
      <c r="B12" s="207"/>
      <c r="D12" s="1117"/>
    </row>
    <row r="13" spans="1:5" x14ac:dyDescent="0.25">
      <c r="A13" s="1083" t="s">
        <v>849</v>
      </c>
      <c r="B13" s="207">
        <f ca="1">'Sch M-1.2-G'!G13</f>
        <v>11046530.903032584</v>
      </c>
      <c r="D13" s="1117"/>
    </row>
    <row r="14" spans="1:5" x14ac:dyDescent="0.25">
      <c r="A14" s="1083"/>
      <c r="B14" s="207"/>
      <c r="D14" s="1117"/>
    </row>
    <row r="15" spans="1:5" x14ac:dyDescent="0.25">
      <c r="A15" s="1083" t="s">
        <v>367</v>
      </c>
      <c r="B15" s="207">
        <f ca="1">'Sch M-1.2-G'!G15</f>
        <v>1168693.1815200888</v>
      </c>
      <c r="D15" s="1117"/>
    </row>
    <row r="16" spans="1:5" x14ac:dyDescent="0.25">
      <c r="A16" s="1083"/>
      <c r="B16" s="207"/>
      <c r="D16" s="1117"/>
    </row>
    <row r="17" spans="1:5" x14ac:dyDescent="0.25">
      <c r="A17" s="1083" t="s">
        <v>851</v>
      </c>
      <c r="B17" s="207">
        <f>'Sch M-1.2-G'!G17</f>
        <v>6942772.8607370481</v>
      </c>
      <c r="D17" s="1117"/>
    </row>
    <row r="18" spans="1:5" x14ac:dyDescent="0.25">
      <c r="A18" s="1083"/>
      <c r="B18" s="207"/>
      <c r="D18" s="1117"/>
    </row>
    <row r="19" spans="1:5" x14ac:dyDescent="0.25">
      <c r="A19" s="1083" t="s">
        <v>850</v>
      </c>
      <c r="B19" s="207">
        <f>'Sch M-1.2-G'!G19</f>
        <v>4103352.9567196472</v>
      </c>
      <c r="D19" s="1117"/>
    </row>
    <row r="20" spans="1:5" x14ac:dyDescent="0.25">
      <c r="A20" s="1083"/>
      <c r="B20" s="207"/>
      <c r="D20" s="1117"/>
    </row>
    <row r="21" spans="1:5" x14ac:dyDescent="0.25">
      <c r="A21" s="1083" t="s">
        <v>852</v>
      </c>
      <c r="B21" s="1112">
        <f>'Sch M-1.2-G'!G21</f>
        <v>7043.9327111077027</v>
      </c>
      <c r="D21" s="1117"/>
    </row>
    <row r="22" spans="1:5" x14ac:dyDescent="0.25">
      <c r="A22" s="1083"/>
      <c r="B22" s="207"/>
      <c r="D22" s="1117"/>
    </row>
    <row r="23" spans="1:5" ht="16.5" thickBot="1" x14ac:dyDescent="0.3">
      <c r="A23" s="1113" t="s">
        <v>1204</v>
      </c>
      <c r="B23" s="1116">
        <f ca="1">SUM(B9:B22)</f>
        <v>324395726.01552123</v>
      </c>
      <c r="D23" s="1117"/>
      <c r="E23" s="1115"/>
    </row>
    <row r="24" spans="1:5" ht="16.5" thickTop="1" x14ac:dyDescent="0.25"/>
    <row r="25" spans="1:5" x14ac:dyDescent="0.25">
      <c r="A25" s="1083" t="s">
        <v>1205</v>
      </c>
    </row>
    <row r="26" spans="1:5" x14ac:dyDescent="0.25">
      <c r="A26" s="1114" t="s">
        <v>1206</v>
      </c>
      <c r="B26" s="207">
        <v>1624798.9651333333</v>
      </c>
    </row>
    <row r="27" spans="1:5" x14ac:dyDescent="0.25">
      <c r="A27" s="1114" t="s">
        <v>614</v>
      </c>
      <c r="B27" s="207">
        <v>166273.03579999998</v>
      </c>
    </row>
    <row r="28" spans="1:5" x14ac:dyDescent="0.25">
      <c r="A28" s="1114" t="s">
        <v>1207</v>
      </c>
      <c r="B28" s="207">
        <v>569160.21603333345</v>
      </c>
    </row>
    <row r="29" spans="1:5" x14ac:dyDescent="0.25">
      <c r="A29" s="1114" t="s">
        <v>613</v>
      </c>
      <c r="B29" s="207">
        <v>958.2109333333334</v>
      </c>
    </row>
    <row r="31" spans="1:5" ht="16.5" thickBot="1" x14ac:dyDescent="0.3">
      <c r="A31" s="1113" t="s">
        <v>267</v>
      </c>
      <c r="B31" s="1116">
        <f ca="1">B23+SUM(B26:B29)</f>
        <v>326756916.44342124</v>
      </c>
    </row>
    <row r="32" spans="1:5" ht="16.5" thickTop="1" x14ac:dyDescent="0.25"/>
  </sheetData>
  <printOptions horizontalCentered="1"/>
  <pageMargins left="0.75" right="0.75" top="1.75" bottom="0.5" header="0.75" footer="0.25"/>
  <pageSetup scale="86" orientation="portrait" r:id="rId1"/>
  <headerFooter>
    <oddHeader>&amp;C&amp;"Times New Roman,Bold"Louisville Gas and Electric Company
Case No. 2016-00371
Base Period Revenues at Current Gas Rates
for the Twelve Months Ended February 28, 2017
Gas Operations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9"/>
  <sheetViews>
    <sheetView workbookViewId="0"/>
  </sheetViews>
  <sheetFormatPr defaultRowHeight="15" x14ac:dyDescent="0.25"/>
  <cols>
    <col min="1" max="1" width="19" customWidth="1"/>
    <col min="2" max="2" width="21.7109375" customWidth="1"/>
    <col min="3" max="3" width="19.85546875" customWidth="1"/>
    <col min="4" max="4" width="27.85546875" style="644" bestFit="1" customWidth="1"/>
    <col min="23" max="23" width="9.140625" customWidth="1"/>
  </cols>
  <sheetData>
    <row r="1" spans="1:4" x14ac:dyDescent="0.25">
      <c r="B1" t="s">
        <v>705</v>
      </c>
    </row>
    <row r="4" spans="1:4" x14ac:dyDescent="0.25">
      <c r="A4" s="400" t="s">
        <v>161</v>
      </c>
      <c r="B4" s="501" t="s">
        <v>167</v>
      </c>
      <c r="C4" s="400" t="s">
        <v>239</v>
      </c>
      <c r="D4" s="502" t="s">
        <v>951</v>
      </c>
    </row>
    <row r="5" spans="1:4" x14ac:dyDescent="0.25">
      <c r="A5" s="663">
        <v>42430</v>
      </c>
      <c r="B5" s="661" t="s">
        <v>926</v>
      </c>
      <c r="C5" s="662">
        <f>3407.92+3668.63+1120</f>
        <v>8196.5499999999993</v>
      </c>
      <c r="D5" s="660" t="s">
        <v>954</v>
      </c>
    </row>
    <row r="6" spans="1:4" x14ac:dyDescent="0.25">
      <c r="A6" s="663">
        <v>42430</v>
      </c>
      <c r="B6" s="661" t="s">
        <v>950</v>
      </c>
      <c r="C6" s="662">
        <f>2933.39+580</f>
        <v>3513.39</v>
      </c>
      <c r="D6" s="644">
        <v>882</v>
      </c>
    </row>
    <row r="7" spans="1:4" x14ac:dyDescent="0.25">
      <c r="A7" s="663">
        <v>42430</v>
      </c>
      <c r="B7" s="661" t="s">
        <v>506</v>
      </c>
      <c r="C7" s="662">
        <v>0</v>
      </c>
      <c r="D7" s="660" t="s">
        <v>954</v>
      </c>
    </row>
    <row r="8" spans="1:4" x14ac:dyDescent="0.25">
      <c r="A8" s="663">
        <v>42430</v>
      </c>
      <c r="B8" s="661" t="s">
        <v>507</v>
      </c>
      <c r="C8" s="662">
        <f>557.88+3068.62</f>
        <v>3626.5</v>
      </c>
      <c r="D8" s="670" t="s">
        <v>954</v>
      </c>
    </row>
    <row r="9" spans="1:4" x14ac:dyDescent="0.25">
      <c r="A9" s="663">
        <v>42430</v>
      </c>
      <c r="B9" s="661" t="s">
        <v>952</v>
      </c>
      <c r="C9" s="662">
        <f>1.85+10.18</f>
        <v>12.03</v>
      </c>
      <c r="D9" s="670">
        <v>895</v>
      </c>
    </row>
    <row r="10" spans="1:4" x14ac:dyDescent="0.25">
      <c r="A10" s="663">
        <v>42430</v>
      </c>
      <c r="B10" s="661" t="s">
        <v>953</v>
      </c>
      <c r="C10" s="662">
        <v>800</v>
      </c>
      <c r="D10" s="670">
        <v>896</v>
      </c>
    </row>
    <row r="11" spans="1:4" x14ac:dyDescent="0.25">
      <c r="A11" s="663">
        <v>42461</v>
      </c>
      <c r="B11" s="661" t="s">
        <v>926</v>
      </c>
      <c r="C11" s="662">
        <f>1539.58+3668.63+1120</f>
        <v>6328.21</v>
      </c>
      <c r="D11" s="660" t="s">
        <v>954</v>
      </c>
    </row>
    <row r="12" spans="1:4" x14ac:dyDescent="0.25">
      <c r="A12" s="663">
        <v>42461</v>
      </c>
      <c r="B12" s="661" t="s">
        <v>950</v>
      </c>
      <c r="C12" s="662">
        <f>2933.39+580</f>
        <v>3513.39</v>
      </c>
      <c r="D12" s="722">
        <v>882</v>
      </c>
    </row>
    <row r="13" spans="1:4" x14ac:dyDescent="0.25">
      <c r="A13" s="663">
        <v>42461</v>
      </c>
      <c r="B13" s="661" t="s">
        <v>506</v>
      </c>
      <c r="C13" s="662">
        <v>0</v>
      </c>
      <c r="D13" s="660" t="s">
        <v>954</v>
      </c>
    </row>
    <row r="14" spans="1:4" x14ac:dyDescent="0.25">
      <c r="A14" s="663">
        <v>42461</v>
      </c>
      <c r="B14" s="661" t="s">
        <v>507</v>
      </c>
      <c r="C14" s="662">
        <f>18.84+84.32</f>
        <v>103.16</v>
      </c>
      <c r="D14" s="722" t="s">
        <v>954</v>
      </c>
    </row>
    <row r="15" spans="1:4" x14ac:dyDescent="0.25">
      <c r="A15" s="663">
        <v>42461</v>
      </c>
      <c r="B15" s="661" t="s">
        <v>952</v>
      </c>
      <c r="C15" s="662">
        <v>0</v>
      </c>
      <c r="D15" s="722">
        <v>895</v>
      </c>
    </row>
    <row r="16" spans="1:4" x14ac:dyDescent="0.25">
      <c r="A16" s="663">
        <v>42461</v>
      </c>
      <c r="B16" s="661" t="s">
        <v>953</v>
      </c>
      <c r="C16" s="662">
        <v>800</v>
      </c>
      <c r="D16" s="722">
        <v>896</v>
      </c>
    </row>
    <row r="17" spans="1:4" x14ac:dyDescent="0.25">
      <c r="A17" s="663">
        <v>42491</v>
      </c>
      <c r="B17" s="661" t="s">
        <v>926</v>
      </c>
      <c r="C17" s="662">
        <f>12077.36+3682.51+1120</f>
        <v>16879.870000000003</v>
      </c>
      <c r="D17" s="660" t="s">
        <v>954</v>
      </c>
    </row>
    <row r="18" spans="1:4" x14ac:dyDescent="0.25">
      <c r="A18" s="663">
        <v>42491</v>
      </c>
      <c r="B18" s="661" t="s">
        <v>950</v>
      </c>
      <c r="C18" s="662">
        <f>2944.39+580</f>
        <v>3524.39</v>
      </c>
      <c r="D18" s="722">
        <v>882</v>
      </c>
    </row>
    <row r="19" spans="1:4" x14ac:dyDescent="0.25">
      <c r="A19" s="663">
        <v>42491</v>
      </c>
      <c r="B19" s="661" t="s">
        <v>506</v>
      </c>
      <c r="C19" s="662">
        <v>0</v>
      </c>
      <c r="D19" s="660" t="s">
        <v>954</v>
      </c>
    </row>
    <row r="20" spans="1:4" x14ac:dyDescent="0.25">
      <c r="A20" s="663">
        <v>42491</v>
      </c>
      <c r="B20" s="661" t="s">
        <v>507</v>
      </c>
      <c r="C20" s="662">
        <f>274.42+1296.72</f>
        <v>1571.14</v>
      </c>
      <c r="D20" s="722" t="s">
        <v>954</v>
      </c>
    </row>
    <row r="21" spans="1:4" x14ac:dyDescent="0.25">
      <c r="A21" s="663">
        <v>42491</v>
      </c>
      <c r="B21" s="661" t="s">
        <v>952</v>
      </c>
      <c r="C21" s="662">
        <v>0</v>
      </c>
      <c r="D21" s="722">
        <v>895</v>
      </c>
    </row>
    <row r="22" spans="1:4" x14ac:dyDescent="0.25">
      <c r="A22" s="663">
        <v>42491</v>
      </c>
      <c r="B22" s="661" t="s">
        <v>953</v>
      </c>
      <c r="C22" s="662">
        <v>800</v>
      </c>
      <c r="D22" s="722">
        <v>896</v>
      </c>
    </row>
    <row r="23" spans="1:4" x14ac:dyDescent="0.25">
      <c r="A23" s="663">
        <v>42522</v>
      </c>
      <c r="B23" s="661" t="s">
        <v>926</v>
      </c>
      <c r="C23" s="662">
        <v>9625.0300000000007</v>
      </c>
      <c r="D23" s="660" t="s">
        <v>954</v>
      </c>
    </row>
    <row r="24" spans="1:4" x14ac:dyDescent="0.25">
      <c r="A24" s="663">
        <v>42522</v>
      </c>
      <c r="B24" s="661" t="s">
        <v>950</v>
      </c>
      <c r="C24" s="662">
        <v>3678.41</v>
      </c>
      <c r="D24" s="722">
        <v>882</v>
      </c>
    </row>
    <row r="25" spans="1:4" x14ac:dyDescent="0.25">
      <c r="A25" s="663">
        <v>42522</v>
      </c>
      <c r="B25" s="661" t="s">
        <v>506</v>
      </c>
      <c r="C25" s="662">
        <v>0</v>
      </c>
      <c r="D25" s="660" t="s">
        <v>954</v>
      </c>
    </row>
    <row r="26" spans="1:4" x14ac:dyDescent="0.25">
      <c r="A26" s="663">
        <v>42522</v>
      </c>
      <c r="B26" s="661" t="s">
        <v>507</v>
      </c>
      <c r="C26" s="662">
        <v>21340.74</v>
      </c>
      <c r="D26" s="722" t="s">
        <v>954</v>
      </c>
    </row>
    <row r="27" spans="1:4" x14ac:dyDescent="0.25">
      <c r="A27" s="663">
        <v>42522</v>
      </c>
      <c r="B27" s="661" t="s">
        <v>952</v>
      </c>
      <c r="C27" s="662">
        <v>0</v>
      </c>
      <c r="D27" s="722">
        <v>895</v>
      </c>
    </row>
    <row r="28" spans="1:4" x14ac:dyDescent="0.25">
      <c r="A28" s="663">
        <v>42522</v>
      </c>
      <c r="B28" s="661" t="s">
        <v>953</v>
      </c>
      <c r="C28" s="662">
        <v>800</v>
      </c>
      <c r="D28" s="722">
        <v>896</v>
      </c>
    </row>
    <row r="29" spans="1:4" x14ac:dyDescent="0.25">
      <c r="A29" s="663">
        <v>42552</v>
      </c>
      <c r="B29" s="661" t="s">
        <v>926</v>
      </c>
      <c r="C29" s="662">
        <f>4394.72+3877.03+1120</f>
        <v>9391.75</v>
      </c>
      <c r="D29" s="660" t="s">
        <v>954</v>
      </c>
    </row>
    <row r="30" spans="1:4" x14ac:dyDescent="0.25">
      <c r="A30" s="663">
        <v>42552</v>
      </c>
      <c r="B30" s="661" t="s">
        <v>950</v>
      </c>
      <c r="C30" s="402">
        <f>3098.41+580</f>
        <v>3678.41</v>
      </c>
      <c r="D30" s="722">
        <v>882</v>
      </c>
    </row>
    <row r="31" spans="1:4" x14ac:dyDescent="0.25">
      <c r="A31" s="663">
        <v>42552</v>
      </c>
      <c r="B31" s="661" t="s">
        <v>506</v>
      </c>
      <c r="C31" s="402">
        <v>0</v>
      </c>
      <c r="D31" s="660" t="s">
        <v>954</v>
      </c>
    </row>
    <row r="32" spans="1:4" x14ac:dyDescent="0.25">
      <c r="A32" s="663">
        <v>42552</v>
      </c>
      <c r="B32" s="661" t="s">
        <v>507</v>
      </c>
      <c r="C32" s="402">
        <f>33.69+18597.56</f>
        <v>18631.25</v>
      </c>
      <c r="D32" s="722" t="s">
        <v>954</v>
      </c>
    </row>
    <row r="33" spans="1:4" x14ac:dyDescent="0.25">
      <c r="A33" s="663">
        <v>42552</v>
      </c>
      <c r="B33" s="661" t="s">
        <v>952</v>
      </c>
      <c r="C33" s="402">
        <v>0</v>
      </c>
      <c r="D33" s="722">
        <v>895</v>
      </c>
    </row>
    <row r="34" spans="1:4" x14ac:dyDescent="0.25">
      <c r="A34" s="663">
        <v>42552</v>
      </c>
      <c r="B34" s="661" t="s">
        <v>953</v>
      </c>
      <c r="C34" s="402">
        <v>800</v>
      </c>
      <c r="D34" s="722">
        <v>896</v>
      </c>
    </row>
    <row r="35" spans="1:4" x14ac:dyDescent="0.25">
      <c r="A35" s="663">
        <v>42583</v>
      </c>
      <c r="B35" s="661" t="s">
        <v>926</v>
      </c>
      <c r="C35" s="402">
        <v>7454.61</v>
      </c>
      <c r="D35" s="660" t="s">
        <v>954</v>
      </c>
    </row>
    <row r="36" spans="1:4" x14ac:dyDescent="0.25">
      <c r="A36" s="663">
        <v>42583</v>
      </c>
      <c r="B36" s="661" t="s">
        <v>950</v>
      </c>
      <c r="C36" s="402">
        <v>3678.41</v>
      </c>
      <c r="D36" s="722">
        <v>882</v>
      </c>
    </row>
    <row r="37" spans="1:4" x14ac:dyDescent="0.25">
      <c r="A37" s="663">
        <v>42583</v>
      </c>
      <c r="B37" s="661" t="s">
        <v>506</v>
      </c>
      <c r="C37" s="402">
        <v>0</v>
      </c>
      <c r="D37" s="660" t="s">
        <v>954</v>
      </c>
    </row>
    <row r="38" spans="1:4" x14ac:dyDescent="0.25">
      <c r="A38" s="663">
        <v>42583</v>
      </c>
      <c r="B38" s="661" t="s">
        <v>507</v>
      </c>
      <c r="C38" s="402">
        <v>1340.98</v>
      </c>
      <c r="D38" s="722" t="s">
        <v>954</v>
      </c>
    </row>
    <row r="39" spans="1:4" x14ac:dyDescent="0.25">
      <c r="A39" s="663">
        <v>42583</v>
      </c>
      <c r="B39" s="661" t="s">
        <v>952</v>
      </c>
      <c r="C39" s="402">
        <v>0</v>
      </c>
      <c r="D39" s="722">
        <v>895</v>
      </c>
    </row>
    <row r="40" spans="1:4" x14ac:dyDescent="0.25">
      <c r="A40" s="663">
        <v>42583</v>
      </c>
      <c r="B40" s="661" t="s">
        <v>953</v>
      </c>
      <c r="C40" s="402">
        <v>800</v>
      </c>
      <c r="D40" s="722">
        <v>896</v>
      </c>
    </row>
    <row r="41" spans="1:4" x14ac:dyDescent="0.25">
      <c r="A41" s="663">
        <v>42614</v>
      </c>
      <c r="B41" s="661" t="s">
        <v>926</v>
      </c>
      <c r="C41" s="402">
        <f>2831.35+3877.03+1120</f>
        <v>7828.38</v>
      </c>
      <c r="D41" s="660" t="s">
        <v>954</v>
      </c>
    </row>
    <row r="42" spans="1:4" x14ac:dyDescent="0.25">
      <c r="A42" s="663">
        <v>42614</v>
      </c>
      <c r="B42" s="661" t="s">
        <v>950</v>
      </c>
      <c r="C42" s="402">
        <f>3098.41+580</f>
        <v>3678.41</v>
      </c>
      <c r="D42" s="722">
        <v>882</v>
      </c>
    </row>
    <row r="43" spans="1:4" x14ac:dyDescent="0.25">
      <c r="A43" s="663">
        <v>42614</v>
      </c>
      <c r="B43" s="661" t="s">
        <v>506</v>
      </c>
      <c r="C43" s="402">
        <v>0</v>
      </c>
      <c r="D43" s="660" t="s">
        <v>954</v>
      </c>
    </row>
    <row r="44" spans="1:4" x14ac:dyDescent="0.25">
      <c r="A44" s="663">
        <v>42614</v>
      </c>
      <c r="B44" s="661" t="s">
        <v>507</v>
      </c>
      <c r="C44" s="402">
        <v>2619.66</v>
      </c>
      <c r="D44" s="722" t="s">
        <v>954</v>
      </c>
    </row>
    <row r="45" spans="1:4" x14ac:dyDescent="0.25">
      <c r="A45" s="663">
        <v>42614</v>
      </c>
      <c r="B45" s="661" t="s">
        <v>952</v>
      </c>
      <c r="C45" s="402">
        <v>0</v>
      </c>
      <c r="D45" s="722">
        <v>895</v>
      </c>
    </row>
    <row r="46" spans="1:4" x14ac:dyDescent="0.25">
      <c r="A46" s="663">
        <v>42614</v>
      </c>
      <c r="B46" s="661" t="s">
        <v>953</v>
      </c>
      <c r="C46" s="402">
        <v>800</v>
      </c>
      <c r="D46" s="722">
        <v>896</v>
      </c>
    </row>
    <row r="47" spans="1:4" x14ac:dyDescent="0.25">
      <c r="A47" s="663">
        <v>42644</v>
      </c>
      <c r="B47" s="661" t="s">
        <v>926</v>
      </c>
      <c r="C47" s="402"/>
      <c r="D47" s="660" t="s">
        <v>954</v>
      </c>
    </row>
    <row r="48" spans="1:4" x14ac:dyDescent="0.25">
      <c r="A48" s="663">
        <v>42644</v>
      </c>
      <c r="B48" s="661" t="s">
        <v>950</v>
      </c>
      <c r="C48" s="402"/>
      <c r="D48" s="722">
        <v>882</v>
      </c>
    </row>
    <row r="49" spans="1:4" x14ac:dyDescent="0.25">
      <c r="A49" s="663">
        <v>42644</v>
      </c>
      <c r="B49" s="661" t="s">
        <v>506</v>
      </c>
      <c r="C49" s="402"/>
      <c r="D49" s="660" t="s">
        <v>954</v>
      </c>
    </row>
    <row r="50" spans="1:4" x14ac:dyDescent="0.25">
      <c r="A50" s="663">
        <v>42644</v>
      </c>
      <c r="B50" s="661" t="s">
        <v>507</v>
      </c>
      <c r="C50" s="402"/>
      <c r="D50" s="722" t="s">
        <v>954</v>
      </c>
    </row>
    <row r="51" spans="1:4" x14ac:dyDescent="0.25">
      <c r="A51" s="663">
        <v>42644</v>
      </c>
      <c r="B51" s="661" t="s">
        <v>952</v>
      </c>
      <c r="C51" s="402"/>
      <c r="D51" s="722">
        <v>895</v>
      </c>
    </row>
    <row r="52" spans="1:4" x14ac:dyDescent="0.25">
      <c r="A52" s="663">
        <v>42644</v>
      </c>
      <c r="B52" s="661" t="s">
        <v>953</v>
      </c>
      <c r="C52" s="402"/>
      <c r="D52" s="722">
        <v>896</v>
      </c>
    </row>
    <row r="53" spans="1:4" x14ac:dyDescent="0.25">
      <c r="A53" s="663">
        <v>42675</v>
      </c>
      <c r="B53" s="661" t="s">
        <v>926</v>
      </c>
      <c r="C53" s="402"/>
      <c r="D53" s="660" t="s">
        <v>954</v>
      </c>
    </row>
    <row r="54" spans="1:4" x14ac:dyDescent="0.25">
      <c r="A54" s="663">
        <v>42675</v>
      </c>
      <c r="B54" s="661" t="s">
        <v>950</v>
      </c>
      <c r="C54" s="402"/>
      <c r="D54" s="722">
        <v>882</v>
      </c>
    </row>
    <row r="55" spans="1:4" x14ac:dyDescent="0.25">
      <c r="A55" s="663">
        <v>42675</v>
      </c>
      <c r="B55" s="661" t="s">
        <v>506</v>
      </c>
      <c r="C55" s="402"/>
      <c r="D55" s="660" t="s">
        <v>954</v>
      </c>
    </row>
    <row r="56" spans="1:4" x14ac:dyDescent="0.25">
      <c r="A56" s="663">
        <v>42675</v>
      </c>
      <c r="B56" s="661" t="s">
        <v>507</v>
      </c>
      <c r="C56" s="402"/>
      <c r="D56" s="722" t="s">
        <v>954</v>
      </c>
    </row>
    <row r="57" spans="1:4" x14ac:dyDescent="0.25">
      <c r="A57" s="663">
        <v>42675</v>
      </c>
      <c r="B57" s="661" t="s">
        <v>952</v>
      </c>
      <c r="C57" s="402"/>
      <c r="D57" s="722">
        <v>895</v>
      </c>
    </row>
    <row r="58" spans="1:4" x14ac:dyDescent="0.25">
      <c r="A58" s="663">
        <v>42675</v>
      </c>
      <c r="B58" s="661" t="s">
        <v>953</v>
      </c>
      <c r="C58" s="402"/>
      <c r="D58" s="722">
        <v>896</v>
      </c>
    </row>
    <row r="59" spans="1:4" x14ac:dyDescent="0.25">
      <c r="A59" s="663">
        <v>42705</v>
      </c>
      <c r="B59" s="661" t="s">
        <v>926</v>
      </c>
      <c r="C59" s="402"/>
      <c r="D59" s="660" t="s">
        <v>954</v>
      </c>
    </row>
    <row r="60" spans="1:4" x14ac:dyDescent="0.25">
      <c r="A60" s="663">
        <v>42705</v>
      </c>
      <c r="B60" s="661" t="s">
        <v>950</v>
      </c>
      <c r="C60" s="402"/>
      <c r="D60" s="722">
        <v>882</v>
      </c>
    </row>
    <row r="61" spans="1:4" x14ac:dyDescent="0.25">
      <c r="A61" s="663">
        <v>42705</v>
      </c>
      <c r="B61" s="661" t="s">
        <v>506</v>
      </c>
      <c r="C61" s="402"/>
      <c r="D61" s="660" t="s">
        <v>954</v>
      </c>
    </row>
    <row r="62" spans="1:4" x14ac:dyDescent="0.25">
      <c r="A62" s="663">
        <v>42705</v>
      </c>
      <c r="B62" s="661" t="s">
        <v>507</v>
      </c>
      <c r="C62" s="402"/>
      <c r="D62" s="722" t="s">
        <v>954</v>
      </c>
    </row>
    <row r="63" spans="1:4" x14ac:dyDescent="0.25">
      <c r="A63" s="663">
        <v>42705</v>
      </c>
      <c r="B63" s="661" t="s">
        <v>952</v>
      </c>
      <c r="C63" s="402"/>
      <c r="D63" s="722">
        <v>895</v>
      </c>
    </row>
    <row r="64" spans="1:4" x14ac:dyDescent="0.25">
      <c r="A64" s="663">
        <v>42705</v>
      </c>
      <c r="B64" s="661" t="s">
        <v>953</v>
      </c>
      <c r="C64" s="402"/>
      <c r="D64" s="722">
        <v>896</v>
      </c>
    </row>
    <row r="65" spans="1:4" x14ac:dyDescent="0.25">
      <c r="A65" s="663">
        <v>42736</v>
      </c>
      <c r="B65" s="661" t="s">
        <v>926</v>
      </c>
      <c r="C65" s="402"/>
      <c r="D65" s="660" t="s">
        <v>954</v>
      </c>
    </row>
    <row r="66" spans="1:4" x14ac:dyDescent="0.25">
      <c r="A66" s="663">
        <v>42736</v>
      </c>
      <c r="B66" s="661" t="s">
        <v>950</v>
      </c>
      <c r="C66" s="402"/>
      <c r="D66" s="722">
        <v>882</v>
      </c>
    </row>
    <row r="67" spans="1:4" x14ac:dyDescent="0.25">
      <c r="A67" s="663">
        <v>42736</v>
      </c>
      <c r="B67" s="661" t="s">
        <v>506</v>
      </c>
      <c r="C67" s="402"/>
      <c r="D67" s="660" t="s">
        <v>954</v>
      </c>
    </row>
    <row r="68" spans="1:4" x14ac:dyDescent="0.25">
      <c r="A68" s="663">
        <v>42736</v>
      </c>
      <c r="B68" s="661" t="s">
        <v>507</v>
      </c>
      <c r="C68" s="402"/>
      <c r="D68" s="722" t="s">
        <v>954</v>
      </c>
    </row>
    <row r="69" spans="1:4" x14ac:dyDescent="0.25">
      <c r="A69" s="663">
        <v>42736</v>
      </c>
      <c r="B69" s="661" t="s">
        <v>952</v>
      </c>
      <c r="C69" s="402"/>
      <c r="D69" s="722">
        <v>895</v>
      </c>
    </row>
    <row r="70" spans="1:4" x14ac:dyDescent="0.25">
      <c r="A70" s="663">
        <v>42736</v>
      </c>
      <c r="B70" s="661" t="s">
        <v>953</v>
      </c>
      <c r="C70" s="402"/>
      <c r="D70" s="722">
        <v>896</v>
      </c>
    </row>
    <row r="71" spans="1:4" x14ac:dyDescent="0.25">
      <c r="A71" s="663">
        <v>42767</v>
      </c>
      <c r="B71" s="661" t="s">
        <v>926</v>
      </c>
      <c r="C71" s="402"/>
      <c r="D71" s="660" t="s">
        <v>954</v>
      </c>
    </row>
    <row r="72" spans="1:4" x14ac:dyDescent="0.25">
      <c r="A72" s="663">
        <v>42767</v>
      </c>
      <c r="B72" s="661" t="s">
        <v>950</v>
      </c>
      <c r="C72" s="402"/>
      <c r="D72" s="722">
        <v>882</v>
      </c>
    </row>
    <row r="73" spans="1:4" x14ac:dyDescent="0.25">
      <c r="A73" s="663">
        <v>42767</v>
      </c>
      <c r="B73" s="661" t="s">
        <v>506</v>
      </c>
      <c r="C73" s="402"/>
      <c r="D73" s="660" t="s">
        <v>954</v>
      </c>
    </row>
    <row r="74" spans="1:4" x14ac:dyDescent="0.25">
      <c r="A74" s="663">
        <v>42767</v>
      </c>
      <c r="B74" s="661" t="s">
        <v>507</v>
      </c>
      <c r="C74" s="402"/>
      <c r="D74" s="722" t="s">
        <v>954</v>
      </c>
    </row>
    <row r="75" spans="1:4" x14ac:dyDescent="0.25">
      <c r="A75" s="663">
        <v>42767</v>
      </c>
      <c r="B75" s="661" t="s">
        <v>952</v>
      </c>
      <c r="C75" s="402"/>
      <c r="D75" s="722">
        <v>895</v>
      </c>
    </row>
    <row r="76" spans="1:4" x14ac:dyDescent="0.25">
      <c r="A76" s="663">
        <v>42767</v>
      </c>
      <c r="B76" s="661" t="s">
        <v>953</v>
      </c>
      <c r="C76" s="402"/>
      <c r="D76" s="722">
        <v>896</v>
      </c>
    </row>
    <row r="77" spans="1:4" x14ac:dyDescent="0.25">
      <c r="A77" s="401"/>
      <c r="B77" s="501"/>
      <c r="C77" s="402"/>
      <c r="D77" s="670"/>
    </row>
    <row r="78" spans="1:4" x14ac:dyDescent="0.25">
      <c r="A78" s="401"/>
      <c r="B78" s="501"/>
      <c r="C78" s="402">
        <f>SUM(C5:C76)</f>
        <v>145814.67000000001</v>
      </c>
      <c r="D78" s="670"/>
    </row>
    <row r="79" spans="1:4" x14ac:dyDescent="0.25">
      <c r="A79" s="401"/>
      <c r="B79" s="501"/>
      <c r="C79" s="402"/>
    </row>
    <row r="80" spans="1:4" x14ac:dyDescent="0.25">
      <c r="A80" s="401"/>
      <c r="B80" s="501"/>
      <c r="C80" s="402"/>
    </row>
    <row r="81" spans="1:3" x14ac:dyDescent="0.25">
      <c r="A81" s="401"/>
      <c r="B81" s="501"/>
      <c r="C81" s="402"/>
    </row>
    <row r="82" spans="1:3" x14ac:dyDescent="0.25">
      <c r="A82" s="401"/>
      <c r="B82" s="407"/>
      <c r="C82" s="402"/>
    </row>
    <row r="83" spans="1:3" x14ac:dyDescent="0.25">
      <c r="A83" s="401"/>
      <c r="B83" s="407"/>
      <c r="C83" s="402"/>
    </row>
    <row r="84" spans="1:3" x14ac:dyDescent="0.25">
      <c r="A84" s="401"/>
      <c r="B84" s="407"/>
      <c r="C84" s="402"/>
    </row>
    <row r="85" spans="1:3" x14ac:dyDescent="0.25">
      <c r="A85" s="401"/>
      <c r="B85" s="407"/>
      <c r="C85" s="402"/>
    </row>
    <row r="86" spans="1:3" x14ac:dyDescent="0.25">
      <c r="A86" s="401"/>
      <c r="B86" s="406"/>
      <c r="C86" s="402"/>
    </row>
    <row r="87" spans="1:3" x14ac:dyDescent="0.25">
      <c r="A87" s="401"/>
      <c r="B87" s="407"/>
      <c r="C87" s="402"/>
    </row>
    <row r="88" spans="1:3" x14ac:dyDescent="0.25">
      <c r="A88" s="401"/>
      <c r="B88" s="406"/>
      <c r="C88" s="402"/>
    </row>
    <row r="89" spans="1:3" x14ac:dyDescent="0.25">
      <c r="A89" s="401"/>
      <c r="B89" s="407"/>
      <c r="C89" s="402"/>
    </row>
    <row r="90" spans="1:3" x14ac:dyDescent="0.25">
      <c r="A90" s="401"/>
      <c r="B90" s="407"/>
      <c r="C90" s="402"/>
    </row>
    <row r="91" spans="1:3" x14ac:dyDescent="0.25">
      <c r="A91" s="401"/>
      <c r="B91" s="407"/>
      <c r="C91" s="402"/>
    </row>
    <row r="92" spans="1:3" x14ac:dyDescent="0.25">
      <c r="A92" s="401"/>
      <c r="B92" s="407"/>
      <c r="C92" s="402"/>
    </row>
    <row r="93" spans="1:3" x14ac:dyDescent="0.25">
      <c r="A93" s="401"/>
      <c r="B93" s="407"/>
      <c r="C93" s="402"/>
    </row>
    <row r="94" spans="1:3" x14ac:dyDescent="0.25">
      <c r="A94" s="401"/>
      <c r="B94" s="406"/>
      <c r="C94" s="402"/>
    </row>
    <row r="95" spans="1:3" x14ac:dyDescent="0.25">
      <c r="A95" s="401"/>
      <c r="B95" s="407"/>
      <c r="C95" s="402"/>
    </row>
    <row r="96" spans="1:3" x14ac:dyDescent="0.25">
      <c r="A96" s="401"/>
      <c r="B96" s="406"/>
      <c r="C96" s="402"/>
    </row>
    <row r="97" spans="1:3" x14ac:dyDescent="0.25">
      <c r="A97" s="401"/>
      <c r="B97" s="407"/>
      <c r="C97" s="402"/>
    </row>
    <row r="98" spans="1:3" x14ac:dyDescent="0.25">
      <c r="A98" s="401"/>
      <c r="B98" s="407"/>
      <c r="C98" s="402"/>
    </row>
    <row r="99" spans="1:3" x14ac:dyDescent="0.25">
      <c r="A99" s="401"/>
      <c r="B99" s="407"/>
      <c r="C99" s="402"/>
    </row>
    <row r="100" spans="1:3" x14ac:dyDescent="0.25">
      <c r="A100" s="401"/>
      <c r="B100" s="407"/>
      <c r="C100" s="402"/>
    </row>
    <row r="101" spans="1:3" x14ac:dyDescent="0.25">
      <c r="A101" s="401"/>
      <c r="B101" s="407"/>
      <c r="C101" s="402"/>
    </row>
    <row r="102" spans="1:3" x14ac:dyDescent="0.25">
      <c r="A102" s="401"/>
      <c r="B102" s="406"/>
      <c r="C102" s="402"/>
    </row>
    <row r="103" spans="1:3" x14ac:dyDescent="0.25">
      <c r="A103" s="401"/>
      <c r="B103" s="407"/>
      <c r="C103" s="402"/>
    </row>
    <row r="104" spans="1:3" x14ac:dyDescent="0.25">
      <c r="A104" s="401"/>
      <c r="B104" s="406"/>
      <c r="C104" s="402"/>
    </row>
    <row r="105" spans="1:3" x14ac:dyDescent="0.25">
      <c r="A105" s="401"/>
      <c r="B105" s="407"/>
      <c r="C105" s="402"/>
    </row>
    <row r="106" spans="1:3" x14ac:dyDescent="0.25">
      <c r="A106" s="401"/>
      <c r="B106" s="407"/>
      <c r="C106" s="402"/>
    </row>
    <row r="107" spans="1:3" x14ac:dyDescent="0.25">
      <c r="A107" s="401"/>
      <c r="B107" s="407"/>
      <c r="C107" s="402"/>
    </row>
    <row r="108" spans="1:3" x14ac:dyDescent="0.25">
      <c r="A108" s="401"/>
      <c r="B108" s="407"/>
      <c r="C108" s="402"/>
    </row>
    <row r="109" spans="1:3" x14ac:dyDescent="0.25">
      <c r="A109" s="401"/>
      <c r="B109" s="407"/>
      <c r="C109" s="402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O124"/>
  <sheetViews>
    <sheetView zoomScaleNormal="100" workbookViewId="0">
      <selection activeCell="E30" sqref="E30"/>
    </sheetView>
  </sheetViews>
  <sheetFormatPr defaultRowHeight="15.75" x14ac:dyDescent="0.25"/>
  <cols>
    <col min="1" max="1" width="47.140625" style="1054" customWidth="1"/>
    <col min="2" max="2" width="16" style="1054" customWidth="1"/>
    <col min="3" max="3" width="14.140625" style="1054" customWidth="1"/>
    <col min="4" max="4" width="3.7109375" style="1054" customWidth="1"/>
    <col min="5" max="5" width="14.5703125" style="1054" customWidth="1"/>
    <col min="6" max="6" width="3.7109375" style="1054" customWidth="1"/>
    <col min="7" max="7" width="16.42578125" style="1054" customWidth="1"/>
    <col min="8" max="8" width="3.7109375" style="1054" customWidth="1"/>
    <col min="9" max="9" width="15.7109375" style="1054" customWidth="1"/>
    <col min="10" max="10" width="8.42578125" style="1054" customWidth="1"/>
    <col min="11" max="11" width="15.140625" style="1054" bestFit="1" customWidth="1"/>
    <col min="12" max="12" width="16" style="1054" bestFit="1" customWidth="1"/>
    <col min="13" max="13" width="15.85546875" style="1054" bestFit="1" customWidth="1"/>
    <col min="14" max="14" width="12.42578125" style="1054" bestFit="1" customWidth="1"/>
    <col min="15" max="15" width="8.28515625" style="1054" bestFit="1" customWidth="1"/>
    <col min="16" max="16384" width="9.140625" style="1054"/>
  </cols>
  <sheetData>
    <row r="1" spans="1:15" x14ac:dyDescent="0.25">
      <c r="A1" s="1071" t="s">
        <v>823</v>
      </c>
      <c r="I1" s="1072" t="s">
        <v>863</v>
      </c>
      <c r="J1" s="1072"/>
    </row>
    <row r="2" spans="1:15" x14ac:dyDescent="0.25">
      <c r="A2" s="1073" t="s">
        <v>824</v>
      </c>
      <c r="I2" s="1072" t="s">
        <v>854</v>
      </c>
      <c r="J2" s="1072"/>
    </row>
    <row r="3" spans="1:15" x14ac:dyDescent="0.25">
      <c r="A3" s="1073" t="s">
        <v>825</v>
      </c>
      <c r="I3" s="1074" t="s">
        <v>1057</v>
      </c>
      <c r="J3" s="1075"/>
    </row>
    <row r="4" spans="1:15" x14ac:dyDescent="0.25">
      <c r="A4" s="1073"/>
      <c r="J4" s="1075"/>
    </row>
    <row r="5" spans="1:15" x14ac:dyDescent="0.25">
      <c r="A5" s="1073"/>
      <c r="J5" s="1075"/>
    </row>
    <row r="6" spans="1:15" x14ac:dyDescent="0.25">
      <c r="A6" s="1076"/>
    </row>
    <row r="7" spans="1:15" ht="48" thickBot="1" x14ac:dyDescent="0.3">
      <c r="A7" s="1077"/>
      <c r="B7" s="1078" t="s">
        <v>855</v>
      </c>
      <c r="C7" s="1078" t="s">
        <v>860</v>
      </c>
      <c r="D7" s="1078"/>
      <c r="E7" s="1078" t="s">
        <v>861</v>
      </c>
      <c r="F7" s="1078"/>
      <c r="G7" s="1078" t="s">
        <v>856</v>
      </c>
      <c r="H7" s="1078"/>
      <c r="I7" s="1079" t="s">
        <v>857</v>
      </c>
      <c r="J7" s="1080"/>
    </row>
    <row r="8" spans="1:15" x14ac:dyDescent="0.25">
      <c r="B8" s="1081"/>
      <c r="C8" s="1081"/>
      <c r="D8" s="1081"/>
      <c r="E8" s="1081"/>
      <c r="F8" s="1081"/>
      <c r="G8" s="1082"/>
      <c r="H8" s="1082"/>
      <c r="J8" s="1082"/>
    </row>
    <row r="9" spans="1:15" x14ac:dyDescent="0.25">
      <c r="A9" s="1083" t="s">
        <v>847</v>
      </c>
      <c r="B9" s="1118">
        <f>'Sch M-1.3 Pg. 2-8'!F14</f>
        <v>3551605</v>
      </c>
      <c r="C9" s="1118">
        <f>'Sch M-1.3 Pg. 2-8'!G17</f>
        <v>20278261.048166733</v>
      </c>
      <c r="D9" s="1084"/>
      <c r="E9" s="1121">
        <f>C9/B9</f>
        <v>5.7096048260340702</v>
      </c>
      <c r="G9" s="1062">
        <f ca="1">'Sch M-1.3 Pg.1'!G11</f>
        <v>212693838.69080076</v>
      </c>
      <c r="H9" s="1062"/>
      <c r="I9" s="1086">
        <f ca="1">(G9/C9)*E9</f>
        <v>59.886681849699151</v>
      </c>
      <c r="J9" s="1087"/>
      <c r="K9" s="1062"/>
      <c r="L9" s="1068"/>
    </row>
    <row r="10" spans="1:15" x14ac:dyDescent="0.25">
      <c r="A10" s="1083"/>
      <c r="B10" s="1118"/>
      <c r="C10" s="1118"/>
      <c r="D10" s="1084"/>
      <c r="E10" s="1121"/>
      <c r="G10" s="1062"/>
      <c r="H10" s="1062"/>
      <c r="I10" s="1086"/>
      <c r="J10" s="1087"/>
      <c r="K10" s="1062"/>
    </row>
    <row r="11" spans="1:15" x14ac:dyDescent="0.25">
      <c r="A11" s="1083" t="s">
        <v>848</v>
      </c>
      <c r="B11" s="1118">
        <f ca="1">'Sch M-1.3 Pg. 2-8'!F51+'Sch M-1.3 Pg. 2-8'!F52</f>
        <v>304822</v>
      </c>
      <c r="C11" s="1118">
        <f ca="1">'Sch M-1.3 Pg. 2-8'!G55+'Sch M-1.3 Pg. 2-8'!H56</f>
        <v>10450338.021582555</v>
      </c>
      <c r="D11" s="1084"/>
      <c r="E11" s="1121">
        <f ca="1">C11/B11</f>
        <v>34.283411373137618</v>
      </c>
      <c r="F11" s="1084"/>
      <c r="G11" s="1062">
        <f ca="1">'Sch M-1.3 Pg.1'!G13</f>
        <v>88433493.489999995</v>
      </c>
      <c r="H11" s="1062"/>
      <c r="I11" s="1086">
        <f ca="1">(G11/C11)*E11</f>
        <v>290.11519342435906</v>
      </c>
      <c r="J11" s="1087"/>
      <c r="K11" s="1062"/>
      <c r="L11" s="1068"/>
      <c r="O11" s="1068"/>
    </row>
    <row r="12" spans="1:15" x14ac:dyDescent="0.25">
      <c r="A12" s="1083"/>
      <c r="B12" s="1118"/>
      <c r="C12" s="1118"/>
      <c r="D12" s="1084"/>
      <c r="E12" s="1121"/>
      <c r="F12" s="1084"/>
      <c r="G12" s="1062"/>
      <c r="H12" s="1062"/>
      <c r="I12" s="1086"/>
      <c r="J12" s="1087"/>
      <c r="K12" s="1062"/>
      <c r="O12" s="1068"/>
    </row>
    <row r="13" spans="1:15" x14ac:dyDescent="0.25">
      <c r="A13" s="1083" t="s">
        <v>849</v>
      </c>
      <c r="B13" s="1118">
        <f ca="1">'Sch M-1.3 Pg. 2-8'!F97+'Sch M-1.3 Pg. 2-8'!F98</f>
        <v>2915</v>
      </c>
      <c r="C13" s="1118">
        <f ca="1">'Sch M-1.3 Pg. 2-8'!G101+'Sch M-1.3 Pg. 2-8'!H102+'Sch M-1.3 Pg. 2-8'!G118+'Sch M-1.3 Pg. 2-8'!H119</f>
        <v>1885948.103079001</v>
      </c>
      <c r="D13" s="1084"/>
      <c r="E13" s="1121">
        <f ca="1">C13/B13</f>
        <v>646.98048133070358</v>
      </c>
      <c r="F13" s="1084"/>
      <c r="G13" s="1062">
        <f ca="1">'Sch M-1.3 Pg.1'!G15</f>
        <v>11046530.903032584</v>
      </c>
      <c r="H13" s="1062"/>
      <c r="I13" s="1086">
        <f ca="1">(G13/C13)*E13</f>
        <v>3789.5474795995142</v>
      </c>
      <c r="J13" s="1087"/>
      <c r="K13" s="1062"/>
      <c r="L13" s="1068"/>
    </row>
    <row r="14" spans="1:15" x14ac:dyDescent="0.25">
      <c r="A14" s="1083"/>
      <c r="B14" s="1118"/>
      <c r="C14" s="1118"/>
      <c r="D14" s="1084"/>
      <c r="E14" s="1121"/>
      <c r="F14" s="1084"/>
      <c r="G14" s="1062"/>
      <c r="H14" s="1062"/>
      <c r="I14" s="1086"/>
      <c r="J14" s="1087"/>
      <c r="K14" s="1062"/>
    </row>
    <row r="15" spans="1:15" x14ac:dyDescent="0.25">
      <c r="A15" s="1083" t="s">
        <v>367</v>
      </c>
      <c r="B15" s="1118">
        <f ca="1">'Sch M-1.3 Pg. 2-8'!F161+'Sch M-1.3 Pg. 2-8'!F176</f>
        <v>73</v>
      </c>
      <c r="C15" s="1118">
        <f ca="1">'Sch M-1.3 Pg. 2-8'!G163+'Sch M-1.3 Pg. 2-8'!G179</f>
        <v>399190.28271707229</v>
      </c>
      <c r="D15" s="1084"/>
      <c r="E15" s="1121">
        <f ca="1">C15/B15</f>
        <v>5468.3600372201681</v>
      </c>
      <c r="G15" s="1062">
        <f ca="1">'Sch M-1.3 Pg.1'!G19</f>
        <v>1168693.1815200888</v>
      </c>
      <c r="H15" s="1062"/>
      <c r="I15" s="1086">
        <f ca="1">(G15/C15)*E15</f>
        <v>16009.495637261491</v>
      </c>
      <c r="J15" s="1087"/>
      <c r="K15" s="1062"/>
      <c r="L15" s="1068"/>
    </row>
    <row r="16" spans="1:15" x14ac:dyDescent="0.25">
      <c r="A16" s="1083"/>
      <c r="B16" s="1118"/>
      <c r="C16" s="1118"/>
      <c r="D16" s="1084"/>
      <c r="E16" s="1121"/>
      <c r="F16" s="1084"/>
      <c r="G16" s="1062"/>
      <c r="H16" s="1062"/>
      <c r="I16" s="1086"/>
      <c r="J16" s="1087"/>
      <c r="K16" s="1062"/>
    </row>
    <row r="17" spans="1:12" x14ac:dyDescent="0.25">
      <c r="A17" s="1083" t="s">
        <v>851</v>
      </c>
      <c r="B17" s="1119">
        <f>'Sch M-1.3 Pg. 2-8'!F208</f>
        <v>882</v>
      </c>
      <c r="C17" s="1118">
        <f>'Sch M-1.3 Pg. 2-8'!G210</f>
        <v>12834206.514682565</v>
      </c>
      <c r="D17" s="1084"/>
      <c r="E17" s="1121">
        <f>C17/B17</f>
        <v>14551.254551794291</v>
      </c>
      <c r="G17" s="1062">
        <f>'Sch M-1.3 Pg.1'!G21</f>
        <v>6942772.8607370481</v>
      </c>
      <c r="H17" s="1062"/>
      <c r="I17" s="1086">
        <f>(G17/C17)*E17</f>
        <v>7871.6245586587838</v>
      </c>
      <c r="J17" s="1087"/>
      <c r="K17" s="1062"/>
      <c r="L17" s="1068"/>
    </row>
    <row r="18" spans="1:12" x14ac:dyDescent="0.25">
      <c r="A18" s="1083"/>
      <c r="B18" s="1118"/>
      <c r="C18" s="1118"/>
      <c r="D18" s="1084"/>
      <c r="E18" s="1121"/>
      <c r="F18" s="1084"/>
      <c r="G18" s="1062"/>
      <c r="H18" s="1062"/>
      <c r="I18" s="1086"/>
      <c r="J18" s="1087"/>
      <c r="K18" s="1062"/>
    </row>
    <row r="19" spans="1:12" x14ac:dyDescent="0.25">
      <c r="A19" s="1083" t="s">
        <v>850</v>
      </c>
      <c r="B19" s="1120">
        <f>'Sch M-1.3 Pg. 2-8'!F251+'Sch M-1.3 Pg. 2-8'!F283</f>
        <v>19</v>
      </c>
      <c r="C19" s="1118">
        <f>'Sch M-1.3 Pg. 2-8'!G253+'Sch M-1.3 Pg. 2-8'!G285</f>
        <v>1066175.7</v>
      </c>
      <c r="D19" s="1084"/>
      <c r="E19" s="1121">
        <f>C19/B19</f>
        <v>56114.510526315789</v>
      </c>
      <c r="G19" s="1062">
        <f>'Sch M-1.3 Pg.1'!G23</f>
        <v>4103352.9567196472</v>
      </c>
      <c r="H19" s="1062"/>
      <c r="I19" s="1086">
        <f>(G19/C19)*E19</f>
        <v>215965.94509050774</v>
      </c>
      <c r="J19" s="1087"/>
      <c r="K19" s="1062"/>
      <c r="L19" s="1068"/>
    </row>
    <row r="20" spans="1:12" x14ac:dyDescent="0.25">
      <c r="A20" s="1083"/>
      <c r="B20" s="1118"/>
      <c r="C20" s="1118"/>
      <c r="D20" s="1084"/>
      <c r="E20" s="1121"/>
      <c r="G20" s="1062"/>
      <c r="H20" s="1062"/>
      <c r="I20" s="1086"/>
      <c r="J20" s="1087"/>
      <c r="K20" s="1062"/>
    </row>
    <row r="21" spans="1:12" x14ac:dyDescent="0.25">
      <c r="A21" s="1083" t="s">
        <v>852</v>
      </c>
      <c r="B21" s="1120">
        <f>'Sch M-1.3 Pg. 2-8'!F313</f>
        <v>12</v>
      </c>
      <c r="C21" s="1118">
        <f>'Sch M-1.3 Pg. 2-8'!G315</f>
        <v>7.5</v>
      </c>
      <c r="D21" s="1084"/>
      <c r="E21" s="1121">
        <f>C21/B21</f>
        <v>0.625</v>
      </c>
      <c r="G21" s="1062">
        <f>'Sch M-1.3 Pg.1'!G17</f>
        <v>7043.9327111077027</v>
      </c>
      <c r="H21" s="1062"/>
      <c r="I21" s="1086">
        <f>(G21/C21)*E21</f>
        <v>586.9943925923086</v>
      </c>
      <c r="J21" s="1087"/>
      <c r="K21" s="1062"/>
      <c r="L21" s="1068"/>
    </row>
    <row r="22" spans="1:12" x14ac:dyDescent="0.25">
      <c r="A22" s="1083"/>
      <c r="B22" s="1084"/>
      <c r="C22" s="1084"/>
      <c r="D22" s="1084"/>
      <c r="E22" s="1085"/>
      <c r="G22" s="1062"/>
      <c r="H22" s="1062"/>
      <c r="I22" s="1086"/>
      <c r="J22" s="1087"/>
      <c r="K22" s="1062"/>
    </row>
    <row r="24" spans="1:12" x14ac:dyDescent="0.25">
      <c r="A24" s="1083"/>
      <c r="C24" s="1084"/>
      <c r="D24" s="1084"/>
      <c r="E24" s="1085"/>
      <c r="G24" s="1062"/>
      <c r="H24" s="1062"/>
      <c r="I24" s="1086"/>
      <c r="J24" s="1087"/>
      <c r="K24" s="1062"/>
    </row>
    <row r="26" spans="1:12" x14ac:dyDescent="0.25">
      <c r="C26" s="1084"/>
      <c r="D26" s="1084"/>
      <c r="G26" s="1062"/>
      <c r="H26" s="1062"/>
      <c r="I26" s="1086"/>
    </row>
    <row r="27" spans="1:12" x14ac:dyDescent="0.25">
      <c r="C27" s="1084"/>
      <c r="G27" s="1062"/>
      <c r="H27" s="1062"/>
      <c r="I27" s="1086"/>
    </row>
    <row r="28" spans="1:12" x14ac:dyDescent="0.25">
      <c r="C28" s="1084"/>
      <c r="G28" s="1062"/>
      <c r="H28" s="1062"/>
    </row>
    <row r="29" spans="1:12" x14ac:dyDescent="0.25">
      <c r="C29" s="1084"/>
      <c r="G29" s="1062"/>
      <c r="H29" s="1062"/>
      <c r="I29" s="1086"/>
    </row>
    <row r="30" spans="1:12" x14ac:dyDescent="0.25">
      <c r="H30" s="1062"/>
      <c r="I30" s="1086"/>
    </row>
    <row r="46" spans="1:10" x14ac:dyDescent="0.25">
      <c r="A46" s="1088"/>
      <c r="B46" s="1089"/>
      <c r="C46" s="1089"/>
      <c r="D46" s="1089"/>
      <c r="E46" s="1089"/>
      <c r="F46" s="1089"/>
      <c r="G46" s="1063"/>
      <c r="H46" s="1063"/>
      <c r="I46" s="1063"/>
      <c r="J46" s="1063"/>
    </row>
    <row r="47" spans="1:10" x14ac:dyDescent="0.25">
      <c r="A47" s="1090"/>
      <c r="B47" s="1091"/>
      <c r="C47" s="1091"/>
      <c r="D47" s="1091"/>
      <c r="E47" s="1091"/>
      <c r="F47" s="1091"/>
      <c r="G47" s="1091"/>
      <c r="H47" s="1091"/>
      <c r="I47" s="1091"/>
      <c r="J47" s="1091"/>
    </row>
    <row r="48" spans="1:10" x14ac:dyDescent="0.25">
      <c r="B48" s="1091"/>
      <c r="C48" s="1091"/>
      <c r="D48" s="1091"/>
      <c r="E48" s="1091"/>
      <c r="F48" s="1091"/>
      <c r="G48" s="1091"/>
      <c r="H48" s="1091"/>
      <c r="I48" s="1091"/>
      <c r="J48" s="1091"/>
    </row>
    <row r="49" spans="1:10" x14ac:dyDescent="0.25">
      <c r="A49" s="1092"/>
      <c r="B49" s="1089"/>
      <c r="C49" s="1089"/>
      <c r="D49" s="1089"/>
      <c r="E49" s="1089"/>
      <c r="F49" s="1089"/>
      <c r="G49" s="1063"/>
      <c r="H49" s="1063"/>
      <c r="I49" s="1063"/>
      <c r="J49" s="1063"/>
    </row>
    <row r="50" spans="1:10" ht="18" x14ac:dyDescent="0.4">
      <c r="A50" s="1092"/>
      <c r="B50" s="1093"/>
      <c r="C50" s="1093"/>
      <c r="D50" s="1093"/>
      <c r="E50" s="1093"/>
      <c r="F50" s="1093"/>
      <c r="G50" s="1093"/>
      <c r="H50" s="1093"/>
      <c r="I50" s="1093"/>
      <c r="J50" s="1093"/>
    </row>
    <row r="51" spans="1:10" x14ac:dyDescent="0.25">
      <c r="A51" s="1094"/>
      <c r="B51" s="1091"/>
      <c r="C51" s="1091"/>
      <c r="D51" s="1091"/>
      <c r="E51" s="1091"/>
      <c r="F51" s="1091"/>
      <c r="G51" s="1062"/>
      <c r="H51" s="1062"/>
      <c r="I51" s="1062"/>
      <c r="J51" s="1062"/>
    </row>
    <row r="52" spans="1:10" x14ac:dyDescent="0.25">
      <c r="B52" s="1091"/>
      <c r="C52" s="1091"/>
      <c r="D52" s="1091"/>
      <c r="E52" s="1091"/>
      <c r="F52" s="1091"/>
      <c r="G52" s="1091"/>
      <c r="H52" s="1091"/>
      <c r="I52" s="1091"/>
      <c r="J52" s="1091"/>
    </row>
    <row r="53" spans="1:10" x14ac:dyDescent="0.25">
      <c r="B53" s="1089"/>
      <c r="C53" s="1089"/>
      <c r="D53" s="1089"/>
      <c r="E53" s="1089"/>
      <c r="F53" s="1089"/>
      <c r="G53" s="1063"/>
      <c r="H53" s="1063"/>
      <c r="I53" s="1063"/>
      <c r="J53" s="1063"/>
    </row>
    <row r="54" spans="1:10" x14ac:dyDescent="0.25">
      <c r="B54" s="1091"/>
      <c r="C54" s="1091"/>
      <c r="D54" s="1091"/>
      <c r="E54" s="1091"/>
      <c r="F54" s="1091"/>
      <c r="G54" s="1062"/>
      <c r="H54" s="1062"/>
      <c r="I54" s="1062"/>
      <c r="J54" s="1062"/>
    </row>
    <row r="55" spans="1:10" x14ac:dyDescent="0.25">
      <c r="B55" s="1089"/>
      <c r="C55" s="1089"/>
      <c r="D55" s="1089"/>
      <c r="E55" s="1089"/>
      <c r="F55" s="1089"/>
      <c r="G55" s="1063"/>
      <c r="H55" s="1063"/>
      <c r="I55" s="1063"/>
      <c r="J55" s="1063"/>
    </row>
    <row r="56" spans="1:10" x14ac:dyDescent="0.25">
      <c r="B56" s="1091"/>
      <c r="C56" s="1091"/>
      <c r="D56" s="1091"/>
      <c r="E56" s="1091"/>
      <c r="F56" s="1091"/>
      <c r="G56" s="1062"/>
      <c r="H56" s="1062"/>
      <c r="I56" s="1062"/>
      <c r="J56" s="1062"/>
    </row>
    <row r="57" spans="1:10" x14ac:dyDescent="0.25">
      <c r="B57" s="1089"/>
      <c r="C57" s="1089"/>
      <c r="D57" s="1089"/>
      <c r="E57" s="1089"/>
      <c r="F57" s="1089"/>
      <c r="G57" s="1063"/>
      <c r="H57" s="1063"/>
      <c r="I57" s="1063"/>
      <c r="J57" s="1063"/>
    </row>
    <row r="58" spans="1:10" x14ac:dyDescent="0.25">
      <c r="B58" s="1089"/>
      <c r="C58" s="1089"/>
      <c r="D58" s="1089"/>
      <c r="E58" s="1089"/>
      <c r="F58" s="1089"/>
      <c r="G58" s="1063"/>
      <c r="H58" s="1063"/>
      <c r="I58" s="1063"/>
      <c r="J58" s="1063"/>
    </row>
    <row r="59" spans="1:10" x14ac:dyDescent="0.25">
      <c r="B59" s="1095"/>
      <c r="C59" s="1095"/>
      <c r="D59" s="1095"/>
      <c r="E59" s="1095"/>
      <c r="F59" s="1095"/>
      <c r="G59" s="1095"/>
      <c r="H59" s="1095"/>
      <c r="I59" s="1095"/>
      <c r="J59" s="1095"/>
    </row>
    <row r="60" spans="1:10" x14ac:dyDescent="0.25">
      <c r="B60" s="1091"/>
      <c r="C60" s="1091"/>
      <c r="D60" s="1091"/>
      <c r="E60" s="1091"/>
      <c r="F60" s="1091"/>
      <c r="G60" s="1062"/>
      <c r="H60" s="1062"/>
      <c r="I60" s="1062"/>
      <c r="J60" s="1062"/>
    </row>
    <row r="61" spans="1:10" x14ac:dyDescent="0.25">
      <c r="B61" s="1091"/>
      <c r="C61" s="1091"/>
      <c r="D61" s="1091"/>
      <c r="E61" s="1091"/>
      <c r="F61" s="1091"/>
    </row>
    <row r="62" spans="1:10" ht="18" x14ac:dyDescent="0.4">
      <c r="B62" s="1096"/>
      <c r="C62" s="1096"/>
      <c r="D62" s="1096"/>
      <c r="E62" s="1096"/>
      <c r="F62" s="1096"/>
      <c r="G62" s="1097"/>
      <c r="H62" s="1097"/>
      <c r="I62" s="1097"/>
      <c r="J62" s="1097"/>
    </row>
    <row r="64" spans="1:10" x14ac:dyDescent="0.25">
      <c r="B64" s="1068"/>
    </row>
    <row r="67" spans="2:14" x14ac:dyDescent="0.25">
      <c r="B67" s="1091"/>
      <c r="C67" s="1091"/>
      <c r="D67" s="1091"/>
      <c r="E67" s="1091"/>
      <c r="F67" s="1091"/>
      <c r="G67" s="1091"/>
      <c r="H67" s="1091"/>
      <c r="I67" s="1091"/>
      <c r="J67" s="1091"/>
    </row>
    <row r="68" spans="2:14" x14ac:dyDescent="0.25">
      <c r="B68" s="1091"/>
      <c r="C68" s="1091"/>
      <c r="D68" s="1091"/>
      <c r="E68" s="1091"/>
      <c r="F68" s="1091"/>
      <c r="G68" s="1091"/>
      <c r="H68" s="1091"/>
      <c r="I68" s="1091"/>
      <c r="J68" s="1091"/>
    </row>
    <row r="69" spans="2:14" x14ac:dyDescent="0.25">
      <c r="B69" s="1091"/>
      <c r="C69" s="1091"/>
      <c r="D69" s="1091"/>
      <c r="E69" s="1091"/>
      <c r="F69" s="1091"/>
      <c r="G69" s="1091"/>
      <c r="H69" s="1091"/>
      <c r="I69" s="1091"/>
      <c r="J69" s="1091"/>
    </row>
    <row r="70" spans="2:14" x14ac:dyDescent="0.25">
      <c r="B70" s="1091"/>
      <c r="C70" s="1091"/>
      <c r="D70" s="1091"/>
      <c r="E70" s="1091"/>
      <c r="F70" s="1091"/>
      <c r="G70" s="1091"/>
      <c r="H70" s="1091"/>
      <c r="I70" s="1091"/>
      <c r="J70" s="1091"/>
    </row>
    <row r="71" spans="2:14" x14ac:dyDescent="0.25">
      <c r="B71" s="1089"/>
      <c r="C71" s="1089"/>
      <c r="D71" s="1089"/>
      <c r="E71" s="1089"/>
      <c r="F71" s="1089"/>
      <c r="G71" s="1091"/>
      <c r="H71" s="1091"/>
      <c r="I71" s="1091"/>
      <c r="J71" s="1091"/>
    </row>
    <row r="72" spans="2:14" x14ac:dyDescent="0.25">
      <c r="B72" s="1084"/>
      <c r="C72" s="1084"/>
      <c r="D72" s="1084"/>
      <c r="E72" s="1084"/>
      <c r="F72" s="1084"/>
      <c r="G72" s="1084"/>
      <c r="H72" s="1084"/>
      <c r="I72" s="1084"/>
    </row>
    <row r="73" spans="2:14" x14ac:dyDescent="0.25">
      <c r="B73" s="1084"/>
      <c r="C73" s="1084"/>
      <c r="D73" s="1084"/>
      <c r="E73" s="1084"/>
      <c r="F73" s="1084"/>
      <c r="G73" s="1084"/>
      <c r="H73" s="1084"/>
      <c r="I73" s="1084"/>
    </row>
    <row r="74" spans="2:14" s="1098" customFormat="1" x14ac:dyDescent="0.25">
      <c r="B74" s="1099"/>
      <c r="C74" s="1099"/>
      <c r="D74" s="1099"/>
      <c r="E74" s="1099"/>
      <c r="F74" s="1099"/>
      <c r="G74" s="1099"/>
      <c r="H74" s="1099"/>
      <c r="I74" s="1099"/>
      <c r="K74" s="1054"/>
      <c r="L74" s="1054"/>
      <c r="M74" s="1054"/>
      <c r="N74" s="1054"/>
    </row>
    <row r="75" spans="2:14" s="1066" customFormat="1" x14ac:dyDescent="0.25">
      <c r="B75" s="1100"/>
      <c r="C75" s="1100"/>
      <c r="D75" s="1100"/>
      <c r="E75" s="1100"/>
      <c r="F75" s="1100"/>
      <c r="G75" s="1100"/>
      <c r="H75" s="1100"/>
      <c r="I75" s="1100"/>
      <c r="K75" s="1054"/>
      <c r="L75" s="1054"/>
      <c r="M75" s="1054"/>
      <c r="N75" s="1054"/>
    </row>
    <row r="76" spans="2:14" s="1066" customFormat="1" x14ac:dyDescent="0.25">
      <c r="B76" s="1100"/>
      <c r="C76" s="1100"/>
      <c r="D76" s="1100"/>
      <c r="E76" s="1100"/>
      <c r="F76" s="1100"/>
      <c r="G76" s="1100"/>
      <c r="H76" s="1100"/>
      <c r="I76" s="1100"/>
      <c r="K76" s="1054"/>
      <c r="L76" s="1054"/>
      <c r="M76" s="1054"/>
      <c r="N76" s="1054"/>
    </row>
    <row r="77" spans="2:14" s="1066" customFormat="1" x14ac:dyDescent="0.25">
      <c r="B77" s="1100"/>
      <c r="C77" s="1100"/>
      <c r="D77" s="1100"/>
      <c r="E77" s="1100"/>
      <c r="F77" s="1100"/>
      <c r="G77" s="1100"/>
      <c r="H77" s="1100"/>
      <c r="I77" s="1100"/>
      <c r="K77" s="1054"/>
      <c r="L77" s="1054"/>
      <c r="M77" s="1054"/>
      <c r="N77" s="1054"/>
    </row>
    <row r="78" spans="2:14" s="1066" customFormat="1" x14ac:dyDescent="0.25">
      <c r="B78" s="1100"/>
      <c r="C78" s="1100"/>
      <c r="D78" s="1100"/>
      <c r="E78" s="1100"/>
      <c r="F78" s="1100"/>
      <c r="G78" s="1100"/>
      <c r="H78" s="1100"/>
      <c r="I78" s="1100"/>
      <c r="K78" s="1054"/>
      <c r="L78" s="1054"/>
      <c r="M78" s="1054"/>
      <c r="N78" s="1054"/>
    </row>
    <row r="79" spans="2:14" s="1066" customFormat="1" x14ac:dyDescent="0.25">
      <c r="B79" s="1100"/>
      <c r="C79" s="1100"/>
      <c r="D79" s="1100"/>
      <c r="E79" s="1100"/>
      <c r="F79" s="1100"/>
      <c r="G79" s="1100"/>
      <c r="H79" s="1100"/>
      <c r="I79" s="1100"/>
      <c r="K79" s="1054"/>
      <c r="L79" s="1054"/>
      <c r="M79" s="1054"/>
      <c r="N79" s="1054"/>
    </row>
    <row r="80" spans="2:14" s="1066" customFormat="1" x14ac:dyDescent="0.25">
      <c r="B80" s="1100"/>
      <c r="C80" s="1100"/>
      <c r="D80" s="1100"/>
      <c r="E80" s="1100"/>
      <c r="F80" s="1100"/>
      <c r="G80" s="1100"/>
      <c r="H80" s="1100"/>
      <c r="I80" s="1100"/>
      <c r="K80" s="1054"/>
      <c r="L80" s="1054"/>
      <c r="M80" s="1054"/>
      <c r="N80" s="1054"/>
    </row>
    <row r="81" spans="1:14" s="1066" customFormat="1" x14ac:dyDescent="0.25">
      <c r="A81" s="1092"/>
      <c r="B81" s="1062"/>
      <c r="C81" s="1062"/>
      <c r="D81" s="1062"/>
      <c r="E81" s="1062"/>
      <c r="F81" s="1062"/>
      <c r="G81" s="1062"/>
      <c r="H81" s="1062"/>
      <c r="I81" s="1062"/>
      <c r="J81" s="1062"/>
      <c r="K81" s="1054"/>
      <c r="L81" s="1054"/>
      <c r="M81" s="1054"/>
      <c r="N81" s="1054"/>
    </row>
    <row r="82" spans="1:14" ht="18" x14ac:dyDescent="0.4">
      <c r="A82" s="1092"/>
      <c r="B82" s="1101"/>
      <c r="C82" s="1101"/>
      <c r="D82" s="1101"/>
      <c r="E82" s="1101"/>
      <c r="F82" s="1101"/>
      <c r="G82" s="1101"/>
      <c r="H82" s="1101"/>
      <c r="I82" s="1101"/>
      <c r="J82" s="1101"/>
    </row>
    <row r="83" spans="1:14" x14ac:dyDescent="0.25">
      <c r="B83" s="1062"/>
      <c r="C83" s="1062"/>
      <c r="D83" s="1062"/>
      <c r="E83" s="1062"/>
      <c r="F83" s="1062"/>
      <c r="G83" s="1062"/>
      <c r="H83" s="1062"/>
      <c r="I83" s="1062"/>
      <c r="J83" s="1062"/>
    </row>
    <row r="84" spans="1:14" x14ac:dyDescent="0.25">
      <c r="B84" s="1084"/>
      <c r="C84" s="1084"/>
      <c r="D84" s="1084"/>
      <c r="E84" s="1084"/>
      <c r="F84" s="1084"/>
      <c r="G84" s="1084"/>
      <c r="H84" s="1084"/>
      <c r="I84" s="1084"/>
    </row>
    <row r="85" spans="1:14" x14ac:dyDescent="0.25">
      <c r="A85" s="1102"/>
      <c r="B85" s="1084"/>
      <c r="C85" s="1084"/>
      <c r="D85" s="1084"/>
      <c r="E85" s="1084"/>
      <c r="F85" s="1084"/>
      <c r="G85" s="1084"/>
      <c r="H85" s="1084"/>
      <c r="I85" s="1084"/>
    </row>
    <row r="86" spans="1:14" x14ac:dyDescent="0.25">
      <c r="A86" s="1092"/>
      <c r="B86" s="1062"/>
      <c r="C86" s="1062"/>
      <c r="D86" s="1062"/>
      <c r="E86" s="1062"/>
      <c r="F86" s="1062"/>
      <c r="G86" s="1062"/>
      <c r="H86" s="1062"/>
      <c r="I86" s="1062"/>
      <c r="J86" s="1062"/>
    </row>
    <row r="87" spans="1:14" ht="18" x14ac:dyDescent="0.4">
      <c r="A87" s="1092"/>
      <c r="B87" s="1101"/>
      <c r="C87" s="1101"/>
      <c r="D87" s="1101"/>
      <c r="E87" s="1101"/>
      <c r="F87" s="1101"/>
      <c r="G87" s="1101"/>
      <c r="H87" s="1101"/>
      <c r="I87" s="1101"/>
      <c r="J87" s="1101"/>
    </row>
    <row r="88" spans="1:14" x14ac:dyDescent="0.25">
      <c r="B88" s="1062"/>
      <c r="C88" s="1062"/>
      <c r="D88" s="1062"/>
      <c r="E88" s="1062"/>
      <c r="F88" s="1062"/>
      <c r="G88" s="1062"/>
      <c r="H88" s="1062"/>
      <c r="I88" s="1062"/>
      <c r="J88" s="1062"/>
    </row>
    <row r="89" spans="1:14" x14ac:dyDescent="0.25">
      <c r="B89" s="1084"/>
      <c r="C89" s="1084"/>
      <c r="D89" s="1084"/>
      <c r="E89" s="1084"/>
      <c r="F89" s="1084"/>
      <c r="G89" s="1084"/>
      <c r="H89" s="1084"/>
      <c r="I89" s="1084"/>
    </row>
    <row r="90" spans="1:14" x14ac:dyDescent="0.25">
      <c r="B90" s="1062"/>
      <c r="C90" s="1062"/>
      <c r="D90" s="1062"/>
      <c r="E90" s="1062"/>
      <c r="F90" s="1062"/>
      <c r="G90" s="1062"/>
      <c r="H90" s="1062"/>
      <c r="I90" s="1062"/>
      <c r="J90" s="1062"/>
    </row>
    <row r="91" spans="1:14" x14ac:dyDescent="0.25">
      <c r="B91" s="1062"/>
      <c r="C91" s="1062"/>
      <c r="D91" s="1062"/>
      <c r="E91" s="1062"/>
      <c r="F91" s="1062"/>
      <c r="G91" s="1062"/>
      <c r="H91" s="1062"/>
      <c r="I91" s="1062"/>
      <c r="J91" s="1062"/>
    </row>
    <row r="92" spans="1:14" ht="18" x14ac:dyDescent="0.4">
      <c r="B92" s="1101"/>
      <c r="C92" s="1101"/>
      <c r="D92" s="1101"/>
      <c r="E92" s="1101"/>
      <c r="F92" s="1101"/>
      <c r="G92" s="1101"/>
      <c r="H92" s="1101"/>
      <c r="I92" s="1101"/>
      <c r="J92" s="1101"/>
    </row>
    <row r="93" spans="1:14" x14ac:dyDescent="0.25">
      <c r="B93" s="1062"/>
      <c r="C93" s="1062"/>
      <c r="D93" s="1062"/>
      <c r="E93" s="1062"/>
      <c r="F93" s="1062"/>
      <c r="G93" s="1062"/>
      <c r="H93" s="1062"/>
      <c r="I93" s="1062"/>
      <c r="J93" s="1062"/>
    </row>
    <row r="94" spans="1:14" x14ac:dyDescent="0.25">
      <c r="B94" s="1084"/>
      <c r="C94" s="1084"/>
      <c r="D94" s="1084"/>
      <c r="E94" s="1084"/>
      <c r="F94" s="1084"/>
      <c r="G94" s="1084"/>
      <c r="H94" s="1084"/>
      <c r="I94" s="1084"/>
    </row>
    <row r="95" spans="1:14" x14ac:dyDescent="0.25">
      <c r="B95" s="1062"/>
      <c r="C95" s="1062"/>
      <c r="D95" s="1062"/>
      <c r="E95" s="1062"/>
      <c r="F95" s="1062"/>
      <c r="G95" s="1062"/>
      <c r="H95" s="1062"/>
      <c r="I95" s="1062"/>
      <c r="J95" s="1062"/>
    </row>
    <row r="96" spans="1:14" x14ac:dyDescent="0.25">
      <c r="B96" s="1062"/>
      <c r="C96" s="1062"/>
      <c r="D96" s="1062"/>
      <c r="E96" s="1062"/>
      <c r="F96" s="1062"/>
      <c r="G96" s="1062"/>
      <c r="H96" s="1062"/>
      <c r="I96" s="1062"/>
      <c r="J96" s="1062"/>
    </row>
    <row r="97" spans="1:10" x14ac:dyDescent="0.25">
      <c r="B97" s="1091"/>
      <c r="C97" s="1091"/>
      <c r="D97" s="1091"/>
      <c r="E97" s="1091"/>
      <c r="F97" s="1091"/>
      <c r="G97" s="1091"/>
      <c r="H97" s="1091"/>
      <c r="I97" s="1091"/>
      <c r="J97" s="1091"/>
    </row>
    <row r="98" spans="1:10" ht="18" x14ac:dyDescent="0.4">
      <c r="B98" s="1093"/>
      <c r="C98" s="1093"/>
      <c r="D98" s="1093"/>
      <c r="E98" s="1093"/>
      <c r="F98" s="1093"/>
      <c r="G98" s="1093"/>
      <c r="H98" s="1093"/>
      <c r="I98" s="1093"/>
      <c r="J98" s="1093"/>
    </row>
    <row r="99" spans="1:10" x14ac:dyDescent="0.25">
      <c r="B99" s="1062"/>
      <c r="C99" s="1062"/>
      <c r="D99" s="1062"/>
      <c r="E99" s="1062"/>
      <c r="F99" s="1062"/>
      <c r="G99" s="1062"/>
      <c r="H99" s="1062"/>
      <c r="I99" s="1062"/>
      <c r="J99" s="1062"/>
    </row>
    <row r="100" spans="1:10" x14ac:dyDescent="0.25">
      <c r="B100" s="1084"/>
      <c r="C100" s="1084"/>
      <c r="D100" s="1084"/>
      <c r="E100" s="1084"/>
      <c r="F100" s="1084"/>
      <c r="G100" s="1084"/>
      <c r="H100" s="1084"/>
      <c r="I100" s="1084"/>
    </row>
    <row r="101" spans="1:10" x14ac:dyDescent="0.25">
      <c r="B101" s="1062"/>
      <c r="C101" s="1062"/>
      <c r="D101" s="1062"/>
      <c r="E101" s="1062"/>
      <c r="F101" s="1062"/>
      <c r="G101" s="1062"/>
      <c r="H101" s="1062"/>
      <c r="I101" s="1062"/>
      <c r="J101" s="1062"/>
    </row>
    <row r="102" spans="1:10" x14ac:dyDescent="0.25">
      <c r="B102" s="1084"/>
      <c r="C102" s="1084"/>
      <c r="D102" s="1084"/>
      <c r="E102" s="1084"/>
      <c r="F102" s="1084"/>
      <c r="G102" s="1084"/>
      <c r="H102" s="1084"/>
      <c r="I102" s="1084"/>
    </row>
    <row r="103" spans="1:10" x14ac:dyDescent="0.25">
      <c r="B103" s="1062"/>
      <c r="C103" s="1062"/>
      <c r="D103" s="1062"/>
      <c r="E103" s="1062"/>
      <c r="F103" s="1062"/>
      <c r="G103" s="1062"/>
      <c r="H103" s="1062"/>
      <c r="I103" s="1062"/>
      <c r="J103" s="1062"/>
    </row>
    <row r="105" spans="1:10" x14ac:dyDescent="0.25">
      <c r="B105" s="1062"/>
      <c r="C105" s="1062"/>
      <c r="D105" s="1062"/>
      <c r="E105" s="1062"/>
      <c r="F105" s="1062"/>
      <c r="G105" s="1062"/>
      <c r="H105" s="1062"/>
      <c r="I105" s="1062"/>
      <c r="J105" s="1062"/>
    </row>
    <row r="106" spans="1:10" x14ac:dyDescent="0.25">
      <c r="A106" s="1092"/>
      <c r="B106" s="1062"/>
      <c r="C106" s="1062"/>
      <c r="D106" s="1062"/>
      <c r="E106" s="1062"/>
      <c r="F106" s="1062"/>
      <c r="G106" s="1062"/>
      <c r="H106" s="1062"/>
      <c r="I106" s="1062"/>
      <c r="J106" s="1062"/>
    </row>
    <row r="107" spans="1:10" ht="18" x14ac:dyDescent="0.4">
      <c r="A107" s="1092"/>
      <c r="B107" s="1101"/>
      <c r="C107" s="1101"/>
      <c r="D107" s="1101"/>
      <c r="E107" s="1101"/>
      <c r="F107" s="1101"/>
      <c r="G107" s="1101"/>
      <c r="H107" s="1101"/>
      <c r="I107" s="1101"/>
      <c r="J107" s="1101"/>
    </row>
    <row r="108" spans="1:10" x14ac:dyDescent="0.25">
      <c r="B108" s="1062"/>
      <c r="C108" s="1062"/>
      <c r="D108" s="1062"/>
      <c r="E108" s="1062"/>
      <c r="F108" s="1062"/>
      <c r="G108" s="1062"/>
      <c r="H108" s="1062"/>
      <c r="I108" s="1062"/>
      <c r="J108" s="1062"/>
    </row>
    <row r="110" spans="1:10" x14ac:dyDescent="0.25">
      <c r="B110" s="1068"/>
      <c r="C110" s="1068"/>
      <c r="D110" s="1068"/>
      <c r="E110" s="1068"/>
      <c r="F110" s="1068"/>
      <c r="G110" s="1068"/>
      <c r="H110" s="1068"/>
      <c r="I110" s="1068"/>
      <c r="J110" s="1068"/>
    </row>
    <row r="112" spans="1:10" x14ac:dyDescent="0.25">
      <c r="B112" s="1062"/>
      <c r="C112" s="1062"/>
      <c r="D112" s="1062"/>
      <c r="E112" s="1062"/>
      <c r="F112" s="1062"/>
      <c r="G112" s="1062"/>
      <c r="H112" s="1062"/>
      <c r="I112" s="1062"/>
      <c r="J112" s="1062"/>
    </row>
    <row r="114" spans="2:10" x14ac:dyDescent="0.25">
      <c r="B114" s="1062"/>
      <c r="C114" s="1062"/>
      <c r="D114" s="1062"/>
      <c r="E114" s="1062"/>
      <c r="F114" s="1062"/>
      <c r="G114" s="1062"/>
      <c r="H114" s="1062"/>
      <c r="I114" s="1062"/>
      <c r="J114" s="1062"/>
    </row>
    <row r="116" spans="2:10" x14ac:dyDescent="0.25">
      <c r="B116" s="1062"/>
      <c r="C116" s="1062"/>
      <c r="D116" s="1062"/>
      <c r="E116" s="1062"/>
      <c r="F116" s="1062"/>
      <c r="G116" s="1062"/>
      <c r="H116" s="1062"/>
      <c r="I116" s="1062"/>
      <c r="J116" s="1062"/>
    </row>
    <row r="118" spans="2:10" ht="18" x14ac:dyDescent="0.4">
      <c r="B118" s="1103"/>
      <c r="C118" s="1103"/>
      <c r="D118" s="1103"/>
      <c r="E118" s="1103"/>
      <c r="F118" s="1103"/>
      <c r="G118" s="1103"/>
      <c r="H118" s="1103"/>
      <c r="I118" s="1103"/>
      <c r="J118" s="1103"/>
    </row>
    <row r="123" spans="2:10" x14ac:dyDescent="0.25">
      <c r="B123" s="1068"/>
      <c r="C123" s="1068"/>
      <c r="D123" s="1068"/>
      <c r="E123" s="1068"/>
      <c r="F123" s="1068"/>
      <c r="G123" s="1068"/>
      <c r="H123" s="1068"/>
      <c r="I123" s="1068"/>
      <c r="J123" s="1068"/>
    </row>
    <row r="124" spans="2:10" x14ac:dyDescent="0.25">
      <c r="B124" s="1068"/>
      <c r="C124" s="1068"/>
      <c r="D124" s="1068"/>
      <c r="E124" s="1068"/>
      <c r="F124" s="1068"/>
      <c r="G124" s="1068"/>
      <c r="H124" s="1068"/>
      <c r="I124" s="1068"/>
      <c r="J124" s="1068"/>
    </row>
  </sheetData>
  <printOptions horizontalCentered="1"/>
  <pageMargins left="0.75" right="0.75" top="1.75" bottom="0.5" header="0.5" footer="0.25"/>
  <pageSetup scale="89" orientation="landscape" r:id="rId1"/>
  <headerFooter>
    <oddHeader>&amp;C&amp;"Times New Roman,Bold"Louisville Gas and Electric Company
Case No. 2016-00371
Average Bill Comparison at Current Gas Rates
for the Twelve Months Ended February 28, 2017 
Gas Operations</oddHeader>
  </headerFooter>
  <colBreaks count="1" manualBreakCount="1">
    <brk id="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6" tint="0.39997558519241921"/>
    <pageSetUpPr fitToPage="1"/>
  </sheetPr>
  <dimension ref="A1:O222"/>
  <sheetViews>
    <sheetView workbookViewId="0">
      <selection activeCell="A23" sqref="A23"/>
    </sheetView>
  </sheetViews>
  <sheetFormatPr defaultRowHeight="15.75" x14ac:dyDescent="0.25"/>
  <cols>
    <col min="1" max="1" width="63.42578125" style="1054" customWidth="1"/>
    <col min="2" max="2" width="17" style="1054" customWidth="1"/>
    <col min="3" max="3" width="18.85546875" style="1054" customWidth="1"/>
    <col min="4" max="4" width="19.7109375" style="1054" customWidth="1"/>
    <col min="5" max="5" width="20.140625" style="1054" customWidth="1"/>
    <col min="6" max="6" width="17.42578125" style="1054" customWidth="1"/>
    <col min="7" max="7" width="19.5703125" style="1054" customWidth="1"/>
    <col min="8" max="8" width="17.7109375" style="1054" customWidth="1"/>
    <col min="9" max="9" width="13.7109375" style="1054" customWidth="1"/>
    <col min="10" max="11" width="9.28515625" style="1054" bestFit="1" customWidth="1"/>
    <col min="12" max="12" width="20.5703125" style="1054" customWidth="1"/>
    <col min="13" max="13" width="9.140625" style="1054"/>
    <col min="14" max="14" width="17.85546875" style="1054" customWidth="1"/>
    <col min="15" max="15" width="9.28515625" style="1054" bestFit="1" customWidth="1"/>
    <col min="16" max="16" width="9.140625" style="1054"/>
    <col min="17" max="17" width="15.85546875" style="1054" customWidth="1"/>
    <col min="18" max="18" width="9.28515625" style="1054" bestFit="1" customWidth="1"/>
    <col min="19" max="19" width="17.5703125" style="1054" bestFit="1" customWidth="1"/>
    <col min="20" max="20" width="15.42578125" style="1054" bestFit="1" customWidth="1"/>
    <col min="21" max="21" width="12.7109375" style="1054" bestFit="1" customWidth="1"/>
    <col min="22" max="16384" width="9.140625" style="1054"/>
  </cols>
  <sheetData>
    <row r="1" spans="1:14" x14ac:dyDescent="0.25">
      <c r="A1" s="1049" t="s">
        <v>823</v>
      </c>
      <c r="B1" s="1050"/>
      <c r="C1" s="1050"/>
      <c r="D1" s="1050"/>
      <c r="E1" s="1050"/>
      <c r="F1" s="1050"/>
      <c r="G1" s="1051" t="s">
        <v>859</v>
      </c>
      <c r="H1" s="1050"/>
      <c r="I1" s="1052"/>
      <c r="J1" s="1053"/>
      <c r="K1" s="1053"/>
      <c r="L1" s="1053"/>
      <c r="M1" s="1053"/>
      <c r="N1" s="1053"/>
    </row>
    <row r="2" spans="1:14" x14ac:dyDescent="0.25">
      <c r="A2" s="1055" t="s">
        <v>824</v>
      </c>
      <c r="B2" s="1050"/>
      <c r="C2" s="1050"/>
      <c r="D2" s="1050"/>
      <c r="E2" s="1050"/>
      <c r="F2" s="1050"/>
      <c r="G2" s="1051" t="s">
        <v>862</v>
      </c>
      <c r="H2" s="1050"/>
      <c r="I2" s="1052"/>
    </row>
    <row r="3" spans="1:14" x14ac:dyDescent="0.25">
      <c r="A3" s="1055" t="s">
        <v>825</v>
      </c>
      <c r="B3" s="1050"/>
      <c r="C3" s="1050"/>
      <c r="D3" s="1050"/>
      <c r="E3" s="1050"/>
      <c r="F3" s="1050"/>
      <c r="G3" s="1056" t="s">
        <v>1058</v>
      </c>
      <c r="H3" s="1050"/>
      <c r="I3" s="1052"/>
    </row>
    <row r="4" spans="1:14" x14ac:dyDescent="0.25">
      <c r="A4" s="1057"/>
      <c r="B4" s="1050"/>
      <c r="C4" s="1050"/>
      <c r="D4" s="1050"/>
      <c r="E4" s="1050"/>
      <c r="F4" s="1050"/>
      <c r="G4" s="1050"/>
      <c r="H4" s="1050"/>
      <c r="I4" s="1050"/>
    </row>
    <row r="5" spans="1:14" x14ac:dyDescent="0.25">
      <c r="A5" s="1052"/>
      <c r="B5" s="1052"/>
      <c r="C5" s="1052"/>
      <c r="D5" s="1052"/>
      <c r="E5" s="1052"/>
      <c r="F5" s="1052"/>
      <c r="G5" s="1052"/>
      <c r="H5" s="1052"/>
      <c r="I5" s="1052"/>
    </row>
    <row r="6" spans="1:14" x14ac:dyDescent="0.25">
      <c r="A6" s="1052"/>
      <c r="B6" s="1052"/>
      <c r="C6" s="1052"/>
      <c r="D6" s="1052"/>
      <c r="E6" s="1052"/>
      <c r="F6" s="1052"/>
      <c r="G6" s="1052"/>
      <c r="H6" s="1052"/>
      <c r="I6" s="1052"/>
    </row>
    <row r="7" spans="1:14" x14ac:dyDescent="0.25">
      <c r="A7" s="1058"/>
      <c r="B7" s="1058"/>
      <c r="C7" s="1058"/>
      <c r="D7" s="1058"/>
      <c r="E7" s="1058"/>
      <c r="F7" s="1058"/>
      <c r="G7" s="1059" t="s">
        <v>240</v>
      </c>
      <c r="H7" s="1052"/>
      <c r="I7" s="1052"/>
    </row>
    <row r="8" spans="1:14" x14ac:dyDescent="0.25">
      <c r="A8" s="1058"/>
      <c r="B8" s="1059" t="s">
        <v>593</v>
      </c>
      <c r="C8" s="1059" t="s">
        <v>832</v>
      </c>
      <c r="D8" s="1059" t="s">
        <v>196</v>
      </c>
      <c r="E8" s="1059" t="s">
        <v>294</v>
      </c>
      <c r="F8" s="1059" t="s">
        <v>198</v>
      </c>
      <c r="G8" s="1059" t="s">
        <v>612</v>
      </c>
    </row>
    <row r="9" spans="1:14" ht="16.5" thickBot="1" x14ac:dyDescent="0.3">
      <c r="A9" s="1060" t="s">
        <v>167</v>
      </c>
      <c r="B9" s="1061" t="s">
        <v>163</v>
      </c>
      <c r="C9" s="1061" t="s">
        <v>163</v>
      </c>
      <c r="D9" s="1061" t="s">
        <v>163</v>
      </c>
      <c r="E9" s="1061" t="s">
        <v>163</v>
      </c>
      <c r="F9" s="1061" t="s">
        <v>163</v>
      </c>
      <c r="G9" s="1061" t="s">
        <v>163</v>
      </c>
    </row>
    <row r="11" spans="1:14" x14ac:dyDescent="0.25">
      <c r="A11" s="1054" t="s">
        <v>606</v>
      </c>
      <c r="B11" s="1062">
        <f ca="1">'Sch M-1.3 Pg. 2-8'!J27</f>
        <v>106187891</v>
      </c>
      <c r="C11" s="1062">
        <f>'Sch M-1.3 Pg. 2-8'!J29</f>
        <v>18426517.326927226</v>
      </c>
      <c r="D11" s="1062">
        <f>'Sch M-1.3 Pg. 2-8'!J30</f>
        <v>84145334.856604919</v>
      </c>
      <c r="E11" s="1062">
        <f>'Sch M-1.3 Pg. 2-8'!J32</f>
        <v>2261467.73</v>
      </c>
      <c r="F11" s="1062">
        <f>'Sch M-1.3 Pg. 2-8'!J31</f>
        <v>1672627.7772686211</v>
      </c>
      <c r="G11" s="1062">
        <f ca="1">SUM(B11:F11)</f>
        <v>212693838.69080076</v>
      </c>
    </row>
    <row r="12" spans="1:14" x14ac:dyDescent="0.25">
      <c r="B12" s="1062"/>
      <c r="C12" s="1062"/>
      <c r="D12" s="1062"/>
      <c r="E12" s="1062"/>
      <c r="F12" s="1062"/>
      <c r="G12" s="1062"/>
    </row>
    <row r="13" spans="1:14" x14ac:dyDescent="0.25">
      <c r="A13" s="1054" t="s">
        <v>607</v>
      </c>
      <c r="B13" s="1062">
        <f ca="1">'Sch M-1.3 Pg. 2-8'!J74</f>
        <v>36100708.70734439</v>
      </c>
      <c r="C13" s="1062">
        <f>'Sch M-1.3 Pg. 2-8'!J76</f>
        <v>8107416.6502754847</v>
      </c>
      <c r="D13" s="1062">
        <f>'Sch M-1.3 Pg. 2-8'!J77</f>
        <v>42833552.632513314</v>
      </c>
      <c r="E13" s="1062">
        <f>'Sch M-1.3 Pg. 2-8'!J79</f>
        <v>791802.14000000013</v>
      </c>
      <c r="F13" s="1062">
        <f>'Sch M-1.3 Pg. 2-8'!J78</f>
        <v>600013.35986680177</v>
      </c>
      <c r="G13" s="1062">
        <f ca="1">SUM(B13:F13)</f>
        <v>88433493.489999995</v>
      </c>
    </row>
    <row r="14" spans="1:14" x14ac:dyDescent="0.25">
      <c r="B14" s="1062"/>
      <c r="C14" s="1062"/>
      <c r="D14" s="1062"/>
      <c r="E14" s="1062"/>
      <c r="F14" s="1062"/>
      <c r="G14" s="1062"/>
    </row>
    <row r="15" spans="1:14" x14ac:dyDescent="0.25">
      <c r="A15" s="1054" t="s">
        <v>608</v>
      </c>
      <c r="B15" s="1062">
        <f ca="1">'Sch M-1.3 Pg. 2-8'!J110+'Sch M-1.3 Pg. 2-8'!J128</f>
        <v>4367686.4549516542</v>
      </c>
      <c r="C15" s="1062">
        <f>'Sch M-1.3 Pg. 2-8'!J131</f>
        <v>777984.00291142706</v>
      </c>
      <c r="D15" s="1062">
        <f>'Sch M-1.3 Pg. 2-8'!J132</f>
        <v>5900860.4451695029</v>
      </c>
      <c r="E15" s="1062">
        <v>0</v>
      </c>
      <c r="F15" s="1062">
        <v>0</v>
      </c>
      <c r="G15" s="1062">
        <f ca="1">SUM(B15:F15)</f>
        <v>11046530.903032584</v>
      </c>
    </row>
    <row r="16" spans="1:14" x14ac:dyDescent="0.25">
      <c r="B16" s="1062"/>
      <c r="C16" s="1062"/>
      <c r="D16" s="1062"/>
      <c r="E16" s="1062"/>
      <c r="F16" s="1062"/>
      <c r="G16" s="1062"/>
    </row>
    <row r="17" spans="1:7" x14ac:dyDescent="0.25">
      <c r="A17" s="1054" t="s">
        <v>69</v>
      </c>
      <c r="B17" s="1062">
        <f>'Sch M-1.3 Pg. 2-8'!J324</f>
        <v>7014.4748</v>
      </c>
      <c r="C17" s="1062">
        <f>'Revenue Summary B'!I25</f>
        <v>0</v>
      </c>
      <c r="D17" s="1062">
        <f>'Sch M-1.3 Pg. 2-8'!J326</f>
        <v>28.985317769790747</v>
      </c>
      <c r="E17" s="1062">
        <v>0</v>
      </c>
      <c r="F17" s="1062">
        <f>'Sch M-1.3 Pg. 2-8'!J327</f>
        <v>0.47259333791229874</v>
      </c>
      <c r="G17" s="1063">
        <f>SUM(B17:F17)</f>
        <v>7043.9327111077027</v>
      </c>
    </row>
    <row r="18" spans="1:7" x14ac:dyDescent="0.25">
      <c r="B18" s="1062"/>
      <c r="C18" s="1062"/>
      <c r="D18" s="1062"/>
      <c r="E18" s="1062"/>
      <c r="F18" s="1062"/>
      <c r="G18" s="1062"/>
    </row>
    <row r="19" spans="1:7" x14ac:dyDescent="0.25">
      <c r="A19" s="1054" t="s">
        <v>609</v>
      </c>
      <c r="B19" s="1062">
        <f ca="1">'Sch M-1.3 Pg. 2-8'!J172+'Sch M-1.3 Pg. 2-8'!J187</f>
        <v>323086.31285245676</v>
      </c>
      <c r="C19" s="1062">
        <f>'Sch M-1.3 Pg. 2-8'!J189</f>
        <v>205066.37582608534</v>
      </c>
      <c r="D19" s="1062">
        <f>'Sch M-1.3 Pg. 2-8'!J190</f>
        <v>635662.90956146806</v>
      </c>
      <c r="E19" s="1062">
        <v>0</v>
      </c>
      <c r="F19" s="1062">
        <f>'Sch M-1.3 Pg. 2-8'!J191</f>
        <v>4877.5832800785802</v>
      </c>
      <c r="G19" s="1063">
        <f ca="1">SUM(B19:F19)</f>
        <v>1168693.1815200888</v>
      </c>
    </row>
    <row r="20" spans="1:7" x14ac:dyDescent="0.25">
      <c r="B20" s="1062"/>
      <c r="C20" s="1062"/>
      <c r="D20" s="1062"/>
      <c r="E20" s="1062"/>
      <c r="F20" s="1062"/>
      <c r="G20" s="1063"/>
    </row>
    <row r="21" spans="1:7" x14ac:dyDescent="0.25">
      <c r="A21" s="1054" t="s">
        <v>442</v>
      </c>
      <c r="B21" s="1062">
        <f>'Sch M-1.3 Pg. 2-8'!J218+'Sch M-1.3 Pg. 2-8'!J235</f>
        <v>6066947.0707370481</v>
      </c>
      <c r="C21" s="1062">
        <f>'Revenue Summary B'!I30</f>
        <v>0</v>
      </c>
      <c r="D21" s="1062">
        <f>'Sch M-1.3 Pg. 2-8'!J220</f>
        <v>20969.79</v>
      </c>
      <c r="E21" s="1062">
        <v>0</v>
      </c>
      <c r="F21" s="1062">
        <f>'Sch M-1.3 Pg. 2-8'!J221</f>
        <v>854856</v>
      </c>
      <c r="G21" s="1063">
        <f>SUM(B21:F21)</f>
        <v>6942772.8607370481</v>
      </c>
    </row>
    <row r="22" spans="1:7" x14ac:dyDescent="0.25">
      <c r="B22" s="1062"/>
      <c r="C22" s="1062"/>
      <c r="D22" s="1062"/>
      <c r="E22" s="1062"/>
      <c r="F22" s="1062"/>
      <c r="G22" s="1063"/>
    </row>
    <row r="23" spans="1:7" x14ac:dyDescent="0.25">
      <c r="A23" s="1054" t="s">
        <v>610</v>
      </c>
      <c r="B23" s="1062">
        <f>'Sch M-1.3 Pg. 2-8'!J263+'Sch M-1.3 Pg. 2-8'!J293</f>
        <v>3237120.2367196474</v>
      </c>
      <c r="C23" s="1062">
        <f>'Sch M-1.3 Pg. 2-8'!J265</f>
        <v>1529.28</v>
      </c>
      <c r="D23" s="1062">
        <f>'Sch M-1.3 Pg. 2-8'!J266+'Sch M-1.3 Pg. 2-8'!J295</f>
        <v>864703.44000000006</v>
      </c>
      <c r="E23" s="1062">
        <v>0</v>
      </c>
      <c r="F23" s="1062">
        <f>'Revenue Summary B'!G36</f>
        <v>0</v>
      </c>
      <c r="G23" s="1063">
        <f>SUM(B23:F23)</f>
        <v>4103352.9567196472</v>
      </c>
    </row>
    <row r="24" spans="1:7" x14ac:dyDescent="0.25">
      <c r="B24" s="1062"/>
      <c r="C24" s="1062"/>
      <c r="D24" s="1062"/>
      <c r="E24" s="1062"/>
      <c r="F24" s="1062"/>
      <c r="G24" s="1063"/>
    </row>
    <row r="25" spans="1:7" x14ac:dyDescent="0.25">
      <c r="A25" s="1054" t="s">
        <v>615</v>
      </c>
      <c r="B25" s="1064">
        <f ca="1">SUM(B10:B24)</f>
        <v>156290454.25740513</v>
      </c>
      <c r="C25" s="1064">
        <f>SUM(C10:C24)</f>
        <v>27518513.635940224</v>
      </c>
      <c r="D25" s="1064">
        <f>SUM(D10:D24)</f>
        <v>134401113.059167</v>
      </c>
      <c r="E25" s="1064">
        <f>SUM(E11:E24)</f>
        <v>3053269.87</v>
      </c>
      <c r="F25" s="1064">
        <f>ROUND(SUM(F10:F24),0)</f>
        <v>3132375</v>
      </c>
      <c r="G25" s="1065">
        <f ca="1">SUM(G10:G24)</f>
        <v>324395726.01552123</v>
      </c>
    </row>
    <row r="26" spans="1:7" x14ac:dyDescent="0.25">
      <c r="B26" s="1062"/>
      <c r="C26" s="1062"/>
      <c r="D26" s="1062"/>
      <c r="E26" s="1062"/>
      <c r="F26" s="1062"/>
      <c r="G26" s="1063"/>
    </row>
    <row r="27" spans="1:7" x14ac:dyDescent="0.25">
      <c r="A27" s="1066" t="s">
        <v>822</v>
      </c>
      <c r="B27" s="1063">
        <v>1624798.9651333333</v>
      </c>
      <c r="C27" s="1063"/>
      <c r="D27" s="1063"/>
      <c r="E27" s="1063"/>
      <c r="F27" s="1063"/>
      <c r="G27" s="1063">
        <f>B27</f>
        <v>1624798.9651333333</v>
      </c>
    </row>
    <row r="28" spans="1:7" x14ac:dyDescent="0.25">
      <c r="A28" s="1066" t="s">
        <v>616</v>
      </c>
      <c r="B28" s="1063">
        <v>736391</v>
      </c>
      <c r="C28" s="1063"/>
      <c r="D28" s="1063"/>
      <c r="E28" s="1063"/>
      <c r="F28" s="1063"/>
      <c r="G28" s="1063">
        <f>B28</f>
        <v>736391</v>
      </c>
    </row>
    <row r="29" spans="1:7" x14ac:dyDescent="0.25">
      <c r="A29" s="1066"/>
      <c r="B29" s="1063"/>
      <c r="C29" s="1063"/>
      <c r="D29" s="1063"/>
      <c r="E29" s="1063"/>
      <c r="F29" s="1063"/>
      <c r="G29" s="1063"/>
    </row>
    <row r="30" spans="1:7" x14ac:dyDescent="0.25">
      <c r="A30" s="1066" t="s">
        <v>611</v>
      </c>
      <c r="B30" s="1065">
        <f t="shared" ref="B30:G30" ca="1" si="0">+B25+B27+B28</f>
        <v>158651644.22253847</v>
      </c>
      <c r="C30" s="1065">
        <f t="shared" si="0"/>
        <v>27518513.635940224</v>
      </c>
      <c r="D30" s="1065">
        <f t="shared" si="0"/>
        <v>134401113.059167</v>
      </c>
      <c r="E30" s="1065">
        <f t="shared" si="0"/>
        <v>3053269.87</v>
      </c>
      <c r="F30" s="1065">
        <f t="shared" si="0"/>
        <v>3132375</v>
      </c>
      <c r="G30" s="1065">
        <f t="shared" ca="1" si="0"/>
        <v>326756915.98065454</v>
      </c>
    </row>
    <row r="31" spans="1:7" x14ac:dyDescent="0.25">
      <c r="G31" s="1066"/>
    </row>
    <row r="33" spans="1:15" x14ac:dyDescent="0.25">
      <c r="B33" s="1067"/>
      <c r="C33" s="1067"/>
      <c r="D33" s="1067"/>
      <c r="E33" s="1067"/>
      <c r="F33" s="1067"/>
      <c r="G33" s="1067"/>
    </row>
    <row r="34" spans="1:15" x14ac:dyDescent="0.25">
      <c r="A34" s="1122"/>
    </row>
    <row r="35" spans="1:15" x14ac:dyDescent="0.25">
      <c r="A35" s="1122"/>
    </row>
    <row r="37" spans="1:15" x14ac:dyDescent="0.25">
      <c r="H37" s="1068"/>
    </row>
    <row r="41" spans="1:15" x14ac:dyDescent="0.25">
      <c r="I41" s="1069"/>
      <c r="O41" s="1070"/>
    </row>
    <row r="42" spans="1:15" x14ac:dyDescent="0.25">
      <c r="I42" s="1069"/>
    </row>
    <row r="43" spans="1:15" x14ac:dyDescent="0.25">
      <c r="I43" s="1069"/>
    </row>
    <row r="222" spans="4:4" x14ac:dyDescent="0.25">
      <c r="D222" s="1054" t="s">
        <v>631</v>
      </c>
    </row>
  </sheetData>
  <printOptions horizontalCentered="1"/>
  <pageMargins left="0.75" right="0.75" top="1.75" bottom="0.5" header="0.75" footer="0.25"/>
  <pageSetup scale="68" orientation="landscape" r:id="rId1"/>
  <headerFooter>
    <oddHeader>&amp;C&amp;"Times New Roman,Bold"Louisville Gas and Electric Company
Case No. 2016-00371
Summary of Base Gas Revenue
for the Twelve Months Ended February 28, 2017
Gas Operations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6" tint="0.39997558519241921"/>
  </sheetPr>
  <dimension ref="A1:Q335"/>
  <sheetViews>
    <sheetView topLeftCell="A3" zoomScaleNormal="100" zoomScaleSheetLayoutView="80" workbookViewId="0">
      <selection activeCell="A271" sqref="A271"/>
    </sheetView>
  </sheetViews>
  <sheetFormatPr defaultRowHeight="12.75" x14ac:dyDescent="0.2"/>
  <cols>
    <col min="1" max="2" width="9.140625" style="215"/>
    <col min="3" max="3" width="5.85546875" style="931" customWidth="1"/>
    <col min="4" max="4" width="30.85546875" style="931" customWidth="1"/>
    <col min="5" max="5" width="10.42578125" style="931" customWidth="1"/>
    <col min="6" max="6" width="23.28515625" style="933" customWidth="1"/>
    <col min="7" max="7" width="20.85546875" style="933" customWidth="1"/>
    <col min="8" max="8" width="19.42578125" style="933" customWidth="1"/>
    <col min="9" max="9" width="18.85546875" style="931" customWidth="1"/>
    <col min="10" max="11" width="21" style="931" customWidth="1"/>
    <col min="12" max="12" width="22.140625" style="215" customWidth="1"/>
    <col min="13" max="13" width="18.28515625" style="215" bestFit="1" customWidth="1"/>
    <col min="14" max="14" width="16.85546875" style="215" customWidth="1"/>
    <col min="15" max="15" width="16" style="215" customWidth="1"/>
    <col min="16" max="17" width="15.42578125" style="215" customWidth="1"/>
    <col min="18" max="16384" width="9.140625" style="215"/>
  </cols>
  <sheetData>
    <row r="1" spans="1:17" x14ac:dyDescent="0.2">
      <c r="C1" s="889" t="s">
        <v>823</v>
      </c>
      <c r="D1" s="300"/>
      <c r="E1" s="300"/>
      <c r="F1" s="980"/>
      <c r="G1" s="980"/>
      <c r="H1" s="980"/>
      <c r="I1" s="300"/>
      <c r="J1" s="890" t="s">
        <v>859</v>
      </c>
    </row>
    <row r="2" spans="1:17" x14ac:dyDescent="0.2">
      <c r="C2" s="891" t="s">
        <v>824</v>
      </c>
      <c r="D2" s="300"/>
      <c r="E2" s="300"/>
      <c r="F2" s="980"/>
      <c r="G2" s="980"/>
      <c r="H2" s="980"/>
      <c r="I2" s="300"/>
      <c r="J2" s="890" t="s">
        <v>827</v>
      </c>
    </row>
    <row r="3" spans="1:17" x14ac:dyDescent="0.2">
      <c r="C3" s="891" t="s">
        <v>825</v>
      </c>
      <c r="D3" s="300"/>
      <c r="E3" s="300"/>
      <c r="F3" s="980"/>
      <c r="G3" s="980"/>
      <c r="H3" s="980"/>
      <c r="I3" s="300"/>
      <c r="J3" s="932" t="s">
        <v>1058</v>
      </c>
    </row>
    <row r="4" spans="1:17" x14ac:dyDescent="0.2">
      <c r="C4" s="892"/>
      <c r="D4" s="893"/>
      <c r="E4" s="894"/>
      <c r="F4" s="989"/>
      <c r="G4" s="981"/>
      <c r="H4" s="981"/>
      <c r="I4" s="895"/>
      <c r="J4" s="895"/>
    </row>
    <row r="6" spans="1:17" x14ac:dyDescent="0.2">
      <c r="I6" s="933"/>
      <c r="J6" s="934" t="s">
        <v>390</v>
      </c>
      <c r="K6" s="214"/>
      <c r="L6" s="214"/>
      <c r="M6" s="214"/>
      <c r="N6" s="214"/>
      <c r="O6" s="214"/>
      <c r="P6" s="214"/>
      <c r="Q6" s="214"/>
    </row>
    <row r="7" spans="1:17" x14ac:dyDescent="0.2">
      <c r="I7" s="933"/>
      <c r="J7" s="934" t="s">
        <v>163</v>
      </c>
      <c r="K7" s="214"/>
      <c r="L7" s="214"/>
      <c r="M7" s="214"/>
      <c r="N7" s="214"/>
      <c r="O7" s="214"/>
      <c r="P7" s="214"/>
      <c r="Q7" s="214"/>
    </row>
    <row r="8" spans="1:17" x14ac:dyDescent="0.2">
      <c r="F8" s="935"/>
      <c r="G8" s="936"/>
      <c r="H8" s="936"/>
      <c r="I8" s="934" t="s">
        <v>427</v>
      </c>
      <c r="J8" s="937" t="s">
        <v>428</v>
      </c>
      <c r="K8" s="214"/>
      <c r="L8" s="214"/>
      <c r="M8" s="214"/>
      <c r="N8" s="214"/>
      <c r="O8" s="214"/>
      <c r="P8" s="214"/>
      <c r="Q8" s="214"/>
    </row>
    <row r="9" spans="1:17" ht="13.5" thickBot="1" x14ac:dyDescent="0.25">
      <c r="C9" s="938" t="s">
        <v>167</v>
      </c>
      <c r="D9" s="938"/>
      <c r="E9" s="938"/>
      <c r="F9" s="939" t="s">
        <v>268</v>
      </c>
      <c r="G9" s="940" t="s">
        <v>162</v>
      </c>
      <c r="H9" s="940"/>
      <c r="I9" s="939" t="s">
        <v>429</v>
      </c>
      <c r="J9" s="939" t="s">
        <v>429</v>
      </c>
      <c r="K9" s="214"/>
      <c r="L9" s="214"/>
      <c r="M9" s="214"/>
      <c r="N9" s="214"/>
      <c r="O9" s="214"/>
      <c r="P9" s="214"/>
      <c r="Q9" s="214"/>
    </row>
    <row r="10" spans="1:17" x14ac:dyDescent="0.2">
      <c r="C10" s="941"/>
      <c r="D10" s="941"/>
      <c r="E10" s="941"/>
      <c r="F10" s="982"/>
      <c r="G10" s="982"/>
      <c r="H10" s="982"/>
      <c r="I10" s="942"/>
      <c r="J10" s="942"/>
      <c r="K10" s="214"/>
      <c r="L10" s="214"/>
      <c r="M10" s="214"/>
      <c r="N10" s="214"/>
      <c r="O10" s="214"/>
      <c r="P10" s="214"/>
      <c r="Q10" s="214"/>
    </row>
    <row r="11" spans="1:17" x14ac:dyDescent="0.2">
      <c r="C11" s="943" t="s">
        <v>430</v>
      </c>
      <c r="E11" s="944"/>
      <c r="F11" s="934"/>
      <c r="G11" s="934"/>
      <c r="K11" s="214"/>
      <c r="L11" s="214"/>
      <c r="M11" s="214"/>
      <c r="N11" s="214"/>
      <c r="O11" s="214"/>
      <c r="P11" s="214"/>
      <c r="Q11" s="214"/>
    </row>
    <row r="12" spans="1:17" x14ac:dyDescent="0.2">
      <c r="C12" s="944"/>
      <c r="E12" s="944"/>
      <c r="F12" s="934"/>
      <c r="G12" s="934"/>
      <c r="K12" s="214"/>
      <c r="L12" s="214"/>
      <c r="M12" s="214"/>
      <c r="N12" s="214"/>
      <c r="O12" s="214"/>
      <c r="P12" s="214"/>
      <c r="Q12" s="214"/>
    </row>
    <row r="13" spans="1:17" x14ac:dyDescent="0.2">
      <c r="A13" s="215" t="s">
        <v>129</v>
      </c>
      <c r="C13" s="944" t="s">
        <v>431</v>
      </c>
      <c r="E13" s="945"/>
      <c r="K13" s="214"/>
      <c r="L13" s="214"/>
      <c r="M13" s="214"/>
      <c r="N13" s="214"/>
      <c r="O13" s="214"/>
      <c r="P13" s="214"/>
      <c r="Q13" s="214"/>
    </row>
    <row r="14" spans="1:17" x14ac:dyDescent="0.2">
      <c r="C14" s="206"/>
      <c r="D14" s="206" t="s">
        <v>498</v>
      </c>
      <c r="E14" s="80"/>
      <c r="F14" s="954">
        <f>'Summary SBR-Transport'!B6</f>
        <v>3551605</v>
      </c>
      <c r="G14" s="298"/>
      <c r="I14" s="918">
        <f>VLOOKUP($A$13,'Retail Rates'!$A$7:$L$34,6,FALSE)</f>
        <v>13.5</v>
      </c>
      <c r="J14" s="946">
        <f>+F14*I14</f>
        <v>47946667.5</v>
      </c>
      <c r="K14" s="214"/>
      <c r="L14" s="214"/>
      <c r="M14" s="214"/>
      <c r="N14" s="214"/>
      <c r="O14" s="214"/>
      <c r="P14" s="214"/>
      <c r="Q14" s="214"/>
    </row>
    <row r="15" spans="1:17" x14ac:dyDescent="0.2">
      <c r="K15" s="214"/>
      <c r="L15" s="214"/>
      <c r="M15" s="214"/>
      <c r="N15" s="214"/>
      <c r="O15" s="214"/>
      <c r="P15" s="214"/>
      <c r="Q15" s="214"/>
    </row>
    <row r="16" spans="1:17" x14ac:dyDescent="0.2">
      <c r="K16" s="214"/>
      <c r="L16" s="214"/>
      <c r="M16" s="214"/>
      <c r="N16" s="214"/>
      <c r="O16" s="214"/>
      <c r="P16" s="214"/>
      <c r="Q16" s="214"/>
    </row>
    <row r="17" spans="4:17" x14ac:dyDescent="0.2">
      <c r="D17" s="947" t="s">
        <v>446</v>
      </c>
      <c r="G17" s="954">
        <f>'Summary SBR-Transport'!C6</f>
        <v>20278261.048166733</v>
      </c>
      <c r="I17" s="76">
        <f>VLOOKUP($A$13,'Retail Rates'!$A$7:$L$34,8,FALSE)*10</f>
        <v>2.8693</v>
      </c>
      <c r="J17" s="946">
        <f>+G17*I17</f>
        <v>58184414.425504804</v>
      </c>
      <c r="K17" s="214"/>
      <c r="L17" s="214"/>
      <c r="M17" s="214"/>
      <c r="N17" s="214"/>
      <c r="O17" s="214"/>
      <c r="P17" s="214"/>
      <c r="Q17" s="214"/>
    </row>
    <row r="18" spans="4:17" x14ac:dyDescent="0.2">
      <c r="K18" s="214"/>
      <c r="L18" s="214"/>
      <c r="M18" s="214"/>
      <c r="N18" s="214"/>
      <c r="O18" s="214"/>
      <c r="P18" s="214"/>
      <c r="Q18" s="214"/>
    </row>
    <row r="19" spans="4:17" x14ac:dyDescent="0.2">
      <c r="G19" s="954"/>
      <c r="K19" s="214"/>
      <c r="L19" s="214"/>
      <c r="M19" s="214"/>
      <c r="N19" s="214"/>
      <c r="O19" s="214"/>
      <c r="P19" s="214"/>
      <c r="Q19" s="214"/>
    </row>
    <row r="20" spans="4:17" x14ac:dyDescent="0.2">
      <c r="D20" s="931" t="s">
        <v>426</v>
      </c>
      <c r="G20" s="954"/>
      <c r="J20" s="946">
        <f ca="1">SUMIF('12-MO Billed Summary RETAIL'!$E$6:$E$16,'Sch M-1.3 Pg. 2-8'!$A$13,'12-MO Billed Summary RETAIL'!$AG$6:$AG$16)+SUMIF('12-MO Billed Summary RETAIL'!$E$6:$E$16,'Sch M-1.3 Pg. 2-8'!$A$13,'12-MO Billed Summary RETAIL'!$AH$6:$AH$16)+SUMIF('12-MO Billed Summary RETAIL'!$E$6:$E$16,'Sch M-1.3 Pg. 2-8'!$A$13,'12-MO Billed Summary RETAIL'!$AI$6:$AI$16)+SBR!BG9</f>
        <v>56808.939999999995</v>
      </c>
      <c r="K20" s="214"/>
      <c r="L20" s="214"/>
      <c r="M20" s="214"/>
      <c r="N20" s="214"/>
      <c r="O20" s="214"/>
      <c r="P20" s="214"/>
      <c r="Q20" s="214"/>
    </row>
    <row r="21" spans="4:17" x14ac:dyDescent="0.2">
      <c r="G21" s="983"/>
      <c r="K21" s="214"/>
      <c r="L21" s="214"/>
      <c r="M21" s="214"/>
      <c r="N21" s="214"/>
      <c r="O21" s="214"/>
      <c r="P21" s="214"/>
      <c r="Q21" s="214"/>
    </row>
    <row r="22" spans="4:17" x14ac:dyDescent="0.2">
      <c r="K22" s="214"/>
      <c r="L22" s="214"/>
      <c r="M22" s="214"/>
      <c r="N22" s="214"/>
      <c r="O22" s="214"/>
      <c r="P22" s="214"/>
      <c r="Q22" s="214"/>
    </row>
    <row r="23" spans="4:17" x14ac:dyDescent="0.2">
      <c r="D23" s="911" t="s">
        <v>595</v>
      </c>
      <c r="G23" s="984"/>
      <c r="J23" s="948">
        <f ca="1">SUM(J14:J21)</f>
        <v>106187890.8655048</v>
      </c>
      <c r="K23" s="214"/>
      <c r="L23" s="214"/>
      <c r="M23" s="214"/>
      <c r="N23" s="214"/>
      <c r="O23" s="214"/>
      <c r="P23" s="214"/>
      <c r="Q23" s="214"/>
    </row>
    <row r="24" spans="4:17" x14ac:dyDescent="0.2">
      <c r="D24" s="206"/>
      <c r="K24" s="214"/>
      <c r="L24" s="214"/>
      <c r="M24" s="214"/>
      <c r="N24" s="214"/>
      <c r="O24" s="214"/>
      <c r="P24" s="214"/>
      <c r="Q24" s="214"/>
    </row>
    <row r="25" spans="4:17" x14ac:dyDescent="0.2">
      <c r="D25" s="906" t="s">
        <v>598</v>
      </c>
      <c r="I25" s="949">
        <f ca="1">+'Revenue Summary B'!N11</f>
        <v>0.99999999873342249</v>
      </c>
      <c r="K25" s="214"/>
      <c r="L25" s="214"/>
      <c r="M25" s="214"/>
      <c r="N25" s="214"/>
      <c r="O25" s="214"/>
      <c r="P25" s="214"/>
      <c r="Q25" s="214"/>
    </row>
    <row r="26" spans="4:17" x14ac:dyDescent="0.2">
      <c r="D26" s="206"/>
      <c r="K26" s="214"/>
      <c r="L26" s="214"/>
      <c r="M26" s="214"/>
      <c r="N26" s="214"/>
      <c r="O26" s="214"/>
      <c r="P26" s="214"/>
      <c r="Q26" s="214"/>
    </row>
    <row r="27" spans="4:17" x14ac:dyDescent="0.2">
      <c r="D27" s="931" t="s">
        <v>1208</v>
      </c>
      <c r="J27" s="948">
        <f ca="1">J23/I25</f>
        <v>106187891</v>
      </c>
      <c r="K27" s="214"/>
      <c r="L27" s="214"/>
      <c r="M27" s="214"/>
      <c r="N27" s="214"/>
      <c r="O27" s="214"/>
      <c r="P27" s="214"/>
      <c r="Q27" s="214"/>
    </row>
    <row r="28" spans="4:17" x14ac:dyDescent="0.2">
      <c r="D28" s="206"/>
      <c r="J28" s="946"/>
      <c r="K28" s="214"/>
      <c r="L28" s="214"/>
      <c r="M28" s="214"/>
      <c r="N28" s="214"/>
      <c r="O28" s="214"/>
      <c r="P28" s="214"/>
      <c r="Q28" s="214"/>
    </row>
    <row r="29" spans="4:17" x14ac:dyDescent="0.2">
      <c r="D29" s="947" t="s">
        <v>643</v>
      </c>
      <c r="G29" s="983"/>
      <c r="I29" s="216"/>
      <c r="J29" s="946">
        <v>18426517.326927226</v>
      </c>
      <c r="K29" s="214"/>
      <c r="L29" s="214"/>
      <c r="M29" s="214"/>
      <c r="N29" s="214"/>
      <c r="O29" s="214"/>
      <c r="P29" s="214"/>
      <c r="Q29" s="214"/>
    </row>
    <row r="30" spans="4:17" x14ac:dyDescent="0.2">
      <c r="D30" s="947" t="s">
        <v>829</v>
      </c>
      <c r="G30" s="983"/>
      <c r="I30" s="216"/>
      <c r="J30" s="946">
        <v>84145334.856604919</v>
      </c>
      <c r="K30" s="214"/>
      <c r="L30" s="214"/>
      <c r="M30" s="214"/>
      <c r="N30" s="214"/>
      <c r="O30" s="214"/>
      <c r="P30" s="214"/>
      <c r="Q30" s="214"/>
    </row>
    <row r="31" spans="4:17" x14ac:dyDescent="0.2">
      <c r="D31" s="947" t="s">
        <v>830</v>
      </c>
      <c r="G31" s="983"/>
      <c r="I31" s="216"/>
      <c r="J31" s="946">
        <v>1672627.7772686211</v>
      </c>
      <c r="K31" s="214"/>
      <c r="L31" s="214"/>
      <c r="M31" s="214"/>
      <c r="N31" s="214"/>
      <c r="O31" s="214"/>
      <c r="P31" s="214"/>
      <c r="Q31" s="214"/>
    </row>
    <row r="32" spans="4:17" x14ac:dyDescent="0.2">
      <c r="D32" s="947" t="s">
        <v>831</v>
      </c>
      <c r="G32" s="983"/>
      <c r="I32" s="216"/>
      <c r="J32" s="946">
        <v>2261467.73</v>
      </c>
      <c r="K32" s="214"/>
      <c r="L32" s="214"/>
      <c r="M32" s="214"/>
      <c r="N32" s="214"/>
      <c r="O32" s="214"/>
      <c r="P32" s="214"/>
      <c r="Q32" s="214"/>
    </row>
    <row r="33" spans="3:17" x14ac:dyDescent="0.2">
      <c r="G33" s="983"/>
      <c r="I33" s="216"/>
      <c r="J33" s="946"/>
      <c r="K33" s="214"/>
      <c r="L33" s="214"/>
      <c r="M33" s="214"/>
      <c r="N33" s="214"/>
      <c r="O33" s="214"/>
      <c r="P33" s="214"/>
      <c r="Q33" s="214"/>
    </row>
    <row r="34" spans="3:17" x14ac:dyDescent="0.2">
      <c r="D34" s="206"/>
      <c r="J34" s="946"/>
      <c r="K34" s="214"/>
      <c r="L34" s="214"/>
      <c r="M34" s="214"/>
      <c r="N34" s="214"/>
      <c r="O34" s="214"/>
      <c r="P34" s="214"/>
      <c r="Q34" s="214"/>
    </row>
    <row r="35" spans="3:17" ht="13.5" thickBot="1" x14ac:dyDescent="0.25">
      <c r="C35" s="215"/>
      <c r="D35" s="944" t="s">
        <v>258</v>
      </c>
      <c r="G35" s="983"/>
      <c r="J35" s="997">
        <f ca="1">SUM(J27:J32)</f>
        <v>212693838.69080076</v>
      </c>
      <c r="K35" s="1045"/>
      <c r="L35" s="896"/>
      <c r="M35" s="214"/>
      <c r="N35" s="214"/>
      <c r="O35" s="214"/>
      <c r="P35" s="214"/>
      <c r="Q35" s="214"/>
    </row>
    <row r="36" spans="3:17" ht="13.5" thickTop="1" x14ac:dyDescent="0.2">
      <c r="D36" s="206"/>
      <c r="K36" s="214"/>
      <c r="L36" s="214"/>
      <c r="M36" s="214"/>
      <c r="N36" s="214"/>
      <c r="O36" s="214"/>
      <c r="P36" s="214"/>
      <c r="Q36" s="214"/>
    </row>
    <row r="37" spans="3:17" x14ac:dyDescent="0.2">
      <c r="C37" s="889" t="s">
        <v>823</v>
      </c>
      <c r="D37" s="300"/>
      <c r="E37" s="300"/>
      <c r="F37" s="980"/>
      <c r="G37" s="980"/>
      <c r="H37" s="980"/>
      <c r="I37" s="300"/>
      <c r="J37" s="890" t="s">
        <v>859</v>
      </c>
      <c r="K37" s="214"/>
      <c r="L37" s="214"/>
      <c r="M37" s="214"/>
      <c r="N37" s="214"/>
      <c r="O37" s="214"/>
      <c r="P37" s="214"/>
      <c r="Q37" s="214"/>
    </row>
    <row r="38" spans="3:17" x14ac:dyDescent="0.2">
      <c r="C38" s="891" t="s">
        <v>824</v>
      </c>
      <c r="D38" s="300"/>
      <c r="E38" s="300"/>
      <c r="F38" s="980"/>
      <c r="G38" s="980"/>
      <c r="H38" s="980"/>
      <c r="I38" s="300"/>
      <c r="J38" s="890" t="s">
        <v>838</v>
      </c>
      <c r="K38" s="214"/>
      <c r="L38" s="214"/>
      <c r="M38" s="214"/>
      <c r="N38" s="214"/>
      <c r="O38" s="214"/>
      <c r="P38" s="214"/>
      <c r="Q38" s="214"/>
    </row>
    <row r="39" spans="3:17" x14ac:dyDescent="0.2">
      <c r="C39" s="891" t="s">
        <v>825</v>
      </c>
      <c r="D39" s="300"/>
      <c r="E39" s="300"/>
      <c r="F39" s="980"/>
      <c r="G39" s="980"/>
      <c r="H39" s="980"/>
      <c r="I39" s="300"/>
      <c r="J39" s="932" t="s">
        <v>1058</v>
      </c>
      <c r="K39" s="214"/>
      <c r="L39" s="214"/>
      <c r="M39" s="214"/>
      <c r="N39" s="214"/>
      <c r="O39" s="214"/>
      <c r="P39" s="214"/>
      <c r="Q39" s="214"/>
    </row>
    <row r="40" spans="3:17" x14ac:dyDescent="0.2">
      <c r="C40" s="892" t="s">
        <v>826</v>
      </c>
      <c r="D40" s="893"/>
      <c r="E40" s="894"/>
      <c r="F40" s="989"/>
      <c r="G40" s="981"/>
      <c r="H40" s="981"/>
      <c r="I40" s="895"/>
      <c r="J40" s="895"/>
      <c r="K40" s="214"/>
      <c r="L40" s="214"/>
      <c r="M40" s="214"/>
      <c r="N40" s="214"/>
      <c r="O40" s="214"/>
      <c r="P40" s="214"/>
      <c r="Q40" s="214"/>
    </row>
    <row r="41" spans="3:17" x14ac:dyDescent="0.2">
      <c r="I41" s="933"/>
      <c r="J41" s="933"/>
      <c r="K41" s="214"/>
      <c r="L41" s="214"/>
      <c r="M41" s="214"/>
      <c r="N41" s="214"/>
      <c r="O41" s="214"/>
      <c r="P41" s="214"/>
      <c r="Q41" s="214"/>
    </row>
    <row r="42" spans="3:17" x14ac:dyDescent="0.2">
      <c r="I42" s="933"/>
      <c r="J42" s="934" t="s">
        <v>390</v>
      </c>
      <c r="K42" s="214"/>
      <c r="L42" s="214"/>
      <c r="M42" s="214"/>
      <c r="N42" s="214"/>
      <c r="O42" s="214"/>
      <c r="P42" s="214"/>
      <c r="Q42" s="214"/>
    </row>
    <row r="43" spans="3:17" x14ac:dyDescent="0.2">
      <c r="I43" s="933"/>
      <c r="J43" s="934" t="s">
        <v>163</v>
      </c>
      <c r="K43" s="214"/>
      <c r="L43" s="214"/>
      <c r="M43" s="214"/>
      <c r="N43" s="214"/>
      <c r="O43" s="214"/>
      <c r="P43" s="214"/>
      <c r="Q43" s="214"/>
    </row>
    <row r="44" spans="3:17" x14ac:dyDescent="0.2">
      <c r="F44" s="935"/>
      <c r="G44" s="936"/>
      <c r="H44" s="936" t="s">
        <v>496</v>
      </c>
      <c r="I44" s="934" t="s">
        <v>427</v>
      </c>
      <c r="J44" s="937" t="s">
        <v>428</v>
      </c>
      <c r="K44" s="214"/>
      <c r="L44" s="214"/>
      <c r="M44" s="214"/>
      <c r="N44" s="214"/>
      <c r="O44" s="214"/>
      <c r="P44" s="214"/>
      <c r="Q44" s="214"/>
    </row>
    <row r="45" spans="3:17" ht="13.5" thickBot="1" x14ac:dyDescent="0.25">
      <c r="C45" s="938" t="s">
        <v>167</v>
      </c>
      <c r="D45" s="938"/>
      <c r="E45" s="938"/>
      <c r="F45" s="939" t="s">
        <v>268</v>
      </c>
      <c r="G45" s="940" t="s">
        <v>162</v>
      </c>
      <c r="H45" s="940" t="s">
        <v>162</v>
      </c>
      <c r="I45" s="939" t="s">
        <v>429</v>
      </c>
      <c r="J45" s="939" t="s">
        <v>429</v>
      </c>
      <c r="K45" s="214"/>
      <c r="L45" s="214"/>
      <c r="M45" s="214"/>
      <c r="N45" s="214"/>
      <c r="O45" s="214"/>
      <c r="P45" s="214"/>
      <c r="Q45" s="214"/>
    </row>
    <row r="46" spans="3:17" x14ac:dyDescent="0.2">
      <c r="K46" s="214"/>
      <c r="L46" s="214"/>
      <c r="M46" s="214"/>
      <c r="N46" s="214"/>
      <c r="O46" s="214"/>
      <c r="P46" s="214"/>
      <c r="Q46" s="214"/>
    </row>
    <row r="47" spans="3:17" x14ac:dyDescent="0.2">
      <c r="C47" s="943" t="s">
        <v>434</v>
      </c>
      <c r="E47" s="944"/>
      <c r="F47" s="934"/>
      <c r="G47" s="934"/>
      <c r="K47" s="214"/>
      <c r="L47" s="214"/>
      <c r="M47" s="214"/>
      <c r="N47" s="214"/>
      <c r="O47" s="214"/>
      <c r="P47" s="214"/>
      <c r="Q47" s="214"/>
    </row>
    <row r="48" spans="3:17" x14ac:dyDescent="0.2">
      <c r="C48" s="944"/>
      <c r="E48" s="944"/>
      <c r="F48" s="934"/>
      <c r="G48" s="934"/>
      <c r="K48" s="214"/>
      <c r="L48" s="214"/>
      <c r="M48" s="214"/>
      <c r="N48" s="214"/>
      <c r="O48" s="214"/>
      <c r="P48" s="214"/>
      <c r="Q48" s="214"/>
    </row>
    <row r="49" spans="1:17" x14ac:dyDescent="0.2">
      <c r="C49" s="944" t="s">
        <v>435</v>
      </c>
      <c r="K49" s="214"/>
      <c r="L49" s="214"/>
      <c r="M49" s="214"/>
      <c r="N49" s="214"/>
      <c r="O49" s="214"/>
      <c r="P49" s="214"/>
      <c r="Q49" s="214"/>
    </row>
    <row r="50" spans="1:17" x14ac:dyDescent="0.2">
      <c r="C50" s="944"/>
      <c r="D50" s="206" t="s">
        <v>498</v>
      </c>
      <c r="K50" s="214"/>
      <c r="L50" s="214"/>
      <c r="M50" s="214"/>
      <c r="N50" s="214"/>
      <c r="O50" s="214"/>
      <c r="P50" s="214"/>
      <c r="Q50" s="214"/>
    </row>
    <row r="51" spans="1:17" x14ac:dyDescent="0.2">
      <c r="A51" s="215" t="s">
        <v>109</v>
      </c>
      <c r="C51" s="204"/>
      <c r="D51" s="950" t="s">
        <v>601</v>
      </c>
      <c r="F51" s="954">
        <f ca="1">SUMIF('12-MO Billed Summary RETAIL'!E6:E16,'Sch M-1.3 Pg. 2-8'!A51,'12-MO Billed Summary RETAIL'!G6:G16)</f>
        <v>292129</v>
      </c>
      <c r="I51" s="918">
        <f>VLOOKUP($A$51,'Retail Rates'!$A$7:$L$34,6,FALSE)</f>
        <v>40</v>
      </c>
      <c r="J51" s="946">
        <f ca="1">+F51*I51</f>
        <v>11685160</v>
      </c>
      <c r="K51" s="214"/>
      <c r="L51" s="214"/>
      <c r="M51" s="214"/>
      <c r="N51" s="214"/>
      <c r="O51" s="214"/>
      <c r="P51" s="214"/>
      <c r="Q51" s="214"/>
    </row>
    <row r="52" spans="1:17" x14ac:dyDescent="0.2">
      <c r="C52" s="204"/>
      <c r="D52" s="950" t="s">
        <v>602</v>
      </c>
      <c r="F52" s="954">
        <f ca="1">SUMIF('12-MO Billed Summary RETAIL'!E6:E16,'Sch M-1.3 Pg. 2-8'!A51,'12-MO Billed Summary RETAIL'!H6:H16)</f>
        <v>12693</v>
      </c>
      <c r="I52" s="918">
        <f>VLOOKUP($A$51,'Retail Rates'!$A$7:$L$34,7,FALSE)</f>
        <v>180</v>
      </c>
      <c r="J52" s="946">
        <f ca="1">+F52*I52</f>
        <v>2284740</v>
      </c>
      <c r="K52" s="214"/>
      <c r="L52" s="214"/>
      <c r="M52" s="214"/>
      <c r="N52" s="214"/>
      <c r="O52" s="214"/>
      <c r="P52" s="214"/>
      <c r="Q52" s="214"/>
    </row>
    <row r="53" spans="1:17" x14ac:dyDescent="0.2">
      <c r="A53" s="215" t="s">
        <v>447</v>
      </c>
      <c r="K53" s="214"/>
      <c r="L53" s="214"/>
      <c r="M53" s="214"/>
      <c r="N53" s="214"/>
      <c r="O53" s="214"/>
      <c r="P53" s="214"/>
      <c r="Q53" s="214"/>
    </row>
    <row r="54" spans="1:17" x14ac:dyDescent="0.2">
      <c r="D54" s="931" t="s">
        <v>433</v>
      </c>
      <c r="I54" s="216"/>
      <c r="K54" s="214"/>
      <c r="L54" s="214"/>
      <c r="M54" s="214"/>
      <c r="N54" s="214"/>
      <c r="O54" s="214"/>
      <c r="P54" s="214"/>
      <c r="Q54" s="214"/>
    </row>
    <row r="55" spans="1:17" x14ac:dyDescent="0.2">
      <c r="C55" s="205"/>
      <c r="D55" s="931" t="s">
        <v>436</v>
      </c>
      <c r="G55" s="954">
        <f ca="1">SUMIF('12-MO Billed Summary RETAIL'!E6:E16,'Sch M-1.3 Pg. 2-8'!A51,'12-MO Billed Summary RETAIL'!I6:I16)/10</f>
        <v>9718147.2321892641</v>
      </c>
      <c r="I55" s="76">
        <f>VLOOKUP($A$51,'Retail Rates'!$A$7:$L$34,8,FALSE)*10</f>
        <v>2.1504000000000003</v>
      </c>
      <c r="J55" s="951">
        <f ca="1">+G55*I55</f>
        <v>20897903.808099795</v>
      </c>
      <c r="K55" s="214"/>
      <c r="L55" s="214"/>
      <c r="M55" s="214"/>
      <c r="N55" s="214"/>
      <c r="O55" s="214"/>
      <c r="P55" s="214"/>
      <c r="Q55" s="214"/>
    </row>
    <row r="56" spans="1:17" x14ac:dyDescent="0.2">
      <c r="C56" s="204"/>
      <c r="D56" s="931" t="s">
        <v>437</v>
      </c>
      <c r="H56" s="954">
        <f ca="1">SUMIF('12-MO Billed Summary RETAIL'!E6:E16,'Sch M-1.3 Pg. 2-8'!A51,'12-MO Billed Summary RETAIL'!J6:J16)/10</f>
        <v>732190.78939329076</v>
      </c>
      <c r="I56" s="76">
        <f>VLOOKUP($A$51,'Retail Rates'!$A$7:$L$34,9,FALSE)*10</f>
        <v>1.6504000000000003</v>
      </c>
      <c r="J56" s="951">
        <f ca="1">+I56*H56</f>
        <v>1208407.6788146873</v>
      </c>
      <c r="K56" s="214"/>
      <c r="L56" s="214"/>
      <c r="M56" s="214"/>
      <c r="N56" s="214"/>
      <c r="O56" s="214"/>
      <c r="P56" s="214"/>
      <c r="Q56" s="214"/>
    </row>
    <row r="57" spans="1:17" x14ac:dyDescent="0.2">
      <c r="H57" s="983"/>
      <c r="K57" s="214"/>
      <c r="L57" s="214"/>
      <c r="M57" s="214"/>
      <c r="N57" s="214"/>
      <c r="O57" s="214"/>
      <c r="P57" s="214"/>
      <c r="Q57" s="214"/>
    </row>
    <row r="58" spans="1:17" x14ac:dyDescent="0.2">
      <c r="D58" s="931" t="s">
        <v>426</v>
      </c>
      <c r="H58" s="983"/>
      <c r="J58" s="946">
        <f ca="1">SUMIF('12-MO Billed Summary RETAIL'!$E$6:$E$16,'Sch M-1.3 Pg. 2-8'!$A$51,'12-MO Billed Summary RETAIL'!$AG$6:$AG$16)+SUMIF('12-MO Billed Summary RETAIL'!$E$6:$E$16,'Sch M-1.3 Pg. 2-8'!$A$51,'12-MO Billed Summary RETAIL'!$AH$6:$AH$16)+SUMIF('12-MO Billed Summary RETAIL'!$E$6:$E$16,'Sch M-1.3 Pg. 2-8'!$A$51,'12-MO Billed Summary RETAIL'!$AI$6:$AI$16)+SBR!BG16</f>
        <v>24498.829999999998</v>
      </c>
      <c r="K58" s="214"/>
      <c r="L58" s="214"/>
      <c r="M58" s="214"/>
      <c r="N58" s="214"/>
      <c r="O58" s="214"/>
      <c r="P58" s="214"/>
      <c r="Q58" s="214"/>
    </row>
    <row r="59" spans="1:17" x14ac:dyDescent="0.2">
      <c r="H59" s="983"/>
      <c r="J59" s="946"/>
      <c r="K59" s="214"/>
      <c r="L59" s="214"/>
      <c r="M59" s="214"/>
      <c r="N59" s="214"/>
      <c r="O59" s="214"/>
      <c r="P59" s="214"/>
      <c r="Q59" s="214"/>
    </row>
    <row r="60" spans="1:17" x14ac:dyDescent="0.2">
      <c r="D60" s="944" t="s">
        <v>595</v>
      </c>
      <c r="H60" s="983"/>
      <c r="J60" s="965">
        <f ca="1">SUM(J51:J58)</f>
        <v>36100710.316914476</v>
      </c>
      <c r="K60" s="214"/>
      <c r="L60" s="214"/>
      <c r="M60" s="214"/>
      <c r="N60" s="214"/>
      <c r="O60" s="214"/>
      <c r="P60" s="214"/>
      <c r="Q60" s="214"/>
    </row>
    <row r="61" spans="1:17" x14ac:dyDescent="0.2">
      <c r="H61" s="983"/>
      <c r="K61" s="214"/>
      <c r="L61" s="214"/>
      <c r="M61" s="214"/>
      <c r="N61" s="214"/>
      <c r="O61" s="214"/>
      <c r="P61" s="214"/>
      <c r="Q61" s="214"/>
    </row>
    <row r="62" spans="1:17" x14ac:dyDescent="0.2">
      <c r="C62" s="944" t="s">
        <v>864</v>
      </c>
      <c r="K62" s="214"/>
      <c r="L62" s="214"/>
      <c r="M62" s="214"/>
      <c r="N62" s="214"/>
      <c r="O62" s="214"/>
      <c r="P62" s="214"/>
      <c r="Q62" s="214"/>
    </row>
    <row r="63" spans="1:17" x14ac:dyDescent="0.2">
      <c r="A63" s="215" t="s">
        <v>515</v>
      </c>
      <c r="D63" s="931" t="s">
        <v>438</v>
      </c>
      <c r="F63" s="933">
        <f>+'Summary SBR-Transport'!B9</f>
        <v>0</v>
      </c>
      <c r="I63" s="918">
        <f>'Retail Rates'!J28</f>
        <v>550</v>
      </c>
      <c r="J63" s="952">
        <f>+F63*I63</f>
        <v>0</v>
      </c>
      <c r="K63" s="214"/>
      <c r="L63" s="214"/>
      <c r="M63" s="214"/>
      <c r="N63" s="214"/>
      <c r="O63" s="214"/>
      <c r="P63" s="214"/>
      <c r="Q63" s="214"/>
    </row>
    <row r="64" spans="1:17" x14ac:dyDescent="0.2">
      <c r="K64" s="214"/>
      <c r="L64" s="214"/>
      <c r="M64" s="214"/>
      <c r="N64" s="214"/>
      <c r="O64" s="214"/>
      <c r="P64" s="214"/>
      <c r="Q64" s="214"/>
    </row>
    <row r="65" spans="3:17" x14ac:dyDescent="0.2">
      <c r="D65" s="931" t="s">
        <v>433</v>
      </c>
      <c r="K65" s="214"/>
      <c r="L65" s="214"/>
      <c r="M65" s="214"/>
      <c r="N65" s="214"/>
      <c r="O65" s="214"/>
      <c r="P65" s="214"/>
      <c r="Q65" s="214"/>
    </row>
    <row r="66" spans="3:17" x14ac:dyDescent="0.2">
      <c r="D66" s="931" t="s">
        <v>436</v>
      </c>
      <c r="G66" s="933">
        <v>0</v>
      </c>
      <c r="I66" s="76">
        <f>VLOOKUP($A$51,'Retail Rates'!$A$7:$L$34,8,FALSE)*10</f>
        <v>2.1504000000000003</v>
      </c>
      <c r="J66" s="952">
        <f>+G66*I66</f>
        <v>0</v>
      </c>
      <c r="K66" s="214"/>
      <c r="L66" s="214"/>
      <c r="M66" s="214"/>
      <c r="N66" s="214"/>
      <c r="O66" s="214"/>
      <c r="P66" s="214"/>
      <c r="Q66" s="214"/>
    </row>
    <row r="67" spans="3:17" x14ac:dyDescent="0.2">
      <c r="D67" s="931" t="s">
        <v>437</v>
      </c>
      <c r="H67" s="933">
        <v>0</v>
      </c>
      <c r="I67" s="76">
        <f>VLOOKUP($A$51,'Retail Rates'!$A$7:$L$34,9,FALSE)*10</f>
        <v>1.6504000000000003</v>
      </c>
      <c r="J67" s="952">
        <f>+G67*I67</f>
        <v>0</v>
      </c>
      <c r="K67" s="214"/>
      <c r="L67" s="214"/>
      <c r="M67" s="214"/>
      <c r="N67" s="214"/>
      <c r="O67" s="214"/>
      <c r="P67" s="214"/>
      <c r="Q67" s="214"/>
    </row>
    <row r="68" spans="3:17" x14ac:dyDescent="0.2">
      <c r="K68" s="214"/>
      <c r="L68" s="214"/>
      <c r="M68" s="214"/>
      <c r="N68" s="214"/>
      <c r="O68" s="214"/>
      <c r="P68" s="214"/>
      <c r="Q68" s="214"/>
    </row>
    <row r="69" spans="3:17" x14ac:dyDescent="0.2">
      <c r="K69" s="214"/>
      <c r="L69" s="214"/>
      <c r="M69" s="214"/>
      <c r="N69" s="214"/>
      <c r="O69" s="214"/>
      <c r="P69" s="214"/>
      <c r="Q69" s="214"/>
    </row>
    <row r="70" spans="3:17" x14ac:dyDescent="0.2">
      <c r="C70" s="215"/>
      <c r="D70" s="944" t="s">
        <v>595</v>
      </c>
      <c r="E70" s="944"/>
      <c r="F70" s="934"/>
      <c r="G70" s="983"/>
      <c r="H70" s="983"/>
      <c r="I70" s="944"/>
      <c r="J70" s="948">
        <f ca="1">J60+SUM(J63:J67)</f>
        <v>36100710.316914476</v>
      </c>
      <c r="K70" s="214"/>
      <c r="L70" s="214"/>
      <c r="M70" s="214"/>
      <c r="N70" s="214"/>
      <c r="O70" s="214"/>
      <c r="P70" s="214"/>
      <c r="Q70" s="214"/>
    </row>
    <row r="71" spans="3:17" x14ac:dyDescent="0.2">
      <c r="C71" s="911"/>
      <c r="J71" s="948"/>
      <c r="K71" s="214"/>
      <c r="L71" s="214"/>
      <c r="M71" s="214"/>
      <c r="N71" s="214"/>
      <c r="O71" s="214"/>
      <c r="P71" s="214"/>
      <c r="Q71" s="214"/>
    </row>
    <row r="72" spans="3:17" x14ac:dyDescent="0.2">
      <c r="C72" s="906"/>
      <c r="D72" s="906" t="s">
        <v>598</v>
      </c>
      <c r="I72" s="949">
        <f ca="1">+'Revenue Summary B'!N15</f>
        <v>1.0000000445855537</v>
      </c>
      <c r="K72" s="214"/>
      <c r="L72" s="214"/>
      <c r="M72" s="214"/>
      <c r="N72" s="214"/>
      <c r="O72" s="214"/>
      <c r="P72" s="214"/>
      <c r="Q72" s="214"/>
    </row>
    <row r="73" spans="3:17" x14ac:dyDescent="0.2">
      <c r="C73" s="206"/>
      <c r="K73" s="214"/>
      <c r="L73" s="214"/>
      <c r="M73" s="214"/>
      <c r="N73" s="214"/>
      <c r="O73" s="214"/>
      <c r="P73" s="214"/>
      <c r="Q73" s="214"/>
    </row>
    <row r="74" spans="3:17" x14ac:dyDescent="0.2">
      <c r="C74" s="215"/>
      <c r="D74" s="931" t="s">
        <v>1208</v>
      </c>
      <c r="J74" s="948">
        <f ca="1">J70/I72</f>
        <v>36100708.70734439</v>
      </c>
      <c r="K74" s="214"/>
      <c r="L74" s="214"/>
      <c r="M74" s="214"/>
      <c r="N74" s="214"/>
      <c r="O74" s="214"/>
      <c r="P74" s="214"/>
      <c r="Q74" s="214"/>
    </row>
    <row r="75" spans="3:17" x14ac:dyDescent="0.2">
      <c r="C75" s="911"/>
      <c r="J75" s="953"/>
      <c r="K75" s="214"/>
      <c r="L75" s="214"/>
      <c r="M75" s="214"/>
      <c r="N75" s="214"/>
      <c r="O75" s="214"/>
      <c r="P75" s="214"/>
      <c r="Q75" s="214"/>
    </row>
    <row r="76" spans="3:17" x14ac:dyDescent="0.2">
      <c r="D76" s="947" t="s">
        <v>643</v>
      </c>
      <c r="G76" s="954"/>
      <c r="H76" s="954"/>
      <c r="J76" s="946">
        <v>8107416.6502754847</v>
      </c>
      <c r="K76" s="896"/>
      <c r="L76" s="896"/>
      <c r="M76" s="214"/>
      <c r="N76" s="214"/>
      <c r="O76" s="214"/>
      <c r="P76" s="214"/>
      <c r="Q76" s="214"/>
    </row>
    <row r="77" spans="3:17" x14ac:dyDescent="0.2">
      <c r="C77" s="206"/>
      <c r="D77" s="947" t="s">
        <v>829</v>
      </c>
      <c r="G77" s="954"/>
      <c r="H77" s="954"/>
      <c r="J77" s="946">
        <v>42833552.632513314</v>
      </c>
      <c r="K77" s="896"/>
      <c r="L77" s="896"/>
      <c r="M77" s="214"/>
      <c r="N77" s="214"/>
      <c r="O77" s="214"/>
      <c r="P77" s="214"/>
      <c r="Q77" s="214"/>
    </row>
    <row r="78" spans="3:17" x14ac:dyDescent="0.2">
      <c r="D78" s="947" t="s">
        <v>830</v>
      </c>
      <c r="G78" s="954"/>
      <c r="H78" s="954"/>
      <c r="I78" s="216"/>
      <c r="J78" s="946">
        <v>600013.35986680177</v>
      </c>
      <c r="K78" s="896"/>
      <c r="L78" s="896"/>
      <c r="M78" s="214"/>
      <c r="N78" s="214"/>
      <c r="O78" s="214"/>
      <c r="P78" s="214"/>
      <c r="Q78" s="214"/>
    </row>
    <row r="79" spans="3:17" x14ac:dyDescent="0.2">
      <c r="D79" s="947" t="s">
        <v>831</v>
      </c>
      <c r="G79" s="954"/>
      <c r="I79" s="216"/>
      <c r="J79" s="953">
        <v>791802.14000000013</v>
      </c>
      <c r="K79" s="896"/>
      <c r="L79" s="896"/>
      <c r="M79" s="214"/>
      <c r="N79" s="214"/>
      <c r="O79" s="214"/>
      <c r="P79" s="214"/>
      <c r="Q79" s="214"/>
    </row>
    <row r="80" spans="3:17" x14ac:dyDescent="0.2">
      <c r="C80" s="206"/>
      <c r="G80" s="954"/>
      <c r="J80" s="953"/>
      <c r="K80" s="214"/>
      <c r="L80" s="214"/>
      <c r="M80" s="214"/>
      <c r="N80" s="214"/>
      <c r="O80" s="214"/>
      <c r="P80" s="214"/>
      <c r="Q80" s="214"/>
    </row>
    <row r="81" spans="3:17" ht="13.5" thickBot="1" x14ac:dyDescent="0.25">
      <c r="C81" s="215"/>
      <c r="D81" s="944" t="s">
        <v>259</v>
      </c>
      <c r="G81" s="954"/>
      <c r="J81" s="960">
        <f ca="1">SUM(J74:J79)</f>
        <v>88433493.489999995</v>
      </c>
      <c r="K81" s="1045"/>
      <c r="L81" s="896"/>
      <c r="M81" s="214"/>
      <c r="N81" s="214"/>
      <c r="O81" s="214"/>
      <c r="P81" s="214"/>
      <c r="Q81" s="214"/>
    </row>
    <row r="82" spans="3:17" ht="13.5" thickTop="1" x14ac:dyDescent="0.2">
      <c r="C82" s="206"/>
      <c r="G82" s="954"/>
      <c r="J82" s="953"/>
      <c r="K82" s="214"/>
      <c r="L82" s="214"/>
      <c r="M82" s="214"/>
      <c r="N82" s="214"/>
      <c r="O82" s="214"/>
      <c r="P82" s="214"/>
      <c r="Q82" s="214"/>
    </row>
    <row r="83" spans="3:17" x14ac:dyDescent="0.2">
      <c r="C83" s="889" t="s">
        <v>823</v>
      </c>
      <c r="D83" s="300"/>
      <c r="E83" s="300"/>
      <c r="F83" s="980"/>
      <c r="G83" s="980"/>
      <c r="H83" s="980"/>
      <c r="I83" s="300"/>
      <c r="J83" s="890" t="s">
        <v>859</v>
      </c>
      <c r="K83" s="214"/>
      <c r="L83" s="214"/>
      <c r="M83" s="214"/>
      <c r="N83" s="214"/>
      <c r="O83" s="214"/>
      <c r="P83" s="214"/>
      <c r="Q83" s="214"/>
    </row>
    <row r="84" spans="3:17" x14ac:dyDescent="0.2">
      <c r="C84" s="891" t="s">
        <v>824</v>
      </c>
      <c r="D84" s="300"/>
      <c r="E84" s="300"/>
      <c r="F84" s="980"/>
      <c r="G84" s="980"/>
      <c r="H84" s="980"/>
      <c r="I84" s="300"/>
      <c r="J84" s="890" t="s">
        <v>837</v>
      </c>
      <c r="K84" s="214"/>
      <c r="L84" s="214"/>
      <c r="M84" s="214"/>
      <c r="N84" s="214"/>
      <c r="O84" s="214"/>
      <c r="P84" s="214"/>
      <c r="Q84" s="214"/>
    </row>
    <row r="85" spans="3:17" x14ac:dyDescent="0.2">
      <c r="C85" s="891" t="s">
        <v>825</v>
      </c>
      <c r="D85" s="300"/>
      <c r="E85" s="300"/>
      <c r="F85" s="980"/>
      <c r="G85" s="980"/>
      <c r="H85" s="980"/>
      <c r="I85" s="300"/>
      <c r="J85" s="932" t="s">
        <v>1058</v>
      </c>
      <c r="K85" s="214"/>
      <c r="L85" s="214"/>
      <c r="M85" s="214"/>
      <c r="N85" s="214"/>
      <c r="O85" s="214"/>
      <c r="P85" s="214"/>
      <c r="Q85" s="214"/>
    </row>
    <row r="86" spans="3:17" x14ac:dyDescent="0.2">
      <c r="C86" s="892"/>
      <c r="D86" s="893"/>
      <c r="E86" s="894"/>
      <c r="F86" s="989"/>
      <c r="G86" s="981"/>
      <c r="H86" s="981"/>
      <c r="I86" s="895"/>
      <c r="J86" s="895"/>
      <c r="K86" s="214"/>
      <c r="L86" s="214"/>
      <c r="M86" s="214"/>
      <c r="N86" s="214"/>
      <c r="O86" s="214"/>
      <c r="P86" s="214"/>
      <c r="Q86" s="214"/>
    </row>
    <row r="87" spans="3:17" x14ac:dyDescent="0.2">
      <c r="K87" s="214"/>
      <c r="L87" s="214"/>
      <c r="M87" s="214"/>
      <c r="N87" s="214"/>
      <c r="O87" s="214"/>
      <c r="P87" s="214"/>
      <c r="Q87" s="214"/>
    </row>
    <row r="88" spans="3:17" x14ac:dyDescent="0.2">
      <c r="I88" s="933"/>
      <c r="J88" s="934" t="s">
        <v>390</v>
      </c>
      <c r="K88" s="214"/>
      <c r="L88" s="214"/>
      <c r="M88" s="214"/>
      <c r="N88" s="214"/>
      <c r="O88" s="214"/>
      <c r="P88" s="214"/>
      <c r="Q88" s="214"/>
    </row>
    <row r="89" spans="3:17" x14ac:dyDescent="0.2">
      <c r="I89" s="933"/>
      <c r="J89" s="934" t="s">
        <v>163</v>
      </c>
      <c r="K89" s="214"/>
      <c r="L89" s="214"/>
      <c r="M89" s="214"/>
      <c r="N89" s="214"/>
      <c r="O89" s="214"/>
      <c r="P89" s="214"/>
      <c r="Q89" s="214"/>
    </row>
    <row r="90" spans="3:17" x14ac:dyDescent="0.2">
      <c r="F90" s="935"/>
      <c r="G90" s="936"/>
      <c r="H90" s="936" t="s">
        <v>496</v>
      </c>
      <c r="I90" s="934" t="s">
        <v>427</v>
      </c>
      <c r="J90" s="937" t="s">
        <v>428</v>
      </c>
      <c r="K90" s="214"/>
      <c r="L90" s="214"/>
      <c r="M90" s="214"/>
      <c r="N90" s="214"/>
      <c r="O90" s="214"/>
      <c r="P90" s="214"/>
      <c r="Q90" s="214"/>
    </row>
    <row r="91" spans="3:17" ht="13.5" thickBot="1" x14ac:dyDescent="0.25">
      <c r="C91" s="938" t="s">
        <v>167</v>
      </c>
      <c r="D91" s="938"/>
      <c r="E91" s="938"/>
      <c r="F91" s="939" t="s">
        <v>268</v>
      </c>
      <c r="G91" s="940" t="s">
        <v>162</v>
      </c>
      <c r="H91" s="940" t="s">
        <v>162</v>
      </c>
      <c r="I91" s="939" t="s">
        <v>429</v>
      </c>
      <c r="J91" s="939" t="s">
        <v>429</v>
      </c>
      <c r="K91" s="214"/>
      <c r="L91" s="214"/>
      <c r="M91" s="214"/>
      <c r="N91" s="214"/>
      <c r="O91" s="214"/>
      <c r="P91" s="214"/>
      <c r="Q91" s="214"/>
    </row>
    <row r="92" spans="3:17" x14ac:dyDescent="0.2">
      <c r="C92" s="944"/>
      <c r="D92" s="944"/>
      <c r="E92" s="944"/>
      <c r="F92" s="934"/>
      <c r="G92" s="934"/>
      <c r="K92" s="214"/>
      <c r="L92" s="214"/>
      <c r="M92" s="214"/>
      <c r="N92" s="214"/>
      <c r="O92" s="214"/>
      <c r="P92" s="214"/>
      <c r="Q92" s="214"/>
    </row>
    <row r="93" spans="3:17" x14ac:dyDescent="0.2">
      <c r="C93" s="943" t="s">
        <v>439</v>
      </c>
      <c r="E93" s="944"/>
      <c r="F93" s="934"/>
      <c r="G93" s="934"/>
      <c r="K93" s="214"/>
      <c r="L93" s="214"/>
      <c r="M93" s="214"/>
      <c r="N93" s="214"/>
      <c r="O93" s="214"/>
      <c r="P93" s="214"/>
      <c r="Q93" s="214"/>
    </row>
    <row r="94" spans="3:17" x14ac:dyDescent="0.2">
      <c r="C94" s="944"/>
      <c r="E94" s="944"/>
      <c r="F94" s="934"/>
      <c r="G94" s="934"/>
      <c r="K94" s="214"/>
      <c r="L94" s="214"/>
      <c r="M94" s="214"/>
      <c r="N94" s="214"/>
      <c r="O94" s="214"/>
      <c r="P94" s="214"/>
      <c r="Q94" s="214"/>
    </row>
    <row r="95" spans="3:17" x14ac:dyDescent="0.2">
      <c r="C95" s="944" t="s">
        <v>440</v>
      </c>
      <c r="K95" s="214"/>
      <c r="L95" s="214"/>
      <c r="M95" s="214"/>
      <c r="N95" s="214"/>
      <c r="O95" s="214"/>
      <c r="P95" s="214"/>
      <c r="Q95" s="214"/>
    </row>
    <row r="96" spans="3:17" x14ac:dyDescent="0.2">
      <c r="C96" s="944"/>
      <c r="D96" s="206" t="s">
        <v>498</v>
      </c>
      <c r="K96" s="214"/>
      <c r="L96" s="214"/>
      <c r="M96" s="214"/>
      <c r="N96" s="214"/>
      <c r="O96" s="214"/>
      <c r="P96" s="214"/>
      <c r="Q96" s="214"/>
    </row>
    <row r="97" spans="1:17" x14ac:dyDescent="0.2">
      <c r="A97" s="215" t="s">
        <v>118</v>
      </c>
      <c r="C97" s="204"/>
      <c r="D97" s="950" t="s">
        <v>601</v>
      </c>
      <c r="F97" s="954">
        <f ca="1">SUMIF('12-MO Billed Summary RETAIL'!E6:E16,'Sch M-1.3 Pg. 2-8'!A97,'12-MO Billed Summary RETAIL'!G6:G16)</f>
        <v>1552</v>
      </c>
      <c r="G97" s="983"/>
      <c r="I97" s="918">
        <f>VLOOKUP($A$97,'Retail Rates'!$A$7:$L$34,6,FALSE)</f>
        <v>40</v>
      </c>
      <c r="J97" s="946">
        <f ca="1">+F97*I97</f>
        <v>62080</v>
      </c>
      <c r="K97" s="214"/>
      <c r="L97" s="971"/>
      <c r="M97" s="971"/>
      <c r="N97" s="214"/>
      <c r="O97" s="214"/>
      <c r="P97" s="214"/>
      <c r="Q97" s="214"/>
    </row>
    <row r="98" spans="1:17" x14ac:dyDescent="0.2">
      <c r="C98" s="204"/>
      <c r="D98" s="950" t="s">
        <v>602</v>
      </c>
      <c r="F98" s="954">
        <f ca="1">SUMIF('12-MO Billed Summary RETAIL'!E6:E16,'Sch M-1.3 Pg. 2-8'!A97,'12-MO Billed Summary RETAIL'!H6:H16)</f>
        <v>1363</v>
      </c>
      <c r="G98" s="983"/>
      <c r="I98" s="918">
        <f>VLOOKUP($A$97,'Retail Rates'!$A$7:$L$34,7,FALSE)</f>
        <v>180</v>
      </c>
      <c r="J98" s="946">
        <f ca="1">+F98*I98</f>
        <v>245340</v>
      </c>
      <c r="K98" s="896"/>
      <c r="L98" s="214"/>
      <c r="M98" s="896"/>
      <c r="N98" s="214"/>
      <c r="O98" s="214"/>
      <c r="P98" s="214"/>
      <c r="Q98" s="214"/>
    </row>
    <row r="99" spans="1:17" x14ac:dyDescent="0.2">
      <c r="A99" s="215" t="s">
        <v>448</v>
      </c>
      <c r="B99" s="955"/>
      <c r="F99" s="983"/>
      <c r="K99" s="214"/>
      <c r="L99" s="214"/>
      <c r="M99" s="214"/>
      <c r="N99" s="214"/>
      <c r="O99" s="214"/>
      <c r="P99" s="214"/>
      <c r="Q99" s="214"/>
    </row>
    <row r="100" spans="1:17" x14ac:dyDescent="0.2">
      <c r="B100" s="955"/>
      <c r="D100" s="931" t="s">
        <v>433</v>
      </c>
      <c r="G100" s="983"/>
      <c r="I100" s="216"/>
      <c r="K100" s="214"/>
      <c r="L100" s="214"/>
      <c r="M100" s="214"/>
      <c r="N100" s="214"/>
      <c r="O100" s="214"/>
      <c r="P100" s="214"/>
      <c r="Q100" s="214"/>
    </row>
    <row r="101" spans="1:17" x14ac:dyDescent="0.2">
      <c r="D101" s="931" t="s">
        <v>436</v>
      </c>
      <c r="G101" s="954">
        <f ca="1">SUMIF('12-MO Billed Summary RETAIL'!E6:E16,'Sch M-1.3 Pg. 2-8'!A97,'12-MO Billed Summary RETAIL'!I6:I16)/10</f>
        <v>1015239.3574541282</v>
      </c>
      <c r="I101" s="76">
        <f>VLOOKUP($A$97,'Retail Rates'!$A$7:$L$34,8,FALSE)*10</f>
        <v>2.2778999999999998</v>
      </c>
      <c r="J101" s="951">
        <f ca="1">+G101*I101</f>
        <v>2312613.7323447587</v>
      </c>
      <c r="K101" s="214"/>
      <c r="L101" s="214"/>
      <c r="M101" s="214"/>
      <c r="N101" s="214"/>
      <c r="O101" s="214"/>
      <c r="P101" s="214"/>
      <c r="Q101" s="214"/>
    </row>
    <row r="102" spans="1:17" x14ac:dyDescent="0.2">
      <c r="D102" s="931" t="s">
        <v>437</v>
      </c>
      <c r="E102" s="945"/>
      <c r="H102" s="954">
        <f ca="1">SUMIF('12-MO Billed Summary RETAIL'!E6:E16,'Sch M-1.3 Pg. 2-8'!A97,'12-MO Billed Summary RETAIL'!J6:J16)/10</f>
        <v>385983.87997475301</v>
      </c>
      <c r="I102" s="76">
        <f>VLOOKUP($A$97,'Retail Rates'!$A$7:$L$34,9,FALSE)*10</f>
        <v>1.7779</v>
      </c>
      <c r="J102" s="951">
        <f ca="1">+I102*H102</f>
        <v>686240.74020711344</v>
      </c>
      <c r="K102" s="217"/>
      <c r="L102" s="214"/>
      <c r="M102" s="217"/>
      <c r="N102" s="214"/>
      <c r="O102" s="214"/>
      <c r="P102" s="214"/>
      <c r="Q102" s="214"/>
    </row>
    <row r="103" spans="1:17" x14ac:dyDescent="0.2">
      <c r="H103" s="983"/>
      <c r="K103" s="214"/>
      <c r="L103" s="214"/>
      <c r="M103" s="214"/>
      <c r="N103" s="214"/>
      <c r="O103" s="214"/>
      <c r="P103" s="214"/>
      <c r="Q103" s="214"/>
    </row>
    <row r="104" spans="1:17" x14ac:dyDescent="0.2">
      <c r="D104" s="931" t="s">
        <v>426</v>
      </c>
      <c r="H104" s="983"/>
      <c r="J104" s="946">
        <f ca="1">SUMIF('12-MO Billed Summary RETAIL'!$E$6:$E$16,'Sch M-1.3 Pg. 2-8'!$A$97,'12-MO Billed Summary RETAIL'!$AG$6:$AG$16)+SUMIF('12-MO Billed Summary RETAIL'!$E$6:$E$16,'Sch M-1.3 Pg. 2-8'!$A$97,'12-MO Billed Summary RETAIL'!$AH$6:$AH$16)+SUMIF('12-MO Billed Summary RETAIL'!$E$6:$E$16,'Sch M-1.3 Pg. 2-8'!$A$97,'12-MO Billed Summary RETAIL'!$AI$6:$AI$16)+SBR!BG18+SBR!BG19</f>
        <v>3979.99</v>
      </c>
      <c r="K104" s="896"/>
      <c r="L104" s="896"/>
      <c r="M104" s="299"/>
      <c r="N104" s="299"/>
      <c r="O104" s="214"/>
      <c r="P104" s="214"/>
      <c r="Q104" s="214"/>
    </row>
    <row r="105" spans="1:17" x14ac:dyDescent="0.2">
      <c r="H105" s="983"/>
      <c r="J105" s="946"/>
      <c r="K105" s="896"/>
      <c r="L105" s="896"/>
      <c r="M105" s="299"/>
      <c r="N105" s="299"/>
      <c r="O105" s="214"/>
      <c r="P105" s="214"/>
      <c r="Q105" s="214"/>
    </row>
    <row r="106" spans="1:17" x14ac:dyDescent="0.2">
      <c r="D106" s="944" t="s">
        <v>595</v>
      </c>
      <c r="H106" s="983"/>
      <c r="J106" s="965">
        <f ca="1">SUM(J97:J104)</f>
        <v>3310254.4625518722</v>
      </c>
      <c r="K106" s="896"/>
      <c r="L106" s="896"/>
      <c r="M106" s="299"/>
      <c r="N106" s="299"/>
      <c r="O106" s="214"/>
      <c r="P106" s="214"/>
      <c r="Q106" s="214"/>
    </row>
    <row r="107" spans="1:17" x14ac:dyDescent="0.2">
      <c r="H107" s="983"/>
      <c r="J107" s="946"/>
      <c r="K107" s="896"/>
      <c r="L107" s="896"/>
      <c r="M107" s="299"/>
      <c r="N107" s="299"/>
      <c r="O107" s="214"/>
      <c r="P107" s="214"/>
      <c r="Q107" s="214"/>
    </row>
    <row r="108" spans="1:17" x14ac:dyDescent="0.2">
      <c r="D108" s="945" t="s">
        <v>598</v>
      </c>
      <c r="H108" s="983"/>
      <c r="I108" s="1123">
        <f ca="1">'Revenue Summary B'!N17</f>
        <v>0.9999999941493326</v>
      </c>
      <c r="J108" s="946"/>
      <c r="K108" s="896"/>
      <c r="L108" s="896"/>
      <c r="M108" s="299"/>
      <c r="N108" s="299"/>
      <c r="O108" s="214"/>
      <c r="P108" s="214"/>
      <c r="Q108" s="214"/>
    </row>
    <row r="109" spans="1:17" x14ac:dyDescent="0.2">
      <c r="D109" s="945"/>
      <c r="H109" s="983"/>
      <c r="J109" s="946"/>
      <c r="K109" s="896"/>
      <c r="L109" s="896"/>
      <c r="M109" s="299"/>
      <c r="N109" s="299"/>
      <c r="O109" s="214"/>
      <c r="P109" s="214"/>
      <c r="Q109" s="214"/>
    </row>
    <row r="110" spans="1:17" x14ac:dyDescent="0.2">
      <c r="D110" s="1043" t="s">
        <v>1196</v>
      </c>
      <c r="H110" s="983"/>
      <c r="J110" s="965">
        <f ca="1">J106*I108</f>
        <v>3310254.4431846743</v>
      </c>
      <c r="K110" s="896"/>
      <c r="L110" s="896"/>
      <c r="M110" s="299"/>
      <c r="N110" s="299"/>
      <c r="O110" s="214"/>
      <c r="P110" s="214"/>
      <c r="Q110" s="214"/>
    </row>
    <row r="111" spans="1:17" x14ac:dyDescent="0.2">
      <c r="D111" s="945"/>
      <c r="H111" s="983"/>
      <c r="J111" s="946"/>
      <c r="K111" s="896"/>
      <c r="L111" s="896"/>
      <c r="M111" s="299"/>
      <c r="N111" s="299"/>
      <c r="O111" s="214"/>
      <c r="P111" s="214"/>
      <c r="Q111" s="214"/>
    </row>
    <row r="112" spans="1:17" x14ac:dyDescent="0.2">
      <c r="H112" s="983"/>
      <c r="J112" s="951"/>
      <c r="K112" s="214"/>
      <c r="L112" s="214"/>
      <c r="M112" s="214"/>
      <c r="N112" s="214"/>
      <c r="O112" s="214"/>
      <c r="P112" s="214"/>
      <c r="Q112" s="214"/>
    </row>
    <row r="113" spans="1:17" x14ac:dyDescent="0.2">
      <c r="C113" s="944" t="s">
        <v>865</v>
      </c>
      <c r="H113" s="983"/>
      <c r="K113" s="214"/>
      <c r="L113" s="214"/>
      <c r="M113" s="214"/>
      <c r="N113" s="214"/>
      <c r="O113" s="214"/>
      <c r="P113" s="214"/>
      <c r="Q113" s="214"/>
    </row>
    <row r="114" spans="1:17" x14ac:dyDescent="0.2">
      <c r="D114" s="931" t="s">
        <v>438</v>
      </c>
      <c r="F114" s="933">
        <f>'Summary SBR-Transport'!B14</f>
        <v>60</v>
      </c>
      <c r="I114" s="918">
        <f>'Retail Rates'!J28</f>
        <v>550</v>
      </c>
      <c r="J114" s="951">
        <f>+F114*I114</f>
        <v>33000</v>
      </c>
      <c r="K114" s="214"/>
      <c r="L114" s="214"/>
      <c r="M114" s="214"/>
      <c r="N114" s="214"/>
      <c r="O114" s="214"/>
      <c r="P114" s="214"/>
      <c r="Q114" s="214"/>
    </row>
    <row r="115" spans="1:17" x14ac:dyDescent="0.2">
      <c r="D115" s="931" t="s">
        <v>602</v>
      </c>
      <c r="F115" s="933">
        <f>F114</f>
        <v>60</v>
      </c>
      <c r="I115" s="918">
        <f>I98</f>
        <v>180</v>
      </c>
      <c r="J115" s="951">
        <f>F115*I115</f>
        <v>10800</v>
      </c>
      <c r="K115" s="217"/>
      <c r="L115" s="214"/>
      <c r="M115" s="214"/>
      <c r="N115" s="214"/>
      <c r="O115" s="214"/>
      <c r="P115" s="214"/>
      <c r="Q115" s="214"/>
    </row>
    <row r="116" spans="1:17" x14ac:dyDescent="0.2">
      <c r="A116" s="215" t="s">
        <v>515</v>
      </c>
      <c r="K116" s="214"/>
      <c r="L116" s="214"/>
      <c r="M116" s="214"/>
      <c r="N116" s="214"/>
      <c r="O116" s="214"/>
      <c r="P116" s="214"/>
      <c r="Q116" s="214"/>
    </row>
    <row r="117" spans="1:17" x14ac:dyDescent="0.2">
      <c r="D117" s="931" t="s">
        <v>433</v>
      </c>
      <c r="G117" s="954"/>
      <c r="K117" s="214"/>
      <c r="L117" s="214"/>
      <c r="M117" s="214"/>
      <c r="N117" s="214"/>
      <c r="O117" s="214"/>
      <c r="P117" s="214"/>
      <c r="Q117" s="214"/>
    </row>
    <row r="118" spans="1:17" x14ac:dyDescent="0.2">
      <c r="C118" s="204"/>
      <c r="D118" s="931" t="s">
        <v>436</v>
      </c>
      <c r="G118" s="954">
        <f>'Mar16-Aug16 FT-TS-Cashout-LG&amp;E'!P214+'Mar16-Aug16 FT-TS-Cashout-LG&amp;E'!P305+'Sept16-Feb17 Transport'!M69</f>
        <v>140790.05185942745</v>
      </c>
      <c r="H118" s="954"/>
      <c r="I118" s="76">
        <f>VLOOKUP($A$97,'Retail Rates'!$A$7:$L$34,8,FALSE)*10</f>
        <v>2.2778999999999998</v>
      </c>
      <c r="J118" s="951">
        <f>+G118*I118</f>
        <v>320705.65913058975</v>
      </c>
      <c r="K118" s="214"/>
      <c r="L118" s="214"/>
      <c r="M118" s="214"/>
      <c r="N118" s="214"/>
      <c r="O118" s="214"/>
      <c r="P118" s="214"/>
      <c r="Q118" s="214"/>
    </row>
    <row r="119" spans="1:17" x14ac:dyDescent="0.2">
      <c r="C119" s="204"/>
      <c r="D119" s="931" t="s">
        <v>437</v>
      </c>
      <c r="E119" s="945"/>
      <c r="H119" s="954">
        <f>'Mar16-Aug16 FT-TS-Cashout-LG&amp;E'!P215+'Mar16-Aug16 FT-TS-Cashout-LG&amp;E'!P306+'Sept16-Feb17 Transport'!N69</f>
        <v>343934.81379069213</v>
      </c>
      <c r="I119" s="76">
        <f>VLOOKUP($A$97,'Retail Rates'!$A$7:$L$34,9,FALSE)*10</f>
        <v>1.7779</v>
      </c>
      <c r="J119" s="951">
        <f>+I119*H119</f>
        <v>611481.70543847152</v>
      </c>
      <c r="K119" s="217"/>
      <c r="L119" s="214"/>
      <c r="M119" s="214"/>
      <c r="N119" s="214"/>
      <c r="O119" s="214"/>
      <c r="P119" s="214"/>
      <c r="Q119" s="214"/>
    </row>
    <row r="120" spans="1:17" x14ac:dyDescent="0.2">
      <c r="C120" s="204"/>
      <c r="E120" s="945"/>
      <c r="H120" s="954"/>
      <c r="I120" s="76"/>
      <c r="J120" s="951"/>
      <c r="K120" s="214"/>
      <c r="L120" s="214"/>
      <c r="M120" s="214"/>
      <c r="N120" s="214"/>
      <c r="O120" s="214"/>
      <c r="P120" s="214"/>
      <c r="Q120" s="214"/>
    </row>
    <row r="121" spans="1:17" x14ac:dyDescent="0.2">
      <c r="C121" s="204"/>
      <c r="D121" s="931" t="s">
        <v>815</v>
      </c>
      <c r="E121" s="945"/>
      <c r="H121" s="954"/>
      <c r="I121" s="76"/>
      <c r="J121" s="951">
        <f>SUM(SBR!BG20:BG23)+SBR!BF59+SBR!BG60</f>
        <v>829.36005170936153</v>
      </c>
      <c r="K121" s="214"/>
      <c r="L121" s="214"/>
      <c r="M121" s="214"/>
      <c r="N121" s="214"/>
      <c r="O121" s="214"/>
      <c r="P121" s="214"/>
      <c r="Q121" s="214"/>
    </row>
    <row r="122" spans="1:17" x14ac:dyDescent="0.2">
      <c r="C122" s="204"/>
      <c r="D122" s="931" t="s">
        <v>1200</v>
      </c>
      <c r="E122" s="945"/>
      <c r="H122" s="954"/>
      <c r="I122" s="76"/>
      <c r="J122" s="951">
        <f>'Summary SBR-Transport'!D15-5400</f>
        <v>82876.709999999992</v>
      </c>
      <c r="K122" s="214"/>
      <c r="L122" s="214"/>
      <c r="M122" s="214"/>
      <c r="N122" s="214"/>
      <c r="O122" s="214"/>
      <c r="P122" s="214"/>
      <c r="Q122" s="214"/>
    </row>
    <row r="123" spans="1:17" x14ac:dyDescent="0.2">
      <c r="K123" s="214"/>
      <c r="L123" s="214"/>
      <c r="M123" s="214"/>
      <c r="N123" s="214"/>
      <c r="O123" s="214"/>
      <c r="P123" s="214"/>
      <c r="Q123" s="214"/>
    </row>
    <row r="124" spans="1:17" x14ac:dyDescent="0.2">
      <c r="C124" s="215"/>
      <c r="D124" s="944" t="s">
        <v>595</v>
      </c>
      <c r="E124" s="944"/>
      <c r="F124" s="934"/>
      <c r="G124" s="983"/>
      <c r="H124" s="983"/>
      <c r="I124" s="944"/>
      <c r="J124" s="948">
        <f>SUM(J114:J123)</f>
        <v>1059693.4346207706</v>
      </c>
      <c r="K124" s="214"/>
      <c r="L124" s="214"/>
      <c r="M124" s="214"/>
      <c r="N124" s="214"/>
      <c r="O124" s="214"/>
      <c r="P124" s="214"/>
      <c r="Q124" s="214"/>
    </row>
    <row r="125" spans="1:17" x14ac:dyDescent="0.2">
      <c r="C125" s="911"/>
      <c r="J125" s="948"/>
      <c r="K125" s="214"/>
      <c r="L125" s="214"/>
      <c r="M125" s="214"/>
      <c r="N125" s="214"/>
      <c r="O125" s="214"/>
      <c r="P125" s="214"/>
      <c r="Q125" s="214"/>
    </row>
    <row r="126" spans="1:17" x14ac:dyDescent="0.2">
      <c r="C126" s="906"/>
      <c r="D126" s="906" t="s">
        <v>598</v>
      </c>
      <c r="I126" s="949">
        <f>'Revenue Summary B'!N18</f>
        <v>1.0021385988211309</v>
      </c>
      <c r="K126" s="214"/>
      <c r="L126" s="214"/>
      <c r="M126" s="214"/>
      <c r="N126" s="214"/>
      <c r="O126" s="214"/>
      <c r="P126" s="214"/>
      <c r="Q126" s="214"/>
    </row>
    <row r="127" spans="1:17" x14ac:dyDescent="0.2">
      <c r="C127" s="206"/>
      <c r="K127" s="214"/>
      <c r="L127" s="214"/>
      <c r="M127" s="214"/>
      <c r="N127" s="214"/>
      <c r="O127" s="214"/>
      <c r="P127" s="214"/>
      <c r="Q127" s="214"/>
    </row>
    <row r="128" spans="1:17" x14ac:dyDescent="0.2">
      <c r="C128" s="931" t="s">
        <v>1168</v>
      </c>
      <c r="J128" s="948">
        <f>J124/I126</f>
        <v>1057432.0117669797</v>
      </c>
      <c r="K128" s="896"/>
      <c r="L128" s="214"/>
      <c r="M128" s="214"/>
      <c r="N128" s="214"/>
      <c r="O128" s="214"/>
      <c r="P128" s="214"/>
      <c r="Q128" s="214"/>
    </row>
    <row r="129" spans="3:17" x14ac:dyDescent="0.2">
      <c r="C129" s="911"/>
      <c r="J129" s="953"/>
      <c r="K129" s="214"/>
      <c r="L129" s="214"/>
      <c r="M129" s="214"/>
      <c r="N129" s="214"/>
      <c r="O129" s="214"/>
      <c r="P129" s="214"/>
      <c r="Q129" s="214"/>
    </row>
    <row r="130" spans="3:17" x14ac:dyDescent="0.2">
      <c r="J130" s="953"/>
      <c r="K130" s="214"/>
      <c r="L130" s="214"/>
      <c r="M130" s="214"/>
      <c r="N130" s="214"/>
      <c r="O130" s="214"/>
      <c r="P130" s="214"/>
      <c r="Q130" s="214"/>
    </row>
    <row r="131" spans="3:17" x14ac:dyDescent="0.2">
      <c r="C131" s="206"/>
      <c r="D131" s="947" t="s">
        <v>643</v>
      </c>
      <c r="J131" s="946">
        <v>777984.00291142706</v>
      </c>
      <c r="K131" s="896"/>
      <c r="L131" s="896"/>
      <c r="M131" s="214"/>
      <c r="N131" s="214"/>
      <c r="O131" s="214"/>
      <c r="P131" s="214"/>
      <c r="Q131" s="214"/>
    </row>
    <row r="132" spans="3:17" x14ac:dyDescent="0.2">
      <c r="D132" s="947" t="s">
        <v>829</v>
      </c>
      <c r="G132" s="954"/>
      <c r="I132" s="216"/>
      <c r="J132" s="946">
        <v>5900860.4451695029</v>
      </c>
      <c r="K132" s="896"/>
      <c r="L132" s="896"/>
      <c r="M132" s="214"/>
      <c r="N132" s="214"/>
      <c r="O132" s="214"/>
      <c r="P132" s="214"/>
      <c r="Q132" s="214"/>
    </row>
    <row r="133" spans="3:17" x14ac:dyDescent="0.2">
      <c r="G133" s="954"/>
      <c r="I133" s="216"/>
      <c r="J133" s="946"/>
      <c r="K133" s="896"/>
      <c r="L133" s="214"/>
      <c r="M133" s="214"/>
      <c r="N133" s="214"/>
      <c r="O133" s="214"/>
      <c r="P133" s="214"/>
      <c r="Q133" s="214"/>
    </row>
    <row r="134" spans="3:17" x14ac:dyDescent="0.2">
      <c r="C134" s="206"/>
      <c r="J134" s="953"/>
      <c r="K134" s="214"/>
      <c r="L134" s="214"/>
      <c r="M134" s="214"/>
      <c r="N134" s="214"/>
      <c r="O134" s="214"/>
      <c r="P134" s="214"/>
      <c r="Q134" s="214"/>
    </row>
    <row r="135" spans="3:17" ht="13.5" thickBot="1" x14ac:dyDescent="0.25">
      <c r="C135" s="944" t="s">
        <v>600</v>
      </c>
      <c r="G135" s="954"/>
      <c r="J135" s="960">
        <f ca="1">J110+J128+J131+J132</f>
        <v>11046530.903032584</v>
      </c>
      <c r="K135" s="1045"/>
      <c r="L135" s="896"/>
      <c r="M135" s="214"/>
      <c r="N135" s="214"/>
      <c r="O135" s="214"/>
      <c r="P135" s="214"/>
      <c r="Q135" s="214"/>
    </row>
    <row r="136" spans="3:17" ht="13.5" thickTop="1" x14ac:dyDescent="0.2">
      <c r="C136" s="944"/>
      <c r="G136" s="954"/>
      <c r="J136" s="948"/>
      <c r="K136" s="214"/>
      <c r="L136" s="896"/>
      <c r="M136" s="214"/>
      <c r="N136" s="214"/>
      <c r="O136" s="214"/>
      <c r="P136" s="214"/>
      <c r="Q136" s="214"/>
    </row>
    <row r="137" spans="3:17" x14ac:dyDescent="0.2">
      <c r="C137" s="944" t="s">
        <v>1197</v>
      </c>
      <c r="G137" s="954"/>
      <c r="J137" s="948"/>
      <c r="K137" s="214"/>
      <c r="L137" s="896"/>
      <c r="M137" s="214"/>
      <c r="N137" s="214"/>
      <c r="O137" s="214"/>
      <c r="P137" s="214"/>
      <c r="Q137" s="214"/>
    </row>
    <row r="138" spans="3:17" x14ac:dyDescent="0.2">
      <c r="C138" s="944"/>
      <c r="G138" s="954"/>
      <c r="J138" s="948"/>
      <c r="K138" s="214"/>
      <c r="L138" s="896"/>
      <c r="M138" s="214"/>
      <c r="N138" s="214"/>
      <c r="O138" s="214"/>
      <c r="P138" s="214"/>
      <c r="Q138" s="214"/>
    </row>
    <row r="139" spans="3:17" x14ac:dyDescent="0.2">
      <c r="C139" s="944"/>
      <c r="D139" s="931" t="s">
        <v>1198</v>
      </c>
      <c r="F139" s="933">
        <f>'Summary SBR-Transport'!B44</f>
        <v>54</v>
      </c>
      <c r="G139" s="954"/>
      <c r="I139" s="918">
        <f>'Retail Rates'!J30</f>
        <v>75</v>
      </c>
      <c r="J139" s="951">
        <f>F139*I139</f>
        <v>4050</v>
      </c>
      <c r="K139" s="214"/>
      <c r="L139" s="896"/>
      <c r="M139" s="214"/>
      <c r="N139" s="214"/>
      <c r="O139" s="214"/>
      <c r="P139" s="214"/>
      <c r="Q139" s="214"/>
    </row>
    <row r="140" spans="3:17" x14ac:dyDescent="0.2">
      <c r="C140" s="944"/>
      <c r="D140" s="931" t="s">
        <v>1081</v>
      </c>
      <c r="G140" s="954"/>
      <c r="J140" s="215"/>
      <c r="K140" s="214"/>
      <c r="L140" s="896"/>
      <c r="M140" s="214"/>
      <c r="N140" s="214"/>
      <c r="O140" s="214"/>
      <c r="P140" s="214"/>
      <c r="Q140" s="214"/>
    </row>
    <row r="141" spans="3:17" x14ac:dyDescent="0.2">
      <c r="C141" s="944"/>
      <c r="D141" s="215" t="s">
        <v>426</v>
      </c>
      <c r="G141" s="954"/>
      <c r="J141" s="953">
        <f>SBR!BG80+SBR!BG81</f>
        <v>3.8292914330900345</v>
      </c>
      <c r="K141" s="214"/>
      <c r="L141" s="896"/>
      <c r="M141" s="214"/>
      <c r="N141" s="214"/>
      <c r="O141" s="214"/>
      <c r="P141" s="214"/>
      <c r="Q141" s="214"/>
    </row>
    <row r="142" spans="3:17" x14ac:dyDescent="0.2">
      <c r="C142" s="944"/>
      <c r="G142" s="954"/>
      <c r="J142" s="948"/>
      <c r="K142" s="214"/>
      <c r="L142" s="896"/>
      <c r="M142" s="214"/>
      <c r="N142" s="214"/>
      <c r="O142" s="214"/>
      <c r="P142" s="214"/>
      <c r="Q142" s="214"/>
    </row>
    <row r="143" spans="3:17" x14ac:dyDescent="0.2">
      <c r="C143" s="944"/>
      <c r="D143" s="944" t="s">
        <v>774</v>
      </c>
      <c r="G143" s="954"/>
      <c r="J143" s="948">
        <f>SUM(J139:J141)</f>
        <v>4053.82929143309</v>
      </c>
      <c r="K143" s="897"/>
      <c r="L143" s="896"/>
      <c r="M143" s="214"/>
      <c r="N143" s="214"/>
      <c r="O143" s="214"/>
      <c r="P143" s="214"/>
      <c r="Q143" s="214"/>
    </row>
    <row r="144" spans="3:17" x14ac:dyDescent="0.2">
      <c r="C144" s="944"/>
      <c r="G144" s="954"/>
      <c r="J144" s="948"/>
      <c r="K144" s="214"/>
      <c r="L144" s="896"/>
      <c r="M144" s="214"/>
      <c r="N144" s="214"/>
      <c r="O144" s="214"/>
      <c r="P144" s="214"/>
      <c r="Q144" s="214"/>
    </row>
    <row r="145" spans="3:17" x14ac:dyDescent="0.2">
      <c r="C145" s="944"/>
      <c r="G145" s="954"/>
      <c r="J145" s="948"/>
      <c r="K145" s="214"/>
      <c r="L145" s="896"/>
      <c r="M145" s="214"/>
      <c r="N145" s="214"/>
      <c r="O145" s="214"/>
      <c r="P145" s="214"/>
      <c r="Q145" s="214"/>
    </row>
    <row r="146" spans="3:17" x14ac:dyDescent="0.2">
      <c r="C146" s="206"/>
      <c r="J146" s="953"/>
      <c r="K146" s="214"/>
      <c r="L146" s="214"/>
      <c r="M146" s="214"/>
      <c r="N146" s="214"/>
      <c r="O146" s="214"/>
      <c r="P146" s="214"/>
      <c r="Q146" s="214"/>
    </row>
    <row r="147" spans="3:17" x14ac:dyDescent="0.2">
      <c r="C147" s="889" t="s">
        <v>823</v>
      </c>
      <c r="D147" s="300"/>
      <c r="E147" s="300"/>
      <c r="F147" s="980"/>
      <c r="G147" s="980"/>
      <c r="H147" s="980"/>
      <c r="I147" s="300"/>
      <c r="J147" s="890" t="s">
        <v>859</v>
      </c>
      <c r="K147" s="214"/>
      <c r="L147" s="214"/>
      <c r="M147" s="214"/>
      <c r="N147" s="214"/>
      <c r="O147" s="214"/>
      <c r="P147" s="214"/>
      <c r="Q147" s="214"/>
    </row>
    <row r="148" spans="3:17" x14ac:dyDescent="0.2">
      <c r="C148" s="891" t="s">
        <v>824</v>
      </c>
      <c r="D148" s="300"/>
      <c r="E148" s="300"/>
      <c r="F148" s="980"/>
      <c r="G148" s="980"/>
      <c r="H148" s="980"/>
      <c r="I148" s="300"/>
      <c r="J148" s="890" t="s">
        <v>836</v>
      </c>
      <c r="K148" s="214"/>
      <c r="L148" s="214"/>
      <c r="M148" s="214"/>
      <c r="N148" s="214"/>
      <c r="O148" s="214"/>
      <c r="P148" s="214"/>
      <c r="Q148" s="214"/>
    </row>
    <row r="149" spans="3:17" x14ac:dyDescent="0.2">
      <c r="C149" s="891" t="s">
        <v>825</v>
      </c>
      <c r="D149" s="300"/>
      <c r="E149" s="300"/>
      <c r="F149" s="980"/>
      <c r="G149" s="980"/>
      <c r="H149" s="980"/>
      <c r="I149" s="300"/>
      <c r="J149" s="932" t="s">
        <v>1058</v>
      </c>
      <c r="K149" s="214"/>
      <c r="L149" s="214"/>
      <c r="M149" s="214"/>
      <c r="N149" s="214"/>
      <c r="O149" s="214"/>
      <c r="P149" s="214"/>
      <c r="Q149" s="214"/>
    </row>
    <row r="150" spans="3:17" x14ac:dyDescent="0.2">
      <c r="C150" s="892" t="s">
        <v>826</v>
      </c>
      <c r="D150" s="893"/>
      <c r="E150" s="894"/>
      <c r="F150" s="989"/>
      <c r="G150" s="981"/>
      <c r="H150" s="981"/>
      <c r="I150" s="895"/>
      <c r="J150" s="895"/>
      <c r="K150" s="214"/>
      <c r="L150" s="214"/>
      <c r="M150" s="214"/>
      <c r="N150" s="214"/>
      <c r="O150" s="214"/>
      <c r="P150" s="214"/>
      <c r="Q150" s="214"/>
    </row>
    <row r="151" spans="3:17" x14ac:dyDescent="0.2">
      <c r="K151" s="214"/>
      <c r="L151" s="214"/>
      <c r="M151" s="214"/>
      <c r="N151" s="214"/>
      <c r="O151" s="214"/>
      <c r="P151" s="214"/>
      <c r="Q151" s="214"/>
    </row>
    <row r="152" spans="3:17" x14ac:dyDescent="0.2">
      <c r="I152" s="933"/>
      <c r="J152" s="934" t="s">
        <v>390</v>
      </c>
      <c r="K152" s="214"/>
      <c r="L152" s="214"/>
      <c r="M152" s="214"/>
      <c r="N152" s="214"/>
      <c r="O152" s="214"/>
      <c r="P152" s="214"/>
      <c r="Q152" s="214"/>
    </row>
    <row r="153" spans="3:17" x14ac:dyDescent="0.2">
      <c r="I153" s="933"/>
      <c r="J153" s="934" t="s">
        <v>163</v>
      </c>
      <c r="K153" s="214"/>
      <c r="L153" s="214"/>
      <c r="M153" s="214"/>
      <c r="N153" s="214"/>
      <c r="O153" s="214"/>
      <c r="P153" s="214"/>
      <c r="Q153" s="214"/>
    </row>
    <row r="154" spans="3:17" x14ac:dyDescent="0.2">
      <c r="F154" s="935"/>
      <c r="G154" s="936"/>
      <c r="H154" s="936" t="s">
        <v>496</v>
      </c>
      <c r="I154" s="934" t="s">
        <v>427</v>
      </c>
      <c r="J154" s="937" t="s">
        <v>428</v>
      </c>
      <c r="K154" s="214"/>
      <c r="L154" s="214"/>
      <c r="M154" s="214"/>
      <c r="N154" s="214"/>
      <c r="O154" s="214"/>
      <c r="P154" s="214"/>
      <c r="Q154" s="214"/>
    </row>
    <row r="155" spans="3:17" ht="13.5" thickBot="1" x14ac:dyDescent="0.25">
      <c r="C155" s="938" t="s">
        <v>167</v>
      </c>
      <c r="D155" s="938"/>
      <c r="E155" s="938"/>
      <c r="F155" s="939" t="s">
        <v>268</v>
      </c>
      <c r="G155" s="940" t="s">
        <v>162</v>
      </c>
      <c r="H155" s="940" t="s">
        <v>162</v>
      </c>
      <c r="I155" s="939" t="s">
        <v>429</v>
      </c>
      <c r="J155" s="939" t="s">
        <v>429</v>
      </c>
      <c r="K155" s="214"/>
      <c r="L155" s="214"/>
      <c r="M155" s="214"/>
      <c r="N155" s="214"/>
      <c r="O155" s="214"/>
      <c r="P155" s="214"/>
      <c r="Q155" s="214"/>
    </row>
    <row r="156" spans="3:17" x14ac:dyDescent="0.2">
      <c r="K156" s="214"/>
      <c r="L156" s="214"/>
      <c r="M156" s="214"/>
      <c r="N156" s="214"/>
      <c r="O156" s="214"/>
      <c r="P156" s="214"/>
      <c r="Q156" s="214"/>
    </row>
    <row r="157" spans="3:17" x14ac:dyDescent="0.2">
      <c r="C157" s="956" t="s">
        <v>1169</v>
      </c>
      <c r="K157" s="214"/>
      <c r="L157" s="214"/>
      <c r="M157" s="214"/>
      <c r="N157" s="214"/>
      <c r="O157" s="214"/>
      <c r="P157" s="214"/>
      <c r="Q157" s="214"/>
    </row>
    <row r="158" spans="3:17" x14ac:dyDescent="0.2">
      <c r="K158" s="214"/>
      <c r="L158" s="214"/>
      <c r="M158" s="214"/>
      <c r="N158" s="214"/>
      <c r="O158" s="214"/>
      <c r="P158" s="214"/>
      <c r="Q158" s="214"/>
    </row>
    <row r="159" spans="3:17" x14ac:dyDescent="0.2">
      <c r="C159" s="911" t="s">
        <v>495</v>
      </c>
      <c r="K159" s="214"/>
      <c r="L159" s="214"/>
      <c r="M159" s="214"/>
      <c r="N159" s="214"/>
      <c r="O159" s="214"/>
      <c r="P159" s="214"/>
      <c r="Q159" s="214"/>
    </row>
    <row r="160" spans="3:17" x14ac:dyDescent="0.2">
      <c r="C160" s="911"/>
      <c r="D160" s="931" t="s">
        <v>498</v>
      </c>
      <c r="K160" s="214"/>
      <c r="L160" s="214"/>
      <c r="M160" s="214"/>
      <c r="N160" s="214"/>
      <c r="O160" s="214"/>
      <c r="P160" s="214"/>
      <c r="Q160" s="214"/>
    </row>
    <row r="161" spans="1:17" x14ac:dyDescent="0.2">
      <c r="D161" s="206" t="s">
        <v>594</v>
      </c>
      <c r="F161" s="954">
        <f ca="1">SUMIF('12-MO Billed Summary RETAIL'!E6:E16,'Sch M-1.3 Pg. 2-8'!A162,'12-MO Billed Summary RETAIL'!F6:F16)+SUMIF('12-MO Billed Summary RETAIL'!E6:E16,'Sch M-1.3 Pg. 2-8'!A163,'12-MO Billed Summary RETAIL'!F6:F16)</f>
        <v>49</v>
      </c>
      <c r="I161" s="918">
        <f>VLOOKUP("AAGS",'Retail Rates'!$A$7:$L$34,6,FALSE)</f>
        <v>400</v>
      </c>
      <c r="J161" s="951">
        <f ca="1">+F161*I161</f>
        <v>19600</v>
      </c>
      <c r="K161" s="214"/>
      <c r="L161" s="214"/>
      <c r="M161" s="214"/>
      <c r="N161" s="214"/>
      <c r="O161" s="214"/>
      <c r="P161" s="214"/>
      <c r="Q161" s="214"/>
    </row>
    <row r="162" spans="1:17" x14ac:dyDescent="0.2">
      <c r="A162" s="215" t="s">
        <v>110</v>
      </c>
      <c r="K162" s="214"/>
      <c r="L162" s="214"/>
      <c r="M162" s="214"/>
      <c r="N162" s="214"/>
      <c r="O162" s="214"/>
      <c r="P162" s="214"/>
      <c r="Q162" s="214"/>
    </row>
    <row r="163" spans="1:17" x14ac:dyDescent="0.2">
      <c r="A163" s="914" t="s">
        <v>119</v>
      </c>
      <c r="D163" s="931" t="s">
        <v>2</v>
      </c>
      <c r="G163" s="954">
        <f ca="1">SUMIF('12-MO Billed Summary RETAIL'!E6:E16,'Sch M-1.3 Pg. 2-8'!A162,'12-MO Billed Summary RETAIL'!I6:I16)/10+SUMIF('12-MO Billed Summary RETAIL'!E6:E16,'Sch M-1.3 Pg. 2-8'!A163,'12-MO Billed Summary RETAIL'!I6:I16)/10</f>
        <v>134442.54992384731</v>
      </c>
      <c r="I163" s="76">
        <f>VLOOKUP("AAGS",'Retail Rates'!$A$7:$L$34,8,FALSE)*10</f>
        <v>0.70089999999999997</v>
      </c>
      <c r="J163" s="951">
        <f ca="1">+G163*I163</f>
        <v>94230.78324162458</v>
      </c>
      <c r="K163" s="214"/>
      <c r="L163" s="214"/>
      <c r="M163" s="214"/>
      <c r="N163" s="214"/>
      <c r="O163" s="214"/>
      <c r="P163" s="214"/>
      <c r="Q163" s="214"/>
    </row>
    <row r="164" spans="1:17" x14ac:dyDescent="0.2">
      <c r="K164" s="214"/>
      <c r="L164" s="214"/>
      <c r="M164" s="214"/>
      <c r="N164" s="214"/>
      <c r="O164" s="214"/>
      <c r="P164" s="214"/>
      <c r="Q164" s="214"/>
    </row>
    <row r="165" spans="1:17" x14ac:dyDescent="0.2">
      <c r="C165" s="941"/>
      <c r="D165" s="931" t="s">
        <v>426</v>
      </c>
      <c r="E165" s="957"/>
      <c r="F165" s="985"/>
      <c r="G165" s="985"/>
      <c r="J165" s="946">
        <f ca="1">SUMIF('12-MO Billed Summary RETAIL'!$E$5:$E$20,$A162,'12-MO Billed Summary RETAIL'!$AG$5:$AG$20)+SUMIF('12-MO Billed Summary RETAIL'!$E$5:$E$20,$A163,'12-MO Billed Summary RETAIL'!$AG$5:$AG$20)+SBR!BG29+SBR!BG30+SBR!BG31</f>
        <v>356.57</v>
      </c>
      <c r="K165" s="971"/>
      <c r="L165" s="971"/>
      <c r="M165" s="971"/>
      <c r="O165" s="214"/>
      <c r="P165" s="214"/>
      <c r="Q165" s="214"/>
    </row>
    <row r="166" spans="1:17" x14ac:dyDescent="0.2">
      <c r="C166" s="941"/>
      <c r="D166" s="957"/>
      <c r="E166" s="957"/>
      <c r="F166" s="985"/>
      <c r="G166" s="985"/>
      <c r="K166" s="214"/>
      <c r="L166" s="214"/>
      <c r="M166" s="214"/>
      <c r="N166" s="896"/>
      <c r="O166" s="214"/>
      <c r="P166" s="214"/>
      <c r="Q166" s="214"/>
    </row>
    <row r="167" spans="1:17" x14ac:dyDescent="0.2">
      <c r="K167" s="214"/>
      <c r="L167" s="214"/>
      <c r="M167" s="214"/>
      <c r="N167" s="214"/>
      <c r="O167" s="214"/>
      <c r="P167" s="214"/>
      <c r="Q167" s="214"/>
    </row>
    <row r="168" spans="1:17" x14ac:dyDescent="0.2">
      <c r="D168" s="944" t="s">
        <v>595</v>
      </c>
      <c r="E168" s="944"/>
      <c r="F168" s="934"/>
      <c r="G168" s="983"/>
      <c r="J168" s="948">
        <f ca="1">SUM(J161:J167)</f>
        <v>114187.35324162459</v>
      </c>
      <c r="K168" s="214"/>
      <c r="L168" s="214"/>
      <c r="M168" s="214"/>
      <c r="N168" s="896"/>
      <c r="O168" s="214"/>
      <c r="P168" s="214"/>
      <c r="Q168" s="214"/>
    </row>
    <row r="169" spans="1:17" x14ac:dyDescent="0.2">
      <c r="C169" s="911"/>
      <c r="J169" s="948"/>
      <c r="K169" s="214"/>
      <c r="L169" s="214"/>
      <c r="M169" s="214"/>
      <c r="N169" s="214"/>
      <c r="O169" s="214"/>
      <c r="P169" s="214"/>
      <c r="Q169" s="214"/>
    </row>
    <row r="170" spans="1:17" x14ac:dyDescent="0.2">
      <c r="C170" s="906"/>
      <c r="D170" s="906" t="s">
        <v>598</v>
      </c>
      <c r="I170" s="949">
        <f ca="1">+'Revenue Summary B'!N23</f>
        <v>1</v>
      </c>
      <c r="K170" s="214"/>
      <c r="L170" s="214"/>
      <c r="M170" s="214"/>
      <c r="N170" s="214"/>
      <c r="O170" s="214"/>
      <c r="P170" s="214"/>
      <c r="Q170" s="214"/>
    </row>
    <row r="171" spans="1:17" x14ac:dyDescent="0.2">
      <c r="C171" s="206"/>
      <c r="K171" s="214"/>
      <c r="L171" s="214"/>
      <c r="M171" s="214"/>
      <c r="N171" s="214"/>
      <c r="O171" s="214"/>
      <c r="P171" s="214"/>
      <c r="Q171" s="214"/>
    </row>
    <row r="172" spans="1:17" x14ac:dyDescent="0.2">
      <c r="D172" s="944" t="s">
        <v>1196</v>
      </c>
      <c r="J172" s="948">
        <f ca="1">J168/I170</f>
        <v>114187.35324162459</v>
      </c>
      <c r="K172" s="214"/>
      <c r="L172" s="214"/>
      <c r="M172" s="214"/>
      <c r="N172" s="214"/>
      <c r="O172" s="214"/>
      <c r="P172" s="214"/>
      <c r="Q172" s="214"/>
    </row>
    <row r="173" spans="1:17" x14ac:dyDescent="0.2">
      <c r="C173" s="911"/>
      <c r="J173" s="953"/>
      <c r="K173" s="214"/>
      <c r="L173" s="214"/>
      <c r="M173" s="214"/>
      <c r="N173" s="214"/>
      <c r="O173" s="214"/>
      <c r="P173" s="214"/>
      <c r="Q173" s="214"/>
    </row>
    <row r="174" spans="1:17" x14ac:dyDescent="0.2">
      <c r="C174" s="911" t="s">
        <v>1199</v>
      </c>
      <c r="J174" s="953"/>
      <c r="K174" s="214"/>
      <c r="L174" s="214"/>
      <c r="M174" s="214"/>
      <c r="N174" s="214"/>
      <c r="O174" s="214"/>
      <c r="P174" s="214"/>
      <c r="Q174" s="214"/>
    </row>
    <row r="175" spans="1:17" x14ac:dyDescent="0.2">
      <c r="C175" s="911"/>
      <c r="D175" s="206" t="s">
        <v>594</v>
      </c>
      <c r="F175" s="933">
        <f>F176</f>
        <v>24</v>
      </c>
      <c r="I175" s="952">
        <f>I161</f>
        <v>400</v>
      </c>
      <c r="J175" s="953">
        <f>F175*I175</f>
        <v>9600</v>
      </c>
      <c r="K175" s="214"/>
      <c r="L175" s="214"/>
      <c r="M175" s="214"/>
      <c r="N175" s="896"/>
      <c r="O175" s="214"/>
      <c r="P175" s="214"/>
      <c r="Q175" s="214"/>
    </row>
    <row r="176" spans="1:17" x14ac:dyDescent="0.2">
      <c r="C176" s="911"/>
      <c r="D176" s="931" t="s">
        <v>770</v>
      </c>
      <c r="F176" s="933">
        <f>'Summary SBR-Transport'!B22</f>
        <v>24</v>
      </c>
      <c r="I176" s="952">
        <f>'Retail Rates'!J12</f>
        <v>550</v>
      </c>
      <c r="J176" s="953">
        <f>F176*I176</f>
        <v>13200</v>
      </c>
      <c r="K176" s="214"/>
      <c r="L176" s="214"/>
      <c r="M176" s="214"/>
      <c r="N176" s="214"/>
      <c r="O176" s="214"/>
      <c r="P176" s="214"/>
      <c r="Q176" s="214"/>
    </row>
    <row r="178" spans="3:17" x14ac:dyDescent="0.2">
      <c r="C178" s="911"/>
      <c r="J178" s="953"/>
      <c r="K178" s="214"/>
      <c r="L178" s="214"/>
      <c r="M178" s="214"/>
      <c r="N178" s="214"/>
      <c r="O178" s="214"/>
      <c r="P178" s="214"/>
      <c r="Q178" s="214"/>
    </row>
    <row r="179" spans="3:17" x14ac:dyDescent="0.2">
      <c r="C179" s="911"/>
      <c r="D179" s="931" t="s">
        <v>433</v>
      </c>
      <c r="G179" s="954">
        <f>'Summary SBR-Transport'!C22</f>
        <v>264747.73279322498</v>
      </c>
      <c r="I179" s="966">
        <f>I163</f>
        <v>0.70089999999999997</v>
      </c>
      <c r="J179" s="953">
        <f>G179*I179</f>
        <v>185561.68591477137</v>
      </c>
      <c r="K179" s="214"/>
      <c r="L179" s="214"/>
      <c r="M179" s="214"/>
      <c r="N179" s="896"/>
      <c r="O179" s="214"/>
      <c r="P179" s="214"/>
      <c r="Q179" s="214"/>
    </row>
    <row r="180" spans="3:17" x14ac:dyDescent="0.2">
      <c r="C180" s="911"/>
      <c r="J180" s="953"/>
      <c r="K180" s="214"/>
      <c r="L180" s="214"/>
      <c r="M180" s="214"/>
      <c r="N180" s="214"/>
      <c r="O180" s="214"/>
      <c r="P180" s="214"/>
      <c r="Q180" s="214"/>
    </row>
    <row r="181" spans="3:17" x14ac:dyDescent="0.2">
      <c r="C181" s="911"/>
      <c r="D181" s="931" t="s">
        <v>426</v>
      </c>
      <c r="J181" s="953">
        <f>SBR!BG63+SBR!BG64+SBR!BG32+SBR!BG33</f>
        <v>537.27369606080788</v>
      </c>
      <c r="K181" s="214"/>
      <c r="L181" s="214"/>
      <c r="M181" s="214"/>
      <c r="N181" s="214"/>
      <c r="O181" s="214"/>
      <c r="P181" s="214"/>
      <c r="Q181" s="214"/>
    </row>
    <row r="182" spans="3:17" x14ac:dyDescent="0.2">
      <c r="C182" s="911"/>
      <c r="D182" s="215"/>
      <c r="E182" s="215"/>
      <c r="F182" s="215"/>
      <c r="G182" s="215"/>
      <c r="H182" s="215"/>
      <c r="I182" s="215"/>
      <c r="J182" s="215"/>
      <c r="K182" s="214"/>
      <c r="L182" s="214"/>
      <c r="M182" s="214"/>
      <c r="N182" s="214"/>
      <c r="O182" s="214"/>
      <c r="P182" s="214"/>
      <c r="Q182" s="214"/>
    </row>
    <row r="183" spans="3:17" x14ac:dyDescent="0.2">
      <c r="C183" s="215"/>
      <c r="D183" s="911" t="s">
        <v>595</v>
      </c>
      <c r="J183" s="948">
        <f>SUM(J175:J181)</f>
        <v>208898.95961083219</v>
      </c>
      <c r="K183" s="214"/>
      <c r="L183" s="214"/>
      <c r="M183" s="214"/>
      <c r="N183" s="214"/>
      <c r="O183" s="214"/>
      <c r="P183" s="214"/>
      <c r="Q183" s="214"/>
    </row>
    <row r="184" spans="3:17" x14ac:dyDescent="0.2">
      <c r="C184" s="911"/>
      <c r="J184" s="953"/>
      <c r="K184" s="214"/>
      <c r="L184" s="214"/>
      <c r="M184" s="214"/>
      <c r="N184" s="214"/>
      <c r="O184" s="214"/>
      <c r="P184" s="214"/>
      <c r="Q184" s="214"/>
    </row>
    <row r="185" spans="3:17" x14ac:dyDescent="0.2">
      <c r="C185" s="911"/>
      <c r="D185" s="945" t="s">
        <v>598</v>
      </c>
      <c r="I185" s="1126">
        <f ca="1">I170</f>
        <v>1</v>
      </c>
      <c r="J185" s="953"/>
      <c r="K185" s="214"/>
      <c r="L185" s="214"/>
      <c r="M185" s="214"/>
      <c r="N185" s="214"/>
      <c r="O185" s="214"/>
      <c r="P185" s="214"/>
      <c r="Q185" s="214"/>
    </row>
    <row r="186" spans="3:17" x14ac:dyDescent="0.2">
      <c r="C186" s="911"/>
      <c r="D186" s="945"/>
      <c r="J186" s="953"/>
      <c r="K186" s="214"/>
      <c r="L186" s="214"/>
      <c r="M186" s="214"/>
      <c r="N186" s="214"/>
      <c r="O186" s="214"/>
      <c r="P186" s="214"/>
      <c r="Q186" s="214"/>
    </row>
    <row r="187" spans="3:17" x14ac:dyDescent="0.2">
      <c r="C187" s="215"/>
      <c r="D187" s="944" t="s">
        <v>1196</v>
      </c>
      <c r="J187" s="948">
        <f ca="1">I185*J183</f>
        <v>208898.95961083219</v>
      </c>
      <c r="K187" s="214"/>
      <c r="L187" s="214"/>
      <c r="M187" s="214"/>
      <c r="N187" s="214"/>
      <c r="O187" s="214"/>
      <c r="P187" s="214"/>
      <c r="Q187" s="214"/>
    </row>
    <row r="188" spans="3:17" x14ac:dyDescent="0.2">
      <c r="C188" s="215"/>
      <c r="J188" s="953"/>
      <c r="K188" s="214"/>
      <c r="L188" s="214"/>
      <c r="M188" s="214"/>
      <c r="N188" s="214"/>
      <c r="O188" s="214"/>
      <c r="P188" s="214"/>
      <c r="Q188" s="214"/>
    </row>
    <row r="189" spans="3:17" x14ac:dyDescent="0.2">
      <c r="D189" s="931" t="s">
        <v>643</v>
      </c>
      <c r="F189" s="983"/>
      <c r="G189" s="983"/>
      <c r="I189" s="216"/>
      <c r="J189" s="946">
        <v>205066.37582608534</v>
      </c>
      <c r="K189" s="217"/>
      <c r="L189" s="896"/>
      <c r="M189" s="214"/>
      <c r="N189" s="214"/>
      <c r="O189" s="214"/>
      <c r="P189" s="214"/>
      <c r="Q189" s="214"/>
    </row>
    <row r="190" spans="3:17" x14ac:dyDescent="0.2">
      <c r="D190" s="947" t="s">
        <v>829</v>
      </c>
      <c r="G190" s="983"/>
      <c r="I190" s="216"/>
      <c r="J190" s="946">
        <v>635662.90956146806</v>
      </c>
      <c r="K190" s="217"/>
      <c r="L190" s="896"/>
      <c r="M190" s="214"/>
      <c r="N190" s="214"/>
      <c r="O190" s="214"/>
      <c r="P190" s="214"/>
      <c r="Q190" s="214"/>
    </row>
    <row r="191" spans="3:17" x14ac:dyDescent="0.2">
      <c r="D191" s="931" t="s">
        <v>830</v>
      </c>
      <c r="E191" s="215"/>
      <c r="F191" s="301"/>
      <c r="G191" s="301"/>
      <c r="H191" s="301"/>
      <c r="I191" s="215"/>
      <c r="J191" s="946">
        <v>4877.5832800785802</v>
      </c>
      <c r="K191" s="217"/>
      <c r="L191" s="896"/>
      <c r="M191" s="214"/>
      <c r="N191" s="214"/>
      <c r="O191" s="214"/>
      <c r="P191" s="214"/>
      <c r="Q191" s="214"/>
    </row>
    <row r="192" spans="3:17" x14ac:dyDescent="0.2">
      <c r="C192" s="206"/>
      <c r="J192" s="953"/>
      <c r="K192" s="214"/>
      <c r="L192" s="214"/>
      <c r="M192" s="214"/>
      <c r="N192" s="214"/>
      <c r="O192" s="214"/>
      <c r="P192" s="214"/>
      <c r="Q192" s="214"/>
    </row>
    <row r="193" spans="3:17" ht="13.5" thickBot="1" x14ac:dyDescent="0.25">
      <c r="C193" s="215"/>
      <c r="D193" s="944" t="s">
        <v>260</v>
      </c>
      <c r="G193" s="983"/>
      <c r="J193" s="960">
        <f ca="1">J172+J187+SUM(J189:J191)</f>
        <v>1168693.1815200888</v>
      </c>
      <c r="K193" s="1045"/>
      <c r="L193" s="896"/>
      <c r="M193" s="214"/>
      <c r="N193" s="214"/>
      <c r="O193" s="214"/>
      <c r="P193" s="214"/>
      <c r="Q193" s="214"/>
    </row>
    <row r="194" spans="3:17" ht="13.5" thickTop="1" x14ac:dyDescent="0.2">
      <c r="C194" s="206"/>
      <c r="J194" s="953"/>
      <c r="K194" s="214"/>
      <c r="L194" s="214"/>
      <c r="M194" s="214"/>
      <c r="N194" s="214"/>
      <c r="O194" s="214"/>
      <c r="P194" s="214"/>
      <c r="Q194" s="214"/>
    </row>
    <row r="195" spans="3:17" x14ac:dyDescent="0.2">
      <c r="C195" s="889" t="s">
        <v>823</v>
      </c>
      <c r="D195" s="300"/>
      <c r="E195" s="300"/>
      <c r="F195" s="980"/>
      <c r="G195" s="980"/>
      <c r="H195" s="980"/>
      <c r="I195" s="300"/>
      <c r="J195" s="890" t="s">
        <v>859</v>
      </c>
      <c r="K195" s="214"/>
      <c r="L195" s="214"/>
      <c r="M195" s="214"/>
      <c r="N195" s="214"/>
      <c r="O195" s="214"/>
      <c r="P195" s="214"/>
      <c r="Q195" s="214"/>
    </row>
    <row r="196" spans="3:17" x14ac:dyDescent="0.2">
      <c r="C196" s="891" t="s">
        <v>824</v>
      </c>
      <c r="D196" s="300"/>
      <c r="E196" s="300"/>
      <c r="F196" s="980"/>
      <c r="G196" s="980"/>
      <c r="H196" s="980"/>
      <c r="I196" s="300"/>
      <c r="J196" s="890" t="s">
        <v>835</v>
      </c>
      <c r="K196" s="214"/>
      <c r="L196" s="214"/>
      <c r="M196" s="214"/>
      <c r="N196" s="214"/>
      <c r="O196" s="214"/>
      <c r="P196" s="214"/>
      <c r="Q196" s="214"/>
    </row>
    <row r="197" spans="3:17" x14ac:dyDescent="0.2">
      <c r="C197" s="891" t="s">
        <v>825</v>
      </c>
      <c r="D197" s="300"/>
      <c r="E197" s="300"/>
      <c r="F197" s="980"/>
      <c r="G197" s="980"/>
      <c r="H197" s="980"/>
      <c r="I197" s="300"/>
      <c r="J197" s="932" t="s">
        <v>1058</v>
      </c>
      <c r="K197" s="214"/>
      <c r="L197" s="214"/>
      <c r="M197" s="214"/>
      <c r="N197" s="214"/>
      <c r="O197" s="214"/>
      <c r="P197" s="214"/>
      <c r="Q197" s="214"/>
    </row>
    <row r="198" spans="3:17" x14ac:dyDescent="0.2">
      <c r="C198" s="892" t="s">
        <v>826</v>
      </c>
      <c r="D198" s="893"/>
      <c r="E198" s="894"/>
      <c r="F198" s="989"/>
      <c r="G198" s="981"/>
      <c r="H198" s="981"/>
      <c r="I198" s="895"/>
      <c r="J198" s="895"/>
      <c r="K198" s="214"/>
      <c r="L198" s="214"/>
      <c r="M198" s="214"/>
      <c r="N198" s="214"/>
      <c r="O198" s="214"/>
      <c r="P198" s="214"/>
      <c r="Q198" s="214"/>
    </row>
    <row r="199" spans="3:17" x14ac:dyDescent="0.2">
      <c r="K199" s="214"/>
      <c r="L199" s="214"/>
      <c r="M199" s="214"/>
      <c r="N199" s="214"/>
      <c r="O199" s="214"/>
      <c r="P199" s="214"/>
      <c r="Q199" s="214"/>
    </row>
    <row r="200" spans="3:17" x14ac:dyDescent="0.2">
      <c r="I200" s="933"/>
      <c r="J200" s="934" t="s">
        <v>390</v>
      </c>
      <c r="K200" s="214"/>
      <c r="L200" s="214"/>
      <c r="M200" s="214"/>
      <c r="N200" s="214"/>
      <c r="O200" s="214"/>
      <c r="P200" s="214"/>
      <c r="Q200" s="214"/>
    </row>
    <row r="201" spans="3:17" x14ac:dyDescent="0.2">
      <c r="I201" s="933"/>
      <c r="J201" s="934" t="s">
        <v>163</v>
      </c>
      <c r="K201" s="214"/>
      <c r="L201" s="214"/>
      <c r="M201" s="214"/>
      <c r="N201" s="214"/>
      <c r="O201" s="214"/>
      <c r="P201" s="214"/>
      <c r="Q201" s="214"/>
    </row>
    <row r="202" spans="3:17" x14ac:dyDescent="0.2">
      <c r="F202" s="935"/>
      <c r="G202" s="936"/>
      <c r="H202" s="936"/>
      <c r="I202" s="934" t="s">
        <v>427</v>
      </c>
      <c r="J202" s="937" t="s">
        <v>428</v>
      </c>
      <c r="K202" s="214"/>
      <c r="L202" s="214"/>
      <c r="M202" s="214"/>
      <c r="N202" s="214"/>
      <c r="O202" s="214"/>
      <c r="P202" s="214"/>
      <c r="Q202" s="214"/>
    </row>
    <row r="203" spans="3:17" ht="13.5" thickBot="1" x14ac:dyDescent="0.25">
      <c r="C203" s="938" t="s">
        <v>167</v>
      </c>
      <c r="D203" s="938"/>
      <c r="E203" s="938"/>
      <c r="F203" s="939" t="s">
        <v>268</v>
      </c>
      <c r="G203" s="940" t="s">
        <v>162</v>
      </c>
      <c r="H203" s="940"/>
      <c r="I203" s="939" t="s">
        <v>429</v>
      </c>
      <c r="J203" s="939" t="s">
        <v>429</v>
      </c>
      <c r="K203" s="214"/>
      <c r="L203" s="214"/>
      <c r="M203" s="214"/>
      <c r="N203" s="214"/>
      <c r="O203" s="214"/>
      <c r="P203" s="214"/>
      <c r="Q203" s="214"/>
    </row>
    <row r="204" spans="3:17" x14ac:dyDescent="0.2">
      <c r="K204" s="214"/>
      <c r="L204" s="214"/>
      <c r="M204" s="214"/>
      <c r="N204" s="214"/>
      <c r="O204" s="214"/>
      <c r="P204" s="214"/>
      <c r="Q204" s="214"/>
    </row>
    <row r="205" spans="3:17" x14ac:dyDescent="0.2">
      <c r="C205" s="943" t="s">
        <v>441</v>
      </c>
      <c r="K205" s="214"/>
      <c r="L205" s="214"/>
      <c r="M205" s="214"/>
      <c r="N205" s="214"/>
      <c r="O205" s="214"/>
      <c r="P205" s="214"/>
      <c r="Q205" s="214"/>
    </row>
    <row r="206" spans="3:17" x14ac:dyDescent="0.2">
      <c r="K206" s="214"/>
      <c r="L206" s="214"/>
      <c r="M206" s="214"/>
      <c r="N206" s="214"/>
      <c r="O206" s="214"/>
      <c r="P206" s="214"/>
      <c r="Q206" s="214"/>
    </row>
    <row r="207" spans="3:17" x14ac:dyDescent="0.2">
      <c r="C207" s="944" t="s">
        <v>866</v>
      </c>
      <c r="K207" s="214"/>
      <c r="L207" s="214"/>
      <c r="M207" s="214"/>
      <c r="N207" s="214"/>
      <c r="O207" s="214"/>
      <c r="P207" s="214"/>
      <c r="Q207" s="214"/>
    </row>
    <row r="208" spans="3:17" x14ac:dyDescent="0.2">
      <c r="C208" s="957"/>
      <c r="D208" s="931" t="s">
        <v>438</v>
      </c>
      <c r="E208" s="957"/>
      <c r="F208" s="990">
        <f>'Summary SBR-Transport'!B29</f>
        <v>882</v>
      </c>
      <c r="G208" s="985"/>
      <c r="I208" s="918">
        <f>'Retail Rates'!J23</f>
        <v>550</v>
      </c>
      <c r="J208" s="951">
        <f>+F208*I208</f>
        <v>485100</v>
      </c>
      <c r="K208" s="214"/>
      <c r="L208" s="214"/>
      <c r="M208" s="214"/>
      <c r="N208" s="214"/>
      <c r="O208" s="214"/>
      <c r="P208" s="214"/>
      <c r="Q208" s="214"/>
    </row>
    <row r="209" spans="3:17" x14ac:dyDescent="0.2">
      <c r="K209" s="214"/>
      <c r="L209" s="214"/>
      <c r="M209" s="214"/>
      <c r="N209" s="214"/>
      <c r="O209" s="214"/>
      <c r="P209" s="214"/>
      <c r="Q209" s="214"/>
    </row>
    <row r="210" spans="3:17" x14ac:dyDescent="0.2">
      <c r="D210" s="931" t="s">
        <v>433</v>
      </c>
      <c r="G210" s="954">
        <f>'Summary SBR-Transport'!C29+SBR!D22+SBR!D23</f>
        <v>12834206.514682565</v>
      </c>
      <c r="I210" s="76">
        <f>'Retail Rates'!H47</f>
        <v>0.43020000000000003</v>
      </c>
      <c r="J210" s="951">
        <f>+G210*I210</f>
        <v>5521275.6426164396</v>
      </c>
      <c r="K210" s="214"/>
      <c r="L210" s="897"/>
      <c r="M210" s="897"/>
      <c r="N210" s="896"/>
      <c r="O210" s="214"/>
      <c r="P210" s="214"/>
      <c r="Q210" s="214"/>
    </row>
    <row r="211" spans="3:17" x14ac:dyDescent="0.2">
      <c r="K211" s="214"/>
      <c r="M211" s="214"/>
      <c r="N211" s="214"/>
      <c r="O211" s="214"/>
      <c r="P211" s="214"/>
      <c r="Q211" s="214"/>
    </row>
    <row r="212" spans="3:17" x14ac:dyDescent="0.2">
      <c r="D212" s="931" t="s">
        <v>426</v>
      </c>
      <c r="E212" s="959"/>
      <c r="F212" s="987"/>
      <c r="G212" s="987"/>
      <c r="I212" s="216"/>
      <c r="J212" s="946">
        <f>SUM(SBR!BG67:BG70,BG75:BG76)</f>
        <v>-738.2370118388078</v>
      </c>
      <c r="K212" s="214"/>
      <c r="L212" s="214"/>
      <c r="M212" s="214"/>
      <c r="N212" s="214"/>
      <c r="O212" s="214"/>
      <c r="P212" s="214"/>
      <c r="Q212" s="214"/>
    </row>
    <row r="213" spans="3:17" x14ac:dyDescent="0.2">
      <c r="D213" s="215"/>
      <c r="E213" s="215"/>
      <c r="F213" s="215"/>
      <c r="G213" s="215"/>
      <c r="H213" s="215"/>
      <c r="I213" s="215"/>
      <c r="J213" s="215"/>
      <c r="K213" s="214"/>
      <c r="L213" s="214"/>
      <c r="M213" s="214"/>
      <c r="N213" s="214"/>
      <c r="O213" s="214"/>
      <c r="P213" s="214"/>
      <c r="Q213" s="214"/>
    </row>
    <row r="214" spans="3:17" x14ac:dyDescent="0.2">
      <c r="D214" s="944" t="s">
        <v>595</v>
      </c>
      <c r="J214" s="948">
        <f>SUM(J208:J213)</f>
        <v>6005637.4056046009</v>
      </c>
      <c r="K214" s="214"/>
      <c r="L214" s="214"/>
      <c r="M214" s="214"/>
      <c r="N214" s="214"/>
      <c r="O214" s="214"/>
      <c r="P214" s="214"/>
      <c r="Q214" s="214"/>
    </row>
    <row r="215" spans="3:17" x14ac:dyDescent="0.2">
      <c r="C215" s="911"/>
      <c r="J215" s="948"/>
      <c r="K215" s="214"/>
      <c r="L215" s="214"/>
      <c r="M215" s="214"/>
      <c r="N215" s="214"/>
      <c r="O215" s="214"/>
      <c r="P215" s="214"/>
      <c r="Q215" s="214"/>
    </row>
    <row r="216" spans="3:17" x14ac:dyDescent="0.2">
      <c r="C216" s="906"/>
      <c r="D216" s="906" t="s">
        <v>598</v>
      </c>
      <c r="I216" s="949">
        <f>'Revenue Summary B'!N30</f>
        <v>1.0002039440962371</v>
      </c>
      <c r="K216" s="214"/>
      <c r="L216" s="214"/>
      <c r="M216" s="214"/>
      <c r="N216" s="214"/>
      <c r="O216" s="214"/>
      <c r="P216" s="214"/>
      <c r="Q216" s="214"/>
    </row>
    <row r="217" spans="3:17" x14ac:dyDescent="0.2">
      <c r="C217" s="206"/>
      <c r="K217" s="214"/>
      <c r="L217" s="214"/>
      <c r="M217" s="214"/>
      <c r="N217" s="214"/>
      <c r="O217" s="214"/>
      <c r="P217" s="214"/>
      <c r="Q217" s="214"/>
    </row>
    <row r="218" spans="3:17" x14ac:dyDescent="0.2">
      <c r="D218" s="944" t="s">
        <v>1196</v>
      </c>
      <c r="J218" s="948">
        <f>J214/I216</f>
        <v>6004412.8410542971</v>
      </c>
      <c r="K218" s="896"/>
      <c r="L218" s="214"/>
      <c r="M218" s="214"/>
      <c r="N218" s="214"/>
      <c r="O218" s="214"/>
      <c r="P218" s="214"/>
      <c r="Q218" s="214"/>
    </row>
    <row r="219" spans="3:17" x14ac:dyDescent="0.2">
      <c r="J219" s="948"/>
      <c r="K219" s="214"/>
      <c r="L219" s="214"/>
      <c r="M219" s="214"/>
      <c r="N219" s="214"/>
      <c r="O219" s="214"/>
      <c r="P219" s="214"/>
      <c r="Q219" s="214"/>
    </row>
    <row r="220" spans="3:17" x14ac:dyDescent="0.2">
      <c r="C220" s="911"/>
      <c r="D220" s="947" t="s">
        <v>829</v>
      </c>
      <c r="J220" s="951">
        <v>20969.79</v>
      </c>
      <c r="K220" s="217"/>
      <c r="L220" s="217"/>
      <c r="M220" s="214"/>
      <c r="N220" s="214"/>
      <c r="O220" s="214"/>
      <c r="P220" s="214"/>
      <c r="Q220" s="214"/>
    </row>
    <row r="221" spans="3:17" x14ac:dyDescent="0.2">
      <c r="D221" s="931" t="s">
        <v>830</v>
      </c>
      <c r="J221" s="951">
        <v>854856</v>
      </c>
      <c r="K221" s="217"/>
      <c r="L221" s="217"/>
      <c r="M221" s="214"/>
      <c r="N221" s="214"/>
      <c r="O221" s="214"/>
      <c r="P221" s="214"/>
      <c r="Q221" s="214"/>
    </row>
    <row r="222" spans="3:17" x14ac:dyDescent="0.2">
      <c r="J222" s="951"/>
      <c r="K222" s="214"/>
      <c r="L222" s="214"/>
      <c r="M222" s="214"/>
      <c r="N222" s="214"/>
      <c r="O222" s="214"/>
      <c r="P222" s="214"/>
      <c r="Q222" s="214"/>
    </row>
    <row r="223" spans="3:17" ht="13.5" thickBot="1" x14ac:dyDescent="0.25">
      <c r="D223" s="944" t="s">
        <v>261</v>
      </c>
      <c r="G223" s="983"/>
      <c r="J223" s="960">
        <f>SUM(J218:J222)</f>
        <v>6880238.6310542971</v>
      </c>
      <c r="K223" s="1045"/>
      <c r="L223" s="896"/>
      <c r="M223" s="214"/>
      <c r="N223" s="214"/>
      <c r="O223" s="214"/>
      <c r="P223" s="214"/>
      <c r="Q223" s="214"/>
    </row>
    <row r="224" spans="3:17" ht="13.5" thickTop="1" x14ac:dyDescent="0.2">
      <c r="C224" s="206"/>
      <c r="J224" s="951"/>
      <c r="K224" s="214"/>
      <c r="L224" s="214"/>
      <c r="M224" s="214"/>
      <c r="N224" s="214"/>
      <c r="O224" s="214"/>
      <c r="P224" s="214"/>
      <c r="Q224" s="214"/>
    </row>
    <row r="225" spans="3:17" x14ac:dyDescent="0.2">
      <c r="C225" s="943" t="s">
        <v>443</v>
      </c>
      <c r="K225" s="214"/>
      <c r="L225" s="214"/>
      <c r="M225" s="214"/>
      <c r="N225" s="214"/>
      <c r="O225" s="214"/>
      <c r="P225" s="214"/>
      <c r="Q225" s="214"/>
    </row>
    <row r="226" spans="3:17" x14ac:dyDescent="0.2">
      <c r="K226" s="214"/>
      <c r="L226" s="214"/>
      <c r="M226" s="214"/>
      <c r="N226" s="214"/>
      <c r="O226" s="214"/>
      <c r="P226" s="214"/>
      <c r="Q226" s="214"/>
    </row>
    <row r="227" spans="3:17" x14ac:dyDescent="0.2">
      <c r="C227" s="944" t="s">
        <v>444</v>
      </c>
      <c r="K227" s="214"/>
      <c r="L227" s="214"/>
      <c r="M227" s="214"/>
      <c r="N227" s="214"/>
      <c r="O227" s="214"/>
      <c r="P227" s="214"/>
      <c r="Q227" s="214"/>
    </row>
    <row r="228" spans="3:17" x14ac:dyDescent="0.2">
      <c r="C228" s="957"/>
      <c r="D228" s="931" t="s">
        <v>438</v>
      </c>
      <c r="E228" s="957"/>
      <c r="F228" s="933">
        <f>'Summary SBR-Transport'!B42+'Summary SBR-Transport'!B43</f>
        <v>836</v>
      </c>
      <c r="G228" s="985"/>
      <c r="I228" s="918">
        <f>'Retail Rates'!J25</f>
        <v>75</v>
      </c>
      <c r="J228" s="951">
        <f>+F228*I228</f>
        <v>62700</v>
      </c>
      <c r="K228" s="214"/>
      <c r="L228" s="214"/>
      <c r="M228" s="214"/>
      <c r="N228" s="214"/>
      <c r="O228" s="214"/>
      <c r="P228" s="214"/>
      <c r="Q228" s="214"/>
    </row>
    <row r="229" spans="3:17" ht="15" x14ac:dyDescent="0.25">
      <c r="G229"/>
      <c r="H229"/>
      <c r="K229" s="214"/>
      <c r="L229" s="214"/>
      <c r="M229" s="214"/>
      <c r="N229" s="214"/>
      <c r="O229" s="214"/>
      <c r="P229" s="214"/>
      <c r="Q229" s="214"/>
    </row>
    <row r="230" spans="3:17" ht="15" x14ac:dyDescent="0.25">
      <c r="D230" s="931" t="s">
        <v>426</v>
      </c>
      <c r="G230"/>
      <c r="H230"/>
      <c r="J230" s="951">
        <f>SBR!BG76</f>
        <v>-165.77031724878381</v>
      </c>
      <c r="K230" s="214"/>
      <c r="L230" s="214"/>
      <c r="M230" s="214"/>
      <c r="N230" s="214"/>
      <c r="O230" s="214"/>
      <c r="P230" s="214"/>
      <c r="Q230" s="214"/>
    </row>
    <row r="231" spans="3:17" ht="15" x14ac:dyDescent="0.25">
      <c r="G231"/>
      <c r="H231"/>
      <c r="J231" s="951"/>
      <c r="K231" s="214"/>
      <c r="L231" s="214"/>
      <c r="M231" s="214"/>
      <c r="N231" s="214"/>
      <c r="O231" s="214"/>
      <c r="P231" s="214"/>
      <c r="Q231" s="214"/>
    </row>
    <row r="232" spans="3:17" ht="15" x14ac:dyDescent="0.25">
      <c r="D232" s="944" t="s">
        <v>595</v>
      </c>
      <c r="G232"/>
      <c r="H232"/>
      <c r="J232" s="963">
        <f>SUM(J228:J230)</f>
        <v>62534.229682751218</v>
      </c>
      <c r="K232" s="214"/>
      <c r="L232" s="214"/>
      <c r="M232" s="214"/>
      <c r="N232" s="214"/>
      <c r="O232" s="214"/>
      <c r="P232" s="214"/>
      <c r="Q232" s="214"/>
    </row>
    <row r="233" spans="3:17" ht="15" x14ac:dyDescent="0.25">
      <c r="D233" s="945" t="s">
        <v>598</v>
      </c>
      <c r="G233"/>
      <c r="H233"/>
      <c r="I233" s="1123">
        <f>'Revenue Summary B'!N33</f>
        <v>1</v>
      </c>
      <c r="J233" s="951"/>
      <c r="K233" s="214"/>
      <c r="L233" s="214"/>
      <c r="M233" s="214"/>
      <c r="N233" s="214"/>
      <c r="O233" s="214"/>
      <c r="P233" s="214"/>
      <c r="Q233" s="214"/>
    </row>
    <row r="234" spans="3:17" ht="15" x14ac:dyDescent="0.25">
      <c r="G234"/>
      <c r="H234"/>
      <c r="K234" s="214"/>
      <c r="L234" s="214"/>
      <c r="M234" s="214"/>
      <c r="N234" s="214"/>
      <c r="O234" s="214"/>
      <c r="P234" s="214"/>
      <c r="Q234" s="214"/>
    </row>
    <row r="235" spans="3:17" ht="15" x14ac:dyDescent="0.25">
      <c r="C235" s="944" t="s">
        <v>1209</v>
      </c>
      <c r="G235"/>
      <c r="H235"/>
      <c r="J235" s="948">
        <f>J232*I233</f>
        <v>62534.229682751218</v>
      </c>
      <c r="K235" s="1045"/>
      <c r="L235" s="896"/>
      <c r="M235" s="214"/>
      <c r="N235" s="214"/>
      <c r="O235" s="214"/>
      <c r="P235" s="214"/>
      <c r="Q235" s="214"/>
    </row>
    <row r="236" spans="3:17" x14ac:dyDescent="0.2">
      <c r="C236" s="215"/>
      <c r="D236" s="215"/>
      <c r="E236" s="215"/>
      <c r="F236" s="301"/>
      <c r="G236" s="301"/>
      <c r="H236" s="301"/>
      <c r="I236" s="215"/>
      <c r="J236" s="215"/>
      <c r="K236" s="214"/>
      <c r="L236" s="214"/>
      <c r="M236" s="214"/>
      <c r="N236" s="214"/>
      <c r="O236" s="214"/>
      <c r="P236" s="214"/>
      <c r="Q236" s="214"/>
    </row>
    <row r="237" spans="3:17" x14ac:dyDescent="0.2">
      <c r="K237" s="214"/>
      <c r="L237" s="214"/>
      <c r="M237" s="214"/>
      <c r="N237" s="214"/>
      <c r="O237" s="214"/>
      <c r="P237" s="214"/>
      <c r="Q237" s="214"/>
    </row>
    <row r="238" spans="3:17" x14ac:dyDescent="0.2">
      <c r="C238" s="889" t="s">
        <v>823</v>
      </c>
      <c r="D238" s="300"/>
      <c r="E238" s="300"/>
      <c r="F238" s="980"/>
      <c r="G238" s="980"/>
      <c r="H238" s="980"/>
      <c r="I238" s="300"/>
      <c r="J238" s="890" t="s">
        <v>859</v>
      </c>
      <c r="K238" s="214"/>
      <c r="L238" s="214"/>
      <c r="M238" s="214"/>
      <c r="N238" s="214"/>
      <c r="O238" s="214"/>
      <c r="P238" s="214"/>
      <c r="Q238" s="214"/>
    </row>
    <row r="239" spans="3:17" x14ac:dyDescent="0.2">
      <c r="C239" s="891" t="s">
        <v>824</v>
      </c>
      <c r="D239" s="300"/>
      <c r="E239" s="300"/>
      <c r="F239" s="980"/>
      <c r="G239" s="980"/>
      <c r="H239" s="980"/>
      <c r="I239" s="300"/>
      <c r="J239" s="890" t="s">
        <v>834</v>
      </c>
      <c r="K239" s="214"/>
      <c r="L239" s="214"/>
      <c r="M239" s="214"/>
      <c r="N239" s="214"/>
      <c r="O239" s="214"/>
      <c r="P239" s="214"/>
      <c r="Q239" s="214"/>
    </row>
    <row r="240" spans="3:17" x14ac:dyDescent="0.2">
      <c r="C240" s="891" t="s">
        <v>825</v>
      </c>
      <c r="D240" s="300"/>
      <c r="E240" s="300"/>
      <c r="F240" s="980"/>
      <c r="G240" s="980"/>
      <c r="H240" s="980"/>
      <c r="I240" s="300"/>
      <c r="J240" s="932" t="s">
        <v>1058</v>
      </c>
      <c r="K240" s="214"/>
      <c r="L240" s="214"/>
      <c r="M240" s="214"/>
      <c r="N240" s="214"/>
      <c r="O240" s="214"/>
      <c r="P240" s="214"/>
      <c r="Q240" s="214"/>
    </row>
    <row r="241" spans="1:17" x14ac:dyDescent="0.2">
      <c r="C241" s="892" t="s">
        <v>826</v>
      </c>
      <c r="D241" s="893"/>
      <c r="E241" s="894"/>
      <c r="F241" s="989"/>
      <c r="G241" s="981"/>
      <c r="H241" s="981"/>
      <c r="I241" s="895"/>
      <c r="J241" s="895"/>
      <c r="K241" s="214"/>
      <c r="L241" s="214"/>
      <c r="M241" s="214"/>
      <c r="N241" s="214"/>
      <c r="O241" s="214"/>
      <c r="P241" s="214"/>
      <c r="Q241" s="214"/>
    </row>
    <row r="242" spans="1:17" x14ac:dyDescent="0.2">
      <c r="K242" s="214"/>
      <c r="L242" s="214"/>
      <c r="M242" s="214"/>
      <c r="N242" s="214"/>
      <c r="O242" s="214"/>
      <c r="P242" s="214"/>
      <c r="Q242" s="214"/>
    </row>
    <row r="243" spans="1:17" x14ac:dyDescent="0.2">
      <c r="I243" s="933"/>
      <c r="J243" s="934" t="s">
        <v>390</v>
      </c>
      <c r="K243" s="214"/>
      <c r="L243" s="214"/>
      <c r="M243" s="214"/>
      <c r="N243" s="214"/>
      <c r="O243" s="214"/>
      <c r="P243" s="214"/>
      <c r="Q243" s="214"/>
    </row>
    <row r="244" spans="1:17" x14ac:dyDescent="0.2">
      <c r="I244" s="933"/>
      <c r="J244" s="934" t="s">
        <v>163</v>
      </c>
      <c r="K244" s="214"/>
      <c r="L244" s="214"/>
      <c r="M244" s="214"/>
      <c r="N244" s="214"/>
      <c r="O244" s="214"/>
      <c r="P244" s="214"/>
      <c r="Q244" s="214"/>
    </row>
    <row r="245" spans="1:17" x14ac:dyDescent="0.2">
      <c r="F245" s="935"/>
      <c r="G245" s="936"/>
      <c r="H245" s="936"/>
      <c r="I245" s="934" t="s">
        <v>427</v>
      </c>
      <c r="J245" s="937" t="s">
        <v>428</v>
      </c>
      <c r="K245" s="214"/>
      <c r="L245" s="214"/>
      <c r="M245" s="214"/>
      <c r="N245" s="214"/>
      <c r="O245" s="214"/>
      <c r="P245" s="214"/>
      <c r="Q245" s="214"/>
    </row>
    <row r="246" spans="1:17" ht="13.5" thickBot="1" x14ac:dyDescent="0.25">
      <c r="C246" s="938" t="s">
        <v>167</v>
      </c>
      <c r="D246" s="938"/>
      <c r="E246" s="938"/>
      <c r="F246" s="939" t="s">
        <v>268</v>
      </c>
      <c r="G246" s="940" t="s">
        <v>162</v>
      </c>
      <c r="H246" s="940"/>
      <c r="I246" s="939" t="s">
        <v>429</v>
      </c>
      <c r="J246" s="939" t="s">
        <v>429</v>
      </c>
      <c r="K246" s="214"/>
      <c r="L246" s="214"/>
      <c r="M246" s="214"/>
      <c r="N246" s="214"/>
      <c r="O246" s="214"/>
      <c r="P246" s="214"/>
      <c r="Q246" s="214"/>
    </row>
    <row r="247" spans="1:17" x14ac:dyDescent="0.2">
      <c r="K247" s="214"/>
      <c r="L247" s="214"/>
      <c r="M247" s="214"/>
      <c r="N247" s="214"/>
      <c r="O247" s="214"/>
      <c r="P247" s="214"/>
      <c r="Q247" s="214"/>
    </row>
    <row r="248" spans="1:17" x14ac:dyDescent="0.2">
      <c r="C248" s="943" t="s">
        <v>497</v>
      </c>
      <c r="K248" s="214"/>
      <c r="L248" s="214"/>
      <c r="M248" s="214"/>
      <c r="N248" s="214"/>
      <c r="O248" s="214"/>
      <c r="P248" s="214"/>
      <c r="Q248" s="214"/>
    </row>
    <row r="249" spans="1:17" x14ac:dyDescent="0.2">
      <c r="C249" s="206"/>
      <c r="K249" s="214"/>
      <c r="L249" s="214"/>
      <c r="M249" s="214"/>
      <c r="N249" s="214"/>
      <c r="O249" s="214"/>
      <c r="P249" s="214"/>
      <c r="Q249" s="214"/>
    </row>
    <row r="250" spans="1:17" x14ac:dyDescent="0.2">
      <c r="C250" s="911" t="s">
        <v>604</v>
      </c>
      <c r="K250" s="214"/>
      <c r="L250" s="214"/>
      <c r="M250" s="214"/>
      <c r="N250" s="214"/>
      <c r="O250" s="214"/>
      <c r="P250" s="214"/>
      <c r="Q250" s="214"/>
    </row>
    <row r="251" spans="1:17" x14ac:dyDescent="0.2">
      <c r="C251" s="206"/>
      <c r="D251" s="206" t="s">
        <v>498</v>
      </c>
      <c r="F251" s="933">
        <f>'Summary SBR-Transport'!B33</f>
        <v>12</v>
      </c>
      <c r="I251" s="918">
        <f>VLOOKUP($A$253,'Retail Rates'!$A$7:$L$34,6,FALSE)</f>
        <v>180</v>
      </c>
      <c r="J251" s="951">
        <f>+F251*I251</f>
        <v>2160</v>
      </c>
      <c r="K251" s="214"/>
      <c r="L251" s="214"/>
      <c r="M251" s="214"/>
      <c r="N251" s="214"/>
      <c r="O251" s="214"/>
      <c r="P251" s="214"/>
      <c r="Q251" s="214"/>
    </row>
    <row r="252" spans="1:17" x14ac:dyDescent="0.2">
      <c r="C252" s="206"/>
      <c r="G252" s="986"/>
      <c r="K252" s="214"/>
      <c r="L252" s="214"/>
      <c r="M252" s="214"/>
      <c r="N252" s="214"/>
      <c r="O252" s="214"/>
      <c r="P252" s="214"/>
      <c r="Q252" s="214"/>
    </row>
    <row r="253" spans="1:17" x14ac:dyDescent="0.2">
      <c r="A253" s="1165" t="s">
        <v>128</v>
      </c>
      <c r="C253" s="206"/>
      <c r="D253" s="931" t="s">
        <v>433</v>
      </c>
      <c r="G253" s="986">
        <f>'Summary SBR-Transport'!C33</f>
        <v>230791.09999999998</v>
      </c>
      <c r="H253" s="607" t="s">
        <v>269</v>
      </c>
      <c r="I253" s="76">
        <f>VLOOKUP($A$253,'Retail Rates'!$A$7:$L$34,8,FALSE)*10</f>
        <v>0.33289999999999997</v>
      </c>
      <c r="J253" s="951">
        <f>+G253*I253</f>
        <v>76830.357189999981</v>
      </c>
      <c r="K253" s="1044"/>
      <c r="L253" s="214"/>
      <c r="M253" s="297"/>
      <c r="N253" s="214"/>
      <c r="O253" s="214"/>
      <c r="P253" s="214"/>
      <c r="Q253" s="214"/>
    </row>
    <row r="254" spans="1:17" x14ac:dyDescent="0.2">
      <c r="C254" s="206"/>
      <c r="G254" s="986"/>
      <c r="H254" s="607"/>
      <c r="K254" s="214"/>
      <c r="L254" s="214"/>
      <c r="M254" s="214"/>
      <c r="N254" s="214"/>
      <c r="O254" s="214"/>
      <c r="P254" s="214"/>
      <c r="Q254" s="214"/>
    </row>
    <row r="255" spans="1:17" x14ac:dyDescent="0.2">
      <c r="C255" s="206"/>
      <c r="D255" s="206" t="s">
        <v>286</v>
      </c>
      <c r="G255" s="986">
        <f>16560*12</f>
        <v>198720</v>
      </c>
      <c r="H255" s="925" t="s">
        <v>633</v>
      </c>
      <c r="I255" s="962">
        <f>VLOOKUP($A$253,'Retail Rates'!$A$7:$L$34,12,FALSE)*10</f>
        <v>11.2629</v>
      </c>
      <c r="J255" s="961">
        <f>G255*I255</f>
        <v>2238163.4879999999</v>
      </c>
      <c r="K255" s="214"/>
      <c r="L255" s="214"/>
      <c r="M255" s="214"/>
      <c r="N255" s="214"/>
      <c r="O255" s="214"/>
      <c r="P255" s="214"/>
      <c r="Q255" s="214"/>
    </row>
    <row r="256" spans="1:17" x14ac:dyDescent="0.2">
      <c r="C256" s="206"/>
      <c r="D256" s="206"/>
      <c r="G256" s="986"/>
      <c r="H256" s="925"/>
      <c r="I256" s="962"/>
      <c r="J256" s="961"/>
      <c r="K256" s="214"/>
      <c r="L256" s="214"/>
      <c r="M256" s="214"/>
      <c r="N256" s="214"/>
      <c r="O256" s="214"/>
      <c r="P256" s="214"/>
      <c r="Q256" s="214"/>
    </row>
    <row r="257" spans="1:17" x14ac:dyDescent="0.2">
      <c r="C257" s="206"/>
      <c r="D257" s="206" t="s">
        <v>426</v>
      </c>
      <c r="G257" s="986"/>
      <c r="H257" s="925"/>
      <c r="I257" s="962"/>
      <c r="J257" s="961">
        <f>SBR!BG45</f>
        <v>11164.79</v>
      </c>
      <c r="K257" s="214"/>
      <c r="L257" s="214"/>
      <c r="M257" s="214"/>
      <c r="N257" s="214"/>
      <c r="O257" s="214"/>
      <c r="P257" s="214"/>
      <c r="Q257" s="214"/>
    </row>
    <row r="258" spans="1:17" x14ac:dyDescent="0.2">
      <c r="C258" s="206"/>
      <c r="D258" s="206"/>
      <c r="G258" s="986"/>
      <c r="H258" s="607"/>
      <c r="I258" s="76"/>
      <c r="J258" s="961"/>
      <c r="K258" s="214"/>
      <c r="L258" s="214"/>
      <c r="M258" s="214"/>
      <c r="N258" s="214"/>
      <c r="O258" s="214"/>
      <c r="P258" s="214"/>
      <c r="Q258" s="214"/>
    </row>
    <row r="259" spans="1:17" x14ac:dyDescent="0.2">
      <c r="C259" s="206"/>
      <c r="D259" s="944" t="s">
        <v>605</v>
      </c>
      <c r="E259" s="944"/>
      <c r="F259" s="934"/>
      <c r="G259" s="988"/>
      <c r="H259" s="934"/>
      <c r="I259" s="944"/>
      <c r="J259" s="963">
        <f>SUM(J251:J257)</f>
        <v>2328318.6351899998</v>
      </c>
      <c r="K259" s="214"/>
      <c r="L259" s="214"/>
      <c r="M259" s="214"/>
      <c r="N259" s="214"/>
      <c r="O259" s="214"/>
      <c r="P259" s="214"/>
      <c r="Q259" s="214"/>
    </row>
    <row r="260" spans="1:17" x14ac:dyDescent="0.2">
      <c r="C260" s="206"/>
      <c r="D260" s="215"/>
      <c r="E260" s="215"/>
      <c r="F260" s="215"/>
      <c r="G260" s="215"/>
      <c r="H260" s="215"/>
      <c r="I260" s="215"/>
      <c r="J260" s="963"/>
      <c r="K260" s="214"/>
      <c r="L260" s="214"/>
      <c r="M260" s="214"/>
      <c r="N260" s="214"/>
      <c r="O260" s="214"/>
      <c r="P260" s="214"/>
      <c r="Q260" s="214"/>
    </row>
    <row r="261" spans="1:17" x14ac:dyDescent="0.2">
      <c r="C261" s="206"/>
      <c r="D261" s="906" t="s">
        <v>598</v>
      </c>
      <c r="I261" s="949">
        <f>'Revenue Summary B'!N37</f>
        <v>1.0000000106599016</v>
      </c>
      <c r="J261" s="963"/>
      <c r="K261" s="214"/>
      <c r="L261" s="214"/>
      <c r="M261" s="214"/>
      <c r="N261" s="214"/>
      <c r="O261" s="214"/>
      <c r="P261" s="214"/>
      <c r="Q261" s="214"/>
    </row>
    <row r="262" spans="1:17" x14ac:dyDescent="0.2">
      <c r="C262" s="206"/>
      <c r="D262" s="906"/>
      <c r="I262" s="949"/>
      <c r="J262" s="963"/>
      <c r="K262" s="214"/>
      <c r="L262" s="214"/>
      <c r="M262" s="214"/>
      <c r="N262" s="214"/>
      <c r="O262" s="214"/>
      <c r="P262" s="214"/>
      <c r="Q262" s="214"/>
    </row>
    <row r="263" spans="1:17" x14ac:dyDescent="0.2">
      <c r="C263" s="215"/>
      <c r="D263" s="944" t="s">
        <v>1196</v>
      </c>
      <c r="I263" s="949"/>
      <c r="J263" s="963">
        <f>J259*I261</f>
        <v>2328318.6600096473</v>
      </c>
      <c r="K263" s="214"/>
      <c r="L263" s="214"/>
      <c r="M263" s="214"/>
      <c r="N263" s="214"/>
      <c r="O263" s="214"/>
      <c r="P263" s="214"/>
      <c r="Q263" s="214"/>
    </row>
    <row r="264" spans="1:17" x14ac:dyDescent="0.2">
      <c r="C264" s="206"/>
      <c r="G264" s="986"/>
      <c r="J264" s="951"/>
      <c r="K264" s="214"/>
      <c r="L264" s="214"/>
      <c r="M264" s="214"/>
      <c r="N264" s="214"/>
      <c r="O264" s="214"/>
      <c r="P264" s="214"/>
      <c r="Q264" s="214"/>
    </row>
    <row r="265" spans="1:17" x14ac:dyDescent="0.2">
      <c r="C265" s="206"/>
      <c r="D265" s="931" t="s">
        <v>643</v>
      </c>
      <c r="G265" s="986"/>
      <c r="J265" s="951">
        <v>1529.28</v>
      </c>
      <c r="K265" s="214"/>
      <c r="L265" s="214"/>
      <c r="M265" s="214"/>
      <c r="N265" s="214"/>
      <c r="O265" s="214"/>
      <c r="P265" s="214"/>
      <c r="Q265" s="214"/>
    </row>
    <row r="266" spans="1:17" x14ac:dyDescent="0.2">
      <c r="C266" s="206"/>
      <c r="D266" s="947" t="s">
        <v>829</v>
      </c>
      <c r="G266" s="983"/>
      <c r="I266" s="216"/>
      <c r="J266" s="946">
        <v>858964.51</v>
      </c>
      <c r="K266" s="214"/>
      <c r="L266" s="214"/>
      <c r="M266" s="214"/>
      <c r="N266" s="214"/>
      <c r="O266" s="214"/>
      <c r="P266" s="214"/>
      <c r="Q266" s="214"/>
    </row>
    <row r="267" spans="1:17" x14ac:dyDescent="0.2">
      <c r="C267" s="206"/>
      <c r="G267" s="986"/>
      <c r="J267" s="951"/>
      <c r="K267" s="214"/>
      <c r="L267" s="214"/>
      <c r="M267" s="214"/>
      <c r="N267" s="214"/>
      <c r="O267" s="214"/>
      <c r="P267" s="214"/>
      <c r="Q267" s="214"/>
    </row>
    <row r="268" spans="1:17" ht="13.5" thickBot="1" x14ac:dyDescent="0.25">
      <c r="C268" s="215"/>
      <c r="D268" s="911" t="s">
        <v>603</v>
      </c>
      <c r="J268" s="1042">
        <f>J263+J265+J266</f>
        <v>3188812.4500096468</v>
      </c>
      <c r="K268" s="1045"/>
      <c r="L268" s="896"/>
      <c r="M268" s="214"/>
      <c r="N268" s="214"/>
      <c r="O268" s="214"/>
      <c r="P268" s="214"/>
      <c r="Q268" s="214"/>
    </row>
    <row r="269" spans="1:17" ht="13.5" thickTop="1" x14ac:dyDescent="0.2">
      <c r="C269" s="215"/>
      <c r="D269" s="911"/>
      <c r="J269" s="1124"/>
      <c r="K269" s="214"/>
      <c r="L269" s="214"/>
      <c r="M269" s="214"/>
      <c r="N269" s="214"/>
      <c r="O269" s="214"/>
      <c r="P269" s="214"/>
      <c r="Q269" s="214"/>
    </row>
    <row r="270" spans="1:17" x14ac:dyDescent="0.2">
      <c r="A270" s="215" t="s">
        <v>1013</v>
      </c>
      <c r="C270" s="889" t="s">
        <v>823</v>
      </c>
      <c r="D270" s="300"/>
      <c r="E270" s="300"/>
      <c r="F270" s="980"/>
      <c r="G270" s="980"/>
      <c r="H270" s="980"/>
      <c r="I270" s="300"/>
      <c r="J270" s="890" t="s">
        <v>859</v>
      </c>
      <c r="K270" s="214"/>
      <c r="L270" s="214"/>
      <c r="M270" s="214"/>
      <c r="N270" s="214"/>
      <c r="O270" s="214"/>
      <c r="P270" s="214"/>
      <c r="Q270" s="214"/>
    </row>
    <row r="271" spans="1:17" x14ac:dyDescent="0.2">
      <c r="C271" s="891" t="s">
        <v>824</v>
      </c>
      <c r="D271" s="300"/>
      <c r="E271" s="300"/>
      <c r="F271" s="980"/>
      <c r="G271" s="980"/>
      <c r="H271" s="980"/>
      <c r="I271" s="300"/>
      <c r="J271" s="890" t="s">
        <v>834</v>
      </c>
      <c r="K271" s="214"/>
      <c r="L271" s="214"/>
      <c r="M271" s="214"/>
      <c r="N271" s="214"/>
      <c r="O271" s="214"/>
      <c r="P271" s="214"/>
      <c r="Q271" s="214"/>
    </row>
    <row r="272" spans="1:17" x14ac:dyDescent="0.2">
      <c r="C272" s="891" t="s">
        <v>825</v>
      </c>
      <c r="D272" s="300"/>
      <c r="E272" s="300"/>
      <c r="F272" s="980"/>
      <c r="G272" s="980"/>
      <c r="H272" s="980"/>
      <c r="I272" s="300"/>
      <c r="J272" s="932" t="s">
        <v>1058</v>
      </c>
      <c r="K272" s="214"/>
      <c r="L272" s="214"/>
      <c r="M272" s="214"/>
      <c r="N272" s="214"/>
      <c r="O272" s="214"/>
      <c r="P272" s="214"/>
      <c r="Q272" s="214"/>
    </row>
    <row r="273" spans="3:17" x14ac:dyDescent="0.2">
      <c r="C273" s="892" t="s">
        <v>826</v>
      </c>
      <c r="D273" s="893"/>
      <c r="E273" s="894"/>
      <c r="F273" s="989"/>
      <c r="G273" s="981"/>
      <c r="H273" s="981"/>
      <c r="I273" s="895"/>
      <c r="J273" s="895"/>
      <c r="K273" s="214"/>
      <c r="L273" s="214"/>
      <c r="M273" s="214"/>
      <c r="N273" s="214"/>
      <c r="O273" s="214"/>
      <c r="P273" s="214"/>
      <c r="Q273" s="214"/>
    </row>
    <row r="274" spans="3:17" x14ac:dyDescent="0.2">
      <c r="K274" s="214"/>
      <c r="L274" s="214"/>
      <c r="M274" s="214"/>
      <c r="N274" s="214"/>
      <c r="O274" s="214"/>
      <c r="P274" s="214"/>
      <c r="Q274" s="214"/>
    </row>
    <row r="275" spans="3:17" x14ac:dyDescent="0.2">
      <c r="I275" s="933"/>
      <c r="J275" s="934" t="s">
        <v>390</v>
      </c>
      <c r="K275" s="214"/>
      <c r="L275" s="214"/>
      <c r="M275" s="214"/>
      <c r="N275" s="214"/>
      <c r="O275" s="214"/>
      <c r="P275" s="214"/>
      <c r="Q275" s="214"/>
    </row>
    <row r="276" spans="3:17" x14ac:dyDescent="0.2">
      <c r="I276" s="933"/>
      <c r="J276" s="934" t="s">
        <v>163</v>
      </c>
      <c r="K276" s="214"/>
      <c r="L276" s="214"/>
      <c r="M276" s="214"/>
      <c r="N276" s="214"/>
      <c r="O276" s="214"/>
      <c r="P276" s="214"/>
      <c r="Q276" s="214"/>
    </row>
    <row r="277" spans="3:17" x14ac:dyDescent="0.2">
      <c r="F277" s="935"/>
      <c r="G277" s="936"/>
      <c r="H277" s="936"/>
      <c r="I277" s="934" t="s">
        <v>427</v>
      </c>
      <c r="J277" s="937" t="s">
        <v>428</v>
      </c>
      <c r="K277" s="214"/>
      <c r="L277" s="214"/>
      <c r="M277" s="214"/>
      <c r="N277" s="214"/>
      <c r="O277" s="214"/>
      <c r="P277" s="214"/>
      <c r="Q277" s="214"/>
    </row>
    <row r="278" spans="3:17" ht="13.5" thickBot="1" x14ac:dyDescent="0.25">
      <c r="C278" s="938" t="s">
        <v>167</v>
      </c>
      <c r="D278" s="938"/>
      <c r="E278" s="938"/>
      <c r="F278" s="939" t="s">
        <v>268</v>
      </c>
      <c r="G278" s="940" t="s">
        <v>162</v>
      </c>
      <c r="H278" s="940"/>
      <c r="I278" s="939" t="s">
        <v>429</v>
      </c>
      <c r="J278" s="939" t="s">
        <v>429</v>
      </c>
      <c r="K278" s="214"/>
      <c r="L278" s="214"/>
      <c r="M278" s="214"/>
      <c r="N278" s="214"/>
      <c r="O278" s="214"/>
      <c r="P278" s="214"/>
      <c r="Q278" s="214"/>
    </row>
    <row r="279" spans="3:17" x14ac:dyDescent="0.2">
      <c r="K279" s="214"/>
      <c r="L279" s="214"/>
      <c r="M279" s="214"/>
      <c r="N279" s="214"/>
      <c r="O279" s="214"/>
      <c r="P279" s="214"/>
      <c r="Q279" s="214"/>
    </row>
    <row r="280" spans="3:17" x14ac:dyDescent="0.2">
      <c r="C280" s="943" t="s">
        <v>497</v>
      </c>
      <c r="K280" s="214"/>
      <c r="L280" s="214"/>
      <c r="M280" s="214"/>
      <c r="N280" s="214"/>
      <c r="O280" s="214"/>
      <c r="P280" s="214"/>
      <c r="Q280" s="214"/>
    </row>
    <row r="281" spans="3:17" x14ac:dyDescent="0.2">
      <c r="C281" s="206"/>
      <c r="K281" s="214"/>
      <c r="L281" s="214"/>
      <c r="M281" s="214"/>
      <c r="N281" s="214"/>
      <c r="O281" s="214"/>
      <c r="P281" s="214"/>
      <c r="Q281" s="214"/>
    </row>
    <row r="282" spans="3:17" x14ac:dyDescent="0.2">
      <c r="C282" s="911" t="s">
        <v>1195</v>
      </c>
      <c r="K282" s="214"/>
      <c r="L282" s="214"/>
      <c r="M282" s="214"/>
      <c r="N282" s="214"/>
      <c r="O282" s="214"/>
      <c r="P282" s="214"/>
      <c r="Q282" s="214"/>
    </row>
    <row r="283" spans="3:17" x14ac:dyDescent="0.2">
      <c r="C283" s="206"/>
      <c r="D283" s="206" t="s">
        <v>498</v>
      </c>
      <c r="F283" s="933">
        <f>'Summary SBR-Transport'!B35</f>
        <v>7</v>
      </c>
      <c r="I283" s="918">
        <v>800</v>
      </c>
      <c r="J283" s="951">
        <f>+F283*I283</f>
        <v>5600</v>
      </c>
      <c r="K283" s="214"/>
      <c r="L283" s="214"/>
      <c r="M283" s="214"/>
      <c r="N283" s="214"/>
      <c r="O283" s="214"/>
      <c r="P283" s="214"/>
      <c r="Q283" s="214"/>
    </row>
    <row r="284" spans="3:17" x14ac:dyDescent="0.2">
      <c r="C284" s="206"/>
      <c r="G284" s="986"/>
      <c r="K284" s="214"/>
      <c r="L284" s="214"/>
      <c r="M284" s="214"/>
      <c r="N284" s="214"/>
      <c r="O284" s="214"/>
      <c r="P284" s="214"/>
      <c r="Q284" s="214"/>
    </row>
    <row r="285" spans="3:17" x14ac:dyDescent="0.2">
      <c r="C285" s="206"/>
      <c r="D285" s="931" t="s">
        <v>433</v>
      </c>
      <c r="G285" s="986">
        <f>'Summary SBR-Transport'!C35</f>
        <v>835384.6</v>
      </c>
      <c r="H285" s="607" t="s">
        <v>269</v>
      </c>
      <c r="I285" s="76">
        <f>0.00497*10</f>
        <v>4.9699999999999994E-2</v>
      </c>
      <c r="J285" s="951">
        <f>+G285*I285</f>
        <v>41518.614619999993</v>
      </c>
      <c r="K285" s="214"/>
      <c r="L285" s="214"/>
      <c r="M285" s="214"/>
      <c r="N285" s="214"/>
      <c r="O285" s="214"/>
      <c r="P285" s="214"/>
      <c r="Q285" s="214"/>
    </row>
    <row r="286" spans="3:17" x14ac:dyDescent="0.2">
      <c r="C286" s="206"/>
      <c r="D286" s="206" t="s">
        <v>286</v>
      </c>
      <c r="G286" s="986">
        <f>43200*8</f>
        <v>345600</v>
      </c>
      <c r="H286" s="925" t="s">
        <v>633</v>
      </c>
      <c r="I286" s="962">
        <f>0.24801*10</f>
        <v>2.4801000000000002</v>
      </c>
      <c r="J286" s="961">
        <f>G286*I286</f>
        <v>857122.56</v>
      </c>
      <c r="K286" s="214"/>
      <c r="L286" s="214"/>
      <c r="M286" s="214"/>
      <c r="N286" s="214"/>
      <c r="O286" s="214"/>
      <c r="P286" s="214"/>
      <c r="Q286" s="214"/>
    </row>
    <row r="287" spans="3:17" x14ac:dyDescent="0.2">
      <c r="C287" s="206"/>
      <c r="D287" s="931" t="s">
        <v>815</v>
      </c>
      <c r="J287" s="493">
        <f>SBR!BG46+SBR!BG47</f>
        <v>4560.3999999999996</v>
      </c>
      <c r="K287" s="214"/>
      <c r="L287" s="214"/>
      <c r="M287" s="214"/>
      <c r="N287" s="214"/>
      <c r="O287" s="214"/>
      <c r="P287" s="214"/>
      <c r="Q287" s="214"/>
    </row>
    <row r="288" spans="3:17" x14ac:dyDescent="0.2">
      <c r="C288" s="206"/>
      <c r="J288" s="493"/>
      <c r="K288" s="214"/>
      <c r="L288" s="214"/>
      <c r="M288" s="214"/>
      <c r="N288" s="214"/>
      <c r="O288" s="214"/>
      <c r="P288" s="214"/>
      <c r="Q288" s="214"/>
    </row>
    <row r="289" spans="3:17" x14ac:dyDescent="0.2">
      <c r="C289" s="206"/>
      <c r="D289" s="944" t="s">
        <v>605</v>
      </c>
      <c r="J289" s="1048">
        <f>SUM(J283:J287)</f>
        <v>908801.57462000009</v>
      </c>
      <c r="K289" s="214"/>
      <c r="L289" s="214"/>
      <c r="M289" s="214"/>
      <c r="N289" s="214"/>
      <c r="O289" s="214"/>
      <c r="P289" s="214"/>
      <c r="Q289" s="214"/>
    </row>
    <row r="290" spans="3:17" x14ac:dyDescent="0.2">
      <c r="C290" s="206"/>
      <c r="J290" s="493"/>
      <c r="K290" s="214"/>
      <c r="L290" s="214"/>
      <c r="M290" s="214"/>
      <c r="N290" s="214"/>
      <c r="O290" s="214"/>
      <c r="P290" s="214"/>
      <c r="Q290" s="214"/>
    </row>
    <row r="291" spans="3:17" x14ac:dyDescent="0.2">
      <c r="C291" s="206"/>
      <c r="D291" s="906" t="s">
        <v>598</v>
      </c>
      <c r="I291" s="1047">
        <f>'Revenue Summary B'!N40</f>
        <v>1.000000002299732</v>
      </c>
      <c r="J291" s="493"/>
      <c r="K291" s="214"/>
      <c r="L291" s="214"/>
      <c r="M291" s="214"/>
      <c r="N291" s="214"/>
      <c r="O291" s="214"/>
      <c r="P291" s="214"/>
      <c r="Q291" s="214"/>
    </row>
    <row r="292" spans="3:17" x14ac:dyDescent="0.2">
      <c r="C292" s="206"/>
      <c r="D292" s="206"/>
      <c r="G292" s="986"/>
      <c r="H292" s="607"/>
      <c r="I292" s="76"/>
      <c r="J292" s="961"/>
      <c r="K292" s="214"/>
      <c r="L292" s="214"/>
      <c r="M292" s="214"/>
      <c r="N292" s="214"/>
      <c r="O292" s="214"/>
      <c r="P292" s="214"/>
      <c r="Q292" s="214"/>
    </row>
    <row r="293" spans="3:17" x14ac:dyDescent="0.2">
      <c r="C293" s="206"/>
      <c r="D293" s="1125" t="s">
        <v>1196</v>
      </c>
      <c r="E293" s="944"/>
      <c r="F293" s="934"/>
      <c r="G293" s="988"/>
      <c r="H293" s="934"/>
      <c r="I293" s="944"/>
      <c r="J293" s="963">
        <f>J289*I291</f>
        <v>908801.57671000017</v>
      </c>
      <c r="K293" s="214"/>
      <c r="L293" s="214"/>
      <c r="M293" s="214"/>
      <c r="N293" s="214"/>
      <c r="O293" s="214"/>
      <c r="P293" s="214"/>
      <c r="Q293" s="214"/>
    </row>
    <row r="294" spans="3:17" x14ac:dyDescent="0.2">
      <c r="C294" s="206"/>
      <c r="G294" s="986"/>
      <c r="J294" s="951"/>
      <c r="K294" s="214"/>
      <c r="L294" s="214"/>
      <c r="M294" s="214"/>
      <c r="N294" s="214"/>
      <c r="O294" s="214"/>
      <c r="P294" s="214"/>
      <c r="Q294" s="214"/>
    </row>
    <row r="295" spans="3:17" x14ac:dyDescent="0.2">
      <c r="C295" s="206"/>
      <c r="D295" s="947" t="s">
        <v>829</v>
      </c>
      <c r="G295" s="983"/>
      <c r="I295" s="216"/>
      <c r="J295" s="951">
        <v>5738.9299999999994</v>
      </c>
      <c r="K295" s="214"/>
      <c r="L295" s="214"/>
      <c r="M295" s="214"/>
      <c r="N295" s="214"/>
      <c r="O295" s="214"/>
      <c r="P295" s="214"/>
      <c r="Q295" s="214"/>
    </row>
    <row r="296" spans="3:17" x14ac:dyDescent="0.2">
      <c r="C296" s="206"/>
      <c r="G296" s="986"/>
      <c r="J296" s="951"/>
      <c r="K296" s="214"/>
      <c r="L296" s="214"/>
      <c r="M296" s="214"/>
      <c r="N296" s="214"/>
      <c r="O296" s="214"/>
      <c r="P296" s="214"/>
      <c r="Q296" s="214"/>
    </row>
    <row r="297" spans="3:17" ht="13.5" thickBot="1" x14ac:dyDescent="0.25">
      <c r="C297" s="215"/>
      <c r="D297" s="911" t="s">
        <v>1210</v>
      </c>
      <c r="J297" s="1042">
        <f>J293+J295</f>
        <v>914540.50671000022</v>
      </c>
      <c r="K297" s="1045"/>
      <c r="L297" s="896"/>
      <c r="M297" s="214"/>
      <c r="N297" s="214"/>
      <c r="O297" s="214"/>
      <c r="P297" s="214"/>
      <c r="Q297" s="214"/>
    </row>
    <row r="298" spans="3:17" ht="13.5" thickTop="1" x14ac:dyDescent="0.2">
      <c r="C298" s="215"/>
      <c r="D298" s="911"/>
      <c r="J298" s="1124"/>
      <c r="K298" s="214"/>
      <c r="L298" s="214"/>
      <c r="M298" s="214"/>
      <c r="N298" s="214"/>
      <c r="O298" s="214"/>
      <c r="P298" s="214"/>
      <c r="Q298" s="214"/>
    </row>
    <row r="299" spans="3:17" x14ac:dyDescent="0.2">
      <c r="C299" s="206"/>
      <c r="K299" s="214"/>
      <c r="L299" s="214"/>
      <c r="M299" s="214"/>
      <c r="N299" s="214"/>
      <c r="O299" s="214"/>
      <c r="P299" s="214"/>
      <c r="Q299" s="214"/>
    </row>
    <row r="300" spans="3:17" x14ac:dyDescent="0.2">
      <c r="C300" s="889" t="s">
        <v>823</v>
      </c>
      <c r="D300" s="300"/>
      <c r="E300" s="300"/>
      <c r="F300" s="980"/>
      <c r="G300" s="980"/>
      <c r="H300" s="980"/>
      <c r="I300" s="300"/>
      <c r="J300" s="890" t="s">
        <v>859</v>
      </c>
      <c r="K300" s="214"/>
      <c r="L300" s="214"/>
      <c r="M300" s="214"/>
      <c r="N300" s="214"/>
      <c r="O300" s="214"/>
      <c r="P300" s="214"/>
      <c r="Q300" s="214"/>
    </row>
    <row r="301" spans="3:17" x14ac:dyDescent="0.2">
      <c r="C301" s="891" t="s">
        <v>824</v>
      </c>
      <c r="D301" s="300"/>
      <c r="E301" s="300"/>
      <c r="F301" s="980"/>
      <c r="G301" s="980"/>
      <c r="H301" s="980"/>
      <c r="I301" s="300"/>
      <c r="J301" s="890" t="s">
        <v>833</v>
      </c>
      <c r="K301" s="214"/>
      <c r="L301" s="214"/>
      <c r="M301" s="214"/>
      <c r="N301" s="214"/>
      <c r="O301" s="214"/>
      <c r="P301" s="214"/>
      <c r="Q301" s="214"/>
    </row>
    <row r="302" spans="3:17" x14ac:dyDescent="0.2">
      <c r="C302" s="891" t="s">
        <v>825</v>
      </c>
      <c r="D302" s="300"/>
      <c r="E302" s="300"/>
      <c r="F302" s="980"/>
      <c r="G302" s="980"/>
      <c r="H302" s="980"/>
      <c r="I302" s="300"/>
      <c r="J302" s="932" t="s">
        <v>1058</v>
      </c>
      <c r="K302" s="214"/>
      <c r="L302" s="214"/>
      <c r="M302" s="214"/>
      <c r="N302" s="214"/>
      <c r="O302" s="214"/>
      <c r="P302" s="214"/>
      <c r="Q302" s="214"/>
    </row>
    <row r="303" spans="3:17" x14ac:dyDescent="0.2">
      <c r="C303" s="892" t="s">
        <v>826</v>
      </c>
      <c r="D303" s="893"/>
      <c r="E303" s="894"/>
      <c r="F303" s="989"/>
      <c r="G303" s="981"/>
      <c r="H303" s="981"/>
      <c r="I303" s="895"/>
      <c r="J303" s="895"/>
      <c r="K303" s="214"/>
      <c r="L303" s="214"/>
      <c r="M303" s="214"/>
      <c r="N303" s="214"/>
      <c r="O303" s="214"/>
      <c r="P303" s="214"/>
      <c r="Q303" s="214"/>
    </row>
    <row r="304" spans="3:17" x14ac:dyDescent="0.2">
      <c r="K304" s="214"/>
      <c r="L304" s="214"/>
      <c r="M304" s="214"/>
      <c r="N304" s="214"/>
      <c r="O304" s="214"/>
      <c r="P304" s="214"/>
      <c r="Q304" s="214"/>
    </row>
    <row r="305" spans="1:17" x14ac:dyDescent="0.2">
      <c r="I305" s="933"/>
      <c r="J305" s="934" t="s">
        <v>390</v>
      </c>
      <c r="K305" s="214"/>
      <c r="L305" s="214"/>
      <c r="M305" s="214"/>
      <c r="N305" s="214"/>
      <c r="O305" s="214"/>
      <c r="P305" s="214"/>
      <c r="Q305" s="214"/>
    </row>
    <row r="306" spans="1:17" x14ac:dyDescent="0.2">
      <c r="I306" s="933"/>
      <c r="J306" s="934" t="s">
        <v>163</v>
      </c>
      <c r="K306" s="214"/>
      <c r="L306" s="214"/>
      <c r="M306" s="214"/>
      <c r="N306" s="214"/>
      <c r="O306" s="214"/>
      <c r="P306" s="214"/>
      <c r="Q306" s="214"/>
    </row>
    <row r="307" spans="1:17" x14ac:dyDescent="0.2">
      <c r="F307" s="935"/>
      <c r="G307" s="936"/>
      <c r="H307" s="936"/>
      <c r="I307" s="934" t="s">
        <v>427</v>
      </c>
      <c r="J307" s="937" t="s">
        <v>428</v>
      </c>
      <c r="K307" s="214"/>
      <c r="L307" s="214"/>
      <c r="M307" s="214"/>
      <c r="N307" s="214"/>
      <c r="O307" s="214"/>
      <c r="P307" s="214"/>
      <c r="Q307" s="214"/>
    </row>
    <row r="308" spans="1:17" ht="13.5" thickBot="1" x14ac:dyDescent="0.25">
      <c r="C308" s="938" t="s">
        <v>167</v>
      </c>
      <c r="D308" s="938"/>
      <c r="E308" s="938"/>
      <c r="F308" s="939" t="s">
        <v>268</v>
      </c>
      <c r="G308" s="940" t="s">
        <v>162</v>
      </c>
      <c r="H308" s="940"/>
      <c r="I308" s="939" t="s">
        <v>429</v>
      </c>
      <c r="J308" s="939" t="s">
        <v>429</v>
      </c>
      <c r="K308" s="214"/>
      <c r="L308" s="214"/>
      <c r="M308" s="214"/>
      <c r="N308" s="214"/>
      <c r="O308" s="214"/>
      <c r="P308" s="214"/>
      <c r="Q308" s="214"/>
    </row>
    <row r="309" spans="1:17" x14ac:dyDescent="0.2">
      <c r="K309" s="214"/>
      <c r="L309" s="214"/>
      <c r="M309" s="214"/>
      <c r="N309" s="214"/>
      <c r="O309" s="214"/>
      <c r="P309" s="214"/>
      <c r="Q309" s="214"/>
    </row>
    <row r="310" spans="1:17" x14ac:dyDescent="0.2">
      <c r="C310" s="943" t="s">
        <v>1191</v>
      </c>
      <c r="K310" s="214"/>
      <c r="L310" s="214"/>
      <c r="M310" s="214"/>
      <c r="N310" s="214"/>
      <c r="O310" s="214"/>
      <c r="P310" s="214"/>
      <c r="Q310" s="214"/>
    </row>
    <row r="311" spans="1:17" x14ac:dyDescent="0.2">
      <c r="K311" s="214"/>
      <c r="L311" s="214"/>
      <c r="M311" s="214"/>
      <c r="N311" s="214"/>
      <c r="O311" s="214"/>
      <c r="P311" s="214"/>
      <c r="Q311" s="214"/>
    </row>
    <row r="312" spans="1:17" x14ac:dyDescent="0.2">
      <c r="C312" s="941"/>
      <c r="D312" s="964"/>
      <c r="K312" s="214"/>
      <c r="L312" s="214"/>
      <c r="M312" s="214"/>
      <c r="N312" s="214"/>
      <c r="O312" s="214"/>
      <c r="P312" s="214"/>
      <c r="Q312" s="214"/>
    </row>
    <row r="313" spans="1:17" x14ac:dyDescent="0.2">
      <c r="A313" s="215" t="s">
        <v>870</v>
      </c>
      <c r="C313" s="944"/>
      <c r="D313" s="931" t="s">
        <v>432</v>
      </c>
      <c r="F313" s="933">
        <f>'Summary SBR-Transport'!B18</f>
        <v>12</v>
      </c>
      <c r="I313" s="918">
        <f>'Retail Rates'!F20</f>
        <v>40</v>
      </c>
      <c r="J313" s="951">
        <f>+F313*I313</f>
        <v>480</v>
      </c>
      <c r="K313" s="214"/>
      <c r="L313" s="214"/>
      <c r="M313" s="214"/>
      <c r="N313" s="214"/>
      <c r="O313" s="214"/>
      <c r="P313" s="214"/>
      <c r="Q313" s="214"/>
    </row>
    <row r="314" spans="1:17" x14ac:dyDescent="0.2">
      <c r="J314" s="951"/>
      <c r="K314" s="214"/>
      <c r="L314" s="214"/>
      <c r="M314" s="214"/>
      <c r="N314" s="214"/>
      <c r="O314" s="214"/>
      <c r="P314" s="214"/>
      <c r="Q314" s="214"/>
    </row>
    <row r="315" spans="1:17" x14ac:dyDescent="0.2">
      <c r="D315" s="931" t="s">
        <v>2</v>
      </c>
      <c r="G315" s="986">
        <f>'Summary SBR-Transport'!C18</f>
        <v>7.5</v>
      </c>
      <c r="I315" s="76">
        <f>'Retail Rates'!H20*10</f>
        <v>0.33289999999999997</v>
      </c>
      <c r="J315" s="951">
        <f>ROUND(+G315*I315,2)</f>
        <v>2.5</v>
      </c>
      <c r="K315" s="214"/>
      <c r="L315" s="214"/>
      <c r="M315" s="214"/>
      <c r="N315" s="214"/>
      <c r="O315" s="214"/>
      <c r="P315" s="214"/>
      <c r="Q315" s="214"/>
    </row>
    <row r="316" spans="1:17" x14ac:dyDescent="0.2">
      <c r="D316" s="931" t="s">
        <v>286</v>
      </c>
      <c r="G316" s="986">
        <f>('Mar16-Aug16 Billed-RETAIL'!M11)/10*12</f>
        <v>579.59999999999991</v>
      </c>
      <c r="I316" s="931">
        <f>'Retail Rates'!L20*10</f>
        <v>11.263000000000002</v>
      </c>
      <c r="J316" s="951">
        <f>G316*I316</f>
        <v>6528.0348000000004</v>
      </c>
      <c r="K316" s="214"/>
      <c r="L316" s="214"/>
      <c r="M316" s="214"/>
      <c r="N316" s="214"/>
      <c r="O316" s="214"/>
      <c r="P316" s="214"/>
      <c r="Q316" s="214"/>
    </row>
    <row r="317" spans="1:17" x14ac:dyDescent="0.2">
      <c r="G317" s="986"/>
      <c r="J317" s="951"/>
      <c r="K317" s="214"/>
      <c r="L317" s="214"/>
      <c r="M317" s="214"/>
      <c r="N317" s="214"/>
      <c r="O317" s="214"/>
      <c r="P317" s="214"/>
      <c r="Q317" s="214"/>
    </row>
    <row r="318" spans="1:17" x14ac:dyDescent="0.2">
      <c r="D318" s="931" t="s">
        <v>815</v>
      </c>
      <c r="G318" s="986"/>
      <c r="J318" s="951">
        <f>SBR!BG26</f>
        <v>3.94</v>
      </c>
      <c r="K318" s="214"/>
      <c r="L318" s="214"/>
      <c r="M318" s="214"/>
      <c r="N318" s="214"/>
      <c r="O318" s="214"/>
      <c r="P318" s="214"/>
      <c r="Q318" s="214"/>
    </row>
    <row r="319" spans="1:17" x14ac:dyDescent="0.2">
      <c r="G319" s="986"/>
      <c r="J319" s="951"/>
      <c r="K319" s="214"/>
      <c r="L319" s="214"/>
      <c r="M319" s="214"/>
      <c r="N319" s="214"/>
      <c r="O319" s="214"/>
      <c r="P319" s="214"/>
      <c r="Q319" s="214"/>
    </row>
    <row r="320" spans="1:17" x14ac:dyDescent="0.2">
      <c r="D320" s="944" t="s">
        <v>595</v>
      </c>
      <c r="G320" s="986"/>
      <c r="J320" s="963">
        <f>SUM(J313:J318)</f>
        <v>7014.4748</v>
      </c>
      <c r="K320" s="214"/>
      <c r="L320" s="214"/>
      <c r="M320" s="214"/>
      <c r="N320" s="214"/>
      <c r="O320" s="214"/>
      <c r="P320" s="214"/>
      <c r="Q320" s="214"/>
    </row>
    <row r="321" spans="1:17" x14ac:dyDescent="0.2">
      <c r="D321" s="944"/>
      <c r="G321" s="986"/>
      <c r="J321" s="951"/>
      <c r="K321" s="214"/>
      <c r="L321" s="214"/>
      <c r="M321" s="214"/>
      <c r="N321" s="214"/>
      <c r="O321" s="214"/>
      <c r="P321" s="214"/>
      <c r="Q321" s="214"/>
    </row>
    <row r="322" spans="1:17" x14ac:dyDescent="0.2">
      <c r="D322" s="945" t="s">
        <v>598</v>
      </c>
      <c r="G322" s="986"/>
      <c r="I322" s="1123">
        <f>'Revenue Summary B'!N26</f>
        <v>1</v>
      </c>
      <c r="J322" s="951"/>
      <c r="K322" s="214"/>
      <c r="L322" s="214"/>
      <c r="M322" s="214"/>
      <c r="N322" s="214"/>
      <c r="O322" s="214"/>
      <c r="P322" s="214"/>
      <c r="Q322" s="214"/>
    </row>
    <row r="323" spans="1:17" x14ac:dyDescent="0.2">
      <c r="D323" s="945"/>
      <c r="G323" s="986"/>
      <c r="I323" s="1123"/>
      <c r="J323" s="951"/>
      <c r="K323" s="214"/>
      <c r="L323" s="214"/>
      <c r="M323" s="214"/>
      <c r="N323" s="214"/>
      <c r="O323" s="214"/>
      <c r="P323" s="214"/>
      <c r="Q323" s="214"/>
    </row>
    <row r="324" spans="1:17" x14ac:dyDescent="0.2">
      <c r="D324" s="1043" t="s">
        <v>1196</v>
      </c>
      <c r="G324" s="986"/>
      <c r="I324" s="1123"/>
      <c r="J324" s="963">
        <f>J320*I322</f>
        <v>7014.4748</v>
      </c>
      <c r="K324" s="214"/>
      <c r="L324" s="214"/>
      <c r="M324" s="214"/>
      <c r="N324" s="214"/>
      <c r="O324" s="214"/>
      <c r="P324" s="214"/>
      <c r="Q324" s="214"/>
    </row>
    <row r="325" spans="1:17" x14ac:dyDescent="0.2">
      <c r="D325" s="958"/>
      <c r="G325" s="986"/>
      <c r="I325" s="216"/>
      <c r="J325" s="961"/>
      <c r="K325" s="214"/>
      <c r="L325" s="214"/>
      <c r="M325" s="214"/>
      <c r="N325" s="214"/>
      <c r="O325" s="214"/>
      <c r="P325" s="214"/>
      <c r="Q325" s="214"/>
    </row>
    <row r="326" spans="1:17" x14ac:dyDescent="0.2">
      <c r="D326" s="958" t="s">
        <v>829</v>
      </c>
      <c r="G326" s="986"/>
      <c r="I326" s="216"/>
      <c r="J326" s="1000">
        <v>28.985317769790747</v>
      </c>
      <c r="K326" s="214"/>
      <c r="L326" s="214"/>
      <c r="M326" s="214"/>
      <c r="N326" s="214"/>
      <c r="O326" s="214"/>
      <c r="P326" s="214"/>
      <c r="Q326" s="214"/>
    </row>
    <row r="327" spans="1:17" x14ac:dyDescent="0.2">
      <c r="D327" s="958" t="s">
        <v>830</v>
      </c>
      <c r="G327" s="986"/>
      <c r="I327" s="216"/>
      <c r="J327" s="1000">
        <v>0.47259333791229874</v>
      </c>
      <c r="K327" s="214"/>
      <c r="L327" s="214"/>
      <c r="M327" s="214"/>
      <c r="N327" s="214"/>
      <c r="O327" s="214"/>
      <c r="P327" s="214"/>
      <c r="Q327" s="214"/>
    </row>
    <row r="328" spans="1:17" x14ac:dyDescent="0.2">
      <c r="G328" s="986"/>
      <c r="I328" s="216"/>
      <c r="K328" s="214"/>
      <c r="L328" s="214"/>
      <c r="M328" s="214"/>
      <c r="N328" s="214"/>
      <c r="O328" s="214"/>
      <c r="P328" s="214"/>
      <c r="Q328" s="214"/>
    </row>
    <row r="329" spans="1:17" ht="13.5" thickBot="1" x14ac:dyDescent="0.25">
      <c r="D329" s="944" t="s">
        <v>1211</v>
      </c>
      <c r="G329" s="986"/>
      <c r="I329" s="216"/>
      <c r="J329" s="1042">
        <f>SUM(J324:J327)</f>
        <v>7043.9327111077027</v>
      </c>
      <c r="K329" s="897"/>
      <c r="L329" s="896"/>
      <c r="M329" s="214"/>
      <c r="N329" s="214"/>
      <c r="O329" s="214"/>
      <c r="P329" s="214"/>
      <c r="Q329" s="214"/>
    </row>
    <row r="330" spans="1:17" ht="13.5" thickTop="1" x14ac:dyDescent="0.2">
      <c r="A330" s="214"/>
      <c r="B330" s="214"/>
      <c r="C330" s="214"/>
      <c r="D330" s="214"/>
      <c r="E330" s="214"/>
      <c r="F330" s="971"/>
      <c r="G330" s="971"/>
      <c r="H330" s="971"/>
      <c r="I330" s="214"/>
      <c r="J330" s="214"/>
      <c r="K330" s="214"/>
      <c r="L330" s="214"/>
      <c r="M330" s="214"/>
      <c r="N330" s="214"/>
      <c r="O330" s="214"/>
      <c r="P330" s="214"/>
      <c r="Q330" s="214"/>
    </row>
    <row r="331" spans="1:17" x14ac:dyDescent="0.2">
      <c r="A331" s="214"/>
      <c r="B331" s="214"/>
      <c r="C331" s="214"/>
      <c r="D331" s="214"/>
      <c r="E331" s="214"/>
      <c r="F331" s="971"/>
      <c r="G331" s="971"/>
      <c r="H331" s="971"/>
      <c r="I331" s="214"/>
      <c r="J331" s="214"/>
      <c r="K331" s="214"/>
      <c r="L331" s="214"/>
      <c r="M331" s="214"/>
      <c r="N331" s="214"/>
      <c r="O331" s="214"/>
      <c r="P331" s="214"/>
      <c r="Q331" s="214"/>
    </row>
    <row r="332" spans="1:17" x14ac:dyDescent="0.2">
      <c r="A332" s="214"/>
      <c r="B332" s="214"/>
      <c r="C332" s="214"/>
      <c r="D332" s="214"/>
      <c r="E332" s="214"/>
      <c r="F332" s="971"/>
      <c r="G332" s="971"/>
      <c r="H332" s="971"/>
      <c r="I332" s="214"/>
      <c r="J332" s="214"/>
      <c r="K332" s="214"/>
      <c r="L332" s="214"/>
      <c r="M332" s="214"/>
      <c r="N332" s="214"/>
    </row>
    <row r="333" spans="1:17" x14ac:dyDescent="0.2">
      <c r="A333" s="214"/>
      <c r="B333" s="214"/>
      <c r="C333" s="214"/>
      <c r="D333" s="214"/>
      <c r="E333" s="214"/>
      <c r="F333" s="971"/>
      <c r="G333" s="971"/>
      <c r="H333" s="971"/>
      <c r="I333" s="214"/>
      <c r="J333" s="214"/>
      <c r="K333" s="214"/>
      <c r="L333" s="214"/>
      <c r="M333" s="214"/>
      <c r="N333" s="214"/>
    </row>
    <row r="334" spans="1:17" x14ac:dyDescent="0.2">
      <c r="A334" s="214"/>
      <c r="B334" s="214"/>
      <c r="C334" s="214"/>
      <c r="D334" s="214"/>
      <c r="E334" s="214"/>
      <c r="F334" s="971"/>
      <c r="G334" s="971"/>
      <c r="H334" s="971"/>
      <c r="I334" s="214"/>
      <c r="J334" s="214"/>
      <c r="K334" s="214"/>
      <c r="L334" s="214"/>
      <c r="M334" s="214"/>
      <c r="N334" s="214"/>
    </row>
    <row r="335" spans="1:17" x14ac:dyDescent="0.2">
      <c r="A335" s="214"/>
      <c r="B335" s="214"/>
      <c r="C335" s="214"/>
      <c r="D335" s="214"/>
      <c r="E335" s="214"/>
      <c r="F335" s="971"/>
      <c r="G335" s="971"/>
      <c r="H335" s="971"/>
      <c r="I335" s="214"/>
      <c r="J335" s="214"/>
      <c r="K335" s="214"/>
      <c r="L335" s="214"/>
      <c r="M335" s="214"/>
      <c r="N335" s="214"/>
    </row>
  </sheetData>
  <printOptions horizontalCentered="1"/>
  <pageMargins left="0.75" right="0.75" top="1.75" bottom="0.5" header="0.75" footer="0.5"/>
  <pageSetup scale="56" fitToWidth="0" fitToHeight="0" orientation="landscape" r:id="rId1"/>
  <headerFooter>
    <oddHeader>&amp;C&amp;"Times New Roman,Bold"Louisville Gas and Electric Company
Case No. 2016-00371
Detailed Calculation of Base Period Gas Revenues
for the Twelve Months Ended February 28, 2017
Gas Operations</oddHeader>
  </headerFooter>
  <rowBreaks count="7" manualBreakCount="7">
    <brk id="36" min="2" max="9" man="1"/>
    <brk id="82" min="2" max="9" man="1"/>
    <brk id="145" min="2" max="9" man="1"/>
    <brk id="194" min="2" max="9" man="1"/>
    <brk id="237" min="2" max="9" man="1"/>
    <brk id="269" max="16383" man="1"/>
    <brk id="29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6" tint="0.39997558519241921"/>
    <pageSetUpPr fitToPage="1"/>
  </sheetPr>
  <dimension ref="A1:AD109"/>
  <sheetViews>
    <sheetView workbookViewId="0">
      <selection activeCell="B15" sqref="B15"/>
    </sheetView>
  </sheetViews>
  <sheetFormatPr defaultRowHeight="12.75" x14ac:dyDescent="0.2"/>
  <cols>
    <col min="1" max="1" width="21.7109375" style="215" customWidth="1"/>
    <col min="2" max="2" width="58.7109375" style="206" customWidth="1"/>
    <col min="3" max="3" width="3.28515625" style="206" customWidth="1"/>
    <col min="4" max="4" width="17.85546875" style="213" customWidth="1"/>
    <col min="5" max="5" width="19" style="213" customWidth="1"/>
    <col min="6" max="6" width="20.42578125" style="213" customWidth="1"/>
    <col min="7" max="8" width="16.7109375" style="213" customWidth="1"/>
    <col min="9" max="9" width="18.140625" style="213" customWidth="1"/>
    <col min="10" max="10" width="19" style="213" customWidth="1"/>
    <col min="11" max="11" width="2.7109375" style="561" customWidth="1"/>
    <col min="12" max="14" width="16.7109375" style="213" customWidth="1"/>
    <col min="15" max="15" width="3.85546875" style="206" customWidth="1"/>
    <col min="16" max="16" width="18.85546875" style="898" customWidth="1"/>
    <col min="17" max="17" width="18.85546875" style="213" customWidth="1"/>
    <col min="18" max="18" width="18.85546875" style="898" customWidth="1"/>
    <col min="19" max="19" width="9.28515625" style="206" bestFit="1" customWidth="1"/>
    <col min="20" max="20" width="17.5703125" style="206" bestFit="1" customWidth="1"/>
    <col min="21" max="21" width="9.140625" style="206"/>
    <col min="22" max="22" width="16.42578125" style="206" customWidth="1"/>
    <col min="23" max="25" width="9.140625" style="206"/>
    <col min="26" max="16384" width="9.140625" style="215"/>
  </cols>
  <sheetData>
    <row r="1" spans="1:30" x14ac:dyDescent="0.2">
      <c r="Z1" s="206"/>
      <c r="AA1" s="206"/>
      <c r="AB1" s="206"/>
      <c r="AC1" s="206"/>
      <c r="AD1" s="206"/>
    </row>
    <row r="2" spans="1:30" x14ac:dyDescent="0.2">
      <c r="D2" s="899" t="s">
        <v>383</v>
      </c>
      <c r="E2" s="899" t="s">
        <v>384</v>
      </c>
      <c r="F2" s="899" t="s">
        <v>385</v>
      </c>
      <c r="G2" s="899" t="s">
        <v>386</v>
      </c>
      <c r="H2" s="899" t="s">
        <v>782</v>
      </c>
      <c r="I2" s="899" t="s">
        <v>387</v>
      </c>
      <c r="J2" s="899" t="s">
        <v>388</v>
      </c>
      <c r="K2" s="900"/>
      <c r="L2" s="899" t="s">
        <v>617</v>
      </c>
      <c r="M2" s="899" t="s">
        <v>618</v>
      </c>
      <c r="N2" s="899" t="s">
        <v>334</v>
      </c>
      <c r="O2" s="901"/>
      <c r="P2" s="902" t="s">
        <v>619</v>
      </c>
      <c r="Q2" s="899" t="s">
        <v>620</v>
      </c>
      <c r="R2" s="902" t="s">
        <v>621</v>
      </c>
      <c r="T2" s="211"/>
      <c r="U2" s="211"/>
      <c r="V2" s="211"/>
      <c r="W2" s="211"/>
      <c r="X2" s="211"/>
      <c r="Y2" s="211"/>
      <c r="Z2" s="211"/>
      <c r="AA2" s="211"/>
      <c r="AB2" s="206"/>
      <c r="AC2" s="206"/>
      <c r="AD2" s="206"/>
    </row>
    <row r="3" spans="1:30" x14ac:dyDescent="0.2">
      <c r="E3" s="206"/>
      <c r="H3" s="903"/>
      <c r="I3" s="903"/>
      <c r="J3" s="903"/>
      <c r="K3" s="904"/>
      <c r="T3" s="211"/>
      <c r="U3" s="211"/>
      <c r="V3" s="211"/>
      <c r="W3" s="211"/>
      <c r="X3" s="211"/>
      <c r="Y3" s="211"/>
      <c r="Z3" s="211"/>
      <c r="AA3" s="211"/>
      <c r="AB3" s="206"/>
      <c r="AC3" s="206"/>
      <c r="AD3" s="206"/>
    </row>
    <row r="4" spans="1:30" s="301" customFormat="1" x14ac:dyDescent="0.2">
      <c r="B4" s="607"/>
      <c r="C4" s="607"/>
      <c r="D4" s="905"/>
      <c r="E4" s="905" t="s">
        <v>389</v>
      </c>
      <c r="F4" s="905" t="s">
        <v>301</v>
      </c>
      <c r="G4" s="905" t="s">
        <v>316</v>
      </c>
      <c r="H4" s="607"/>
      <c r="I4" s="607"/>
      <c r="J4" s="905"/>
      <c r="K4" s="921"/>
      <c r="L4" s="905"/>
      <c r="M4" s="922" t="s">
        <v>390</v>
      </c>
      <c r="N4" s="905"/>
      <c r="O4" s="607"/>
      <c r="P4" s="923"/>
      <c r="Q4" s="905" t="s">
        <v>316</v>
      </c>
      <c r="R4" s="924" t="s">
        <v>269</v>
      </c>
      <c r="S4" s="607"/>
      <c r="T4" s="925"/>
      <c r="U4" s="925"/>
      <c r="V4" s="925"/>
      <c r="W4" s="925"/>
      <c r="X4" s="925"/>
      <c r="Y4" s="925"/>
      <c r="Z4" s="925"/>
      <c r="AA4" s="925"/>
      <c r="AB4" s="607"/>
      <c r="AC4" s="607"/>
      <c r="AD4" s="607"/>
    </row>
    <row r="5" spans="1:30" s="301" customFormat="1" x14ac:dyDescent="0.2">
      <c r="B5" s="607"/>
      <c r="C5" s="607"/>
      <c r="D5" s="905" t="s">
        <v>163</v>
      </c>
      <c r="E5" s="905" t="s">
        <v>201</v>
      </c>
      <c r="F5" s="905" t="s">
        <v>391</v>
      </c>
      <c r="G5" s="905" t="s">
        <v>392</v>
      </c>
      <c r="H5" s="905" t="s">
        <v>316</v>
      </c>
      <c r="I5" s="905" t="s">
        <v>316</v>
      </c>
      <c r="J5" s="905" t="s">
        <v>341</v>
      </c>
      <c r="K5" s="921"/>
      <c r="L5" s="922" t="s">
        <v>341</v>
      </c>
      <c r="M5" s="922" t="s">
        <v>341</v>
      </c>
      <c r="N5" s="922" t="s">
        <v>393</v>
      </c>
      <c r="O5" s="607"/>
      <c r="P5" s="923"/>
      <c r="Q5" s="922" t="s">
        <v>269</v>
      </c>
      <c r="R5" s="923" t="s">
        <v>394</v>
      </c>
      <c r="S5" s="607"/>
      <c r="T5" s="925"/>
      <c r="U5" s="925"/>
      <c r="V5" s="925"/>
      <c r="W5" s="925"/>
      <c r="X5" s="925"/>
      <c r="Y5" s="925"/>
      <c r="Z5" s="925"/>
      <c r="AA5" s="925"/>
      <c r="AB5" s="607"/>
      <c r="AC5" s="607"/>
      <c r="AD5" s="607"/>
    </row>
    <row r="6" spans="1:30" s="301" customFormat="1" x14ac:dyDescent="0.2">
      <c r="B6" s="926"/>
      <c r="C6" s="926"/>
      <c r="D6" s="905" t="s">
        <v>395</v>
      </c>
      <c r="E6" s="905" t="s">
        <v>396</v>
      </c>
      <c r="F6" s="905" t="s">
        <v>397</v>
      </c>
      <c r="G6" s="905" t="s">
        <v>398</v>
      </c>
      <c r="H6" s="905" t="s">
        <v>294</v>
      </c>
      <c r="I6" s="905" t="s">
        <v>643</v>
      </c>
      <c r="J6" s="905" t="s">
        <v>163</v>
      </c>
      <c r="K6" s="927"/>
      <c r="L6" s="922" t="s">
        <v>163</v>
      </c>
      <c r="M6" s="922" t="s">
        <v>163</v>
      </c>
      <c r="N6" s="922" t="s">
        <v>399</v>
      </c>
      <c r="O6" s="607"/>
      <c r="P6" s="924" t="s">
        <v>269</v>
      </c>
      <c r="Q6" s="905" t="s">
        <v>400</v>
      </c>
      <c r="R6" s="923" t="s">
        <v>401</v>
      </c>
      <c r="S6" s="607"/>
      <c r="T6" s="925"/>
      <c r="U6" s="925"/>
      <c r="V6" s="925"/>
      <c r="W6" s="925"/>
      <c r="X6" s="925"/>
      <c r="Y6" s="925"/>
      <c r="Z6" s="925"/>
      <c r="AA6" s="925"/>
      <c r="AB6" s="607"/>
      <c r="AC6" s="607"/>
      <c r="AD6" s="607"/>
    </row>
    <row r="7" spans="1:30" s="301" customFormat="1" x14ac:dyDescent="0.2">
      <c r="B7" s="926"/>
      <c r="C7" s="926"/>
      <c r="D7" s="907" t="s">
        <v>402</v>
      </c>
      <c r="E7" s="908" t="s">
        <v>273</v>
      </c>
      <c r="F7" s="908" t="s">
        <v>273</v>
      </c>
      <c r="G7" s="907" t="s">
        <v>273</v>
      </c>
      <c r="H7" s="907" t="s">
        <v>273</v>
      </c>
      <c r="I7" s="907" t="s">
        <v>273</v>
      </c>
      <c r="J7" s="909" t="s">
        <v>858</v>
      </c>
      <c r="K7" s="927"/>
      <c r="L7" s="907" t="s">
        <v>403</v>
      </c>
      <c r="M7" s="907" t="s">
        <v>404</v>
      </c>
      <c r="N7" s="928" t="s">
        <v>405</v>
      </c>
      <c r="O7" s="607"/>
      <c r="P7" s="929" t="s">
        <v>394</v>
      </c>
      <c r="Q7" s="930" t="s">
        <v>406</v>
      </c>
      <c r="R7" s="929" t="s">
        <v>407</v>
      </c>
      <c r="S7" s="607"/>
      <c r="T7" s="925"/>
      <c r="U7" s="925"/>
      <c r="V7" s="925"/>
      <c r="W7" s="925"/>
      <c r="X7" s="925"/>
      <c r="Y7" s="925"/>
      <c r="Z7" s="925"/>
      <c r="AA7" s="925"/>
      <c r="AB7" s="607"/>
      <c r="AC7" s="607"/>
      <c r="AD7" s="607"/>
    </row>
    <row r="8" spans="1:30" x14ac:dyDescent="0.2">
      <c r="B8" s="206" t="s">
        <v>408</v>
      </c>
      <c r="T8" s="211"/>
      <c r="U8" s="211"/>
      <c r="V8" s="211"/>
      <c r="W8" s="211"/>
      <c r="X8" s="211"/>
      <c r="Y8" s="560"/>
      <c r="Z8" s="211"/>
      <c r="AA8" s="211"/>
      <c r="AB8" s="206"/>
      <c r="AC8" s="206"/>
      <c r="AD8" s="206"/>
    </row>
    <row r="9" spans="1:30" x14ac:dyDescent="0.2">
      <c r="Q9" s="561"/>
      <c r="R9" s="910"/>
      <c r="T9" s="211"/>
      <c r="U9" s="211"/>
      <c r="V9" s="211"/>
      <c r="W9" s="211"/>
      <c r="X9" s="211"/>
      <c r="Y9" s="211"/>
      <c r="Z9" s="211"/>
      <c r="AA9" s="211"/>
      <c r="AB9" s="206"/>
      <c r="AC9" s="206"/>
      <c r="AD9" s="206"/>
    </row>
    <row r="10" spans="1:30" x14ac:dyDescent="0.2">
      <c r="A10" s="215" t="s">
        <v>129</v>
      </c>
      <c r="B10" s="206" t="s">
        <v>409</v>
      </c>
      <c r="D10" s="493">
        <f>+'Summary SBR-Transport'!D6</f>
        <v>212693838.55999997</v>
      </c>
      <c r="E10" s="493">
        <v>84145334.856604919</v>
      </c>
      <c r="F10" s="493">
        <f>D10-E10</f>
        <v>128548503.70339505</v>
      </c>
      <c r="G10" s="493">
        <v>1672627.7772686211</v>
      </c>
      <c r="H10" s="493"/>
      <c r="I10" s="493">
        <v>18426517.326927226</v>
      </c>
      <c r="J10" s="493"/>
      <c r="K10" s="67"/>
      <c r="L10" s="493"/>
      <c r="M10" s="493"/>
      <c r="N10" s="493"/>
      <c r="O10" s="493"/>
      <c r="P10" s="67">
        <f>+P11</f>
        <v>20278261.048166733</v>
      </c>
      <c r="Q10" s="67"/>
      <c r="R10" s="67">
        <f>P10-Q10</f>
        <v>20278261.048166733</v>
      </c>
      <c r="T10" s="561"/>
      <c r="U10" s="211"/>
      <c r="V10" s="212"/>
      <c r="W10" s="211"/>
      <c r="X10" s="211"/>
      <c r="Y10" s="211"/>
      <c r="Z10" s="211"/>
      <c r="AA10" s="211"/>
      <c r="AB10" s="206"/>
      <c r="AC10" s="206"/>
      <c r="AD10" s="206"/>
    </row>
    <row r="11" spans="1:30" x14ac:dyDescent="0.2">
      <c r="B11" s="911" t="s">
        <v>410</v>
      </c>
      <c r="C11" s="911"/>
      <c r="D11" s="919">
        <f>D10</f>
        <v>212693838.55999997</v>
      </c>
      <c r="E11" s="919">
        <f>E10</f>
        <v>84145334.856604919</v>
      </c>
      <c r="F11" s="919">
        <f>D11-E11</f>
        <v>128548503.70339505</v>
      </c>
      <c r="G11" s="919">
        <f>SUM(G10:G10)</f>
        <v>1672627.7772686211</v>
      </c>
      <c r="H11" s="919">
        <v>2261467.73</v>
      </c>
      <c r="I11" s="919">
        <f>I10</f>
        <v>18426517.326927226</v>
      </c>
      <c r="J11" s="919">
        <f>ROUND(F11-G11-H11-I11,0)</f>
        <v>106187891</v>
      </c>
      <c r="L11" s="919">
        <f>J11</f>
        <v>106187891</v>
      </c>
      <c r="M11" s="919">
        <f ca="1">'Sch M-1.3 Pg. 2-8'!J23</f>
        <v>106187890.8655048</v>
      </c>
      <c r="N11" s="998">
        <f ca="1">M11/L11</f>
        <v>0.99999999873342249</v>
      </c>
      <c r="O11" s="67"/>
      <c r="P11" s="919">
        <f>+'Summary SBR-Transport'!C5</f>
        <v>20278261.048166733</v>
      </c>
      <c r="Q11" s="919"/>
      <c r="R11" s="919">
        <f>P11-Q11</f>
        <v>20278261.048166733</v>
      </c>
      <c r="T11" s="561"/>
      <c r="U11" s="561"/>
      <c r="V11" s="561"/>
      <c r="W11" s="211"/>
      <c r="X11" s="211"/>
      <c r="Y11" s="211"/>
      <c r="Z11" s="211"/>
      <c r="AA11" s="211"/>
      <c r="AB11" s="206"/>
      <c r="AC11" s="206"/>
      <c r="AD11" s="206"/>
    </row>
    <row r="12" spans="1:30" x14ac:dyDescent="0.2">
      <c r="B12" s="911"/>
      <c r="C12" s="911"/>
      <c r="D12" s="493"/>
      <c r="E12" s="493"/>
      <c r="F12" s="493"/>
      <c r="G12" s="493"/>
      <c r="H12" s="493"/>
      <c r="I12" s="493"/>
      <c r="J12" s="493"/>
      <c r="L12" s="493"/>
      <c r="M12" s="493">
        <f ca="1">L11-M11</f>
        <v>0.13449519872665405</v>
      </c>
      <c r="N12" s="493"/>
      <c r="O12" s="67"/>
      <c r="P12" s="67"/>
      <c r="Q12" s="67"/>
      <c r="R12" s="67"/>
      <c r="T12" s="561"/>
      <c r="U12" s="211"/>
      <c r="V12" s="211"/>
      <c r="W12" s="211"/>
      <c r="X12" s="211"/>
      <c r="Y12" s="211"/>
      <c r="Z12" s="211"/>
      <c r="AA12" s="211"/>
      <c r="AB12" s="206"/>
      <c r="AC12" s="206"/>
      <c r="AD12" s="206"/>
    </row>
    <row r="13" spans="1:30" x14ac:dyDescent="0.2">
      <c r="A13" s="215" t="s">
        <v>109</v>
      </c>
      <c r="B13" s="206" t="s">
        <v>411</v>
      </c>
      <c r="D13" s="493">
        <f>+'Summary SBR-Transport'!D8</f>
        <v>88433324.969999999</v>
      </c>
      <c r="E13" s="493">
        <v>42833552.632513314</v>
      </c>
      <c r="F13" s="67">
        <f>D13-E13</f>
        <v>45599772.337486684</v>
      </c>
      <c r="G13" s="493">
        <v>600013.35986680177</v>
      </c>
      <c r="H13" s="493"/>
      <c r="I13" s="493">
        <v>8107416.6502754847</v>
      </c>
      <c r="J13" s="493"/>
      <c r="L13" s="493"/>
      <c r="M13" s="493"/>
      <c r="N13" s="493"/>
      <c r="O13" s="493"/>
      <c r="P13" s="493">
        <f>+'Summary SBR-Transport'!C8</f>
        <v>10450338.021582553</v>
      </c>
      <c r="Q13" s="67"/>
      <c r="R13" s="493">
        <f>P13-Q13</f>
        <v>10450338.021582553</v>
      </c>
      <c r="T13" s="561"/>
      <c r="U13" s="211"/>
      <c r="V13" s="212"/>
      <c r="W13" s="211"/>
      <c r="X13" s="211"/>
      <c r="Y13" s="211"/>
      <c r="Z13" s="211"/>
      <c r="AA13" s="211"/>
      <c r="AB13" s="206"/>
      <c r="AC13" s="206"/>
      <c r="AD13" s="206"/>
    </row>
    <row r="14" spans="1:30" x14ac:dyDescent="0.2">
      <c r="A14" s="912" t="s">
        <v>590</v>
      </c>
      <c r="B14" s="206" t="s">
        <v>412</v>
      </c>
      <c r="D14" s="493">
        <f>+'Summary SBR-Transport'!D9+'Summary SBR-Transport'!D10</f>
        <v>168.52</v>
      </c>
      <c r="E14" s="493">
        <v>0</v>
      </c>
      <c r="F14" s="67">
        <f>D14-E14</f>
        <v>168.52</v>
      </c>
      <c r="G14" s="77">
        <v>0</v>
      </c>
      <c r="H14" s="493"/>
      <c r="I14" s="77">
        <v>0</v>
      </c>
      <c r="J14" s="493"/>
      <c r="L14" s="493"/>
      <c r="M14" s="493"/>
      <c r="N14" s="493"/>
      <c r="O14" s="493"/>
      <c r="P14" s="67">
        <f>+'Summary SBR-Transport'!C9</f>
        <v>0</v>
      </c>
      <c r="Q14" s="67"/>
      <c r="R14" s="67">
        <f>P14-Q14</f>
        <v>0</v>
      </c>
      <c r="T14" s="561"/>
      <c r="U14" s="211"/>
      <c r="V14" s="212"/>
      <c r="W14" s="211"/>
      <c r="X14" s="211"/>
      <c r="Y14" s="211"/>
      <c r="Z14" s="211"/>
      <c r="AA14" s="211"/>
      <c r="AB14" s="206"/>
      <c r="AC14" s="206"/>
      <c r="AD14" s="206"/>
    </row>
    <row r="15" spans="1:30" x14ac:dyDescent="0.2">
      <c r="B15" s="911" t="s">
        <v>413</v>
      </c>
      <c r="C15" s="911"/>
      <c r="D15" s="919">
        <f>SUM(D13:D14)</f>
        <v>88433493.489999995</v>
      </c>
      <c r="E15" s="919">
        <f>SUM(E13:E14)</f>
        <v>42833552.632513314</v>
      </c>
      <c r="F15" s="919">
        <f>D15-E15</f>
        <v>45599940.85748668</v>
      </c>
      <c r="G15" s="919">
        <f>SUM(G13:G14)</f>
        <v>600013.35986680177</v>
      </c>
      <c r="H15" s="919">
        <v>791802.14000000013</v>
      </c>
      <c r="I15" s="919">
        <f>SUM(I13:I14)</f>
        <v>8107416.6502754847</v>
      </c>
      <c r="J15" s="919">
        <f>F15-G15-H15-I15</f>
        <v>36100708.70734439</v>
      </c>
      <c r="L15" s="919">
        <f>J15</f>
        <v>36100708.70734439</v>
      </c>
      <c r="M15" s="919">
        <f ca="1">'Sch M-1.3 Pg. 2-8'!J70</f>
        <v>36100710.316914476</v>
      </c>
      <c r="N15" s="998">
        <f ca="1">M15/L15</f>
        <v>1.0000000445855537</v>
      </c>
      <c r="O15" s="67"/>
      <c r="P15" s="919">
        <f>SUM(P13:P14)</f>
        <v>10450338.021582553</v>
      </c>
      <c r="Q15" s="919"/>
      <c r="R15" s="919">
        <f>P15-Q15</f>
        <v>10450338.021582553</v>
      </c>
      <c r="S15" s="209"/>
      <c r="T15" s="561"/>
      <c r="U15" s="561"/>
      <c r="V15" s="561"/>
      <c r="W15" s="211"/>
      <c r="X15" s="211"/>
      <c r="Y15" s="211"/>
      <c r="Z15" s="211"/>
      <c r="AA15" s="211"/>
      <c r="AB15" s="206"/>
      <c r="AC15" s="206"/>
      <c r="AD15" s="206"/>
    </row>
    <row r="16" spans="1:30" x14ac:dyDescent="0.2">
      <c r="B16" s="911"/>
      <c r="C16" s="911"/>
      <c r="D16" s="493"/>
      <c r="E16" s="493"/>
      <c r="F16" s="493"/>
      <c r="G16" s="493"/>
      <c r="H16" s="493"/>
      <c r="I16" s="493"/>
      <c r="J16" s="493"/>
      <c r="L16" s="493"/>
      <c r="M16" s="493"/>
      <c r="N16" s="493"/>
      <c r="O16" s="67"/>
      <c r="P16" s="67"/>
      <c r="Q16" s="67"/>
      <c r="R16" s="67"/>
      <c r="T16" s="561"/>
      <c r="U16" s="211"/>
      <c r="V16" s="211"/>
      <c r="W16" s="211"/>
      <c r="X16" s="211"/>
      <c r="Y16" s="211"/>
      <c r="Z16" s="211"/>
      <c r="AA16" s="211"/>
      <c r="AB16" s="206"/>
      <c r="AC16" s="206"/>
      <c r="AD16" s="206"/>
    </row>
    <row r="17" spans="1:30" x14ac:dyDescent="0.2">
      <c r="A17" s="218" t="s">
        <v>118</v>
      </c>
      <c r="B17" s="206" t="s">
        <v>414</v>
      </c>
      <c r="D17" s="493">
        <f>+'Summary SBR-Transport'!D13</f>
        <v>9703516.0600000005</v>
      </c>
      <c r="E17" s="493">
        <v>5654754.6751695033</v>
      </c>
      <c r="F17" s="67">
        <f>D17-E17</f>
        <v>4048761.3848304972</v>
      </c>
      <c r="G17" s="493">
        <v>0</v>
      </c>
      <c r="H17" s="493"/>
      <c r="I17" s="493">
        <v>738506.90291142708</v>
      </c>
      <c r="J17" s="493">
        <f>F17-I17</f>
        <v>3310254.4819190702</v>
      </c>
      <c r="L17" s="493">
        <f>J17</f>
        <v>3310254.4819190702</v>
      </c>
      <c r="M17" s="493">
        <f ca="1">'Sch M-1.3 Pg. 2-8'!J106</f>
        <v>3310254.4625518722</v>
      </c>
      <c r="N17" s="1046">
        <f ca="1">M17/L17</f>
        <v>0.9999999941493326</v>
      </c>
      <c r="O17" s="493"/>
      <c r="P17" s="493">
        <f>+'Summary SBR-Transport'!C13</f>
        <v>1401223.2374288812</v>
      </c>
      <c r="Q17" s="67"/>
      <c r="R17" s="493">
        <f>P17-Q17</f>
        <v>1401223.2374288812</v>
      </c>
      <c r="T17" s="561"/>
      <c r="U17" s="211"/>
      <c r="V17" s="212"/>
      <c r="W17" s="211"/>
      <c r="X17" s="211"/>
      <c r="Y17" s="211"/>
      <c r="Z17" s="211"/>
      <c r="AA17" s="211"/>
      <c r="AB17" s="206"/>
      <c r="AC17" s="206"/>
      <c r="AD17" s="206"/>
    </row>
    <row r="18" spans="1:30" x14ac:dyDescent="0.2">
      <c r="A18" s="912" t="s">
        <v>590</v>
      </c>
      <c r="B18" s="206" t="s">
        <v>415</v>
      </c>
      <c r="D18" s="493">
        <f>+'Summary SBR-Transport'!D14+'Summary SBR-Transport'!D15</f>
        <v>1343014.8817669798</v>
      </c>
      <c r="E18" s="493">
        <v>246105.77</v>
      </c>
      <c r="F18" s="67">
        <f>D18-E18</f>
        <v>1096909.1117669798</v>
      </c>
      <c r="G18" s="493">
        <v>0</v>
      </c>
      <c r="H18" s="493"/>
      <c r="I18" s="77">
        <v>39477.1</v>
      </c>
      <c r="J18" s="77">
        <f>F18-I18</f>
        <v>1057432.0117669797</v>
      </c>
      <c r="L18" s="493">
        <f>J18</f>
        <v>1057432.0117669797</v>
      </c>
      <c r="M18" s="493">
        <f>'Sch M-1.3 Pg. 2-8'!J124</f>
        <v>1059693.4346207706</v>
      </c>
      <c r="N18" s="1046">
        <f>M18/L18</f>
        <v>1.0021385988211309</v>
      </c>
      <c r="O18" s="493"/>
      <c r="P18" s="67">
        <f>+'Summary SBR-Transport'!C14+'Summary SBR-Transport'!C15</f>
        <v>486827.86565011955</v>
      </c>
      <c r="Q18" s="67"/>
      <c r="R18" s="67">
        <f>P18-Q18</f>
        <v>486827.86565011955</v>
      </c>
      <c r="T18" s="561"/>
      <c r="U18" s="211"/>
      <c r="V18" s="212"/>
      <c r="W18" s="211"/>
      <c r="X18" s="211"/>
      <c r="Y18" s="211"/>
      <c r="Z18" s="211"/>
      <c r="AA18" s="211"/>
      <c r="AB18" s="206"/>
      <c r="AC18" s="206"/>
      <c r="AD18" s="206"/>
    </row>
    <row r="19" spans="1:30" x14ac:dyDescent="0.2">
      <c r="A19" s="218"/>
      <c r="B19" s="911" t="s">
        <v>416</v>
      </c>
      <c r="C19" s="911"/>
      <c r="D19" s="919">
        <f>SUM(D17:D18)</f>
        <v>11046530.941766981</v>
      </c>
      <c r="E19" s="919">
        <f>SUM(E17:E18)</f>
        <v>5900860.4451695029</v>
      </c>
      <c r="F19" s="919">
        <f>D19-E19</f>
        <v>5145670.4965974782</v>
      </c>
      <c r="G19" s="919">
        <f>SUM(G17:G18)</f>
        <v>0</v>
      </c>
      <c r="H19" s="919"/>
      <c r="I19" s="919">
        <f>SUM(I17:I18)</f>
        <v>777984.00291142706</v>
      </c>
      <c r="J19" s="919">
        <f>F19-G19-H19-I19</f>
        <v>4367686.4936860511</v>
      </c>
      <c r="L19" s="919">
        <f>J19</f>
        <v>4367686.4936860511</v>
      </c>
      <c r="M19" s="919">
        <f ca="1">'Sch M-1.3 Pg. 2-8'!J106+'Sch M-1.3 Pg. 2-8'!J124</f>
        <v>4369947.8971726429</v>
      </c>
      <c r="N19" s="998">
        <f ca="1">M19/L19</f>
        <v>1.0005177577396778</v>
      </c>
      <c r="O19" s="67"/>
      <c r="P19" s="919">
        <f>SUM(P17:P18)</f>
        <v>1888051.1030790007</v>
      </c>
      <c r="Q19" s="919"/>
      <c r="R19" s="919">
        <f>P19-Q19</f>
        <v>1888051.1030790007</v>
      </c>
      <c r="T19" s="561"/>
      <c r="U19" s="211"/>
      <c r="V19" s="561"/>
      <c r="W19" s="211"/>
      <c r="X19" s="211"/>
      <c r="Y19" s="211"/>
      <c r="Z19" s="211"/>
      <c r="AA19" s="211"/>
      <c r="AB19" s="206"/>
      <c r="AC19" s="206"/>
      <c r="AD19" s="206"/>
    </row>
    <row r="20" spans="1:30" x14ac:dyDescent="0.2">
      <c r="A20" s="218" t="s">
        <v>110</v>
      </c>
      <c r="B20" s="911"/>
      <c r="C20" s="911"/>
      <c r="D20" s="493"/>
      <c r="E20" s="493"/>
      <c r="F20" s="493"/>
      <c r="G20" s="493"/>
      <c r="H20" s="493"/>
      <c r="I20" s="493"/>
      <c r="J20" s="67"/>
      <c r="L20" s="493"/>
      <c r="M20" s="493">
        <f ca="1">L19-M19</f>
        <v>-2261.4034865917638</v>
      </c>
      <c r="N20" s="493"/>
      <c r="O20" s="67"/>
      <c r="P20" s="67"/>
      <c r="Q20" s="67"/>
      <c r="R20" s="67"/>
      <c r="T20" s="561"/>
      <c r="U20" s="211"/>
      <c r="V20" s="211"/>
      <c r="W20" s="211"/>
      <c r="X20" s="211"/>
      <c r="Y20" s="211"/>
      <c r="Z20" s="211"/>
      <c r="AA20" s="211"/>
      <c r="AB20" s="206"/>
      <c r="AC20" s="206"/>
      <c r="AD20" s="206"/>
    </row>
    <row r="21" spans="1:30" ht="15" x14ac:dyDescent="0.25">
      <c r="A21" s="218" t="s">
        <v>119</v>
      </c>
      <c r="B21" s="206" t="s">
        <v>417</v>
      </c>
      <c r="D21" s="493">
        <f>'Summary SBR-Transport'!D20+'Summary SBR-Transport'!D21</f>
        <v>798687.24834399053</v>
      </c>
      <c r="E21" s="493">
        <v>530610.08956146799</v>
      </c>
      <c r="F21" s="67">
        <f>D21-E21</f>
        <v>268077.15878252254</v>
      </c>
      <c r="G21" s="493">
        <v>4877.5832800785802</v>
      </c>
      <c r="H21" s="493"/>
      <c r="I21" s="493">
        <v>149012.21582608533</v>
      </c>
      <c r="J21" s="1131"/>
      <c r="K21" s="73"/>
      <c r="L21" s="73"/>
      <c r="M21" s="73"/>
      <c r="N21" s="73"/>
      <c r="O21" s="67"/>
      <c r="P21" s="67">
        <f>+'Summary SBR-Transport'!C24</f>
        <v>399190.28271707229</v>
      </c>
      <c r="Q21" s="67"/>
      <c r="R21" s="67">
        <f>P21-Q21</f>
        <v>399190.28271707229</v>
      </c>
      <c r="T21" s="561"/>
      <c r="U21" s="211"/>
      <c r="V21" s="212"/>
      <c r="W21" s="211"/>
      <c r="X21" s="211"/>
      <c r="Y21" s="211"/>
      <c r="Z21" s="211"/>
      <c r="AA21" s="211"/>
      <c r="AB21" s="206"/>
      <c r="AC21" s="206"/>
      <c r="AD21" s="206"/>
    </row>
    <row r="22" spans="1:30" ht="15" x14ac:dyDescent="0.25">
      <c r="A22" s="218"/>
      <c r="B22" s="206" t="s">
        <v>816</v>
      </c>
      <c r="D22" s="493">
        <f>'Summary SBR-Transport'!D22+'Summary SBR-Transport'!D23</f>
        <v>370005.75866606075</v>
      </c>
      <c r="E22" s="493">
        <v>105052.82378999999</v>
      </c>
      <c r="F22" s="67">
        <f>D22-E22</f>
        <v>264952.93487606075</v>
      </c>
      <c r="G22" s="77">
        <v>0</v>
      </c>
      <c r="H22" s="493"/>
      <c r="I22" s="493">
        <v>56054.16</v>
      </c>
      <c r="J22" s="1131"/>
      <c r="K22" s="73"/>
      <c r="L22" s="73"/>
      <c r="M22" s="73"/>
      <c r="N22" s="493"/>
      <c r="O22" s="67"/>
      <c r="P22" s="67"/>
      <c r="Q22" s="67"/>
      <c r="R22" s="67"/>
      <c r="T22" s="561"/>
      <c r="U22" s="211"/>
      <c r="V22" s="212"/>
      <c r="W22" s="211"/>
      <c r="X22" s="211"/>
      <c r="Y22" s="211"/>
      <c r="Z22" s="211"/>
      <c r="AA22" s="211"/>
      <c r="AB22" s="206"/>
      <c r="AC22" s="206"/>
      <c r="AD22" s="206"/>
    </row>
    <row r="23" spans="1:30" x14ac:dyDescent="0.2">
      <c r="B23" s="911" t="s">
        <v>418</v>
      </c>
      <c r="C23" s="911"/>
      <c r="D23" s="919">
        <f>SUM(D21:D22)</f>
        <v>1168693.0070100513</v>
      </c>
      <c r="E23" s="919">
        <f>SUM(E21:E22)</f>
        <v>635662.91335146804</v>
      </c>
      <c r="F23" s="919">
        <f>D23-E23</f>
        <v>533030.09365858324</v>
      </c>
      <c r="G23" s="919">
        <f>SUM(G21:G22)</f>
        <v>4877.5832800785802</v>
      </c>
      <c r="H23" s="919"/>
      <c r="I23" s="919">
        <f>SUM(I21:I22)</f>
        <v>205066.37582608534</v>
      </c>
      <c r="J23" s="919">
        <f>F23-G23-H23-I23</f>
        <v>323086.1345524193</v>
      </c>
      <c r="L23" s="919">
        <f>J23</f>
        <v>323086.1345524193</v>
      </c>
      <c r="M23" s="919">
        <f ca="1">'Sch M-1.3 Pg. 2-8'!J168+'Sch M-1.3 Pg. 2-8'!J183</f>
        <v>323086.31285245676</v>
      </c>
      <c r="N23" s="998">
        <f ca="1">ROUND(M23/L23,0)</f>
        <v>1</v>
      </c>
      <c r="O23" s="67"/>
      <c r="P23" s="919">
        <f>+P21</f>
        <v>399190.28271707229</v>
      </c>
      <c r="Q23" s="919"/>
      <c r="R23" s="919">
        <f>P23-Q23</f>
        <v>399190.28271707229</v>
      </c>
      <c r="T23" s="561"/>
      <c r="U23" s="211"/>
      <c r="V23" s="561"/>
      <c r="W23" s="211"/>
      <c r="X23" s="211"/>
      <c r="Y23" s="211"/>
      <c r="Z23" s="211"/>
      <c r="AA23" s="211"/>
      <c r="AB23" s="206"/>
      <c r="AC23" s="206"/>
      <c r="AD23" s="206"/>
    </row>
    <row r="24" spans="1:30" x14ac:dyDescent="0.2">
      <c r="B24" s="911"/>
      <c r="C24" s="911"/>
      <c r="D24" s="67"/>
      <c r="E24" s="67"/>
      <c r="F24" s="67"/>
      <c r="G24" s="67"/>
      <c r="H24" s="67"/>
      <c r="I24" s="67"/>
      <c r="J24" s="67"/>
      <c r="L24" s="67"/>
      <c r="M24" s="67"/>
      <c r="N24" s="67"/>
      <c r="O24" s="67"/>
      <c r="P24" s="67"/>
      <c r="Q24" s="67"/>
      <c r="R24" s="67"/>
      <c r="T24" s="561"/>
      <c r="U24" s="211"/>
      <c r="V24" s="561"/>
      <c r="W24" s="211"/>
      <c r="X24" s="211"/>
      <c r="Y24" s="211"/>
      <c r="Z24" s="211"/>
      <c r="AA24" s="211"/>
      <c r="AB24" s="206"/>
      <c r="AC24" s="206"/>
      <c r="AD24" s="206"/>
    </row>
    <row r="25" spans="1:30" x14ac:dyDescent="0.2">
      <c r="A25" s="215" t="s">
        <v>870</v>
      </c>
      <c r="B25" s="206" t="s">
        <v>69</v>
      </c>
      <c r="C25" s="911"/>
      <c r="D25" s="67">
        <f>'Summary SBR-Transport'!D18</f>
        <v>7043.91</v>
      </c>
      <c r="E25" s="493">
        <v>28.985317769790747</v>
      </c>
      <c r="F25" s="67">
        <f>D25-E25</f>
        <v>7014.9246822302093</v>
      </c>
      <c r="G25" s="493">
        <v>0.47259333791229874</v>
      </c>
      <c r="H25" s="67"/>
      <c r="I25" s="493">
        <v>0</v>
      </c>
      <c r="J25" s="67"/>
      <c r="L25" s="67"/>
      <c r="M25" s="67"/>
      <c r="N25" s="67"/>
      <c r="O25" s="67"/>
      <c r="P25" s="67"/>
      <c r="Q25" s="67"/>
      <c r="R25" s="67"/>
      <c r="T25" s="561"/>
      <c r="U25" s="211"/>
      <c r="V25" s="561"/>
      <c r="W25" s="211"/>
      <c r="X25" s="211"/>
      <c r="Y25" s="211"/>
      <c r="Z25" s="211"/>
      <c r="AA25" s="211"/>
      <c r="AB25" s="206"/>
      <c r="AC25" s="206"/>
      <c r="AD25" s="206"/>
    </row>
    <row r="26" spans="1:30" x14ac:dyDescent="0.2">
      <c r="B26" s="911" t="s">
        <v>1201</v>
      </c>
      <c r="C26" s="911"/>
      <c r="D26" s="919">
        <f t="shared" ref="D26:I26" si="0">SUM(D25)</f>
        <v>7043.91</v>
      </c>
      <c r="E26" s="919">
        <f t="shared" si="0"/>
        <v>28.985317769790747</v>
      </c>
      <c r="F26" s="919">
        <f t="shared" si="0"/>
        <v>7014.9246822302093</v>
      </c>
      <c r="G26" s="919">
        <f t="shared" si="0"/>
        <v>0.47259333791229874</v>
      </c>
      <c r="H26" s="919"/>
      <c r="I26" s="919">
        <f t="shared" si="0"/>
        <v>0</v>
      </c>
      <c r="J26" s="919">
        <f>F26-G26-H26-I26</f>
        <v>7014.4520888922971</v>
      </c>
      <c r="L26" s="919">
        <f>J26</f>
        <v>7014.4520888922971</v>
      </c>
      <c r="M26" s="919">
        <f>'Sch M-1.3 Pg. 2-8'!J320</f>
        <v>7014.4748</v>
      </c>
      <c r="N26" s="998">
        <f>ROUND(M26/L26,0)</f>
        <v>1</v>
      </c>
      <c r="O26" s="919"/>
      <c r="P26" s="919">
        <f>'Summary SBR-Transport'!C18</f>
        <v>7.5</v>
      </c>
      <c r="Q26" s="919"/>
      <c r="R26" s="919"/>
      <c r="T26" s="561"/>
      <c r="U26" s="211"/>
      <c r="V26" s="561"/>
      <c r="W26" s="211"/>
      <c r="X26" s="211"/>
      <c r="Y26" s="211"/>
      <c r="Z26" s="211"/>
      <c r="AA26" s="211"/>
      <c r="AB26" s="206"/>
      <c r="AC26" s="206"/>
      <c r="AD26" s="206"/>
    </row>
    <row r="27" spans="1:30" x14ac:dyDescent="0.2">
      <c r="B27" s="911"/>
      <c r="C27" s="911"/>
      <c r="D27" s="67"/>
      <c r="E27" s="67"/>
      <c r="F27" s="67"/>
      <c r="G27" s="67"/>
      <c r="H27" s="67"/>
      <c r="I27" s="67"/>
      <c r="J27" s="67"/>
      <c r="L27" s="67"/>
      <c r="M27" s="67"/>
      <c r="N27" s="67"/>
      <c r="O27" s="67"/>
      <c r="P27" s="67"/>
      <c r="Q27" s="67"/>
      <c r="R27" s="67"/>
      <c r="T27" s="561"/>
      <c r="U27" s="211"/>
      <c r="V27" s="561"/>
      <c r="W27" s="211"/>
      <c r="X27" s="211"/>
      <c r="Y27" s="211"/>
      <c r="Z27" s="211"/>
      <c r="AA27" s="211"/>
      <c r="AB27" s="206"/>
      <c r="AC27" s="206"/>
      <c r="AD27" s="206"/>
    </row>
    <row r="28" spans="1:30" x14ac:dyDescent="0.2">
      <c r="A28" s="215" t="s">
        <v>291</v>
      </c>
      <c r="B28" s="911"/>
      <c r="C28" s="911"/>
      <c r="D28" s="493"/>
      <c r="E28" s="493"/>
      <c r="F28" s="493"/>
      <c r="G28" s="493"/>
      <c r="H28" s="493"/>
      <c r="I28" s="493"/>
      <c r="J28" s="920"/>
      <c r="K28" s="913"/>
      <c r="L28" s="493"/>
      <c r="M28" s="493"/>
      <c r="N28" s="493"/>
      <c r="O28" s="67"/>
      <c r="P28" s="67"/>
      <c r="Q28" s="67"/>
      <c r="R28" s="67"/>
      <c r="T28" s="561"/>
      <c r="U28" s="211"/>
      <c r="V28" s="211"/>
      <c r="W28" s="211"/>
      <c r="X28" s="211"/>
      <c r="Y28" s="211"/>
      <c r="Z28" s="211"/>
      <c r="AA28" s="211"/>
      <c r="AB28" s="206"/>
      <c r="AC28" s="206"/>
      <c r="AD28" s="206"/>
    </row>
    <row r="29" spans="1:30" x14ac:dyDescent="0.2">
      <c r="A29" s="215" t="s">
        <v>292</v>
      </c>
      <c r="B29" s="206" t="s">
        <v>419</v>
      </c>
      <c r="D29" s="493">
        <f>'Summary SBR-Transport'!D29</f>
        <v>6880238.631054298</v>
      </c>
      <c r="E29" s="493">
        <v>20969.79</v>
      </c>
      <c r="F29" s="67">
        <f>D29-E29</f>
        <v>6859268.841054298</v>
      </c>
      <c r="G29" s="493">
        <v>854856</v>
      </c>
      <c r="H29" s="493"/>
      <c r="I29" s="493">
        <v>0</v>
      </c>
      <c r="J29" s="67">
        <f>F29-G29-H29-I29</f>
        <v>6004412.841054298</v>
      </c>
      <c r="L29" s="493">
        <f>J29</f>
        <v>6004412.841054298</v>
      </c>
      <c r="M29" s="493"/>
      <c r="N29" s="67"/>
      <c r="O29" s="493"/>
      <c r="P29" s="67">
        <f>+'Summary SBR-Transport'!C29</f>
        <v>12832103.514682565</v>
      </c>
      <c r="Q29" s="67"/>
      <c r="R29" s="67">
        <f>P29-Q29</f>
        <v>12832103.514682565</v>
      </c>
      <c r="T29" s="561"/>
      <c r="U29" s="211"/>
      <c r="V29" s="212"/>
      <c r="W29" s="211"/>
      <c r="X29" s="211"/>
      <c r="Y29" s="211"/>
      <c r="Z29" s="211"/>
      <c r="AA29" s="211"/>
      <c r="AB29" s="206"/>
      <c r="AC29" s="206"/>
      <c r="AD29" s="206"/>
    </row>
    <row r="30" spans="1:30" x14ac:dyDescent="0.2">
      <c r="A30" s="215" t="s">
        <v>293</v>
      </c>
      <c r="B30" s="911" t="s">
        <v>420</v>
      </c>
      <c r="C30" s="911"/>
      <c r="D30" s="919">
        <f>SUM(D29:D29)</f>
        <v>6880238.631054298</v>
      </c>
      <c r="E30" s="919">
        <f>SUM(E29:E29)</f>
        <v>20969.79</v>
      </c>
      <c r="F30" s="919">
        <f>D30-E30</f>
        <v>6859268.841054298</v>
      </c>
      <c r="G30" s="919">
        <f>G29</f>
        <v>854856</v>
      </c>
      <c r="H30" s="919"/>
      <c r="I30" s="919">
        <f>SUM(I29:I29)</f>
        <v>0</v>
      </c>
      <c r="J30" s="919">
        <f>F30-G30-H30-I30</f>
        <v>6004412.841054298</v>
      </c>
      <c r="L30" s="919">
        <f>J30</f>
        <v>6004412.841054298</v>
      </c>
      <c r="M30" s="919">
        <f>'Sch M-1.3 Pg. 2-8'!J214</f>
        <v>6005637.4056046009</v>
      </c>
      <c r="N30" s="998">
        <f>M30/L30</f>
        <v>1.0002039440962371</v>
      </c>
      <c r="O30" s="67"/>
      <c r="P30" s="919">
        <f>SUM(P29:P29)</f>
        <v>12832103.514682565</v>
      </c>
      <c r="Q30" s="919"/>
      <c r="R30" s="919">
        <f>P30-Q30</f>
        <v>12832103.514682565</v>
      </c>
      <c r="T30" s="561"/>
      <c r="U30" s="211"/>
      <c r="V30" s="561"/>
      <c r="W30" s="211"/>
      <c r="X30" s="211"/>
      <c r="Y30" s="211"/>
      <c r="Z30" s="211"/>
      <c r="AA30" s="211"/>
      <c r="AB30" s="206"/>
      <c r="AC30" s="206"/>
      <c r="AD30" s="206"/>
    </row>
    <row r="31" spans="1:30" x14ac:dyDescent="0.2">
      <c r="B31" s="911"/>
      <c r="C31" s="911"/>
      <c r="D31" s="67"/>
      <c r="E31" s="67"/>
      <c r="F31" s="67"/>
      <c r="G31" s="67"/>
      <c r="H31" s="67"/>
      <c r="I31" s="67"/>
      <c r="J31" s="67"/>
      <c r="L31" s="67"/>
      <c r="M31" s="67">
        <f>M30-L30</f>
        <v>1224.5645503029227</v>
      </c>
      <c r="N31" s="970"/>
      <c r="O31" s="67"/>
      <c r="P31" s="67"/>
      <c r="Q31" s="67"/>
      <c r="R31" s="67"/>
      <c r="T31" s="561"/>
      <c r="U31" s="211"/>
      <c r="V31" s="561"/>
      <c r="W31" s="211"/>
      <c r="X31" s="211"/>
      <c r="Y31" s="211"/>
      <c r="Z31" s="211"/>
      <c r="AA31" s="211"/>
      <c r="AB31" s="206"/>
      <c r="AC31" s="206"/>
      <c r="AD31" s="206"/>
    </row>
    <row r="32" spans="1:30" x14ac:dyDescent="0.2">
      <c r="B32" s="911"/>
      <c r="C32" s="911"/>
      <c r="D32" s="67"/>
      <c r="E32" s="67"/>
      <c r="F32" s="67"/>
      <c r="G32" s="67"/>
      <c r="H32" s="67"/>
      <c r="I32" s="67"/>
      <c r="J32" s="67"/>
      <c r="L32" s="67"/>
      <c r="M32" s="67"/>
      <c r="N32" s="970"/>
      <c r="O32" s="67"/>
      <c r="P32" s="67"/>
      <c r="Q32" s="67"/>
      <c r="R32" s="67"/>
      <c r="T32" s="561"/>
      <c r="U32" s="211"/>
      <c r="V32" s="561"/>
      <c r="W32" s="211"/>
      <c r="X32" s="211"/>
      <c r="Y32" s="211"/>
      <c r="Z32" s="211"/>
      <c r="AA32" s="211"/>
      <c r="AB32" s="206"/>
      <c r="AC32" s="206"/>
      <c r="AD32" s="206"/>
    </row>
    <row r="33" spans="1:30" x14ac:dyDescent="0.2">
      <c r="B33" s="911" t="s">
        <v>421</v>
      </c>
      <c r="C33" s="911"/>
      <c r="D33" s="67">
        <f>+'Summary SBR-Transport'!D42+'Summary SBR-Transport'!D43</f>
        <v>179431.53815736514</v>
      </c>
      <c r="E33" s="67">
        <f>'Summary SBR-Transport'!D43</f>
        <v>116972.30847461392</v>
      </c>
      <c r="F33" s="67">
        <f>D33-E33</f>
        <v>62459.229682751218</v>
      </c>
      <c r="G33" s="67"/>
      <c r="H33" s="67"/>
      <c r="I33" s="67"/>
      <c r="J33" s="67">
        <f>ROUND(F33-G33-H33,0)</f>
        <v>62459</v>
      </c>
      <c r="L33" s="67">
        <f>J33</f>
        <v>62459</v>
      </c>
      <c r="M33" s="67">
        <f>'Sch M-1.3 Pg. 2-8'!J232</f>
        <v>62534.229682751218</v>
      </c>
      <c r="N33" s="970">
        <f>ROUND(M33/L33,0)</f>
        <v>1</v>
      </c>
      <c r="O33" s="67"/>
      <c r="P33" s="493"/>
      <c r="Q33" s="493"/>
      <c r="R33" s="493"/>
      <c r="T33" s="561"/>
      <c r="U33" s="211"/>
      <c r="V33" s="212"/>
      <c r="W33" s="211"/>
      <c r="X33" s="211"/>
      <c r="Y33" s="211"/>
      <c r="Z33" s="211"/>
      <c r="AA33" s="211"/>
      <c r="AB33" s="206"/>
      <c r="AC33" s="206"/>
      <c r="AD33" s="206"/>
    </row>
    <row r="34" spans="1:30" x14ac:dyDescent="0.2">
      <c r="B34" s="911" t="s">
        <v>788</v>
      </c>
      <c r="C34" s="911"/>
      <c r="D34" s="67">
        <f>'Summary SBR-Transport'!D44</f>
        <v>4053.82929143309</v>
      </c>
      <c r="E34" s="67"/>
      <c r="F34" s="67">
        <f>D34-E34</f>
        <v>4053.82929143309</v>
      </c>
      <c r="G34" s="67"/>
      <c r="H34" s="67"/>
      <c r="I34" s="67"/>
      <c r="J34" s="67">
        <f>ROUND(F34-G34-H34,0)</f>
        <v>4054</v>
      </c>
      <c r="L34" s="67">
        <f>J34</f>
        <v>4054</v>
      </c>
      <c r="M34" s="67">
        <f>'Sch M-1.3 Pg. 2-8'!J143</f>
        <v>4053.82929143309</v>
      </c>
      <c r="N34" s="970">
        <f>ROUND(M34/L34,0)</f>
        <v>1</v>
      </c>
      <c r="O34" s="67"/>
      <c r="P34" s="493"/>
      <c r="Q34" s="493"/>
      <c r="R34" s="493"/>
      <c r="T34" s="561"/>
      <c r="U34" s="211"/>
      <c r="V34" s="212"/>
      <c r="W34" s="211"/>
      <c r="X34" s="211"/>
      <c r="Y34" s="211"/>
      <c r="Z34" s="211"/>
      <c r="AA34" s="211"/>
      <c r="AB34" s="206"/>
      <c r="AC34" s="206"/>
      <c r="AD34" s="206"/>
    </row>
    <row r="35" spans="1:30" x14ac:dyDescent="0.2">
      <c r="B35" s="911"/>
      <c r="C35" s="911"/>
      <c r="D35" s="67"/>
      <c r="E35" s="67"/>
      <c r="F35" s="67"/>
      <c r="G35" s="67"/>
      <c r="H35" s="67"/>
      <c r="I35" s="67"/>
      <c r="J35" s="67"/>
      <c r="L35" s="67"/>
      <c r="M35" s="67"/>
      <c r="N35" s="67"/>
      <c r="O35" s="67"/>
      <c r="P35" s="493"/>
      <c r="Q35" s="493"/>
      <c r="R35" s="493"/>
      <c r="T35" s="561"/>
      <c r="U35" s="211"/>
      <c r="V35" s="212"/>
      <c r="W35" s="211"/>
      <c r="X35" s="211"/>
      <c r="Y35" s="211"/>
      <c r="Z35" s="211"/>
      <c r="AA35" s="211"/>
      <c r="AB35" s="206"/>
      <c r="AC35" s="206"/>
      <c r="AD35" s="206"/>
    </row>
    <row r="36" spans="1:30" x14ac:dyDescent="0.2">
      <c r="A36" s="215" t="s">
        <v>1012</v>
      </c>
      <c r="B36" s="206" t="s">
        <v>1203</v>
      </c>
      <c r="D36" s="67">
        <f>'Summary SBR-Transport'!D33</f>
        <v>3188812.4031799999</v>
      </c>
      <c r="E36" s="67">
        <v>858964.51280964783</v>
      </c>
      <c r="F36" s="67">
        <f>D36-E36</f>
        <v>2329847.8903703522</v>
      </c>
      <c r="G36" s="67">
        <v>0</v>
      </c>
      <c r="H36" s="67"/>
      <c r="I36" s="67">
        <v>1529.28</v>
      </c>
      <c r="J36" s="67"/>
      <c r="L36" s="493"/>
      <c r="M36" s="67"/>
      <c r="N36" s="962"/>
      <c r="O36" s="67"/>
      <c r="P36" s="67">
        <f>+'Summary SBR-Transport'!C33</f>
        <v>230791.09999999998</v>
      </c>
      <c r="Q36" s="67"/>
      <c r="R36" s="67">
        <f>P36-Q36</f>
        <v>230791.09999999998</v>
      </c>
      <c r="T36" s="561"/>
      <c r="U36" s="211"/>
      <c r="V36" s="212"/>
      <c r="W36" s="211"/>
      <c r="X36" s="211"/>
      <c r="Y36" s="211"/>
      <c r="Z36" s="211"/>
      <c r="AA36" s="211"/>
      <c r="AB36" s="206"/>
      <c r="AC36" s="206"/>
      <c r="AD36" s="206"/>
    </row>
    <row r="37" spans="1:30" x14ac:dyDescent="0.2">
      <c r="B37" s="911" t="s">
        <v>422</v>
      </c>
      <c r="C37" s="911"/>
      <c r="D37" s="919">
        <f>SUM(D36:D36)</f>
        <v>3188812.4031799999</v>
      </c>
      <c r="E37" s="919">
        <f>SUM(E36:E36)</f>
        <v>858964.51280964783</v>
      </c>
      <c r="F37" s="919">
        <f>D37-E37</f>
        <v>2329847.8903703522</v>
      </c>
      <c r="G37" s="919">
        <f>G36</f>
        <v>0</v>
      </c>
      <c r="H37" s="919"/>
      <c r="I37" s="919">
        <f>SUM(I36:I36)</f>
        <v>1529.28</v>
      </c>
      <c r="J37" s="919">
        <f>F37-G37-H37-I37</f>
        <v>2328318.6103703524</v>
      </c>
      <c r="L37" s="919">
        <f>J37</f>
        <v>2328318.6103703524</v>
      </c>
      <c r="M37" s="919">
        <f>'Sch M-1.3 Pg. 2-8'!J259</f>
        <v>2328318.6351899998</v>
      </c>
      <c r="N37" s="998">
        <f>M37/L37</f>
        <v>1.0000000106599016</v>
      </c>
      <c r="O37" s="67"/>
      <c r="P37" s="919">
        <f>SUM(P36:P36)</f>
        <v>230791.09999999998</v>
      </c>
      <c r="Q37" s="919"/>
      <c r="R37" s="919">
        <f>P37-Q37</f>
        <v>230791.09999999998</v>
      </c>
      <c r="T37" s="561"/>
      <c r="U37" s="211"/>
      <c r="V37" s="561"/>
      <c r="W37" s="211"/>
      <c r="X37" s="211"/>
      <c r="Y37" s="211"/>
      <c r="Z37" s="211"/>
      <c r="AA37" s="211"/>
      <c r="AB37" s="206"/>
      <c r="AC37" s="206"/>
      <c r="AD37" s="206"/>
    </row>
    <row r="38" spans="1:30" x14ac:dyDescent="0.2">
      <c r="B38" s="911"/>
      <c r="C38" s="911"/>
      <c r="D38" s="67"/>
      <c r="E38" s="67"/>
      <c r="F38" s="67"/>
      <c r="G38" s="67"/>
      <c r="H38" s="67"/>
      <c r="I38" s="67"/>
      <c r="J38" s="67"/>
      <c r="L38" s="67"/>
      <c r="M38" s="67"/>
      <c r="N38" s="1046"/>
      <c r="O38" s="67"/>
      <c r="P38" s="67"/>
      <c r="Q38" s="67"/>
      <c r="R38" s="67"/>
      <c r="T38" s="561"/>
      <c r="U38" s="211"/>
      <c r="V38" s="561"/>
      <c r="W38" s="211"/>
      <c r="X38" s="211"/>
      <c r="Y38" s="211"/>
      <c r="Z38" s="211"/>
      <c r="AA38" s="211"/>
      <c r="AB38" s="206"/>
      <c r="AC38" s="206"/>
      <c r="AD38" s="206"/>
    </row>
    <row r="39" spans="1:30" x14ac:dyDescent="0.2">
      <c r="A39" s="215" t="s">
        <v>1013</v>
      </c>
      <c r="B39" s="206" t="s">
        <v>1202</v>
      </c>
      <c r="D39" s="67">
        <f>'Summary SBR-Transport'!D34+'Summary SBR-Transport'!D35</f>
        <v>914540.50253000006</v>
      </c>
      <c r="E39" s="67">
        <v>5738.9299999999994</v>
      </c>
      <c r="F39" s="67">
        <f>D39-E39</f>
        <v>908801.57253</v>
      </c>
      <c r="G39" s="67">
        <v>0</v>
      </c>
      <c r="H39" s="67"/>
      <c r="I39" s="67"/>
      <c r="J39" s="67"/>
      <c r="L39" s="493"/>
      <c r="M39" s="67"/>
      <c r="N39" s="962"/>
      <c r="O39" s="67"/>
      <c r="P39" s="67">
        <f>+'Summary SBR-Transport'!C35</f>
        <v>835384.6</v>
      </c>
      <c r="Q39" s="67"/>
      <c r="R39" s="67">
        <f>P39-Q39</f>
        <v>835384.6</v>
      </c>
      <c r="T39" s="561"/>
      <c r="U39" s="211"/>
      <c r="V39" s="561"/>
      <c r="W39" s="211"/>
      <c r="X39" s="211"/>
      <c r="Y39" s="211"/>
      <c r="Z39" s="211"/>
      <c r="AA39" s="211"/>
      <c r="AB39" s="206"/>
      <c r="AC39" s="206"/>
      <c r="AD39" s="206"/>
    </row>
    <row r="40" spans="1:30" x14ac:dyDescent="0.2">
      <c r="B40" s="911" t="s">
        <v>422</v>
      </c>
      <c r="C40" s="911"/>
      <c r="D40" s="919">
        <f>SUM(D39:D39)</f>
        <v>914540.50253000006</v>
      </c>
      <c r="E40" s="919">
        <f>SUM(E39:E39)</f>
        <v>5738.9299999999994</v>
      </c>
      <c r="F40" s="919">
        <f>D40-E40</f>
        <v>908801.57253</v>
      </c>
      <c r="G40" s="919"/>
      <c r="H40" s="919"/>
      <c r="I40" s="919"/>
      <c r="J40" s="919">
        <f>F40-G40-H40-I40</f>
        <v>908801.57253</v>
      </c>
      <c r="L40" s="919">
        <f>J40</f>
        <v>908801.57253</v>
      </c>
      <c r="M40" s="919">
        <f>'Sch M-1.3 Pg. 2-8'!J289</f>
        <v>908801.57462000009</v>
      </c>
      <c r="N40" s="998">
        <f>M40/L40</f>
        <v>1.000000002299732</v>
      </c>
      <c r="O40" s="67"/>
      <c r="P40" s="919">
        <f>SUM(P39:P39)</f>
        <v>835384.6</v>
      </c>
      <c r="Q40" s="919"/>
      <c r="R40" s="919">
        <f>P40-Q40</f>
        <v>835384.6</v>
      </c>
      <c r="T40" s="561"/>
      <c r="U40" s="211"/>
      <c r="V40" s="561"/>
      <c r="W40" s="211"/>
      <c r="X40" s="211"/>
      <c r="Y40" s="211"/>
      <c r="Z40" s="211"/>
      <c r="AA40" s="211"/>
      <c r="AB40" s="206"/>
      <c r="AC40" s="206"/>
      <c r="AD40" s="206"/>
    </row>
    <row r="41" spans="1:30" x14ac:dyDescent="0.2">
      <c r="B41" s="911"/>
      <c r="C41" s="911"/>
      <c r="D41" s="67"/>
      <c r="E41" s="67"/>
      <c r="F41" s="67"/>
      <c r="G41" s="67"/>
      <c r="H41" s="67"/>
      <c r="I41" s="67"/>
      <c r="J41" s="67"/>
      <c r="L41" s="67"/>
      <c r="M41" s="67"/>
      <c r="N41" s="1046"/>
      <c r="O41" s="67"/>
      <c r="P41" s="67"/>
      <c r="Q41" s="67"/>
      <c r="R41" s="67"/>
      <c r="T41" s="561"/>
      <c r="U41" s="211"/>
      <c r="V41" s="561"/>
      <c r="W41" s="211"/>
      <c r="X41" s="211"/>
      <c r="Y41" s="211"/>
      <c r="Z41" s="211"/>
      <c r="AA41" s="211"/>
      <c r="AB41" s="206"/>
      <c r="AC41" s="206"/>
      <c r="AD41" s="206"/>
    </row>
    <row r="42" spans="1:30" x14ac:dyDescent="0.2">
      <c r="B42" s="206" t="s">
        <v>423</v>
      </c>
      <c r="D42" s="919">
        <f t="shared" ref="D42:J42" si="1">D11+D15+D19+D23+D26+D30+D33+D34+D37+D40</f>
        <v>324516676.81299007</v>
      </c>
      <c r="E42" s="919">
        <f t="shared" si="1"/>
        <v>134518085.37424123</v>
      </c>
      <c r="F42" s="919">
        <f t="shared" si="1"/>
        <v>189998591.43874884</v>
      </c>
      <c r="G42" s="919">
        <f t="shared" si="1"/>
        <v>3132375.1930088392</v>
      </c>
      <c r="H42" s="919">
        <f t="shared" si="1"/>
        <v>3053269.87</v>
      </c>
      <c r="I42" s="919">
        <f t="shared" si="1"/>
        <v>27518513.635940224</v>
      </c>
      <c r="J42" s="919">
        <f t="shared" si="1"/>
        <v>156294432.81162637</v>
      </c>
      <c r="L42" s="919">
        <f>J42</f>
        <v>156294432.81162637</v>
      </c>
      <c r="M42" s="919">
        <f ca="1">M11+M15+M19+M23+M26+M30+M33+M34+M37+M40</f>
        <v>156297995.54163313</v>
      </c>
      <c r="N42" s="998">
        <f ca="1">M42/L42</f>
        <v>1.0000227949898322</v>
      </c>
      <c r="O42" s="67"/>
      <c r="P42" s="919">
        <f>P11+P15+P19+P23+P26+P30+P33+P34+P37+P40</f>
        <v>46914127.17022793</v>
      </c>
      <c r="Q42" s="919">
        <f>Q11+Q15+Q19+Q23+Q26+Q30+Q33+Q34+Q37+Q40</f>
        <v>0</v>
      </c>
      <c r="R42" s="919">
        <f>R11+R15+R19+R23+R26+R30+R33+R34+R37+R40</f>
        <v>46914119.67022793</v>
      </c>
      <c r="T42" s="561"/>
      <c r="U42" s="211"/>
      <c r="V42" s="561"/>
      <c r="W42" s="211"/>
      <c r="X42" s="211"/>
      <c r="Y42" s="211"/>
      <c r="Z42" s="211"/>
      <c r="AA42" s="211"/>
      <c r="AB42" s="206"/>
      <c r="AC42" s="206"/>
      <c r="AD42" s="206"/>
    </row>
    <row r="43" spans="1:30" x14ac:dyDescent="0.2">
      <c r="D43" s="493"/>
      <c r="E43" s="493"/>
      <c r="F43" s="493"/>
      <c r="G43" s="493"/>
      <c r="H43" s="493"/>
      <c r="I43" s="493"/>
      <c r="J43" s="920"/>
      <c r="K43" s="913"/>
      <c r="L43" s="493"/>
      <c r="M43" s="493"/>
      <c r="N43" s="493"/>
      <c r="O43" s="493"/>
      <c r="P43" s="67"/>
      <c r="Q43" s="67"/>
      <c r="R43" s="67"/>
      <c r="T43" s="561"/>
      <c r="U43" s="211"/>
      <c r="V43" s="211"/>
      <c r="W43" s="211"/>
      <c r="X43" s="211"/>
      <c r="Y43" s="211"/>
      <c r="Z43" s="211"/>
      <c r="AA43" s="211"/>
      <c r="AB43" s="206"/>
      <c r="AC43" s="206"/>
      <c r="AD43" s="206"/>
    </row>
    <row r="44" spans="1:30" x14ac:dyDescent="0.2">
      <c r="B44" s="906"/>
      <c r="C44" s="906"/>
      <c r="D44" s="493"/>
      <c r="E44" s="493"/>
      <c r="F44" s="493"/>
      <c r="G44" s="493"/>
      <c r="H44" s="493"/>
      <c r="I44" s="493"/>
      <c r="J44" s="493"/>
      <c r="K44" s="913"/>
      <c r="L44" s="493"/>
      <c r="M44" s="493"/>
      <c r="N44" s="493"/>
      <c r="O44" s="493"/>
      <c r="P44" s="67"/>
      <c r="Q44" s="67"/>
      <c r="R44" s="67"/>
      <c r="T44" s="211"/>
      <c r="U44" s="211"/>
      <c r="V44" s="211"/>
      <c r="W44" s="211"/>
      <c r="X44" s="211"/>
      <c r="Y44" s="211"/>
      <c r="Z44" s="211"/>
      <c r="AA44" s="211"/>
      <c r="AB44" s="206"/>
      <c r="AC44" s="206"/>
      <c r="AD44" s="206"/>
    </row>
    <row r="45" spans="1:30" x14ac:dyDescent="0.2">
      <c r="D45" s="493"/>
      <c r="E45" s="493"/>
      <c r="F45" s="493"/>
      <c r="G45" s="493"/>
      <c r="H45" s="493"/>
      <c r="I45" s="493"/>
      <c r="J45" s="493"/>
      <c r="L45" s="493"/>
      <c r="M45" s="493"/>
      <c r="N45" s="493"/>
      <c r="O45" s="493"/>
      <c r="P45" s="67"/>
      <c r="Q45" s="67"/>
      <c r="R45" s="67"/>
      <c r="Z45" s="206"/>
      <c r="AA45" s="206"/>
      <c r="AB45" s="206"/>
      <c r="AC45" s="206"/>
      <c r="AD45" s="206"/>
    </row>
    <row r="46" spans="1:30" x14ac:dyDescent="0.2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Z46" s="206"/>
      <c r="AA46" s="206"/>
      <c r="AB46" s="206"/>
      <c r="AC46" s="206"/>
      <c r="AD46" s="206"/>
    </row>
    <row r="47" spans="1:30" x14ac:dyDescent="0.2">
      <c r="B47" s="215"/>
      <c r="C47" s="215"/>
      <c r="D47" s="493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Z47" s="206"/>
      <c r="AA47" s="206"/>
      <c r="AB47" s="206"/>
      <c r="AC47" s="206"/>
      <c r="AD47" s="206"/>
    </row>
    <row r="48" spans="1:30" x14ac:dyDescent="0.2">
      <c r="B48" s="215"/>
      <c r="C48" s="215"/>
      <c r="D48" s="493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Z48" s="206"/>
      <c r="AA48" s="206"/>
      <c r="AB48" s="206"/>
      <c r="AC48" s="206"/>
      <c r="AD48" s="206"/>
    </row>
    <row r="49" spans="2:30" x14ac:dyDescent="0.2">
      <c r="B49" s="215"/>
      <c r="C49" s="215"/>
      <c r="D49" s="504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Z49" s="206"/>
      <c r="AA49" s="206"/>
      <c r="AB49" s="206"/>
      <c r="AC49" s="206"/>
      <c r="AD49" s="206"/>
    </row>
    <row r="50" spans="2:30" x14ac:dyDescent="0.2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Z50" s="206"/>
      <c r="AA50" s="206"/>
      <c r="AB50" s="206"/>
      <c r="AC50" s="206"/>
      <c r="AD50" s="206"/>
    </row>
    <row r="51" spans="2:30" x14ac:dyDescent="0.2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Z51" s="206"/>
      <c r="AA51" s="206"/>
      <c r="AB51" s="206"/>
      <c r="AC51" s="206"/>
      <c r="AD51" s="206"/>
    </row>
    <row r="52" spans="2:30" x14ac:dyDescent="0.2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Z52" s="206"/>
      <c r="AA52" s="206"/>
      <c r="AB52" s="206"/>
      <c r="AC52" s="206"/>
      <c r="AD52" s="206"/>
    </row>
    <row r="53" spans="2:30" x14ac:dyDescent="0.2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Z53" s="206"/>
      <c r="AA53" s="206"/>
      <c r="AB53" s="206"/>
      <c r="AC53" s="206"/>
      <c r="AD53" s="206"/>
    </row>
    <row r="54" spans="2:30" x14ac:dyDescent="0.2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Z54" s="206"/>
      <c r="AA54" s="206"/>
      <c r="AB54" s="206"/>
      <c r="AC54" s="206"/>
      <c r="AD54" s="206"/>
    </row>
    <row r="55" spans="2:30" x14ac:dyDescent="0.2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</row>
    <row r="56" spans="2:30" x14ac:dyDescent="0.2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1"/>
      <c r="V56" s="211"/>
      <c r="W56" s="211"/>
      <c r="X56" s="211"/>
      <c r="Y56" s="211"/>
      <c r="Z56" s="211"/>
      <c r="AA56" s="211"/>
      <c r="AB56" s="211"/>
      <c r="AC56" s="211"/>
      <c r="AD56" s="211"/>
    </row>
    <row r="57" spans="2:30" x14ac:dyDescent="0.2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1"/>
      <c r="V57" s="211"/>
      <c r="W57" s="211"/>
      <c r="X57" s="211"/>
      <c r="Y57" s="211"/>
      <c r="Z57" s="211"/>
      <c r="AA57" s="211"/>
      <c r="AB57" s="211"/>
      <c r="AC57" s="211"/>
      <c r="AD57" s="211"/>
    </row>
    <row r="58" spans="2:30" x14ac:dyDescent="0.2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</row>
    <row r="59" spans="2:30" x14ac:dyDescent="0.2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1"/>
      <c r="V59" s="211"/>
      <c r="W59" s="211"/>
      <c r="X59" s="211"/>
      <c r="Y59" s="211"/>
      <c r="Z59" s="211"/>
      <c r="AA59" s="211"/>
      <c r="AB59" s="211"/>
      <c r="AC59" s="211"/>
      <c r="AD59" s="211"/>
    </row>
    <row r="60" spans="2:30" x14ac:dyDescent="0.2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</row>
    <row r="61" spans="2:30" x14ac:dyDescent="0.2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</row>
    <row r="62" spans="2:30" x14ac:dyDescent="0.2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</row>
    <row r="63" spans="2:30" x14ac:dyDescent="0.2"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</row>
    <row r="64" spans="2:30" x14ac:dyDescent="0.2"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</row>
    <row r="65" spans="2:30" x14ac:dyDescent="0.2"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</row>
    <row r="66" spans="2:30" x14ac:dyDescent="0.2">
      <c r="B66" s="215"/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</row>
    <row r="67" spans="2:30" x14ac:dyDescent="0.2"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</row>
    <row r="68" spans="2:30" x14ac:dyDescent="0.2">
      <c r="B68" s="215"/>
      <c r="C68" s="215"/>
      <c r="D68" s="215"/>
      <c r="E68" s="215"/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</row>
    <row r="69" spans="2:30" x14ac:dyDescent="0.2"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1"/>
      <c r="V69" s="211"/>
      <c r="W69" s="211"/>
      <c r="X69" s="211"/>
      <c r="Y69" s="211"/>
      <c r="Z69" s="211"/>
      <c r="AA69" s="211"/>
      <c r="AB69" s="211"/>
      <c r="AC69" s="211"/>
      <c r="AD69" s="211"/>
    </row>
    <row r="70" spans="2:30" x14ac:dyDescent="0.2"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1"/>
      <c r="V70" s="211"/>
      <c r="W70" s="211"/>
      <c r="X70" s="211"/>
      <c r="Y70" s="211"/>
      <c r="Z70" s="211"/>
      <c r="AA70" s="211"/>
      <c r="AB70" s="211"/>
      <c r="AC70" s="211"/>
      <c r="AD70" s="211"/>
    </row>
    <row r="71" spans="2:30" x14ac:dyDescent="0.2"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1"/>
      <c r="V71" s="211"/>
      <c r="W71" s="211"/>
      <c r="X71" s="211"/>
      <c r="Y71" s="211"/>
      <c r="Z71" s="211"/>
      <c r="AA71" s="211"/>
      <c r="AB71" s="211"/>
      <c r="AC71" s="211"/>
      <c r="AD71" s="211"/>
    </row>
    <row r="72" spans="2:30" x14ac:dyDescent="0.2"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Z72" s="206"/>
      <c r="AA72" s="206"/>
      <c r="AB72" s="206"/>
      <c r="AC72" s="206"/>
      <c r="AD72" s="206"/>
    </row>
    <row r="73" spans="2:30" x14ac:dyDescent="0.2"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  <c r="Q73" s="215"/>
      <c r="R73" s="215"/>
      <c r="S73" s="215"/>
      <c r="T73" s="215"/>
      <c r="Z73" s="206"/>
      <c r="AA73" s="206"/>
      <c r="AB73" s="206"/>
      <c r="AC73" s="206"/>
      <c r="AD73" s="206"/>
    </row>
    <row r="74" spans="2:30" x14ac:dyDescent="0.2"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  <c r="N74" s="215"/>
      <c r="O74" s="215"/>
      <c r="P74" s="215"/>
      <c r="Q74" s="215"/>
      <c r="R74" s="215"/>
      <c r="S74" s="215"/>
      <c r="T74" s="215"/>
      <c r="Z74" s="206"/>
      <c r="AA74" s="206"/>
      <c r="AB74" s="206"/>
      <c r="AC74" s="206"/>
      <c r="AD74" s="206"/>
    </row>
    <row r="75" spans="2:30" x14ac:dyDescent="0.2">
      <c r="B75" s="215"/>
      <c r="C75" s="215"/>
      <c r="D75" s="215"/>
      <c r="E75" s="215"/>
      <c r="F75" s="215"/>
      <c r="G75" s="215"/>
      <c r="H75" s="215"/>
      <c r="I75" s="215"/>
      <c r="J75" s="215"/>
      <c r="K75" s="215"/>
      <c r="L75" s="215"/>
      <c r="M75" s="215"/>
      <c r="N75" s="215"/>
      <c r="O75" s="215"/>
      <c r="P75" s="215"/>
      <c r="Q75" s="215"/>
      <c r="R75" s="215"/>
      <c r="S75" s="215"/>
      <c r="T75" s="215"/>
      <c r="Z75" s="206"/>
      <c r="AA75" s="206"/>
      <c r="AB75" s="206"/>
      <c r="AC75" s="206"/>
      <c r="AD75" s="206"/>
    </row>
    <row r="76" spans="2:30" x14ac:dyDescent="0.2">
      <c r="B76" s="215"/>
      <c r="C76" s="215"/>
      <c r="D76" s="215"/>
      <c r="E76" s="215"/>
      <c r="F76" s="215"/>
      <c r="G76" s="215"/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Z76" s="206"/>
      <c r="AA76" s="206"/>
      <c r="AB76" s="206"/>
      <c r="AC76" s="206"/>
      <c r="AD76" s="206"/>
    </row>
    <row r="77" spans="2:30" x14ac:dyDescent="0.2">
      <c r="B77" s="215"/>
      <c r="C77" s="215"/>
      <c r="D77" s="215"/>
      <c r="E77" s="215"/>
      <c r="F77" s="215"/>
      <c r="G77" s="215"/>
      <c r="H77" s="215"/>
      <c r="I77" s="215"/>
      <c r="J77" s="215"/>
      <c r="K77" s="215"/>
      <c r="L77" s="215"/>
      <c r="M77" s="215"/>
      <c r="N77" s="215"/>
      <c r="O77" s="215"/>
      <c r="P77" s="215"/>
      <c r="Q77" s="215"/>
      <c r="R77" s="215"/>
      <c r="S77" s="215"/>
      <c r="T77" s="215"/>
      <c r="Z77" s="206"/>
      <c r="AA77" s="206"/>
      <c r="AB77" s="206"/>
      <c r="AC77" s="206"/>
      <c r="AD77" s="206"/>
    </row>
    <row r="78" spans="2:30" x14ac:dyDescent="0.2">
      <c r="B78" s="215"/>
      <c r="C78" s="215"/>
      <c r="D78" s="215"/>
      <c r="E78" s="215"/>
      <c r="F78" s="215"/>
      <c r="G78" s="215"/>
      <c r="H78" s="215"/>
      <c r="I78" s="215"/>
      <c r="J78" s="215"/>
      <c r="K78" s="215"/>
      <c r="L78" s="215"/>
      <c r="M78" s="215"/>
      <c r="N78" s="215"/>
      <c r="O78" s="215"/>
      <c r="P78" s="215"/>
      <c r="Q78" s="215"/>
      <c r="R78" s="215"/>
      <c r="S78" s="215"/>
      <c r="T78" s="215"/>
      <c r="Z78" s="206"/>
      <c r="AA78" s="206"/>
      <c r="AB78" s="206"/>
      <c r="AC78" s="206"/>
      <c r="AD78" s="206"/>
    </row>
    <row r="79" spans="2:30" x14ac:dyDescent="0.2">
      <c r="B79" s="215"/>
      <c r="C79" s="215"/>
      <c r="D79" s="215"/>
      <c r="E79" s="215"/>
      <c r="F79" s="215"/>
      <c r="G79" s="215"/>
      <c r="H79" s="215"/>
      <c r="I79" s="215"/>
      <c r="J79" s="215"/>
      <c r="K79" s="215"/>
      <c r="L79" s="215"/>
      <c r="M79" s="215"/>
      <c r="N79" s="215"/>
      <c r="O79" s="215"/>
      <c r="P79" s="215"/>
      <c r="Q79" s="215"/>
      <c r="R79" s="215"/>
      <c r="S79" s="215"/>
      <c r="T79" s="215"/>
      <c r="Z79" s="206"/>
      <c r="AA79" s="206"/>
      <c r="AB79" s="206"/>
      <c r="AC79" s="206"/>
      <c r="AD79" s="206"/>
    </row>
    <row r="80" spans="2:30" x14ac:dyDescent="0.2">
      <c r="B80" s="215"/>
      <c r="C80" s="215"/>
      <c r="D80" s="215"/>
      <c r="E80" s="215"/>
      <c r="F80" s="215"/>
      <c r="G80" s="215"/>
      <c r="H80" s="215"/>
      <c r="I80" s="215"/>
      <c r="J80" s="215"/>
      <c r="K80" s="215"/>
      <c r="L80" s="215"/>
      <c r="M80" s="215"/>
      <c r="N80" s="215"/>
      <c r="O80" s="215"/>
      <c r="P80" s="215"/>
      <c r="Q80" s="215"/>
      <c r="R80" s="215"/>
      <c r="S80" s="215"/>
      <c r="T80" s="215"/>
      <c r="Z80" s="206"/>
      <c r="AA80" s="206"/>
      <c r="AB80" s="206"/>
      <c r="AC80" s="206"/>
      <c r="AD80" s="206"/>
    </row>
    <row r="81" spans="1:30" x14ac:dyDescent="0.2">
      <c r="A81" s="915"/>
      <c r="B81" s="916"/>
      <c r="C81" s="916"/>
      <c r="D81" s="561"/>
      <c r="E81" s="561"/>
      <c r="Z81" s="206"/>
      <c r="AA81" s="206"/>
      <c r="AB81" s="206"/>
      <c r="AC81" s="206"/>
      <c r="AD81" s="206"/>
    </row>
    <row r="82" spans="1:30" x14ac:dyDescent="0.2">
      <c r="A82" s="915"/>
      <c r="B82" s="211"/>
      <c r="C82" s="211"/>
      <c r="D82" s="917"/>
      <c r="E82" s="561"/>
      <c r="Z82" s="206"/>
      <c r="AA82" s="206"/>
      <c r="AB82" s="206"/>
      <c r="AC82" s="206"/>
      <c r="AD82" s="206"/>
    </row>
    <row r="83" spans="1:30" x14ac:dyDescent="0.2">
      <c r="A83" s="915"/>
      <c r="B83" s="211"/>
      <c r="C83" s="211"/>
      <c r="D83" s="917"/>
      <c r="E83" s="561"/>
      <c r="Z83" s="206"/>
      <c r="AA83" s="206"/>
      <c r="AB83" s="206"/>
      <c r="AC83" s="206"/>
      <c r="AD83" s="206"/>
    </row>
    <row r="84" spans="1:30" x14ac:dyDescent="0.2">
      <c r="A84" s="915"/>
      <c r="B84" s="211"/>
      <c r="C84" s="211"/>
      <c r="D84" s="917"/>
      <c r="E84" s="561"/>
      <c r="Z84" s="206"/>
      <c r="AA84" s="206"/>
      <c r="AB84" s="206"/>
      <c r="AC84" s="206"/>
      <c r="AD84" s="206"/>
    </row>
    <row r="85" spans="1:30" x14ac:dyDescent="0.2">
      <c r="A85" s="915"/>
      <c r="B85" s="211"/>
      <c r="C85" s="211"/>
      <c r="D85" s="917"/>
      <c r="E85" s="561"/>
      <c r="Z85" s="206"/>
      <c r="AA85" s="206"/>
      <c r="AB85" s="206"/>
      <c r="AC85" s="206"/>
      <c r="AD85" s="206"/>
    </row>
    <row r="86" spans="1:30" x14ac:dyDescent="0.2">
      <c r="A86" s="915"/>
      <c r="B86" s="211"/>
      <c r="C86" s="211"/>
      <c r="D86" s="917"/>
      <c r="E86" s="561"/>
      <c r="Z86" s="206"/>
      <c r="AA86" s="206"/>
      <c r="AB86" s="206"/>
      <c r="AC86" s="206"/>
      <c r="AD86" s="206"/>
    </row>
    <row r="87" spans="1:30" x14ac:dyDescent="0.2">
      <c r="A87" s="915"/>
      <c r="B87" s="211"/>
      <c r="C87" s="211"/>
      <c r="D87" s="917"/>
      <c r="E87" s="561"/>
      <c r="Z87" s="206"/>
      <c r="AA87" s="206"/>
      <c r="AB87" s="206"/>
      <c r="AC87" s="206"/>
      <c r="AD87" s="206"/>
    </row>
    <row r="88" spans="1:30" x14ac:dyDescent="0.2">
      <c r="A88" s="915"/>
      <c r="B88" s="211"/>
      <c r="C88" s="211"/>
      <c r="D88" s="917"/>
      <c r="E88" s="561"/>
      <c r="Z88" s="206"/>
      <c r="AA88" s="206"/>
      <c r="AB88" s="206"/>
      <c r="AC88" s="206"/>
      <c r="AD88" s="206"/>
    </row>
    <row r="89" spans="1:30" x14ac:dyDescent="0.2">
      <c r="A89" s="915"/>
      <c r="B89" s="211"/>
      <c r="C89" s="211"/>
      <c r="D89" s="917"/>
      <c r="E89" s="561"/>
      <c r="Z89" s="206"/>
      <c r="AA89" s="206"/>
      <c r="AB89" s="206"/>
      <c r="AC89" s="206"/>
      <c r="AD89" s="206"/>
    </row>
    <row r="90" spans="1:30" x14ac:dyDescent="0.2">
      <c r="A90" s="915"/>
      <c r="B90" s="211"/>
      <c r="C90" s="211"/>
      <c r="D90" s="917"/>
      <c r="E90" s="561"/>
      <c r="Z90" s="206"/>
      <c r="AA90" s="206"/>
      <c r="AB90" s="206"/>
      <c r="AC90" s="206"/>
      <c r="AD90" s="206"/>
    </row>
    <row r="91" spans="1:30" x14ac:dyDescent="0.2">
      <c r="A91" s="915"/>
      <c r="B91" s="211"/>
      <c r="C91" s="211"/>
      <c r="D91" s="917"/>
      <c r="E91" s="561"/>
      <c r="Z91" s="206"/>
      <c r="AA91" s="206"/>
      <c r="AB91" s="206"/>
      <c r="AC91" s="206"/>
      <c r="AD91" s="206"/>
    </row>
    <row r="92" spans="1:30" x14ac:dyDescent="0.2">
      <c r="A92" s="915"/>
      <c r="B92" s="211"/>
      <c r="C92" s="211"/>
      <c r="D92" s="917"/>
      <c r="E92" s="561"/>
      <c r="Z92" s="206"/>
      <c r="AA92" s="206"/>
      <c r="AB92" s="206"/>
      <c r="AC92" s="206"/>
      <c r="AD92" s="206"/>
    </row>
    <row r="93" spans="1:30" x14ac:dyDescent="0.2">
      <c r="A93" s="915"/>
      <c r="B93" s="211"/>
      <c r="C93" s="211"/>
      <c r="D93" s="561"/>
      <c r="E93" s="561"/>
      <c r="Z93" s="206"/>
      <c r="AA93" s="206"/>
      <c r="AB93" s="206"/>
      <c r="AC93" s="206"/>
      <c r="AD93" s="206"/>
    </row>
    <row r="94" spans="1:30" x14ac:dyDescent="0.2">
      <c r="A94" s="915"/>
      <c r="B94" s="561"/>
      <c r="C94" s="561"/>
      <c r="D94" s="561"/>
      <c r="E94" s="561"/>
      <c r="Z94" s="206"/>
      <c r="AA94" s="206"/>
      <c r="AB94" s="206"/>
      <c r="AC94" s="206"/>
      <c r="AD94" s="206"/>
    </row>
    <row r="95" spans="1:30" x14ac:dyDescent="0.2">
      <c r="Z95" s="206"/>
      <c r="AA95" s="206"/>
      <c r="AB95" s="206"/>
      <c r="AC95" s="206"/>
      <c r="AD95" s="206"/>
    </row>
    <row r="96" spans="1:30" x14ac:dyDescent="0.2">
      <c r="Z96" s="206"/>
      <c r="AA96" s="206"/>
      <c r="AB96" s="206"/>
      <c r="AC96" s="206"/>
      <c r="AD96" s="206"/>
    </row>
    <row r="97" spans="26:30" x14ac:dyDescent="0.2">
      <c r="Z97" s="206"/>
      <c r="AA97" s="206"/>
      <c r="AB97" s="206"/>
      <c r="AC97" s="206"/>
      <c r="AD97" s="206"/>
    </row>
    <row r="98" spans="26:30" x14ac:dyDescent="0.2">
      <c r="Z98" s="206"/>
      <c r="AA98" s="206"/>
      <c r="AB98" s="206"/>
      <c r="AC98" s="206"/>
      <c r="AD98" s="206"/>
    </row>
    <row r="99" spans="26:30" x14ac:dyDescent="0.2">
      <c r="Z99" s="206"/>
      <c r="AA99" s="206"/>
      <c r="AB99" s="206"/>
      <c r="AC99" s="206"/>
      <c r="AD99" s="206"/>
    </row>
    <row r="100" spans="26:30" x14ac:dyDescent="0.2">
      <c r="Z100" s="206"/>
      <c r="AA100" s="206"/>
      <c r="AB100" s="206"/>
      <c r="AC100" s="206"/>
      <c r="AD100" s="206"/>
    </row>
    <row r="101" spans="26:30" x14ac:dyDescent="0.2">
      <c r="Z101" s="206"/>
      <c r="AA101" s="206"/>
      <c r="AB101" s="206"/>
      <c r="AC101" s="206"/>
      <c r="AD101" s="206"/>
    </row>
    <row r="102" spans="26:30" x14ac:dyDescent="0.2">
      <c r="Z102" s="206"/>
      <c r="AA102" s="206"/>
      <c r="AB102" s="206"/>
      <c r="AC102" s="206"/>
      <c r="AD102" s="206"/>
    </row>
    <row r="103" spans="26:30" x14ac:dyDescent="0.2">
      <c r="Z103" s="206"/>
      <c r="AA103" s="206"/>
      <c r="AB103" s="206"/>
      <c r="AC103" s="206"/>
      <c r="AD103" s="206"/>
    </row>
    <row r="104" spans="26:30" x14ac:dyDescent="0.2">
      <c r="Z104" s="206"/>
      <c r="AA104" s="206"/>
      <c r="AB104" s="206"/>
      <c r="AC104" s="206"/>
      <c r="AD104" s="206"/>
    </row>
    <row r="105" spans="26:30" x14ac:dyDescent="0.2">
      <c r="Z105" s="206"/>
      <c r="AA105" s="206"/>
      <c r="AB105" s="206"/>
      <c r="AC105" s="206"/>
      <c r="AD105" s="206"/>
    </row>
    <row r="106" spans="26:30" x14ac:dyDescent="0.2">
      <c r="Z106" s="206"/>
      <c r="AA106" s="206"/>
      <c r="AB106" s="206"/>
      <c r="AC106" s="206"/>
      <c r="AD106" s="206"/>
    </row>
    <row r="107" spans="26:30" x14ac:dyDescent="0.2">
      <c r="Z107" s="206"/>
      <c r="AA107" s="206"/>
      <c r="AB107" s="206"/>
      <c r="AC107" s="206"/>
      <c r="AD107" s="206"/>
    </row>
    <row r="108" spans="26:30" x14ac:dyDescent="0.2">
      <c r="Z108" s="206"/>
      <c r="AA108" s="206"/>
      <c r="AB108" s="206"/>
      <c r="AC108" s="206"/>
      <c r="AD108" s="206"/>
    </row>
    <row r="109" spans="26:30" x14ac:dyDescent="0.2">
      <c r="Z109" s="206"/>
      <c r="AA109" s="206"/>
      <c r="AB109" s="206"/>
      <c r="AC109" s="206"/>
      <c r="AD109" s="206"/>
    </row>
  </sheetData>
  <pageMargins left="0.75" right="0.75" top="1" bottom="0.5" header="0.25" footer="0.25"/>
  <pageSetup scale="44" orientation="landscape" r:id="rId1"/>
  <headerFooter>
    <oddHeader>&amp;C&amp;"Times New Roman,Bold"&amp;10Louisville Gas and Electric Company
Case No. 2016-00371
Summary of Base Period Revenues
Base Period Sales for the Twelve Months Ended February 28, 2015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6" tint="0.39997558519241921"/>
  </sheetPr>
  <dimension ref="A1:I136"/>
  <sheetViews>
    <sheetView workbookViewId="0">
      <selection activeCell="A7" sqref="A7"/>
    </sheetView>
  </sheetViews>
  <sheetFormatPr defaultRowHeight="15" x14ac:dyDescent="0.25"/>
  <cols>
    <col min="1" max="1" width="44.85546875" style="608" customWidth="1"/>
    <col min="2" max="2" width="9.140625" style="608"/>
    <col min="3" max="3" width="6.7109375" style="608" customWidth="1"/>
    <col min="4" max="4" width="18.140625" style="608" bestFit="1" customWidth="1"/>
    <col min="5" max="9" width="17.7109375" style="608" customWidth="1"/>
    <col min="10" max="13" width="9.140625" style="608"/>
    <col min="14" max="15" width="16.28515625" style="608" bestFit="1" customWidth="1"/>
    <col min="16" max="16384" width="9.140625" style="608"/>
  </cols>
  <sheetData>
    <row r="1" spans="1:9" ht="16.5" customHeight="1" x14ac:dyDescent="0.25">
      <c r="A1" s="282"/>
      <c r="B1" s="283"/>
      <c r="C1" s="283"/>
      <c r="D1" s="283"/>
    </row>
    <row r="2" spans="1:9" ht="16.5" customHeight="1" x14ac:dyDescent="0.25">
      <c r="A2" s="283"/>
      <c r="B2" s="283"/>
      <c r="C2" s="283"/>
      <c r="D2" s="283"/>
    </row>
    <row r="3" spans="1:9" ht="16.5" customHeight="1" x14ac:dyDescent="0.25">
      <c r="A3" s="283"/>
      <c r="B3" s="283"/>
      <c r="C3" s="283"/>
      <c r="D3" s="284"/>
    </row>
    <row r="4" spans="1:9" ht="16.5" customHeight="1" x14ac:dyDescent="0.25">
      <c r="A4" s="282"/>
      <c r="B4" s="282"/>
      <c r="C4" s="282"/>
      <c r="D4" s="284" t="s">
        <v>821</v>
      </c>
      <c r="E4" s="284" t="str">
        <f>$D$4</f>
        <v xml:space="preserve">Actual </v>
      </c>
      <c r="F4" s="284" t="str">
        <f>$D$4</f>
        <v xml:space="preserve">Actual </v>
      </c>
      <c r="G4" s="284" t="str">
        <f>$D$4</f>
        <v xml:space="preserve">Actual </v>
      </c>
      <c r="H4" s="284" t="str">
        <f>$D$4</f>
        <v xml:space="preserve">Actual </v>
      </c>
      <c r="I4" s="284" t="str">
        <f>$D$4</f>
        <v xml:space="preserve">Actual </v>
      </c>
    </row>
    <row r="5" spans="1:9" ht="16.5" customHeight="1" x14ac:dyDescent="0.25">
      <c r="A5" s="285" t="s">
        <v>241</v>
      </c>
      <c r="B5" s="283"/>
      <c r="C5" s="283"/>
      <c r="D5" s="590" t="s">
        <v>975</v>
      </c>
      <c r="E5" s="591">
        <f>EDATE(D5,1)</f>
        <v>42461</v>
      </c>
      <c r="F5" s="591">
        <f>EDATE(E5,1)</f>
        <v>42491</v>
      </c>
      <c r="G5" s="591">
        <f>EDATE(F5,1)</f>
        <v>42522</v>
      </c>
      <c r="H5" s="591">
        <f>EDATE(G5,1)</f>
        <v>42552</v>
      </c>
      <c r="I5" s="591">
        <f>EDATE(H5,1)</f>
        <v>42583</v>
      </c>
    </row>
    <row r="6" spans="1:9" ht="16.5" customHeight="1" x14ac:dyDescent="0.25">
      <c r="A6" s="286"/>
      <c r="B6" s="283"/>
      <c r="C6" s="283"/>
      <c r="D6" s="286"/>
    </row>
    <row r="7" spans="1:9" ht="16.5" customHeight="1" x14ac:dyDescent="0.25">
      <c r="A7" s="283" t="s">
        <v>242</v>
      </c>
      <c r="B7" s="283"/>
      <c r="C7" s="283"/>
      <c r="D7" s="207">
        <v>5723669.1600000001</v>
      </c>
      <c r="E7" s="207">
        <v>2252222.46</v>
      </c>
      <c r="F7" s="207">
        <v>2663197.92</v>
      </c>
      <c r="G7" s="207">
        <v>6038903.6399999997</v>
      </c>
      <c r="H7" s="207">
        <v>10536846.16</v>
      </c>
      <c r="I7" s="207">
        <v>12023799.060000001</v>
      </c>
    </row>
    <row r="8" spans="1:9" ht="16.5" customHeight="1" x14ac:dyDescent="0.25">
      <c r="A8" s="283" t="s">
        <v>243</v>
      </c>
      <c r="B8" s="283"/>
      <c r="C8" s="283"/>
      <c r="D8" s="609">
        <v>-424643.63</v>
      </c>
      <c r="E8" s="609">
        <v>0</v>
      </c>
      <c r="F8" s="609">
        <v>0</v>
      </c>
      <c r="G8" s="609">
        <v>-3830561.14</v>
      </c>
      <c r="H8" s="609">
        <v>-7805896.4500000002</v>
      </c>
      <c r="I8" s="609">
        <v>-9648328.5099999998</v>
      </c>
    </row>
    <row r="9" spans="1:9" ht="16.5" customHeight="1" x14ac:dyDescent="0.25">
      <c r="A9" s="283" t="s">
        <v>244</v>
      </c>
      <c r="B9" s="283"/>
      <c r="C9" s="283"/>
      <c r="D9" s="609">
        <v>4932114.24</v>
      </c>
      <c r="E9" s="609">
        <v>4690566.1900000004</v>
      </c>
      <c r="F9" s="609">
        <v>1629921.1</v>
      </c>
      <c r="G9" s="609">
        <v>2194.4499999999998</v>
      </c>
      <c r="H9" s="609">
        <v>1001.43</v>
      </c>
      <c r="I9" s="609">
        <v>1289.54</v>
      </c>
    </row>
    <row r="10" spans="1:9" ht="16.5" customHeight="1" x14ac:dyDescent="0.25">
      <c r="A10" s="287" t="s">
        <v>245</v>
      </c>
      <c r="B10" s="283"/>
      <c r="C10" s="283"/>
      <c r="D10" s="609">
        <v>0</v>
      </c>
      <c r="E10" s="609">
        <v>0</v>
      </c>
      <c r="F10" s="609">
        <v>0</v>
      </c>
      <c r="G10" s="609">
        <v>0</v>
      </c>
      <c r="H10" s="609">
        <v>0</v>
      </c>
      <c r="I10" s="609">
        <v>0</v>
      </c>
    </row>
    <row r="11" spans="1:9" ht="16.5" customHeight="1" x14ac:dyDescent="0.25">
      <c r="A11" s="288" t="s">
        <v>246</v>
      </c>
      <c r="B11" s="283"/>
      <c r="C11" s="283"/>
      <c r="D11" s="610">
        <v>-7431.2</v>
      </c>
      <c r="E11" s="610">
        <v>-4840.58</v>
      </c>
      <c r="F11" s="610">
        <v>-1847.51</v>
      </c>
      <c r="G11" s="610">
        <v>-3286.29</v>
      </c>
      <c r="H11" s="610">
        <v>-1967</v>
      </c>
      <c r="I11" s="610">
        <v>-3468.04</v>
      </c>
    </row>
    <row r="12" spans="1:9" ht="16.5" customHeight="1" x14ac:dyDescent="0.25">
      <c r="A12" s="289" t="s">
        <v>247</v>
      </c>
      <c r="B12" s="283"/>
      <c r="C12" s="283"/>
      <c r="D12" s="207">
        <f t="shared" ref="D12:I12" si="0">SUM(D7:D11)</f>
        <v>10223708.57</v>
      </c>
      <c r="E12" s="207">
        <f t="shared" si="0"/>
        <v>6937948.0700000003</v>
      </c>
      <c r="F12" s="207">
        <f t="shared" si="0"/>
        <v>4291271.51</v>
      </c>
      <c r="G12" s="207">
        <f t="shared" si="0"/>
        <v>2207250.6599999997</v>
      </c>
      <c r="H12" s="207">
        <f t="shared" si="0"/>
        <v>2729984.14</v>
      </c>
      <c r="I12" s="207">
        <f t="shared" si="0"/>
        <v>2373292.0500000007</v>
      </c>
    </row>
    <row r="13" spans="1:9" ht="16.5" customHeight="1" x14ac:dyDescent="0.25">
      <c r="A13" s="290" t="s">
        <v>248</v>
      </c>
      <c r="B13" s="283"/>
      <c r="C13" s="283"/>
      <c r="D13" s="611">
        <v>0</v>
      </c>
      <c r="E13" s="611">
        <v>0</v>
      </c>
      <c r="F13" s="611">
        <v>0</v>
      </c>
      <c r="G13" s="611">
        <v>0</v>
      </c>
      <c r="H13" s="611">
        <v>0</v>
      </c>
      <c r="I13" s="611">
        <v>0</v>
      </c>
    </row>
    <row r="14" spans="1:9" ht="16.5" customHeight="1" x14ac:dyDescent="0.25">
      <c r="A14" s="290" t="s">
        <v>249</v>
      </c>
      <c r="B14" s="283"/>
      <c r="C14" s="283"/>
      <c r="D14" s="611">
        <v>0</v>
      </c>
      <c r="E14" s="611">
        <v>0</v>
      </c>
      <c r="F14" s="611">
        <v>0</v>
      </c>
      <c r="G14" s="611">
        <v>0</v>
      </c>
      <c r="H14" s="611">
        <v>0</v>
      </c>
      <c r="I14" s="611">
        <v>0</v>
      </c>
    </row>
    <row r="15" spans="1:9" ht="16.5" customHeight="1" x14ac:dyDescent="0.25">
      <c r="A15" s="290" t="s">
        <v>250</v>
      </c>
      <c r="B15" s="291"/>
      <c r="C15" s="291"/>
      <c r="D15" s="611">
        <v>-107000</v>
      </c>
      <c r="E15" s="611">
        <v>0</v>
      </c>
      <c r="F15" s="611">
        <v>0</v>
      </c>
      <c r="G15" s="611">
        <v>-131000</v>
      </c>
      <c r="H15" s="611">
        <v>0</v>
      </c>
      <c r="I15" s="611">
        <v>0</v>
      </c>
    </row>
    <row r="16" spans="1:9" ht="16.5" customHeight="1" x14ac:dyDescent="0.25">
      <c r="A16" s="290" t="s">
        <v>251</v>
      </c>
      <c r="B16" s="283"/>
      <c r="C16" s="283"/>
      <c r="D16" s="611">
        <v>117754.9</v>
      </c>
      <c r="E16" s="611">
        <v>68159.64</v>
      </c>
      <c r="F16" s="611">
        <v>39115.230000000003</v>
      </c>
      <c r="G16" s="611">
        <v>29970.67</v>
      </c>
      <c r="H16" s="611">
        <v>22549.67</v>
      </c>
      <c r="I16" s="611">
        <v>21375.14</v>
      </c>
    </row>
    <row r="17" spans="1:9" ht="16.5" customHeight="1" x14ac:dyDescent="0.25">
      <c r="A17" s="290" t="s">
        <v>252</v>
      </c>
      <c r="B17" s="283"/>
      <c r="C17" s="283"/>
      <c r="D17" s="611">
        <v>-7797.56</v>
      </c>
      <c r="E17" s="611">
        <v>-6008.02</v>
      </c>
      <c r="F17" s="611">
        <v>-2569.4499999999998</v>
      </c>
      <c r="G17" s="611">
        <v>-1152.3800000000001</v>
      </c>
      <c r="H17" s="611">
        <v>-707.34</v>
      </c>
      <c r="I17" s="611">
        <v>-387.28</v>
      </c>
    </row>
    <row r="18" spans="1:9" ht="16.5" customHeight="1" x14ac:dyDescent="0.25">
      <c r="A18" s="290" t="s">
        <v>253</v>
      </c>
      <c r="B18" s="283"/>
      <c r="C18" s="283"/>
      <c r="D18" s="611">
        <v>0</v>
      </c>
      <c r="E18" s="611">
        <v>0</v>
      </c>
      <c r="F18" s="611">
        <v>0</v>
      </c>
      <c r="G18" s="611">
        <v>0</v>
      </c>
      <c r="H18" s="611">
        <v>0</v>
      </c>
      <c r="I18" s="611">
        <v>0</v>
      </c>
    </row>
    <row r="19" spans="1:9" ht="16.5" customHeight="1" x14ac:dyDescent="0.25">
      <c r="A19" s="290" t="s">
        <v>254</v>
      </c>
      <c r="B19" s="283"/>
      <c r="C19" s="283"/>
      <c r="D19" s="611">
        <v>-2000166.89</v>
      </c>
      <c r="E19" s="611">
        <v>-1175443.6000000001</v>
      </c>
      <c r="F19" s="611">
        <v>-910313.45</v>
      </c>
      <c r="G19" s="611">
        <v>-17354.55</v>
      </c>
      <c r="H19" s="611">
        <v>-771846.08</v>
      </c>
      <c r="I19" s="611">
        <v>284842.13</v>
      </c>
    </row>
    <row r="20" spans="1:9" ht="16.5" customHeight="1" x14ac:dyDescent="0.25">
      <c r="A20" s="290" t="s">
        <v>255</v>
      </c>
      <c r="B20" s="283"/>
      <c r="C20" s="283"/>
      <c r="D20" s="611">
        <v>-35960.68</v>
      </c>
      <c r="E20" s="611">
        <v>-20784.77</v>
      </c>
      <c r="F20" s="611">
        <v>298570.56</v>
      </c>
      <c r="G20" s="611">
        <v>566214.53</v>
      </c>
      <c r="H20" s="611">
        <v>421371.19</v>
      </c>
      <c r="I20" s="611">
        <v>167329.65</v>
      </c>
    </row>
    <row r="21" spans="1:9" ht="16.5" customHeight="1" x14ac:dyDescent="0.25">
      <c r="A21" s="290" t="s">
        <v>499</v>
      </c>
      <c r="B21" s="283"/>
      <c r="C21" s="283"/>
      <c r="D21" s="611">
        <v>103449.05</v>
      </c>
      <c r="E21" s="611">
        <v>87677.58</v>
      </c>
      <c r="F21" s="611">
        <v>90221.21</v>
      </c>
      <c r="G21" s="611">
        <v>90182.080000000002</v>
      </c>
      <c r="H21" s="611">
        <v>113562.16</v>
      </c>
      <c r="I21" s="611">
        <v>128110.34</v>
      </c>
    </row>
    <row r="22" spans="1:9" ht="16.5" customHeight="1" x14ac:dyDescent="0.25">
      <c r="A22" s="512" t="s">
        <v>781</v>
      </c>
      <c r="D22" s="611">
        <v>17276.189999999999</v>
      </c>
      <c r="E22" s="611">
        <v>16717.509999999998</v>
      </c>
      <c r="F22" s="611">
        <v>15570.47</v>
      </c>
      <c r="G22" s="611">
        <v>10321.69</v>
      </c>
      <c r="H22" s="611">
        <v>11695.79</v>
      </c>
      <c r="I22" s="611">
        <v>13823.83</v>
      </c>
    </row>
    <row r="23" spans="1:9" ht="16.5" customHeight="1" thickBot="1" x14ac:dyDescent="0.3">
      <c r="A23" s="292" t="s">
        <v>256</v>
      </c>
      <c r="B23" s="283"/>
      <c r="C23" s="283"/>
      <c r="D23" s="589">
        <f t="shared" ref="D23:I23" si="1">SUM(D12:D22)</f>
        <v>8311263.580000001</v>
      </c>
      <c r="E23" s="589">
        <f t="shared" si="1"/>
        <v>5908266.4100000001</v>
      </c>
      <c r="F23" s="589">
        <f t="shared" si="1"/>
        <v>3821866.08</v>
      </c>
      <c r="G23" s="589">
        <f t="shared" si="1"/>
        <v>2754432.6999999997</v>
      </c>
      <c r="H23" s="589">
        <f t="shared" si="1"/>
        <v>2526609.5300000003</v>
      </c>
      <c r="I23" s="589">
        <f t="shared" si="1"/>
        <v>2988385.8600000008</v>
      </c>
    </row>
    <row r="24" spans="1:9" ht="16.5" customHeight="1" thickTop="1" x14ac:dyDescent="0.25">
      <c r="A24" s="290"/>
      <c r="B24" s="290"/>
      <c r="C24" s="290"/>
      <c r="D24" s="512"/>
      <c r="E24" s="612"/>
      <c r="F24" s="612"/>
      <c r="G24" s="612"/>
      <c r="H24" s="612"/>
      <c r="I24" s="612"/>
    </row>
    <row r="25" spans="1:9" ht="16.5" customHeight="1" x14ac:dyDescent="0.25">
      <c r="A25" s="290"/>
      <c r="B25" s="290"/>
      <c r="C25" s="290"/>
      <c r="D25" s="592"/>
    </row>
    <row r="26" spans="1:9" ht="16.5" customHeight="1" x14ac:dyDescent="0.25">
      <c r="A26" s="290"/>
      <c r="B26" s="290"/>
      <c r="C26" s="290"/>
      <c r="D26" s="293"/>
    </row>
    <row r="27" spans="1:9" ht="16.5" customHeight="1" x14ac:dyDescent="0.25">
      <c r="A27" s="294"/>
      <c r="B27" s="290"/>
      <c r="C27" s="290"/>
      <c r="D27" s="290"/>
    </row>
    <row r="28" spans="1:9" ht="16.5" customHeight="1" x14ac:dyDescent="0.25">
      <c r="A28" s="295" t="s">
        <v>976</v>
      </c>
      <c r="B28" s="290"/>
      <c r="C28" s="290"/>
      <c r="D28" s="296"/>
    </row>
    <row r="29" spans="1:9" ht="16.5" customHeight="1" x14ac:dyDescent="0.25">
      <c r="A29" s="512" t="s">
        <v>977</v>
      </c>
      <c r="B29" s="290"/>
      <c r="C29" s="290"/>
      <c r="D29" s="290"/>
    </row>
    <row r="30" spans="1:9" ht="16.5" customHeight="1" x14ac:dyDescent="0.25">
      <c r="A30" s="66"/>
      <c r="B30" s="66"/>
      <c r="C30" s="66"/>
      <c r="D30" s="66"/>
    </row>
    <row r="31" spans="1:9" ht="16.5" customHeight="1" x14ac:dyDescent="0.25">
      <c r="A31" s="66"/>
      <c r="B31" s="66"/>
      <c r="C31" s="66"/>
      <c r="D31" s="66"/>
    </row>
    <row r="32" spans="1:9" ht="16.5" customHeight="1" x14ac:dyDescent="0.25"/>
    <row r="33" spans="1:4" ht="16.5" customHeight="1" x14ac:dyDescent="0.25">
      <c r="A33" s="65" t="s">
        <v>1059</v>
      </c>
      <c r="B33" s="64"/>
      <c r="C33" s="64"/>
      <c r="D33" s="736"/>
    </row>
    <row r="34" spans="1:4" ht="16.5" customHeight="1" x14ac:dyDescent="0.25">
      <c r="B34" s="613">
        <v>42430</v>
      </c>
      <c r="D34" s="614">
        <v>77812.06</v>
      </c>
    </row>
    <row r="35" spans="1:4" ht="16.5" customHeight="1" x14ac:dyDescent="0.25">
      <c r="B35" s="613">
        <f>EDATE(B34,1)</f>
        <v>42461</v>
      </c>
      <c r="C35" s="615"/>
      <c r="D35" s="614">
        <v>68048.789999999994</v>
      </c>
    </row>
    <row r="36" spans="1:4" ht="16.5" customHeight="1" x14ac:dyDescent="0.25">
      <c r="B36" s="613">
        <f>EDATE(B35,1)</f>
        <v>42491</v>
      </c>
      <c r="C36" s="615"/>
      <c r="D36" s="614">
        <v>68876</v>
      </c>
    </row>
    <row r="37" spans="1:4" ht="16.5" customHeight="1" x14ac:dyDescent="0.25">
      <c r="B37" s="613">
        <f>EDATE(B36,1)</f>
        <v>42522</v>
      </c>
      <c r="C37" s="615"/>
      <c r="D37" s="614">
        <v>73019.63</v>
      </c>
    </row>
    <row r="38" spans="1:4" ht="16.5" customHeight="1" x14ac:dyDescent="0.25">
      <c r="B38" s="613">
        <f>EDATE(B37,1)</f>
        <v>42552</v>
      </c>
      <c r="C38" s="615"/>
      <c r="D38" s="614">
        <v>93432.81</v>
      </c>
    </row>
    <row r="39" spans="1:4" ht="16.5" customHeight="1" x14ac:dyDescent="0.25">
      <c r="B39" s="616">
        <f>EDATE(B38,1)</f>
        <v>42583</v>
      </c>
      <c r="C39" s="617"/>
      <c r="D39" s="618">
        <v>73199.25</v>
      </c>
    </row>
    <row r="40" spans="1:4" ht="16.5" customHeight="1" x14ac:dyDescent="0.25">
      <c r="B40" s="613"/>
      <c r="C40" s="615"/>
      <c r="D40" s="619">
        <f>SUM(D34:D39)</f>
        <v>454388.54</v>
      </c>
    </row>
    <row r="41" spans="1:4" ht="16.5" customHeight="1" x14ac:dyDescent="0.25">
      <c r="B41" s="613"/>
      <c r="C41" s="615"/>
    </row>
    <row r="42" spans="1:4" ht="16.5" customHeight="1" x14ac:dyDescent="0.25">
      <c r="B42" s="613"/>
      <c r="C42" s="615"/>
    </row>
    <row r="43" spans="1:4" ht="16.5" customHeight="1" x14ac:dyDescent="0.25">
      <c r="C43" s="615"/>
    </row>
    <row r="44" spans="1:4" ht="16.5" customHeight="1" x14ac:dyDescent="0.25">
      <c r="C44" s="615"/>
    </row>
    <row r="45" spans="1:4" ht="16.5" customHeight="1" x14ac:dyDescent="0.25">
      <c r="C45" s="615"/>
    </row>
    <row r="46" spans="1:4" ht="16.5" customHeight="1" x14ac:dyDescent="0.25">
      <c r="C46" s="615"/>
    </row>
    <row r="47" spans="1:4" ht="16.5" customHeight="1" x14ac:dyDescent="0.25"/>
    <row r="48" spans="1:4" ht="16.5" customHeight="1" x14ac:dyDescent="0.25"/>
    <row r="49" ht="16.5" customHeight="1" x14ac:dyDescent="0.25"/>
    <row r="50" ht="16.5" customHeight="1" x14ac:dyDescent="0.25"/>
    <row r="51" ht="16.5" customHeight="1" x14ac:dyDescent="0.25"/>
    <row r="52" ht="16.5" customHeight="1" x14ac:dyDescent="0.25"/>
    <row r="53" ht="16.5" customHeight="1" x14ac:dyDescent="0.25"/>
    <row r="54" ht="16.5" customHeight="1" x14ac:dyDescent="0.25"/>
    <row r="55" ht="16.5" customHeight="1" x14ac:dyDescent="0.25"/>
    <row r="56" ht="16.5" customHeight="1" x14ac:dyDescent="0.25"/>
    <row r="57" ht="16.5" customHeight="1" x14ac:dyDescent="0.25"/>
    <row r="58" ht="16.5" customHeight="1" x14ac:dyDescent="0.25"/>
    <row r="59" ht="16.5" customHeight="1" x14ac:dyDescent="0.25"/>
    <row r="60" ht="16.5" customHeight="1" x14ac:dyDescent="0.25"/>
    <row r="61" ht="16.5" customHeight="1" x14ac:dyDescent="0.25"/>
    <row r="62" ht="16.5" customHeight="1" x14ac:dyDescent="0.25"/>
    <row r="63" ht="16.5" customHeight="1" x14ac:dyDescent="0.25"/>
    <row r="64" ht="16.5" customHeight="1" x14ac:dyDescent="0.25"/>
    <row r="65" ht="16.5" customHeight="1" x14ac:dyDescent="0.25"/>
    <row r="66" ht="16.5" customHeight="1" x14ac:dyDescent="0.25"/>
    <row r="67" ht="16.5" customHeight="1" x14ac:dyDescent="0.25"/>
    <row r="68" ht="16.5" customHeight="1" x14ac:dyDescent="0.25"/>
    <row r="69" ht="16.5" customHeight="1" x14ac:dyDescent="0.25"/>
    <row r="70" ht="16.5" customHeight="1" x14ac:dyDescent="0.25"/>
    <row r="71" ht="16.5" customHeight="1" x14ac:dyDescent="0.25"/>
    <row r="72" ht="16.5" customHeight="1" x14ac:dyDescent="0.25"/>
    <row r="73" ht="16.5" customHeight="1" x14ac:dyDescent="0.25"/>
    <row r="74" ht="16.5" customHeight="1" x14ac:dyDescent="0.25"/>
    <row r="75" ht="16.5" customHeight="1" x14ac:dyDescent="0.25"/>
    <row r="76" ht="16.5" customHeight="1" x14ac:dyDescent="0.25"/>
    <row r="77" ht="16.5" customHeight="1" x14ac:dyDescent="0.25"/>
    <row r="78" ht="16.5" customHeight="1" x14ac:dyDescent="0.25"/>
    <row r="79" ht="16.5" customHeight="1" x14ac:dyDescent="0.25"/>
    <row r="80" ht="16.5" customHeight="1" x14ac:dyDescent="0.25"/>
    <row r="81" ht="16.5" customHeight="1" x14ac:dyDescent="0.25"/>
    <row r="82" ht="16.5" customHeight="1" x14ac:dyDescent="0.25"/>
    <row r="83" ht="16.5" customHeight="1" x14ac:dyDescent="0.25"/>
    <row r="84" ht="16.5" customHeight="1" x14ac:dyDescent="0.25"/>
    <row r="85" ht="16.5" customHeight="1" x14ac:dyDescent="0.25"/>
    <row r="86" ht="16.5" customHeight="1" x14ac:dyDescent="0.25"/>
    <row r="87" ht="16.5" customHeight="1" x14ac:dyDescent="0.25"/>
    <row r="88" ht="16.5" customHeight="1" x14ac:dyDescent="0.25"/>
    <row r="89" ht="16.5" customHeight="1" x14ac:dyDescent="0.25"/>
    <row r="90" ht="16.5" customHeight="1" x14ac:dyDescent="0.25"/>
    <row r="91" ht="16.5" customHeight="1" x14ac:dyDescent="0.25"/>
    <row r="92" ht="16.5" customHeight="1" x14ac:dyDescent="0.25"/>
    <row r="93" ht="16.5" customHeight="1" x14ac:dyDescent="0.25"/>
    <row r="94" ht="16.5" customHeight="1" x14ac:dyDescent="0.25"/>
    <row r="95" ht="16.5" customHeight="1" x14ac:dyDescent="0.25"/>
    <row r="96" ht="16.5" customHeight="1" x14ac:dyDescent="0.25"/>
    <row r="97" ht="16.5" customHeight="1" x14ac:dyDescent="0.25"/>
    <row r="98" ht="16.5" customHeight="1" x14ac:dyDescent="0.25"/>
    <row r="99" ht="16.5" customHeight="1" x14ac:dyDescent="0.25"/>
    <row r="100" ht="16.5" customHeight="1" x14ac:dyDescent="0.25"/>
    <row r="101" ht="16.5" customHeight="1" x14ac:dyDescent="0.25"/>
    <row r="102" ht="16.5" customHeight="1" x14ac:dyDescent="0.25"/>
    <row r="103" ht="16.5" customHeight="1" x14ac:dyDescent="0.25"/>
    <row r="104" ht="16.5" customHeight="1" x14ac:dyDescent="0.25"/>
    <row r="105" ht="16.5" customHeight="1" x14ac:dyDescent="0.25"/>
    <row r="106" ht="16.5" customHeight="1" x14ac:dyDescent="0.25"/>
    <row r="107" ht="16.5" customHeight="1" x14ac:dyDescent="0.25"/>
    <row r="108" ht="16.5" customHeight="1" x14ac:dyDescent="0.25"/>
    <row r="109" ht="16.5" customHeight="1" x14ac:dyDescent="0.25"/>
    <row r="110" ht="16.5" customHeight="1" x14ac:dyDescent="0.25"/>
    <row r="111" ht="16.5" customHeight="1" x14ac:dyDescent="0.25"/>
    <row r="112" ht="16.5" customHeight="1" x14ac:dyDescent="0.25"/>
    <row r="113" ht="16.5" customHeight="1" x14ac:dyDescent="0.25"/>
    <row r="114" ht="16.5" customHeight="1" x14ac:dyDescent="0.25"/>
    <row r="115" ht="16.5" customHeight="1" x14ac:dyDescent="0.25"/>
    <row r="116" ht="16.5" customHeight="1" x14ac:dyDescent="0.25"/>
    <row r="117" ht="16.5" customHeight="1" x14ac:dyDescent="0.25"/>
    <row r="118" ht="16.5" customHeight="1" x14ac:dyDescent="0.25"/>
    <row r="119" ht="16.5" customHeight="1" x14ac:dyDescent="0.25"/>
    <row r="120" ht="16.5" customHeight="1" x14ac:dyDescent="0.25"/>
    <row r="121" ht="16.5" customHeight="1" x14ac:dyDescent="0.25"/>
    <row r="122" ht="16.5" customHeight="1" x14ac:dyDescent="0.25"/>
    <row r="123" ht="16.5" customHeight="1" x14ac:dyDescent="0.25"/>
    <row r="124" ht="16.5" customHeight="1" x14ac:dyDescent="0.25"/>
    <row r="125" ht="16.5" customHeight="1" x14ac:dyDescent="0.25"/>
    <row r="126" ht="16.5" customHeight="1" x14ac:dyDescent="0.25"/>
    <row r="127" ht="16.5" customHeight="1" x14ac:dyDescent="0.25"/>
    <row r="128" ht="16.5" customHeight="1" x14ac:dyDescent="0.25"/>
    <row r="129" ht="16.5" customHeight="1" x14ac:dyDescent="0.25"/>
    <row r="130" ht="16.5" customHeight="1" x14ac:dyDescent="0.25"/>
    <row r="131" ht="16.5" customHeight="1" x14ac:dyDescent="0.25"/>
    <row r="132" ht="16.5" customHeight="1" x14ac:dyDescent="0.25"/>
    <row r="133" ht="16.5" customHeight="1" x14ac:dyDescent="0.25"/>
    <row r="134" ht="16.5" customHeight="1" x14ac:dyDescent="0.25"/>
    <row r="135" ht="16.5" customHeight="1" x14ac:dyDescent="0.25"/>
    <row r="136" ht="16.5" customHeight="1" x14ac:dyDescent="0.25"/>
  </sheetData>
  <pageMargins left="1.2" right="0.7" top="1" bottom="0.75" header="0.55000000000000004" footer="0.55000000000000004"/>
  <pageSetup scale="50" orientation="portrait" r:id="rId1"/>
  <headerFooter>
    <oddHeader>&amp;R&amp;"Times New Roman,Bold"&amp;12Conroy Exhibit P11
Page 3 of 3</oddHeader>
  </headerFooter>
  <colBreaks count="1" manualBreakCount="1">
    <brk id="9" max="2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6" tint="0.39997558519241921"/>
  </sheetPr>
  <dimension ref="A1:XFD80"/>
  <sheetViews>
    <sheetView workbookViewId="0">
      <selection sqref="A1:F1"/>
    </sheetView>
  </sheetViews>
  <sheetFormatPr defaultRowHeight="15.75" x14ac:dyDescent="0.25"/>
  <cols>
    <col min="1" max="1" width="56.85546875" style="210" customWidth="1"/>
    <col min="2" max="2" width="15.7109375" style="210" customWidth="1"/>
    <col min="3" max="3" width="10.5703125" style="210" customWidth="1"/>
    <col min="4" max="6" width="16.28515625" style="210" customWidth="1"/>
    <col min="7" max="7" width="12.7109375" style="210" customWidth="1"/>
    <col min="8" max="8" width="25.85546875" style="210" customWidth="1"/>
    <col min="9" max="9" width="18" style="210" customWidth="1"/>
    <col min="10" max="10" width="13.42578125" style="210" bestFit="1" customWidth="1"/>
    <col min="11" max="11" width="14.7109375" style="210" bestFit="1" customWidth="1"/>
    <col min="12" max="12" width="16.42578125" style="210" bestFit="1" customWidth="1"/>
    <col min="13" max="13" width="11.42578125" style="210" customWidth="1"/>
    <col min="14" max="14" width="14.5703125" style="210" customWidth="1"/>
    <col min="15" max="15" width="10.7109375" style="210" customWidth="1"/>
    <col min="16" max="16" width="12.28515625" style="210" customWidth="1"/>
    <col min="17" max="17" width="13.28515625" style="210" customWidth="1"/>
    <col min="18" max="18" width="11.85546875" style="210" customWidth="1"/>
    <col min="19" max="19" width="14.42578125" style="210" customWidth="1"/>
    <col min="20" max="20" width="9.140625" style="210"/>
    <col min="21" max="21" width="29.5703125" style="210" customWidth="1"/>
    <col min="22" max="26" width="15.5703125" style="210" customWidth="1"/>
    <col min="27" max="27" width="11.42578125" style="254" customWidth="1"/>
    <col min="28" max="28" width="15.42578125" style="210" customWidth="1"/>
    <col min="29" max="30" width="9.140625" style="210"/>
    <col min="31" max="31" width="48.28515625" style="210" customWidth="1"/>
    <col min="32" max="38" width="17.7109375" style="235" customWidth="1"/>
    <col min="39" max="39" width="14.42578125" style="218" customWidth="1"/>
    <col min="40" max="40" width="23" style="210" customWidth="1"/>
    <col min="41" max="41" width="18.7109375" style="210" customWidth="1"/>
    <col min="42" max="42" width="14" style="210" customWidth="1"/>
    <col min="43" max="43" width="14.42578125" style="210" bestFit="1" customWidth="1"/>
    <col min="44" max="44" width="16.85546875" style="210" customWidth="1"/>
    <col min="45" max="45" width="11.42578125" style="210" customWidth="1"/>
    <col min="46" max="46" width="12.85546875" style="210" customWidth="1"/>
    <col min="47" max="47" width="10.7109375" style="210" customWidth="1"/>
    <col min="48" max="48" width="16.5703125" style="210" customWidth="1"/>
    <col min="49" max="49" width="16.42578125" style="210" customWidth="1"/>
    <col min="50" max="50" width="11.7109375" style="210" customWidth="1"/>
    <col min="51" max="51" width="14.42578125" style="210" customWidth="1"/>
    <col min="52" max="254" width="9.140625" style="210"/>
    <col min="255" max="255" width="56.85546875" style="210" customWidth="1"/>
    <col min="256" max="256" width="15.7109375" style="210" customWidth="1"/>
    <col min="257" max="257" width="10.5703125" style="210" customWidth="1"/>
    <col min="258" max="260" width="16.28515625" style="210" customWidth="1"/>
    <col min="261" max="261" width="12.7109375" style="210" customWidth="1"/>
    <col min="262" max="263" width="9.140625" style="210"/>
    <col min="264" max="264" width="25.85546875" style="210" customWidth="1"/>
    <col min="265" max="265" width="13.140625" style="210" customWidth="1"/>
    <col min="266" max="267" width="13.42578125" style="210" bestFit="1" customWidth="1"/>
    <col min="268" max="268" width="13.85546875" style="210" bestFit="1" customWidth="1"/>
    <col min="269" max="269" width="11.42578125" style="210" customWidth="1"/>
    <col min="270" max="270" width="14.5703125" style="210" customWidth="1"/>
    <col min="271" max="271" width="10.7109375" style="210" customWidth="1"/>
    <col min="272" max="272" width="12.28515625" style="210" customWidth="1"/>
    <col min="273" max="273" width="13.28515625" style="210" customWidth="1"/>
    <col min="274" max="274" width="10.5703125" style="210" customWidth="1"/>
    <col min="275" max="275" width="14.42578125" style="210" customWidth="1"/>
    <col min="276" max="276" width="9.140625" style="210"/>
    <col min="277" max="277" width="29.5703125" style="210" customWidth="1"/>
    <col min="278" max="282" width="15.5703125" style="210" customWidth="1"/>
    <col min="283" max="283" width="11.42578125" style="210" customWidth="1"/>
    <col min="284" max="284" width="15.42578125" style="210" customWidth="1"/>
    <col min="285" max="286" width="9.140625" style="210"/>
    <col min="287" max="287" width="48.28515625" style="210" customWidth="1"/>
    <col min="288" max="294" width="17.7109375" style="210" customWidth="1"/>
    <col min="295" max="295" width="9.140625" style="210"/>
    <col min="296" max="296" width="26.85546875" style="210" bestFit="1" customWidth="1"/>
    <col min="297" max="297" width="18.7109375" style="210" customWidth="1"/>
    <col min="298" max="298" width="14" style="210" customWidth="1"/>
    <col min="299" max="299" width="14.42578125" style="210" bestFit="1" customWidth="1"/>
    <col min="300" max="300" width="16.85546875" style="210" customWidth="1"/>
    <col min="301" max="301" width="11.42578125" style="210" customWidth="1"/>
    <col min="302" max="302" width="12.85546875" style="210" customWidth="1"/>
    <col min="303" max="303" width="10.7109375" style="210" customWidth="1"/>
    <col min="304" max="304" width="16.5703125" style="210" customWidth="1"/>
    <col min="305" max="305" width="16.42578125" style="210" customWidth="1"/>
    <col min="306" max="306" width="11.7109375" style="210" customWidth="1"/>
    <col min="307" max="307" width="14.42578125" style="210" customWidth="1"/>
    <col min="308" max="510" width="9.140625" style="210"/>
    <col min="511" max="511" width="56.85546875" style="210" customWidth="1"/>
    <col min="512" max="512" width="15.7109375" style="210" customWidth="1"/>
    <col min="513" max="513" width="10.5703125" style="210" customWidth="1"/>
    <col min="514" max="516" width="16.28515625" style="210" customWidth="1"/>
    <col min="517" max="517" width="12.7109375" style="210" customWidth="1"/>
    <col min="518" max="519" width="9.140625" style="210"/>
    <col min="520" max="520" width="25.85546875" style="210" customWidth="1"/>
    <col min="521" max="521" width="13.140625" style="210" customWidth="1"/>
    <col min="522" max="523" width="13.42578125" style="210" bestFit="1" customWidth="1"/>
    <col min="524" max="524" width="13.85546875" style="210" bestFit="1" customWidth="1"/>
    <col min="525" max="525" width="11.42578125" style="210" customWidth="1"/>
    <col min="526" max="526" width="14.5703125" style="210" customWidth="1"/>
    <col min="527" max="527" width="10.7109375" style="210" customWidth="1"/>
    <col min="528" max="528" width="12.28515625" style="210" customWidth="1"/>
    <col min="529" max="529" width="13.28515625" style="210" customWidth="1"/>
    <col min="530" max="530" width="10.5703125" style="210" customWidth="1"/>
    <col min="531" max="531" width="14.42578125" style="210" customWidth="1"/>
    <col min="532" max="532" width="9.140625" style="210"/>
    <col min="533" max="533" width="29.5703125" style="210" customWidth="1"/>
    <col min="534" max="538" width="15.5703125" style="210" customWidth="1"/>
    <col min="539" max="539" width="11.42578125" style="210" customWidth="1"/>
    <col min="540" max="540" width="15.42578125" style="210" customWidth="1"/>
    <col min="541" max="542" width="9.140625" style="210"/>
    <col min="543" max="543" width="48.28515625" style="210" customWidth="1"/>
    <col min="544" max="550" width="17.7109375" style="210" customWidth="1"/>
    <col min="551" max="551" width="9.140625" style="210"/>
    <col min="552" max="552" width="26.85546875" style="210" bestFit="1" customWidth="1"/>
    <col min="553" max="553" width="18.7109375" style="210" customWidth="1"/>
    <col min="554" max="554" width="14" style="210" customWidth="1"/>
    <col min="555" max="555" width="14.42578125" style="210" bestFit="1" customWidth="1"/>
    <col min="556" max="556" width="16.85546875" style="210" customWidth="1"/>
    <col min="557" max="557" width="11.42578125" style="210" customWidth="1"/>
    <col min="558" max="558" width="12.85546875" style="210" customWidth="1"/>
    <col min="559" max="559" width="10.7109375" style="210" customWidth="1"/>
    <col min="560" max="560" width="16.5703125" style="210" customWidth="1"/>
    <col min="561" max="561" width="16.42578125" style="210" customWidth="1"/>
    <col min="562" max="562" width="11.7109375" style="210" customWidth="1"/>
    <col min="563" max="563" width="14.42578125" style="210" customWidth="1"/>
    <col min="564" max="766" width="9.140625" style="210"/>
    <col min="767" max="767" width="56.85546875" style="210" customWidth="1"/>
    <col min="768" max="768" width="15.7109375" style="210" customWidth="1"/>
    <col min="769" max="769" width="10.5703125" style="210" customWidth="1"/>
    <col min="770" max="772" width="16.28515625" style="210" customWidth="1"/>
    <col min="773" max="773" width="12.7109375" style="210" customWidth="1"/>
    <col min="774" max="775" width="9.140625" style="210"/>
    <col min="776" max="776" width="25.85546875" style="210" customWidth="1"/>
    <col min="777" max="777" width="13.140625" style="210" customWidth="1"/>
    <col min="778" max="779" width="13.42578125" style="210" bestFit="1" customWidth="1"/>
    <col min="780" max="780" width="13.85546875" style="210" bestFit="1" customWidth="1"/>
    <col min="781" max="781" width="11.42578125" style="210" customWidth="1"/>
    <col min="782" max="782" width="14.5703125" style="210" customWidth="1"/>
    <col min="783" max="783" width="10.7109375" style="210" customWidth="1"/>
    <col min="784" max="784" width="12.28515625" style="210" customWidth="1"/>
    <col min="785" max="785" width="13.28515625" style="210" customWidth="1"/>
    <col min="786" max="786" width="10.5703125" style="210" customWidth="1"/>
    <col min="787" max="787" width="14.42578125" style="210" customWidth="1"/>
    <col min="788" max="788" width="9.140625" style="210"/>
    <col min="789" max="789" width="29.5703125" style="210" customWidth="1"/>
    <col min="790" max="794" width="15.5703125" style="210" customWidth="1"/>
    <col min="795" max="795" width="11.42578125" style="210" customWidth="1"/>
    <col min="796" max="796" width="15.42578125" style="210" customWidth="1"/>
    <col min="797" max="798" width="9.140625" style="210"/>
    <col min="799" max="799" width="48.28515625" style="210" customWidth="1"/>
    <col min="800" max="806" width="17.7109375" style="210" customWidth="1"/>
    <col min="807" max="807" width="9.140625" style="210"/>
    <col min="808" max="808" width="26.85546875" style="210" bestFit="1" customWidth="1"/>
    <col min="809" max="809" width="18.7109375" style="210" customWidth="1"/>
    <col min="810" max="810" width="14" style="210" customWidth="1"/>
    <col min="811" max="811" width="14.42578125" style="210" bestFit="1" customWidth="1"/>
    <col min="812" max="812" width="16.85546875" style="210" customWidth="1"/>
    <col min="813" max="813" width="11.42578125" style="210" customWidth="1"/>
    <col min="814" max="814" width="12.85546875" style="210" customWidth="1"/>
    <col min="815" max="815" width="10.7109375" style="210" customWidth="1"/>
    <col min="816" max="816" width="16.5703125" style="210" customWidth="1"/>
    <col min="817" max="817" width="16.42578125" style="210" customWidth="1"/>
    <col min="818" max="818" width="11.7109375" style="210" customWidth="1"/>
    <col min="819" max="819" width="14.42578125" style="210" customWidth="1"/>
    <col min="820" max="1022" width="9.140625" style="210"/>
    <col min="1023" max="1023" width="56.85546875" style="210" customWidth="1"/>
    <col min="1024" max="1024" width="15.7109375" style="210" customWidth="1"/>
    <col min="1025" max="1025" width="10.5703125" style="210" customWidth="1"/>
    <col min="1026" max="1028" width="16.28515625" style="210" customWidth="1"/>
    <col min="1029" max="1029" width="12.7109375" style="210" customWidth="1"/>
    <col min="1030" max="1031" width="9.140625" style="210"/>
    <col min="1032" max="1032" width="25.85546875" style="210" customWidth="1"/>
    <col min="1033" max="1033" width="13.140625" style="210" customWidth="1"/>
    <col min="1034" max="1035" width="13.42578125" style="210" bestFit="1" customWidth="1"/>
    <col min="1036" max="1036" width="13.85546875" style="210" bestFit="1" customWidth="1"/>
    <col min="1037" max="1037" width="11.42578125" style="210" customWidth="1"/>
    <col min="1038" max="1038" width="14.5703125" style="210" customWidth="1"/>
    <col min="1039" max="1039" width="10.7109375" style="210" customWidth="1"/>
    <col min="1040" max="1040" width="12.28515625" style="210" customWidth="1"/>
    <col min="1041" max="1041" width="13.28515625" style="210" customWidth="1"/>
    <col min="1042" max="1042" width="10.5703125" style="210" customWidth="1"/>
    <col min="1043" max="1043" width="14.42578125" style="210" customWidth="1"/>
    <col min="1044" max="1044" width="9.140625" style="210"/>
    <col min="1045" max="1045" width="29.5703125" style="210" customWidth="1"/>
    <col min="1046" max="1050" width="15.5703125" style="210" customWidth="1"/>
    <col min="1051" max="1051" width="11.42578125" style="210" customWidth="1"/>
    <col min="1052" max="1052" width="15.42578125" style="210" customWidth="1"/>
    <col min="1053" max="1054" width="9.140625" style="210"/>
    <col min="1055" max="1055" width="48.28515625" style="210" customWidth="1"/>
    <col min="1056" max="1062" width="17.7109375" style="210" customWidth="1"/>
    <col min="1063" max="1063" width="9.140625" style="210"/>
    <col min="1064" max="1064" width="26.85546875" style="210" bestFit="1" customWidth="1"/>
    <col min="1065" max="1065" width="18.7109375" style="210" customWidth="1"/>
    <col min="1066" max="1066" width="14" style="210" customWidth="1"/>
    <col min="1067" max="1067" width="14.42578125" style="210" bestFit="1" customWidth="1"/>
    <col min="1068" max="1068" width="16.85546875" style="210" customWidth="1"/>
    <col min="1069" max="1069" width="11.42578125" style="210" customWidth="1"/>
    <col min="1070" max="1070" width="12.85546875" style="210" customWidth="1"/>
    <col min="1071" max="1071" width="10.7109375" style="210" customWidth="1"/>
    <col min="1072" max="1072" width="16.5703125" style="210" customWidth="1"/>
    <col min="1073" max="1073" width="16.42578125" style="210" customWidth="1"/>
    <col min="1074" max="1074" width="11.7109375" style="210" customWidth="1"/>
    <col min="1075" max="1075" width="14.42578125" style="210" customWidth="1"/>
    <col min="1076" max="1278" width="9.140625" style="210"/>
    <col min="1279" max="1279" width="56.85546875" style="210" customWidth="1"/>
    <col min="1280" max="1280" width="15.7109375" style="210" customWidth="1"/>
    <col min="1281" max="1281" width="10.5703125" style="210" customWidth="1"/>
    <col min="1282" max="1284" width="16.28515625" style="210" customWidth="1"/>
    <col min="1285" max="1285" width="12.7109375" style="210" customWidth="1"/>
    <col min="1286" max="1287" width="9.140625" style="210"/>
    <col min="1288" max="1288" width="25.85546875" style="210" customWidth="1"/>
    <col min="1289" max="1289" width="13.140625" style="210" customWidth="1"/>
    <col min="1290" max="1291" width="13.42578125" style="210" bestFit="1" customWidth="1"/>
    <col min="1292" max="1292" width="13.85546875" style="210" bestFit="1" customWidth="1"/>
    <col min="1293" max="1293" width="11.42578125" style="210" customWidth="1"/>
    <col min="1294" max="1294" width="14.5703125" style="210" customWidth="1"/>
    <col min="1295" max="1295" width="10.7109375" style="210" customWidth="1"/>
    <col min="1296" max="1296" width="12.28515625" style="210" customWidth="1"/>
    <col min="1297" max="1297" width="13.28515625" style="210" customWidth="1"/>
    <col min="1298" max="1298" width="10.5703125" style="210" customWidth="1"/>
    <col min="1299" max="1299" width="14.42578125" style="210" customWidth="1"/>
    <col min="1300" max="1300" width="9.140625" style="210"/>
    <col min="1301" max="1301" width="29.5703125" style="210" customWidth="1"/>
    <col min="1302" max="1306" width="15.5703125" style="210" customWidth="1"/>
    <col min="1307" max="1307" width="11.42578125" style="210" customWidth="1"/>
    <col min="1308" max="1308" width="15.42578125" style="210" customWidth="1"/>
    <col min="1309" max="1310" width="9.140625" style="210"/>
    <col min="1311" max="1311" width="48.28515625" style="210" customWidth="1"/>
    <col min="1312" max="1318" width="17.7109375" style="210" customWidth="1"/>
    <col min="1319" max="1319" width="9.140625" style="210"/>
    <col min="1320" max="1320" width="26.85546875" style="210" bestFit="1" customWidth="1"/>
    <col min="1321" max="1321" width="18.7109375" style="210" customWidth="1"/>
    <col min="1322" max="1322" width="14" style="210" customWidth="1"/>
    <col min="1323" max="1323" width="14.42578125" style="210" bestFit="1" customWidth="1"/>
    <col min="1324" max="1324" width="16.85546875" style="210" customWidth="1"/>
    <col min="1325" max="1325" width="11.42578125" style="210" customWidth="1"/>
    <col min="1326" max="1326" width="12.85546875" style="210" customWidth="1"/>
    <col min="1327" max="1327" width="10.7109375" style="210" customWidth="1"/>
    <col min="1328" max="1328" width="16.5703125" style="210" customWidth="1"/>
    <col min="1329" max="1329" width="16.42578125" style="210" customWidth="1"/>
    <col min="1330" max="1330" width="11.7109375" style="210" customWidth="1"/>
    <col min="1331" max="1331" width="14.42578125" style="210" customWidth="1"/>
    <col min="1332" max="1534" width="9.140625" style="210"/>
    <col min="1535" max="1535" width="56.85546875" style="210" customWidth="1"/>
    <col min="1536" max="1536" width="15.7109375" style="210" customWidth="1"/>
    <col min="1537" max="1537" width="10.5703125" style="210" customWidth="1"/>
    <col min="1538" max="1540" width="16.28515625" style="210" customWidth="1"/>
    <col min="1541" max="1541" width="12.7109375" style="210" customWidth="1"/>
    <col min="1542" max="1543" width="9.140625" style="210"/>
    <col min="1544" max="1544" width="25.85546875" style="210" customWidth="1"/>
    <col min="1545" max="1545" width="13.140625" style="210" customWidth="1"/>
    <col min="1546" max="1547" width="13.42578125" style="210" bestFit="1" customWidth="1"/>
    <col min="1548" max="1548" width="13.85546875" style="210" bestFit="1" customWidth="1"/>
    <col min="1549" max="1549" width="11.42578125" style="210" customWidth="1"/>
    <col min="1550" max="1550" width="14.5703125" style="210" customWidth="1"/>
    <col min="1551" max="1551" width="10.7109375" style="210" customWidth="1"/>
    <col min="1552" max="1552" width="12.28515625" style="210" customWidth="1"/>
    <col min="1553" max="1553" width="13.28515625" style="210" customWidth="1"/>
    <col min="1554" max="1554" width="10.5703125" style="210" customWidth="1"/>
    <col min="1555" max="1555" width="14.42578125" style="210" customWidth="1"/>
    <col min="1556" max="1556" width="9.140625" style="210"/>
    <col min="1557" max="1557" width="29.5703125" style="210" customWidth="1"/>
    <col min="1558" max="1562" width="15.5703125" style="210" customWidth="1"/>
    <col min="1563" max="1563" width="11.42578125" style="210" customWidth="1"/>
    <col min="1564" max="1564" width="15.42578125" style="210" customWidth="1"/>
    <col min="1565" max="1566" width="9.140625" style="210"/>
    <col min="1567" max="1567" width="48.28515625" style="210" customWidth="1"/>
    <col min="1568" max="1574" width="17.7109375" style="210" customWidth="1"/>
    <col min="1575" max="1575" width="9.140625" style="210"/>
    <col min="1576" max="1576" width="26.85546875" style="210" bestFit="1" customWidth="1"/>
    <col min="1577" max="1577" width="18.7109375" style="210" customWidth="1"/>
    <col min="1578" max="1578" width="14" style="210" customWidth="1"/>
    <col min="1579" max="1579" width="14.42578125" style="210" bestFit="1" customWidth="1"/>
    <col min="1580" max="1580" width="16.85546875" style="210" customWidth="1"/>
    <col min="1581" max="1581" width="11.42578125" style="210" customWidth="1"/>
    <col min="1582" max="1582" width="12.85546875" style="210" customWidth="1"/>
    <col min="1583" max="1583" width="10.7109375" style="210" customWidth="1"/>
    <col min="1584" max="1584" width="16.5703125" style="210" customWidth="1"/>
    <col min="1585" max="1585" width="16.42578125" style="210" customWidth="1"/>
    <col min="1586" max="1586" width="11.7109375" style="210" customWidth="1"/>
    <col min="1587" max="1587" width="14.42578125" style="210" customWidth="1"/>
    <col min="1588" max="1790" width="9.140625" style="210"/>
    <col min="1791" max="1791" width="56.85546875" style="210" customWidth="1"/>
    <col min="1792" max="1792" width="15.7109375" style="210" customWidth="1"/>
    <col min="1793" max="1793" width="10.5703125" style="210" customWidth="1"/>
    <col min="1794" max="1796" width="16.28515625" style="210" customWidth="1"/>
    <col min="1797" max="1797" width="12.7109375" style="210" customWidth="1"/>
    <col min="1798" max="1799" width="9.140625" style="210"/>
    <col min="1800" max="1800" width="25.85546875" style="210" customWidth="1"/>
    <col min="1801" max="1801" width="13.140625" style="210" customWidth="1"/>
    <col min="1802" max="1803" width="13.42578125" style="210" bestFit="1" customWidth="1"/>
    <col min="1804" max="1804" width="13.85546875" style="210" bestFit="1" customWidth="1"/>
    <col min="1805" max="1805" width="11.42578125" style="210" customWidth="1"/>
    <col min="1806" max="1806" width="14.5703125" style="210" customWidth="1"/>
    <col min="1807" max="1807" width="10.7109375" style="210" customWidth="1"/>
    <col min="1808" max="1808" width="12.28515625" style="210" customWidth="1"/>
    <col min="1809" max="1809" width="13.28515625" style="210" customWidth="1"/>
    <col min="1810" max="1810" width="10.5703125" style="210" customWidth="1"/>
    <col min="1811" max="1811" width="14.42578125" style="210" customWidth="1"/>
    <col min="1812" max="1812" width="9.140625" style="210"/>
    <col min="1813" max="1813" width="29.5703125" style="210" customWidth="1"/>
    <col min="1814" max="1818" width="15.5703125" style="210" customWidth="1"/>
    <col min="1819" max="1819" width="11.42578125" style="210" customWidth="1"/>
    <col min="1820" max="1820" width="15.42578125" style="210" customWidth="1"/>
    <col min="1821" max="1822" width="9.140625" style="210"/>
    <col min="1823" max="1823" width="48.28515625" style="210" customWidth="1"/>
    <col min="1824" max="1830" width="17.7109375" style="210" customWidth="1"/>
    <col min="1831" max="1831" width="9.140625" style="210"/>
    <col min="1832" max="1832" width="26.85546875" style="210" bestFit="1" customWidth="1"/>
    <col min="1833" max="1833" width="18.7109375" style="210" customWidth="1"/>
    <col min="1834" max="1834" width="14" style="210" customWidth="1"/>
    <col min="1835" max="1835" width="14.42578125" style="210" bestFit="1" customWidth="1"/>
    <col min="1836" max="1836" width="16.85546875" style="210" customWidth="1"/>
    <col min="1837" max="1837" width="11.42578125" style="210" customWidth="1"/>
    <col min="1838" max="1838" width="12.85546875" style="210" customWidth="1"/>
    <col min="1839" max="1839" width="10.7109375" style="210" customWidth="1"/>
    <col min="1840" max="1840" width="16.5703125" style="210" customWidth="1"/>
    <col min="1841" max="1841" width="16.42578125" style="210" customWidth="1"/>
    <col min="1842" max="1842" width="11.7109375" style="210" customWidth="1"/>
    <col min="1843" max="1843" width="14.42578125" style="210" customWidth="1"/>
    <col min="1844" max="2046" width="9.140625" style="210"/>
    <col min="2047" max="2047" width="56.85546875" style="210" customWidth="1"/>
    <col min="2048" max="2048" width="15.7109375" style="210" customWidth="1"/>
    <col min="2049" max="2049" width="10.5703125" style="210" customWidth="1"/>
    <col min="2050" max="2052" width="16.28515625" style="210" customWidth="1"/>
    <col min="2053" max="2053" width="12.7109375" style="210" customWidth="1"/>
    <col min="2054" max="2055" width="9.140625" style="210"/>
    <col min="2056" max="2056" width="25.85546875" style="210" customWidth="1"/>
    <col min="2057" max="2057" width="13.140625" style="210" customWidth="1"/>
    <col min="2058" max="2059" width="13.42578125" style="210" bestFit="1" customWidth="1"/>
    <col min="2060" max="2060" width="13.85546875" style="210" bestFit="1" customWidth="1"/>
    <col min="2061" max="2061" width="11.42578125" style="210" customWidth="1"/>
    <col min="2062" max="2062" width="14.5703125" style="210" customWidth="1"/>
    <col min="2063" max="2063" width="10.7109375" style="210" customWidth="1"/>
    <col min="2064" max="2064" width="12.28515625" style="210" customWidth="1"/>
    <col min="2065" max="2065" width="13.28515625" style="210" customWidth="1"/>
    <col min="2066" max="2066" width="10.5703125" style="210" customWidth="1"/>
    <col min="2067" max="2067" width="14.42578125" style="210" customWidth="1"/>
    <col min="2068" max="2068" width="9.140625" style="210"/>
    <col min="2069" max="2069" width="29.5703125" style="210" customWidth="1"/>
    <col min="2070" max="2074" width="15.5703125" style="210" customWidth="1"/>
    <col min="2075" max="2075" width="11.42578125" style="210" customWidth="1"/>
    <col min="2076" max="2076" width="15.42578125" style="210" customWidth="1"/>
    <col min="2077" max="2078" width="9.140625" style="210"/>
    <col min="2079" max="2079" width="48.28515625" style="210" customWidth="1"/>
    <col min="2080" max="2086" width="17.7109375" style="210" customWidth="1"/>
    <col min="2087" max="2087" width="9.140625" style="210"/>
    <col min="2088" max="2088" width="26.85546875" style="210" bestFit="1" customWidth="1"/>
    <col min="2089" max="2089" width="18.7109375" style="210" customWidth="1"/>
    <col min="2090" max="2090" width="14" style="210" customWidth="1"/>
    <col min="2091" max="2091" width="14.42578125" style="210" bestFit="1" customWidth="1"/>
    <col min="2092" max="2092" width="16.85546875" style="210" customWidth="1"/>
    <col min="2093" max="2093" width="11.42578125" style="210" customWidth="1"/>
    <col min="2094" max="2094" width="12.85546875" style="210" customWidth="1"/>
    <col min="2095" max="2095" width="10.7109375" style="210" customWidth="1"/>
    <col min="2096" max="2096" width="16.5703125" style="210" customWidth="1"/>
    <col min="2097" max="2097" width="16.42578125" style="210" customWidth="1"/>
    <col min="2098" max="2098" width="11.7109375" style="210" customWidth="1"/>
    <col min="2099" max="2099" width="14.42578125" style="210" customWidth="1"/>
    <col min="2100" max="2302" width="9.140625" style="210"/>
    <col min="2303" max="2303" width="56.85546875" style="210" customWidth="1"/>
    <col min="2304" max="2304" width="15.7109375" style="210" customWidth="1"/>
    <col min="2305" max="2305" width="10.5703125" style="210" customWidth="1"/>
    <col min="2306" max="2308" width="16.28515625" style="210" customWidth="1"/>
    <col min="2309" max="2309" width="12.7109375" style="210" customWidth="1"/>
    <col min="2310" max="2311" width="9.140625" style="210"/>
    <col min="2312" max="2312" width="25.85546875" style="210" customWidth="1"/>
    <col min="2313" max="2313" width="13.140625" style="210" customWidth="1"/>
    <col min="2314" max="2315" width="13.42578125" style="210" bestFit="1" customWidth="1"/>
    <col min="2316" max="2316" width="13.85546875" style="210" bestFit="1" customWidth="1"/>
    <col min="2317" max="2317" width="11.42578125" style="210" customWidth="1"/>
    <col min="2318" max="2318" width="14.5703125" style="210" customWidth="1"/>
    <col min="2319" max="2319" width="10.7109375" style="210" customWidth="1"/>
    <col min="2320" max="2320" width="12.28515625" style="210" customWidth="1"/>
    <col min="2321" max="2321" width="13.28515625" style="210" customWidth="1"/>
    <col min="2322" max="2322" width="10.5703125" style="210" customWidth="1"/>
    <col min="2323" max="2323" width="14.42578125" style="210" customWidth="1"/>
    <col min="2324" max="2324" width="9.140625" style="210"/>
    <col min="2325" max="2325" width="29.5703125" style="210" customWidth="1"/>
    <col min="2326" max="2330" width="15.5703125" style="210" customWidth="1"/>
    <col min="2331" max="2331" width="11.42578125" style="210" customWidth="1"/>
    <col min="2332" max="2332" width="15.42578125" style="210" customWidth="1"/>
    <col min="2333" max="2334" width="9.140625" style="210"/>
    <col min="2335" max="2335" width="48.28515625" style="210" customWidth="1"/>
    <col min="2336" max="2342" width="17.7109375" style="210" customWidth="1"/>
    <col min="2343" max="2343" width="9.140625" style="210"/>
    <col min="2344" max="2344" width="26.85546875" style="210" bestFit="1" customWidth="1"/>
    <col min="2345" max="2345" width="18.7109375" style="210" customWidth="1"/>
    <col min="2346" max="2346" width="14" style="210" customWidth="1"/>
    <col min="2347" max="2347" width="14.42578125" style="210" bestFit="1" customWidth="1"/>
    <col min="2348" max="2348" width="16.85546875" style="210" customWidth="1"/>
    <col min="2349" max="2349" width="11.42578125" style="210" customWidth="1"/>
    <col min="2350" max="2350" width="12.85546875" style="210" customWidth="1"/>
    <col min="2351" max="2351" width="10.7109375" style="210" customWidth="1"/>
    <col min="2352" max="2352" width="16.5703125" style="210" customWidth="1"/>
    <col min="2353" max="2353" width="16.42578125" style="210" customWidth="1"/>
    <col min="2354" max="2354" width="11.7109375" style="210" customWidth="1"/>
    <col min="2355" max="2355" width="14.42578125" style="210" customWidth="1"/>
    <col min="2356" max="2558" width="9.140625" style="210"/>
    <col min="2559" max="2559" width="56.85546875" style="210" customWidth="1"/>
    <col min="2560" max="2560" width="15.7109375" style="210" customWidth="1"/>
    <col min="2561" max="2561" width="10.5703125" style="210" customWidth="1"/>
    <col min="2562" max="2564" width="16.28515625" style="210" customWidth="1"/>
    <col min="2565" max="2565" width="12.7109375" style="210" customWidth="1"/>
    <col min="2566" max="2567" width="9.140625" style="210"/>
    <col min="2568" max="2568" width="25.85546875" style="210" customWidth="1"/>
    <col min="2569" max="2569" width="13.140625" style="210" customWidth="1"/>
    <col min="2570" max="2571" width="13.42578125" style="210" bestFit="1" customWidth="1"/>
    <col min="2572" max="2572" width="13.85546875" style="210" bestFit="1" customWidth="1"/>
    <col min="2573" max="2573" width="11.42578125" style="210" customWidth="1"/>
    <col min="2574" max="2574" width="14.5703125" style="210" customWidth="1"/>
    <col min="2575" max="2575" width="10.7109375" style="210" customWidth="1"/>
    <col min="2576" max="2576" width="12.28515625" style="210" customWidth="1"/>
    <col min="2577" max="2577" width="13.28515625" style="210" customWidth="1"/>
    <col min="2578" max="2578" width="10.5703125" style="210" customWidth="1"/>
    <col min="2579" max="2579" width="14.42578125" style="210" customWidth="1"/>
    <col min="2580" max="2580" width="9.140625" style="210"/>
    <col min="2581" max="2581" width="29.5703125" style="210" customWidth="1"/>
    <col min="2582" max="2586" width="15.5703125" style="210" customWidth="1"/>
    <col min="2587" max="2587" width="11.42578125" style="210" customWidth="1"/>
    <col min="2588" max="2588" width="15.42578125" style="210" customWidth="1"/>
    <col min="2589" max="2590" width="9.140625" style="210"/>
    <col min="2591" max="2591" width="48.28515625" style="210" customWidth="1"/>
    <col min="2592" max="2598" width="17.7109375" style="210" customWidth="1"/>
    <col min="2599" max="2599" width="9.140625" style="210"/>
    <col min="2600" max="2600" width="26.85546875" style="210" bestFit="1" customWidth="1"/>
    <col min="2601" max="2601" width="18.7109375" style="210" customWidth="1"/>
    <col min="2602" max="2602" width="14" style="210" customWidth="1"/>
    <col min="2603" max="2603" width="14.42578125" style="210" bestFit="1" customWidth="1"/>
    <col min="2604" max="2604" width="16.85546875" style="210" customWidth="1"/>
    <col min="2605" max="2605" width="11.42578125" style="210" customWidth="1"/>
    <col min="2606" max="2606" width="12.85546875" style="210" customWidth="1"/>
    <col min="2607" max="2607" width="10.7109375" style="210" customWidth="1"/>
    <col min="2608" max="2608" width="16.5703125" style="210" customWidth="1"/>
    <col min="2609" max="2609" width="16.42578125" style="210" customWidth="1"/>
    <col min="2610" max="2610" width="11.7109375" style="210" customWidth="1"/>
    <col min="2611" max="2611" width="14.42578125" style="210" customWidth="1"/>
    <col min="2612" max="2814" width="9.140625" style="210"/>
    <col min="2815" max="2815" width="56.85546875" style="210" customWidth="1"/>
    <col min="2816" max="2816" width="15.7109375" style="210" customWidth="1"/>
    <col min="2817" max="2817" width="10.5703125" style="210" customWidth="1"/>
    <col min="2818" max="2820" width="16.28515625" style="210" customWidth="1"/>
    <col min="2821" max="2821" width="12.7109375" style="210" customWidth="1"/>
    <col min="2822" max="2823" width="9.140625" style="210"/>
    <col min="2824" max="2824" width="25.85546875" style="210" customWidth="1"/>
    <col min="2825" max="2825" width="13.140625" style="210" customWidth="1"/>
    <col min="2826" max="2827" width="13.42578125" style="210" bestFit="1" customWidth="1"/>
    <col min="2828" max="2828" width="13.85546875" style="210" bestFit="1" customWidth="1"/>
    <col min="2829" max="2829" width="11.42578125" style="210" customWidth="1"/>
    <col min="2830" max="2830" width="14.5703125" style="210" customWidth="1"/>
    <col min="2831" max="2831" width="10.7109375" style="210" customWidth="1"/>
    <col min="2832" max="2832" width="12.28515625" style="210" customWidth="1"/>
    <col min="2833" max="2833" width="13.28515625" style="210" customWidth="1"/>
    <col min="2834" max="2834" width="10.5703125" style="210" customWidth="1"/>
    <col min="2835" max="2835" width="14.42578125" style="210" customWidth="1"/>
    <col min="2836" max="2836" width="9.140625" style="210"/>
    <col min="2837" max="2837" width="29.5703125" style="210" customWidth="1"/>
    <col min="2838" max="2842" width="15.5703125" style="210" customWidth="1"/>
    <col min="2843" max="2843" width="11.42578125" style="210" customWidth="1"/>
    <col min="2844" max="2844" width="15.42578125" style="210" customWidth="1"/>
    <col min="2845" max="2846" width="9.140625" style="210"/>
    <col min="2847" max="2847" width="48.28515625" style="210" customWidth="1"/>
    <col min="2848" max="2854" width="17.7109375" style="210" customWidth="1"/>
    <col min="2855" max="2855" width="9.140625" style="210"/>
    <col min="2856" max="2856" width="26.85546875" style="210" bestFit="1" customWidth="1"/>
    <col min="2857" max="2857" width="18.7109375" style="210" customWidth="1"/>
    <col min="2858" max="2858" width="14" style="210" customWidth="1"/>
    <col min="2859" max="2859" width="14.42578125" style="210" bestFit="1" customWidth="1"/>
    <col min="2860" max="2860" width="16.85546875" style="210" customWidth="1"/>
    <col min="2861" max="2861" width="11.42578125" style="210" customWidth="1"/>
    <col min="2862" max="2862" width="12.85546875" style="210" customWidth="1"/>
    <col min="2863" max="2863" width="10.7109375" style="210" customWidth="1"/>
    <col min="2864" max="2864" width="16.5703125" style="210" customWidth="1"/>
    <col min="2865" max="2865" width="16.42578125" style="210" customWidth="1"/>
    <col min="2866" max="2866" width="11.7109375" style="210" customWidth="1"/>
    <col min="2867" max="2867" width="14.42578125" style="210" customWidth="1"/>
    <col min="2868" max="3070" width="9.140625" style="210"/>
    <col min="3071" max="3071" width="56.85546875" style="210" customWidth="1"/>
    <col min="3072" max="3072" width="15.7109375" style="210" customWidth="1"/>
    <col min="3073" max="3073" width="10.5703125" style="210" customWidth="1"/>
    <col min="3074" max="3076" width="16.28515625" style="210" customWidth="1"/>
    <col min="3077" max="3077" width="12.7109375" style="210" customWidth="1"/>
    <col min="3078" max="3079" width="9.140625" style="210"/>
    <col min="3080" max="3080" width="25.85546875" style="210" customWidth="1"/>
    <col min="3081" max="3081" width="13.140625" style="210" customWidth="1"/>
    <col min="3082" max="3083" width="13.42578125" style="210" bestFit="1" customWidth="1"/>
    <col min="3084" max="3084" width="13.85546875" style="210" bestFit="1" customWidth="1"/>
    <col min="3085" max="3085" width="11.42578125" style="210" customWidth="1"/>
    <col min="3086" max="3086" width="14.5703125" style="210" customWidth="1"/>
    <col min="3087" max="3087" width="10.7109375" style="210" customWidth="1"/>
    <col min="3088" max="3088" width="12.28515625" style="210" customWidth="1"/>
    <col min="3089" max="3089" width="13.28515625" style="210" customWidth="1"/>
    <col min="3090" max="3090" width="10.5703125" style="210" customWidth="1"/>
    <col min="3091" max="3091" width="14.42578125" style="210" customWidth="1"/>
    <col min="3092" max="3092" width="9.140625" style="210"/>
    <col min="3093" max="3093" width="29.5703125" style="210" customWidth="1"/>
    <col min="3094" max="3098" width="15.5703125" style="210" customWidth="1"/>
    <col min="3099" max="3099" width="11.42578125" style="210" customWidth="1"/>
    <col min="3100" max="3100" width="15.42578125" style="210" customWidth="1"/>
    <col min="3101" max="3102" width="9.140625" style="210"/>
    <col min="3103" max="3103" width="48.28515625" style="210" customWidth="1"/>
    <col min="3104" max="3110" width="17.7109375" style="210" customWidth="1"/>
    <col min="3111" max="3111" width="9.140625" style="210"/>
    <col min="3112" max="3112" width="26.85546875" style="210" bestFit="1" customWidth="1"/>
    <col min="3113" max="3113" width="18.7109375" style="210" customWidth="1"/>
    <col min="3114" max="3114" width="14" style="210" customWidth="1"/>
    <col min="3115" max="3115" width="14.42578125" style="210" bestFit="1" customWidth="1"/>
    <col min="3116" max="3116" width="16.85546875" style="210" customWidth="1"/>
    <col min="3117" max="3117" width="11.42578125" style="210" customWidth="1"/>
    <col min="3118" max="3118" width="12.85546875" style="210" customWidth="1"/>
    <col min="3119" max="3119" width="10.7109375" style="210" customWidth="1"/>
    <col min="3120" max="3120" width="16.5703125" style="210" customWidth="1"/>
    <col min="3121" max="3121" width="16.42578125" style="210" customWidth="1"/>
    <col min="3122" max="3122" width="11.7109375" style="210" customWidth="1"/>
    <col min="3123" max="3123" width="14.42578125" style="210" customWidth="1"/>
    <col min="3124" max="3326" width="9.140625" style="210"/>
    <col min="3327" max="3327" width="56.85546875" style="210" customWidth="1"/>
    <col min="3328" max="3328" width="15.7109375" style="210" customWidth="1"/>
    <col min="3329" max="3329" width="10.5703125" style="210" customWidth="1"/>
    <col min="3330" max="3332" width="16.28515625" style="210" customWidth="1"/>
    <col min="3333" max="3333" width="12.7109375" style="210" customWidth="1"/>
    <col min="3334" max="3335" width="9.140625" style="210"/>
    <col min="3336" max="3336" width="25.85546875" style="210" customWidth="1"/>
    <col min="3337" max="3337" width="13.140625" style="210" customWidth="1"/>
    <col min="3338" max="3339" width="13.42578125" style="210" bestFit="1" customWidth="1"/>
    <col min="3340" max="3340" width="13.85546875" style="210" bestFit="1" customWidth="1"/>
    <col min="3341" max="3341" width="11.42578125" style="210" customWidth="1"/>
    <col min="3342" max="3342" width="14.5703125" style="210" customWidth="1"/>
    <col min="3343" max="3343" width="10.7109375" style="210" customWidth="1"/>
    <col min="3344" max="3344" width="12.28515625" style="210" customWidth="1"/>
    <col min="3345" max="3345" width="13.28515625" style="210" customWidth="1"/>
    <col min="3346" max="3346" width="10.5703125" style="210" customWidth="1"/>
    <col min="3347" max="3347" width="14.42578125" style="210" customWidth="1"/>
    <col min="3348" max="3348" width="9.140625" style="210"/>
    <col min="3349" max="3349" width="29.5703125" style="210" customWidth="1"/>
    <col min="3350" max="3354" width="15.5703125" style="210" customWidth="1"/>
    <col min="3355" max="3355" width="11.42578125" style="210" customWidth="1"/>
    <col min="3356" max="3356" width="15.42578125" style="210" customWidth="1"/>
    <col min="3357" max="3358" width="9.140625" style="210"/>
    <col min="3359" max="3359" width="48.28515625" style="210" customWidth="1"/>
    <col min="3360" max="3366" width="17.7109375" style="210" customWidth="1"/>
    <col min="3367" max="3367" width="9.140625" style="210"/>
    <col min="3368" max="3368" width="26.85546875" style="210" bestFit="1" customWidth="1"/>
    <col min="3369" max="3369" width="18.7109375" style="210" customWidth="1"/>
    <col min="3370" max="3370" width="14" style="210" customWidth="1"/>
    <col min="3371" max="3371" width="14.42578125" style="210" bestFit="1" customWidth="1"/>
    <col min="3372" max="3372" width="16.85546875" style="210" customWidth="1"/>
    <col min="3373" max="3373" width="11.42578125" style="210" customWidth="1"/>
    <col min="3374" max="3374" width="12.85546875" style="210" customWidth="1"/>
    <col min="3375" max="3375" width="10.7109375" style="210" customWidth="1"/>
    <col min="3376" max="3376" width="16.5703125" style="210" customWidth="1"/>
    <col min="3377" max="3377" width="16.42578125" style="210" customWidth="1"/>
    <col min="3378" max="3378" width="11.7109375" style="210" customWidth="1"/>
    <col min="3379" max="3379" width="14.42578125" style="210" customWidth="1"/>
    <col min="3380" max="3582" width="9.140625" style="210"/>
    <col min="3583" max="3583" width="56.85546875" style="210" customWidth="1"/>
    <col min="3584" max="3584" width="15.7109375" style="210" customWidth="1"/>
    <col min="3585" max="3585" width="10.5703125" style="210" customWidth="1"/>
    <col min="3586" max="3588" width="16.28515625" style="210" customWidth="1"/>
    <col min="3589" max="3589" width="12.7109375" style="210" customWidth="1"/>
    <col min="3590" max="3591" width="9.140625" style="210"/>
    <col min="3592" max="3592" width="25.85546875" style="210" customWidth="1"/>
    <col min="3593" max="3593" width="13.140625" style="210" customWidth="1"/>
    <col min="3594" max="3595" width="13.42578125" style="210" bestFit="1" customWidth="1"/>
    <col min="3596" max="3596" width="13.85546875" style="210" bestFit="1" customWidth="1"/>
    <col min="3597" max="3597" width="11.42578125" style="210" customWidth="1"/>
    <col min="3598" max="3598" width="14.5703125" style="210" customWidth="1"/>
    <col min="3599" max="3599" width="10.7109375" style="210" customWidth="1"/>
    <col min="3600" max="3600" width="12.28515625" style="210" customWidth="1"/>
    <col min="3601" max="3601" width="13.28515625" style="210" customWidth="1"/>
    <col min="3602" max="3602" width="10.5703125" style="210" customWidth="1"/>
    <col min="3603" max="3603" width="14.42578125" style="210" customWidth="1"/>
    <col min="3604" max="3604" width="9.140625" style="210"/>
    <col min="3605" max="3605" width="29.5703125" style="210" customWidth="1"/>
    <col min="3606" max="3610" width="15.5703125" style="210" customWidth="1"/>
    <col min="3611" max="3611" width="11.42578125" style="210" customWidth="1"/>
    <col min="3612" max="3612" width="15.42578125" style="210" customWidth="1"/>
    <col min="3613" max="3614" width="9.140625" style="210"/>
    <col min="3615" max="3615" width="48.28515625" style="210" customWidth="1"/>
    <col min="3616" max="3622" width="17.7109375" style="210" customWidth="1"/>
    <col min="3623" max="3623" width="9.140625" style="210"/>
    <col min="3624" max="3624" width="26.85546875" style="210" bestFit="1" customWidth="1"/>
    <col min="3625" max="3625" width="18.7109375" style="210" customWidth="1"/>
    <col min="3626" max="3626" width="14" style="210" customWidth="1"/>
    <col min="3627" max="3627" width="14.42578125" style="210" bestFit="1" customWidth="1"/>
    <col min="3628" max="3628" width="16.85546875" style="210" customWidth="1"/>
    <col min="3629" max="3629" width="11.42578125" style="210" customWidth="1"/>
    <col min="3630" max="3630" width="12.85546875" style="210" customWidth="1"/>
    <col min="3631" max="3631" width="10.7109375" style="210" customWidth="1"/>
    <col min="3632" max="3632" width="16.5703125" style="210" customWidth="1"/>
    <col min="3633" max="3633" width="16.42578125" style="210" customWidth="1"/>
    <col min="3634" max="3634" width="11.7109375" style="210" customWidth="1"/>
    <col min="3635" max="3635" width="14.42578125" style="210" customWidth="1"/>
    <col min="3636" max="3838" width="9.140625" style="210"/>
    <col min="3839" max="3839" width="56.85546875" style="210" customWidth="1"/>
    <col min="3840" max="3840" width="15.7109375" style="210" customWidth="1"/>
    <col min="3841" max="3841" width="10.5703125" style="210" customWidth="1"/>
    <col min="3842" max="3844" width="16.28515625" style="210" customWidth="1"/>
    <col min="3845" max="3845" width="12.7109375" style="210" customWidth="1"/>
    <col min="3846" max="3847" width="9.140625" style="210"/>
    <col min="3848" max="3848" width="25.85546875" style="210" customWidth="1"/>
    <col min="3849" max="3849" width="13.140625" style="210" customWidth="1"/>
    <col min="3850" max="3851" width="13.42578125" style="210" bestFit="1" customWidth="1"/>
    <col min="3852" max="3852" width="13.85546875" style="210" bestFit="1" customWidth="1"/>
    <col min="3853" max="3853" width="11.42578125" style="210" customWidth="1"/>
    <col min="3854" max="3854" width="14.5703125" style="210" customWidth="1"/>
    <col min="3855" max="3855" width="10.7109375" style="210" customWidth="1"/>
    <col min="3856" max="3856" width="12.28515625" style="210" customWidth="1"/>
    <col min="3857" max="3857" width="13.28515625" style="210" customWidth="1"/>
    <col min="3858" max="3858" width="10.5703125" style="210" customWidth="1"/>
    <col min="3859" max="3859" width="14.42578125" style="210" customWidth="1"/>
    <col min="3860" max="3860" width="9.140625" style="210"/>
    <col min="3861" max="3861" width="29.5703125" style="210" customWidth="1"/>
    <col min="3862" max="3866" width="15.5703125" style="210" customWidth="1"/>
    <col min="3867" max="3867" width="11.42578125" style="210" customWidth="1"/>
    <col min="3868" max="3868" width="15.42578125" style="210" customWidth="1"/>
    <col min="3869" max="3870" width="9.140625" style="210"/>
    <col min="3871" max="3871" width="48.28515625" style="210" customWidth="1"/>
    <col min="3872" max="3878" width="17.7109375" style="210" customWidth="1"/>
    <col min="3879" max="3879" width="9.140625" style="210"/>
    <col min="3880" max="3880" width="26.85546875" style="210" bestFit="1" customWidth="1"/>
    <col min="3881" max="3881" width="18.7109375" style="210" customWidth="1"/>
    <col min="3882" max="3882" width="14" style="210" customWidth="1"/>
    <col min="3883" max="3883" width="14.42578125" style="210" bestFit="1" customWidth="1"/>
    <col min="3884" max="3884" width="16.85546875" style="210" customWidth="1"/>
    <col min="3885" max="3885" width="11.42578125" style="210" customWidth="1"/>
    <col min="3886" max="3886" width="12.85546875" style="210" customWidth="1"/>
    <col min="3887" max="3887" width="10.7109375" style="210" customWidth="1"/>
    <col min="3888" max="3888" width="16.5703125" style="210" customWidth="1"/>
    <col min="3889" max="3889" width="16.42578125" style="210" customWidth="1"/>
    <col min="3890" max="3890" width="11.7109375" style="210" customWidth="1"/>
    <col min="3891" max="3891" width="14.42578125" style="210" customWidth="1"/>
    <col min="3892" max="4094" width="9.140625" style="210"/>
    <col min="4095" max="4095" width="56.85546875" style="210" customWidth="1"/>
    <col min="4096" max="4096" width="15.7109375" style="210" customWidth="1"/>
    <col min="4097" max="4097" width="10.5703125" style="210" customWidth="1"/>
    <col min="4098" max="4100" width="16.28515625" style="210" customWidth="1"/>
    <col min="4101" max="4101" width="12.7109375" style="210" customWidth="1"/>
    <col min="4102" max="4103" width="9.140625" style="210"/>
    <col min="4104" max="4104" width="25.85546875" style="210" customWidth="1"/>
    <col min="4105" max="4105" width="13.140625" style="210" customWidth="1"/>
    <col min="4106" max="4107" width="13.42578125" style="210" bestFit="1" customWidth="1"/>
    <col min="4108" max="4108" width="13.85546875" style="210" bestFit="1" customWidth="1"/>
    <col min="4109" max="4109" width="11.42578125" style="210" customWidth="1"/>
    <col min="4110" max="4110" width="14.5703125" style="210" customWidth="1"/>
    <col min="4111" max="4111" width="10.7109375" style="210" customWidth="1"/>
    <col min="4112" max="4112" width="12.28515625" style="210" customWidth="1"/>
    <col min="4113" max="4113" width="13.28515625" style="210" customWidth="1"/>
    <col min="4114" max="4114" width="10.5703125" style="210" customWidth="1"/>
    <col min="4115" max="4115" width="14.42578125" style="210" customWidth="1"/>
    <col min="4116" max="4116" width="9.140625" style="210"/>
    <col min="4117" max="4117" width="29.5703125" style="210" customWidth="1"/>
    <col min="4118" max="4122" width="15.5703125" style="210" customWidth="1"/>
    <col min="4123" max="4123" width="11.42578125" style="210" customWidth="1"/>
    <col min="4124" max="4124" width="15.42578125" style="210" customWidth="1"/>
    <col min="4125" max="4126" width="9.140625" style="210"/>
    <col min="4127" max="4127" width="48.28515625" style="210" customWidth="1"/>
    <col min="4128" max="4134" width="17.7109375" style="210" customWidth="1"/>
    <col min="4135" max="4135" width="9.140625" style="210"/>
    <col min="4136" max="4136" width="26.85546875" style="210" bestFit="1" customWidth="1"/>
    <col min="4137" max="4137" width="18.7109375" style="210" customWidth="1"/>
    <col min="4138" max="4138" width="14" style="210" customWidth="1"/>
    <col min="4139" max="4139" width="14.42578125" style="210" bestFit="1" customWidth="1"/>
    <col min="4140" max="4140" width="16.85546875" style="210" customWidth="1"/>
    <col min="4141" max="4141" width="11.42578125" style="210" customWidth="1"/>
    <col min="4142" max="4142" width="12.85546875" style="210" customWidth="1"/>
    <col min="4143" max="4143" width="10.7109375" style="210" customWidth="1"/>
    <col min="4144" max="4144" width="16.5703125" style="210" customWidth="1"/>
    <col min="4145" max="4145" width="16.42578125" style="210" customWidth="1"/>
    <col min="4146" max="4146" width="11.7109375" style="210" customWidth="1"/>
    <col min="4147" max="4147" width="14.42578125" style="210" customWidth="1"/>
    <col min="4148" max="4350" width="9.140625" style="210"/>
    <col min="4351" max="4351" width="56.85546875" style="210" customWidth="1"/>
    <col min="4352" max="4352" width="15.7109375" style="210" customWidth="1"/>
    <col min="4353" max="4353" width="10.5703125" style="210" customWidth="1"/>
    <col min="4354" max="4356" width="16.28515625" style="210" customWidth="1"/>
    <col min="4357" max="4357" width="12.7109375" style="210" customWidth="1"/>
    <col min="4358" max="4359" width="9.140625" style="210"/>
    <col min="4360" max="4360" width="25.85546875" style="210" customWidth="1"/>
    <col min="4361" max="4361" width="13.140625" style="210" customWidth="1"/>
    <col min="4362" max="4363" width="13.42578125" style="210" bestFit="1" customWidth="1"/>
    <col min="4364" max="4364" width="13.85546875" style="210" bestFit="1" customWidth="1"/>
    <col min="4365" max="4365" width="11.42578125" style="210" customWidth="1"/>
    <col min="4366" max="4366" width="14.5703125" style="210" customWidth="1"/>
    <col min="4367" max="4367" width="10.7109375" style="210" customWidth="1"/>
    <col min="4368" max="4368" width="12.28515625" style="210" customWidth="1"/>
    <col min="4369" max="4369" width="13.28515625" style="210" customWidth="1"/>
    <col min="4370" max="4370" width="10.5703125" style="210" customWidth="1"/>
    <col min="4371" max="4371" width="14.42578125" style="210" customWidth="1"/>
    <col min="4372" max="4372" width="9.140625" style="210"/>
    <col min="4373" max="4373" width="29.5703125" style="210" customWidth="1"/>
    <col min="4374" max="4378" width="15.5703125" style="210" customWidth="1"/>
    <col min="4379" max="4379" width="11.42578125" style="210" customWidth="1"/>
    <col min="4380" max="4380" width="15.42578125" style="210" customWidth="1"/>
    <col min="4381" max="4382" width="9.140625" style="210"/>
    <col min="4383" max="4383" width="48.28515625" style="210" customWidth="1"/>
    <col min="4384" max="4390" width="17.7109375" style="210" customWidth="1"/>
    <col min="4391" max="4391" width="9.140625" style="210"/>
    <col min="4392" max="4392" width="26.85546875" style="210" bestFit="1" customWidth="1"/>
    <col min="4393" max="4393" width="18.7109375" style="210" customWidth="1"/>
    <col min="4394" max="4394" width="14" style="210" customWidth="1"/>
    <col min="4395" max="4395" width="14.42578125" style="210" bestFit="1" customWidth="1"/>
    <col min="4396" max="4396" width="16.85546875" style="210" customWidth="1"/>
    <col min="4397" max="4397" width="11.42578125" style="210" customWidth="1"/>
    <col min="4398" max="4398" width="12.85546875" style="210" customWidth="1"/>
    <col min="4399" max="4399" width="10.7109375" style="210" customWidth="1"/>
    <col min="4400" max="4400" width="16.5703125" style="210" customWidth="1"/>
    <col min="4401" max="4401" width="16.42578125" style="210" customWidth="1"/>
    <col min="4402" max="4402" width="11.7109375" style="210" customWidth="1"/>
    <col min="4403" max="4403" width="14.42578125" style="210" customWidth="1"/>
    <col min="4404" max="4606" width="9.140625" style="210"/>
    <col min="4607" max="4607" width="56.85546875" style="210" customWidth="1"/>
    <col min="4608" max="4608" width="15.7109375" style="210" customWidth="1"/>
    <col min="4609" max="4609" width="10.5703125" style="210" customWidth="1"/>
    <col min="4610" max="4612" width="16.28515625" style="210" customWidth="1"/>
    <col min="4613" max="4613" width="12.7109375" style="210" customWidth="1"/>
    <col min="4614" max="4615" width="9.140625" style="210"/>
    <col min="4616" max="4616" width="25.85546875" style="210" customWidth="1"/>
    <col min="4617" max="4617" width="13.140625" style="210" customWidth="1"/>
    <col min="4618" max="4619" width="13.42578125" style="210" bestFit="1" customWidth="1"/>
    <col min="4620" max="4620" width="13.85546875" style="210" bestFit="1" customWidth="1"/>
    <col min="4621" max="4621" width="11.42578125" style="210" customWidth="1"/>
    <col min="4622" max="4622" width="14.5703125" style="210" customWidth="1"/>
    <col min="4623" max="4623" width="10.7109375" style="210" customWidth="1"/>
    <col min="4624" max="4624" width="12.28515625" style="210" customWidth="1"/>
    <col min="4625" max="4625" width="13.28515625" style="210" customWidth="1"/>
    <col min="4626" max="4626" width="10.5703125" style="210" customWidth="1"/>
    <col min="4627" max="4627" width="14.42578125" style="210" customWidth="1"/>
    <col min="4628" max="4628" width="9.140625" style="210"/>
    <col min="4629" max="4629" width="29.5703125" style="210" customWidth="1"/>
    <col min="4630" max="4634" width="15.5703125" style="210" customWidth="1"/>
    <col min="4635" max="4635" width="11.42578125" style="210" customWidth="1"/>
    <col min="4636" max="4636" width="15.42578125" style="210" customWidth="1"/>
    <col min="4637" max="4638" width="9.140625" style="210"/>
    <col min="4639" max="4639" width="48.28515625" style="210" customWidth="1"/>
    <col min="4640" max="4646" width="17.7109375" style="210" customWidth="1"/>
    <col min="4647" max="4647" width="9.140625" style="210"/>
    <col min="4648" max="4648" width="26.85546875" style="210" bestFit="1" customWidth="1"/>
    <col min="4649" max="4649" width="18.7109375" style="210" customWidth="1"/>
    <col min="4650" max="4650" width="14" style="210" customWidth="1"/>
    <col min="4651" max="4651" width="14.42578125" style="210" bestFit="1" customWidth="1"/>
    <col min="4652" max="4652" width="16.85546875" style="210" customWidth="1"/>
    <col min="4653" max="4653" width="11.42578125" style="210" customWidth="1"/>
    <col min="4654" max="4654" width="12.85546875" style="210" customWidth="1"/>
    <col min="4655" max="4655" width="10.7109375" style="210" customWidth="1"/>
    <col min="4656" max="4656" width="16.5703125" style="210" customWidth="1"/>
    <col min="4657" max="4657" width="16.42578125" style="210" customWidth="1"/>
    <col min="4658" max="4658" width="11.7109375" style="210" customWidth="1"/>
    <col min="4659" max="4659" width="14.42578125" style="210" customWidth="1"/>
    <col min="4660" max="4862" width="9.140625" style="210"/>
    <col min="4863" max="4863" width="56.85546875" style="210" customWidth="1"/>
    <col min="4864" max="4864" width="15.7109375" style="210" customWidth="1"/>
    <col min="4865" max="4865" width="10.5703125" style="210" customWidth="1"/>
    <col min="4866" max="4868" width="16.28515625" style="210" customWidth="1"/>
    <col min="4869" max="4869" width="12.7109375" style="210" customWidth="1"/>
    <col min="4870" max="4871" width="9.140625" style="210"/>
    <col min="4872" max="4872" width="25.85546875" style="210" customWidth="1"/>
    <col min="4873" max="4873" width="13.140625" style="210" customWidth="1"/>
    <col min="4874" max="4875" width="13.42578125" style="210" bestFit="1" customWidth="1"/>
    <col min="4876" max="4876" width="13.85546875" style="210" bestFit="1" customWidth="1"/>
    <col min="4877" max="4877" width="11.42578125" style="210" customWidth="1"/>
    <col min="4878" max="4878" width="14.5703125" style="210" customWidth="1"/>
    <col min="4879" max="4879" width="10.7109375" style="210" customWidth="1"/>
    <col min="4880" max="4880" width="12.28515625" style="210" customWidth="1"/>
    <col min="4881" max="4881" width="13.28515625" style="210" customWidth="1"/>
    <col min="4882" max="4882" width="10.5703125" style="210" customWidth="1"/>
    <col min="4883" max="4883" width="14.42578125" style="210" customWidth="1"/>
    <col min="4884" max="4884" width="9.140625" style="210"/>
    <col min="4885" max="4885" width="29.5703125" style="210" customWidth="1"/>
    <col min="4886" max="4890" width="15.5703125" style="210" customWidth="1"/>
    <col min="4891" max="4891" width="11.42578125" style="210" customWidth="1"/>
    <col min="4892" max="4892" width="15.42578125" style="210" customWidth="1"/>
    <col min="4893" max="4894" width="9.140625" style="210"/>
    <col min="4895" max="4895" width="48.28515625" style="210" customWidth="1"/>
    <col min="4896" max="4902" width="17.7109375" style="210" customWidth="1"/>
    <col min="4903" max="4903" width="9.140625" style="210"/>
    <col min="4904" max="4904" width="26.85546875" style="210" bestFit="1" customWidth="1"/>
    <col min="4905" max="4905" width="18.7109375" style="210" customWidth="1"/>
    <col min="4906" max="4906" width="14" style="210" customWidth="1"/>
    <col min="4907" max="4907" width="14.42578125" style="210" bestFit="1" customWidth="1"/>
    <col min="4908" max="4908" width="16.85546875" style="210" customWidth="1"/>
    <col min="4909" max="4909" width="11.42578125" style="210" customWidth="1"/>
    <col min="4910" max="4910" width="12.85546875" style="210" customWidth="1"/>
    <col min="4911" max="4911" width="10.7109375" style="210" customWidth="1"/>
    <col min="4912" max="4912" width="16.5703125" style="210" customWidth="1"/>
    <col min="4913" max="4913" width="16.42578125" style="210" customWidth="1"/>
    <col min="4914" max="4914" width="11.7109375" style="210" customWidth="1"/>
    <col min="4915" max="4915" width="14.42578125" style="210" customWidth="1"/>
    <col min="4916" max="5118" width="9.140625" style="210"/>
    <col min="5119" max="5119" width="56.85546875" style="210" customWidth="1"/>
    <col min="5120" max="5120" width="15.7109375" style="210" customWidth="1"/>
    <col min="5121" max="5121" width="10.5703125" style="210" customWidth="1"/>
    <col min="5122" max="5124" width="16.28515625" style="210" customWidth="1"/>
    <col min="5125" max="5125" width="12.7109375" style="210" customWidth="1"/>
    <col min="5126" max="5127" width="9.140625" style="210"/>
    <col min="5128" max="5128" width="25.85546875" style="210" customWidth="1"/>
    <col min="5129" max="5129" width="13.140625" style="210" customWidth="1"/>
    <col min="5130" max="5131" width="13.42578125" style="210" bestFit="1" customWidth="1"/>
    <col min="5132" max="5132" width="13.85546875" style="210" bestFit="1" customWidth="1"/>
    <col min="5133" max="5133" width="11.42578125" style="210" customWidth="1"/>
    <col min="5134" max="5134" width="14.5703125" style="210" customWidth="1"/>
    <col min="5135" max="5135" width="10.7109375" style="210" customWidth="1"/>
    <col min="5136" max="5136" width="12.28515625" style="210" customWidth="1"/>
    <col min="5137" max="5137" width="13.28515625" style="210" customWidth="1"/>
    <col min="5138" max="5138" width="10.5703125" style="210" customWidth="1"/>
    <col min="5139" max="5139" width="14.42578125" style="210" customWidth="1"/>
    <col min="5140" max="5140" width="9.140625" style="210"/>
    <col min="5141" max="5141" width="29.5703125" style="210" customWidth="1"/>
    <col min="5142" max="5146" width="15.5703125" style="210" customWidth="1"/>
    <col min="5147" max="5147" width="11.42578125" style="210" customWidth="1"/>
    <col min="5148" max="5148" width="15.42578125" style="210" customWidth="1"/>
    <col min="5149" max="5150" width="9.140625" style="210"/>
    <col min="5151" max="5151" width="48.28515625" style="210" customWidth="1"/>
    <col min="5152" max="5158" width="17.7109375" style="210" customWidth="1"/>
    <col min="5159" max="5159" width="9.140625" style="210"/>
    <col min="5160" max="5160" width="26.85546875" style="210" bestFit="1" customWidth="1"/>
    <col min="5161" max="5161" width="18.7109375" style="210" customWidth="1"/>
    <col min="5162" max="5162" width="14" style="210" customWidth="1"/>
    <col min="5163" max="5163" width="14.42578125" style="210" bestFit="1" customWidth="1"/>
    <col min="5164" max="5164" width="16.85546875" style="210" customWidth="1"/>
    <col min="5165" max="5165" width="11.42578125" style="210" customWidth="1"/>
    <col min="5166" max="5166" width="12.85546875" style="210" customWidth="1"/>
    <col min="5167" max="5167" width="10.7109375" style="210" customWidth="1"/>
    <col min="5168" max="5168" width="16.5703125" style="210" customWidth="1"/>
    <col min="5169" max="5169" width="16.42578125" style="210" customWidth="1"/>
    <col min="5170" max="5170" width="11.7109375" style="210" customWidth="1"/>
    <col min="5171" max="5171" width="14.42578125" style="210" customWidth="1"/>
    <col min="5172" max="5374" width="9.140625" style="210"/>
    <col min="5375" max="5375" width="56.85546875" style="210" customWidth="1"/>
    <col min="5376" max="5376" width="15.7109375" style="210" customWidth="1"/>
    <col min="5377" max="5377" width="10.5703125" style="210" customWidth="1"/>
    <col min="5378" max="5380" width="16.28515625" style="210" customWidth="1"/>
    <col min="5381" max="5381" width="12.7109375" style="210" customWidth="1"/>
    <col min="5382" max="5383" width="9.140625" style="210"/>
    <col min="5384" max="5384" width="25.85546875" style="210" customWidth="1"/>
    <col min="5385" max="5385" width="13.140625" style="210" customWidth="1"/>
    <col min="5386" max="5387" width="13.42578125" style="210" bestFit="1" customWidth="1"/>
    <col min="5388" max="5388" width="13.85546875" style="210" bestFit="1" customWidth="1"/>
    <col min="5389" max="5389" width="11.42578125" style="210" customWidth="1"/>
    <col min="5390" max="5390" width="14.5703125" style="210" customWidth="1"/>
    <col min="5391" max="5391" width="10.7109375" style="210" customWidth="1"/>
    <col min="5392" max="5392" width="12.28515625" style="210" customWidth="1"/>
    <col min="5393" max="5393" width="13.28515625" style="210" customWidth="1"/>
    <col min="5394" max="5394" width="10.5703125" style="210" customWidth="1"/>
    <col min="5395" max="5395" width="14.42578125" style="210" customWidth="1"/>
    <col min="5396" max="5396" width="9.140625" style="210"/>
    <col min="5397" max="5397" width="29.5703125" style="210" customWidth="1"/>
    <col min="5398" max="5402" width="15.5703125" style="210" customWidth="1"/>
    <col min="5403" max="5403" width="11.42578125" style="210" customWidth="1"/>
    <col min="5404" max="5404" width="15.42578125" style="210" customWidth="1"/>
    <col min="5405" max="5406" width="9.140625" style="210"/>
    <col min="5407" max="5407" width="48.28515625" style="210" customWidth="1"/>
    <col min="5408" max="5414" width="17.7109375" style="210" customWidth="1"/>
    <col min="5415" max="5415" width="9.140625" style="210"/>
    <col min="5416" max="5416" width="26.85546875" style="210" bestFit="1" customWidth="1"/>
    <col min="5417" max="5417" width="18.7109375" style="210" customWidth="1"/>
    <col min="5418" max="5418" width="14" style="210" customWidth="1"/>
    <col min="5419" max="5419" width="14.42578125" style="210" bestFit="1" customWidth="1"/>
    <col min="5420" max="5420" width="16.85546875" style="210" customWidth="1"/>
    <col min="5421" max="5421" width="11.42578125" style="210" customWidth="1"/>
    <col min="5422" max="5422" width="12.85546875" style="210" customWidth="1"/>
    <col min="5423" max="5423" width="10.7109375" style="210" customWidth="1"/>
    <col min="5424" max="5424" width="16.5703125" style="210" customWidth="1"/>
    <col min="5425" max="5425" width="16.42578125" style="210" customWidth="1"/>
    <col min="5426" max="5426" width="11.7109375" style="210" customWidth="1"/>
    <col min="5427" max="5427" width="14.42578125" style="210" customWidth="1"/>
    <col min="5428" max="5630" width="9.140625" style="210"/>
    <col min="5631" max="5631" width="56.85546875" style="210" customWidth="1"/>
    <col min="5632" max="5632" width="15.7109375" style="210" customWidth="1"/>
    <col min="5633" max="5633" width="10.5703125" style="210" customWidth="1"/>
    <col min="5634" max="5636" width="16.28515625" style="210" customWidth="1"/>
    <col min="5637" max="5637" width="12.7109375" style="210" customWidth="1"/>
    <col min="5638" max="5639" width="9.140625" style="210"/>
    <col min="5640" max="5640" width="25.85546875" style="210" customWidth="1"/>
    <col min="5641" max="5641" width="13.140625" style="210" customWidth="1"/>
    <col min="5642" max="5643" width="13.42578125" style="210" bestFit="1" customWidth="1"/>
    <col min="5644" max="5644" width="13.85546875" style="210" bestFit="1" customWidth="1"/>
    <col min="5645" max="5645" width="11.42578125" style="210" customWidth="1"/>
    <col min="5646" max="5646" width="14.5703125" style="210" customWidth="1"/>
    <col min="5647" max="5647" width="10.7109375" style="210" customWidth="1"/>
    <col min="5648" max="5648" width="12.28515625" style="210" customWidth="1"/>
    <col min="5649" max="5649" width="13.28515625" style="210" customWidth="1"/>
    <col min="5650" max="5650" width="10.5703125" style="210" customWidth="1"/>
    <col min="5651" max="5651" width="14.42578125" style="210" customWidth="1"/>
    <col min="5652" max="5652" width="9.140625" style="210"/>
    <col min="5653" max="5653" width="29.5703125" style="210" customWidth="1"/>
    <col min="5654" max="5658" width="15.5703125" style="210" customWidth="1"/>
    <col min="5659" max="5659" width="11.42578125" style="210" customWidth="1"/>
    <col min="5660" max="5660" width="15.42578125" style="210" customWidth="1"/>
    <col min="5661" max="5662" width="9.140625" style="210"/>
    <col min="5663" max="5663" width="48.28515625" style="210" customWidth="1"/>
    <col min="5664" max="5670" width="17.7109375" style="210" customWidth="1"/>
    <col min="5671" max="5671" width="9.140625" style="210"/>
    <col min="5672" max="5672" width="26.85546875" style="210" bestFit="1" customWidth="1"/>
    <col min="5673" max="5673" width="18.7109375" style="210" customWidth="1"/>
    <col min="5674" max="5674" width="14" style="210" customWidth="1"/>
    <col min="5675" max="5675" width="14.42578125" style="210" bestFit="1" customWidth="1"/>
    <col min="5676" max="5676" width="16.85546875" style="210" customWidth="1"/>
    <col min="5677" max="5677" width="11.42578125" style="210" customWidth="1"/>
    <col min="5678" max="5678" width="12.85546875" style="210" customWidth="1"/>
    <col min="5679" max="5679" width="10.7109375" style="210" customWidth="1"/>
    <col min="5680" max="5680" width="16.5703125" style="210" customWidth="1"/>
    <col min="5681" max="5681" width="16.42578125" style="210" customWidth="1"/>
    <col min="5682" max="5682" width="11.7109375" style="210" customWidth="1"/>
    <col min="5683" max="5683" width="14.42578125" style="210" customWidth="1"/>
    <col min="5684" max="5886" width="9.140625" style="210"/>
    <col min="5887" max="5887" width="56.85546875" style="210" customWidth="1"/>
    <col min="5888" max="5888" width="15.7109375" style="210" customWidth="1"/>
    <col min="5889" max="5889" width="10.5703125" style="210" customWidth="1"/>
    <col min="5890" max="5892" width="16.28515625" style="210" customWidth="1"/>
    <col min="5893" max="5893" width="12.7109375" style="210" customWidth="1"/>
    <col min="5894" max="5895" width="9.140625" style="210"/>
    <col min="5896" max="5896" width="25.85546875" style="210" customWidth="1"/>
    <col min="5897" max="5897" width="13.140625" style="210" customWidth="1"/>
    <col min="5898" max="5899" width="13.42578125" style="210" bestFit="1" customWidth="1"/>
    <col min="5900" max="5900" width="13.85546875" style="210" bestFit="1" customWidth="1"/>
    <col min="5901" max="5901" width="11.42578125" style="210" customWidth="1"/>
    <col min="5902" max="5902" width="14.5703125" style="210" customWidth="1"/>
    <col min="5903" max="5903" width="10.7109375" style="210" customWidth="1"/>
    <col min="5904" max="5904" width="12.28515625" style="210" customWidth="1"/>
    <col min="5905" max="5905" width="13.28515625" style="210" customWidth="1"/>
    <col min="5906" max="5906" width="10.5703125" style="210" customWidth="1"/>
    <col min="5907" max="5907" width="14.42578125" style="210" customWidth="1"/>
    <col min="5908" max="5908" width="9.140625" style="210"/>
    <col min="5909" max="5909" width="29.5703125" style="210" customWidth="1"/>
    <col min="5910" max="5914" width="15.5703125" style="210" customWidth="1"/>
    <col min="5915" max="5915" width="11.42578125" style="210" customWidth="1"/>
    <col min="5916" max="5916" width="15.42578125" style="210" customWidth="1"/>
    <col min="5917" max="5918" width="9.140625" style="210"/>
    <col min="5919" max="5919" width="48.28515625" style="210" customWidth="1"/>
    <col min="5920" max="5926" width="17.7109375" style="210" customWidth="1"/>
    <col min="5927" max="5927" width="9.140625" style="210"/>
    <col min="5928" max="5928" width="26.85546875" style="210" bestFit="1" customWidth="1"/>
    <col min="5929" max="5929" width="18.7109375" style="210" customWidth="1"/>
    <col min="5930" max="5930" width="14" style="210" customWidth="1"/>
    <col min="5931" max="5931" width="14.42578125" style="210" bestFit="1" customWidth="1"/>
    <col min="5932" max="5932" width="16.85546875" style="210" customWidth="1"/>
    <col min="5933" max="5933" width="11.42578125" style="210" customWidth="1"/>
    <col min="5934" max="5934" width="12.85546875" style="210" customWidth="1"/>
    <col min="5935" max="5935" width="10.7109375" style="210" customWidth="1"/>
    <col min="5936" max="5936" width="16.5703125" style="210" customWidth="1"/>
    <col min="5937" max="5937" width="16.42578125" style="210" customWidth="1"/>
    <col min="5938" max="5938" width="11.7109375" style="210" customWidth="1"/>
    <col min="5939" max="5939" width="14.42578125" style="210" customWidth="1"/>
    <col min="5940" max="6142" width="9.140625" style="210"/>
    <col min="6143" max="6143" width="56.85546875" style="210" customWidth="1"/>
    <col min="6144" max="6144" width="15.7109375" style="210" customWidth="1"/>
    <col min="6145" max="6145" width="10.5703125" style="210" customWidth="1"/>
    <col min="6146" max="6148" width="16.28515625" style="210" customWidth="1"/>
    <col min="6149" max="6149" width="12.7109375" style="210" customWidth="1"/>
    <col min="6150" max="6151" width="9.140625" style="210"/>
    <col min="6152" max="6152" width="25.85546875" style="210" customWidth="1"/>
    <col min="6153" max="6153" width="13.140625" style="210" customWidth="1"/>
    <col min="6154" max="6155" width="13.42578125" style="210" bestFit="1" customWidth="1"/>
    <col min="6156" max="6156" width="13.85546875" style="210" bestFit="1" customWidth="1"/>
    <col min="6157" max="6157" width="11.42578125" style="210" customWidth="1"/>
    <col min="6158" max="6158" width="14.5703125" style="210" customWidth="1"/>
    <col min="6159" max="6159" width="10.7109375" style="210" customWidth="1"/>
    <col min="6160" max="6160" width="12.28515625" style="210" customWidth="1"/>
    <col min="6161" max="6161" width="13.28515625" style="210" customWidth="1"/>
    <col min="6162" max="6162" width="10.5703125" style="210" customWidth="1"/>
    <col min="6163" max="6163" width="14.42578125" style="210" customWidth="1"/>
    <col min="6164" max="6164" width="9.140625" style="210"/>
    <col min="6165" max="6165" width="29.5703125" style="210" customWidth="1"/>
    <col min="6166" max="6170" width="15.5703125" style="210" customWidth="1"/>
    <col min="6171" max="6171" width="11.42578125" style="210" customWidth="1"/>
    <col min="6172" max="6172" width="15.42578125" style="210" customWidth="1"/>
    <col min="6173" max="6174" width="9.140625" style="210"/>
    <col min="6175" max="6175" width="48.28515625" style="210" customWidth="1"/>
    <col min="6176" max="6182" width="17.7109375" style="210" customWidth="1"/>
    <col min="6183" max="6183" width="9.140625" style="210"/>
    <col min="6184" max="6184" width="26.85546875" style="210" bestFit="1" customWidth="1"/>
    <col min="6185" max="6185" width="18.7109375" style="210" customWidth="1"/>
    <col min="6186" max="6186" width="14" style="210" customWidth="1"/>
    <col min="6187" max="6187" width="14.42578125" style="210" bestFit="1" customWidth="1"/>
    <col min="6188" max="6188" width="16.85546875" style="210" customWidth="1"/>
    <col min="6189" max="6189" width="11.42578125" style="210" customWidth="1"/>
    <col min="6190" max="6190" width="12.85546875" style="210" customWidth="1"/>
    <col min="6191" max="6191" width="10.7109375" style="210" customWidth="1"/>
    <col min="6192" max="6192" width="16.5703125" style="210" customWidth="1"/>
    <col min="6193" max="6193" width="16.42578125" style="210" customWidth="1"/>
    <col min="6194" max="6194" width="11.7109375" style="210" customWidth="1"/>
    <col min="6195" max="6195" width="14.42578125" style="210" customWidth="1"/>
    <col min="6196" max="6398" width="9.140625" style="210"/>
    <col min="6399" max="6399" width="56.85546875" style="210" customWidth="1"/>
    <col min="6400" max="6400" width="15.7109375" style="210" customWidth="1"/>
    <col min="6401" max="6401" width="10.5703125" style="210" customWidth="1"/>
    <col min="6402" max="6404" width="16.28515625" style="210" customWidth="1"/>
    <col min="6405" max="6405" width="12.7109375" style="210" customWidth="1"/>
    <col min="6406" max="6407" width="9.140625" style="210"/>
    <col min="6408" max="6408" width="25.85546875" style="210" customWidth="1"/>
    <col min="6409" max="6409" width="13.140625" style="210" customWidth="1"/>
    <col min="6410" max="6411" width="13.42578125" style="210" bestFit="1" customWidth="1"/>
    <col min="6412" max="6412" width="13.85546875" style="210" bestFit="1" customWidth="1"/>
    <col min="6413" max="6413" width="11.42578125" style="210" customWidth="1"/>
    <col min="6414" max="6414" width="14.5703125" style="210" customWidth="1"/>
    <col min="6415" max="6415" width="10.7109375" style="210" customWidth="1"/>
    <col min="6416" max="6416" width="12.28515625" style="210" customWidth="1"/>
    <col min="6417" max="6417" width="13.28515625" style="210" customWidth="1"/>
    <col min="6418" max="6418" width="10.5703125" style="210" customWidth="1"/>
    <col min="6419" max="6419" width="14.42578125" style="210" customWidth="1"/>
    <col min="6420" max="6420" width="9.140625" style="210"/>
    <col min="6421" max="6421" width="29.5703125" style="210" customWidth="1"/>
    <col min="6422" max="6426" width="15.5703125" style="210" customWidth="1"/>
    <col min="6427" max="6427" width="11.42578125" style="210" customWidth="1"/>
    <col min="6428" max="6428" width="15.42578125" style="210" customWidth="1"/>
    <col min="6429" max="6430" width="9.140625" style="210"/>
    <col min="6431" max="6431" width="48.28515625" style="210" customWidth="1"/>
    <col min="6432" max="6438" width="17.7109375" style="210" customWidth="1"/>
    <col min="6439" max="6439" width="9.140625" style="210"/>
    <col min="6440" max="6440" width="26.85546875" style="210" bestFit="1" customWidth="1"/>
    <col min="6441" max="6441" width="18.7109375" style="210" customWidth="1"/>
    <col min="6442" max="6442" width="14" style="210" customWidth="1"/>
    <col min="6443" max="6443" width="14.42578125" style="210" bestFit="1" customWidth="1"/>
    <col min="6444" max="6444" width="16.85546875" style="210" customWidth="1"/>
    <col min="6445" max="6445" width="11.42578125" style="210" customWidth="1"/>
    <col min="6446" max="6446" width="12.85546875" style="210" customWidth="1"/>
    <col min="6447" max="6447" width="10.7109375" style="210" customWidth="1"/>
    <col min="6448" max="6448" width="16.5703125" style="210" customWidth="1"/>
    <col min="6449" max="6449" width="16.42578125" style="210" customWidth="1"/>
    <col min="6450" max="6450" width="11.7109375" style="210" customWidth="1"/>
    <col min="6451" max="6451" width="14.42578125" style="210" customWidth="1"/>
    <col min="6452" max="6654" width="9.140625" style="210"/>
    <col min="6655" max="6655" width="56.85546875" style="210" customWidth="1"/>
    <col min="6656" max="6656" width="15.7109375" style="210" customWidth="1"/>
    <col min="6657" max="6657" width="10.5703125" style="210" customWidth="1"/>
    <col min="6658" max="6660" width="16.28515625" style="210" customWidth="1"/>
    <col min="6661" max="6661" width="12.7109375" style="210" customWidth="1"/>
    <col min="6662" max="6663" width="9.140625" style="210"/>
    <col min="6664" max="6664" width="25.85546875" style="210" customWidth="1"/>
    <col min="6665" max="6665" width="13.140625" style="210" customWidth="1"/>
    <col min="6666" max="6667" width="13.42578125" style="210" bestFit="1" customWidth="1"/>
    <col min="6668" max="6668" width="13.85546875" style="210" bestFit="1" customWidth="1"/>
    <col min="6669" max="6669" width="11.42578125" style="210" customWidth="1"/>
    <col min="6670" max="6670" width="14.5703125" style="210" customWidth="1"/>
    <col min="6671" max="6671" width="10.7109375" style="210" customWidth="1"/>
    <col min="6672" max="6672" width="12.28515625" style="210" customWidth="1"/>
    <col min="6673" max="6673" width="13.28515625" style="210" customWidth="1"/>
    <col min="6674" max="6674" width="10.5703125" style="210" customWidth="1"/>
    <col min="6675" max="6675" width="14.42578125" style="210" customWidth="1"/>
    <col min="6676" max="6676" width="9.140625" style="210"/>
    <col min="6677" max="6677" width="29.5703125" style="210" customWidth="1"/>
    <col min="6678" max="6682" width="15.5703125" style="210" customWidth="1"/>
    <col min="6683" max="6683" width="11.42578125" style="210" customWidth="1"/>
    <col min="6684" max="6684" width="15.42578125" style="210" customWidth="1"/>
    <col min="6685" max="6686" width="9.140625" style="210"/>
    <col min="6687" max="6687" width="48.28515625" style="210" customWidth="1"/>
    <col min="6688" max="6694" width="17.7109375" style="210" customWidth="1"/>
    <col min="6695" max="6695" width="9.140625" style="210"/>
    <col min="6696" max="6696" width="26.85546875" style="210" bestFit="1" customWidth="1"/>
    <col min="6697" max="6697" width="18.7109375" style="210" customWidth="1"/>
    <col min="6698" max="6698" width="14" style="210" customWidth="1"/>
    <col min="6699" max="6699" width="14.42578125" style="210" bestFit="1" customWidth="1"/>
    <col min="6700" max="6700" width="16.85546875" style="210" customWidth="1"/>
    <col min="6701" max="6701" width="11.42578125" style="210" customWidth="1"/>
    <col min="6702" max="6702" width="12.85546875" style="210" customWidth="1"/>
    <col min="6703" max="6703" width="10.7109375" style="210" customWidth="1"/>
    <col min="6704" max="6704" width="16.5703125" style="210" customWidth="1"/>
    <col min="6705" max="6705" width="16.42578125" style="210" customWidth="1"/>
    <col min="6706" max="6706" width="11.7109375" style="210" customWidth="1"/>
    <col min="6707" max="6707" width="14.42578125" style="210" customWidth="1"/>
    <col min="6708" max="6910" width="9.140625" style="210"/>
    <col min="6911" max="6911" width="56.85546875" style="210" customWidth="1"/>
    <col min="6912" max="6912" width="15.7109375" style="210" customWidth="1"/>
    <col min="6913" max="6913" width="10.5703125" style="210" customWidth="1"/>
    <col min="6914" max="6916" width="16.28515625" style="210" customWidth="1"/>
    <col min="6917" max="6917" width="12.7109375" style="210" customWidth="1"/>
    <col min="6918" max="6919" width="9.140625" style="210"/>
    <col min="6920" max="6920" width="25.85546875" style="210" customWidth="1"/>
    <col min="6921" max="6921" width="13.140625" style="210" customWidth="1"/>
    <col min="6922" max="6923" width="13.42578125" style="210" bestFit="1" customWidth="1"/>
    <col min="6924" max="6924" width="13.85546875" style="210" bestFit="1" customWidth="1"/>
    <col min="6925" max="6925" width="11.42578125" style="210" customWidth="1"/>
    <col min="6926" max="6926" width="14.5703125" style="210" customWidth="1"/>
    <col min="6927" max="6927" width="10.7109375" style="210" customWidth="1"/>
    <col min="6928" max="6928" width="12.28515625" style="210" customWidth="1"/>
    <col min="6929" max="6929" width="13.28515625" style="210" customWidth="1"/>
    <col min="6930" max="6930" width="10.5703125" style="210" customWidth="1"/>
    <col min="6931" max="6931" width="14.42578125" style="210" customWidth="1"/>
    <col min="6932" max="6932" width="9.140625" style="210"/>
    <col min="6933" max="6933" width="29.5703125" style="210" customWidth="1"/>
    <col min="6934" max="6938" width="15.5703125" style="210" customWidth="1"/>
    <col min="6939" max="6939" width="11.42578125" style="210" customWidth="1"/>
    <col min="6940" max="6940" width="15.42578125" style="210" customWidth="1"/>
    <col min="6941" max="6942" width="9.140625" style="210"/>
    <col min="6943" max="6943" width="48.28515625" style="210" customWidth="1"/>
    <col min="6944" max="6950" width="17.7109375" style="210" customWidth="1"/>
    <col min="6951" max="6951" width="9.140625" style="210"/>
    <col min="6952" max="6952" width="26.85546875" style="210" bestFit="1" customWidth="1"/>
    <col min="6953" max="6953" width="18.7109375" style="210" customWidth="1"/>
    <col min="6954" max="6954" width="14" style="210" customWidth="1"/>
    <col min="6955" max="6955" width="14.42578125" style="210" bestFit="1" customWidth="1"/>
    <col min="6956" max="6956" width="16.85546875" style="210" customWidth="1"/>
    <col min="6957" max="6957" width="11.42578125" style="210" customWidth="1"/>
    <col min="6958" max="6958" width="12.85546875" style="210" customWidth="1"/>
    <col min="6959" max="6959" width="10.7109375" style="210" customWidth="1"/>
    <col min="6960" max="6960" width="16.5703125" style="210" customWidth="1"/>
    <col min="6961" max="6961" width="16.42578125" style="210" customWidth="1"/>
    <col min="6962" max="6962" width="11.7109375" style="210" customWidth="1"/>
    <col min="6963" max="6963" width="14.42578125" style="210" customWidth="1"/>
    <col min="6964" max="7166" width="9.140625" style="210"/>
    <col min="7167" max="7167" width="56.85546875" style="210" customWidth="1"/>
    <col min="7168" max="7168" width="15.7109375" style="210" customWidth="1"/>
    <col min="7169" max="7169" width="10.5703125" style="210" customWidth="1"/>
    <col min="7170" max="7172" width="16.28515625" style="210" customWidth="1"/>
    <col min="7173" max="7173" width="12.7109375" style="210" customWidth="1"/>
    <col min="7174" max="7175" width="9.140625" style="210"/>
    <col min="7176" max="7176" width="25.85546875" style="210" customWidth="1"/>
    <col min="7177" max="7177" width="13.140625" style="210" customWidth="1"/>
    <col min="7178" max="7179" width="13.42578125" style="210" bestFit="1" customWidth="1"/>
    <col min="7180" max="7180" width="13.85546875" style="210" bestFit="1" customWidth="1"/>
    <col min="7181" max="7181" width="11.42578125" style="210" customWidth="1"/>
    <col min="7182" max="7182" width="14.5703125" style="210" customWidth="1"/>
    <col min="7183" max="7183" width="10.7109375" style="210" customWidth="1"/>
    <col min="7184" max="7184" width="12.28515625" style="210" customWidth="1"/>
    <col min="7185" max="7185" width="13.28515625" style="210" customWidth="1"/>
    <col min="7186" max="7186" width="10.5703125" style="210" customWidth="1"/>
    <col min="7187" max="7187" width="14.42578125" style="210" customWidth="1"/>
    <col min="7188" max="7188" width="9.140625" style="210"/>
    <col min="7189" max="7189" width="29.5703125" style="210" customWidth="1"/>
    <col min="7190" max="7194" width="15.5703125" style="210" customWidth="1"/>
    <col min="7195" max="7195" width="11.42578125" style="210" customWidth="1"/>
    <col min="7196" max="7196" width="15.42578125" style="210" customWidth="1"/>
    <col min="7197" max="7198" width="9.140625" style="210"/>
    <col min="7199" max="7199" width="48.28515625" style="210" customWidth="1"/>
    <col min="7200" max="7206" width="17.7109375" style="210" customWidth="1"/>
    <col min="7207" max="7207" width="9.140625" style="210"/>
    <col min="7208" max="7208" width="26.85546875" style="210" bestFit="1" customWidth="1"/>
    <col min="7209" max="7209" width="18.7109375" style="210" customWidth="1"/>
    <col min="7210" max="7210" width="14" style="210" customWidth="1"/>
    <col min="7211" max="7211" width="14.42578125" style="210" bestFit="1" customWidth="1"/>
    <col min="7212" max="7212" width="16.85546875" style="210" customWidth="1"/>
    <col min="7213" max="7213" width="11.42578125" style="210" customWidth="1"/>
    <col min="7214" max="7214" width="12.85546875" style="210" customWidth="1"/>
    <col min="7215" max="7215" width="10.7109375" style="210" customWidth="1"/>
    <col min="7216" max="7216" width="16.5703125" style="210" customWidth="1"/>
    <col min="7217" max="7217" width="16.42578125" style="210" customWidth="1"/>
    <col min="7218" max="7218" width="11.7109375" style="210" customWidth="1"/>
    <col min="7219" max="7219" width="14.42578125" style="210" customWidth="1"/>
    <col min="7220" max="7422" width="9.140625" style="210"/>
    <col min="7423" max="7423" width="56.85546875" style="210" customWidth="1"/>
    <col min="7424" max="7424" width="15.7109375" style="210" customWidth="1"/>
    <col min="7425" max="7425" width="10.5703125" style="210" customWidth="1"/>
    <col min="7426" max="7428" width="16.28515625" style="210" customWidth="1"/>
    <col min="7429" max="7429" width="12.7109375" style="210" customWidth="1"/>
    <col min="7430" max="7431" width="9.140625" style="210"/>
    <col min="7432" max="7432" width="25.85546875" style="210" customWidth="1"/>
    <col min="7433" max="7433" width="13.140625" style="210" customWidth="1"/>
    <col min="7434" max="7435" width="13.42578125" style="210" bestFit="1" customWidth="1"/>
    <col min="7436" max="7436" width="13.85546875" style="210" bestFit="1" customWidth="1"/>
    <col min="7437" max="7437" width="11.42578125" style="210" customWidth="1"/>
    <col min="7438" max="7438" width="14.5703125" style="210" customWidth="1"/>
    <col min="7439" max="7439" width="10.7109375" style="210" customWidth="1"/>
    <col min="7440" max="7440" width="12.28515625" style="210" customWidth="1"/>
    <col min="7441" max="7441" width="13.28515625" style="210" customWidth="1"/>
    <col min="7442" max="7442" width="10.5703125" style="210" customWidth="1"/>
    <col min="7443" max="7443" width="14.42578125" style="210" customWidth="1"/>
    <col min="7444" max="7444" width="9.140625" style="210"/>
    <col min="7445" max="7445" width="29.5703125" style="210" customWidth="1"/>
    <col min="7446" max="7450" width="15.5703125" style="210" customWidth="1"/>
    <col min="7451" max="7451" width="11.42578125" style="210" customWidth="1"/>
    <col min="7452" max="7452" width="15.42578125" style="210" customWidth="1"/>
    <col min="7453" max="7454" width="9.140625" style="210"/>
    <col min="7455" max="7455" width="48.28515625" style="210" customWidth="1"/>
    <col min="7456" max="7462" width="17.7109375" style="210" customWidth="1"/>
    <col min="7463" max="7463" width="9.140625" style="210"/>
    <col min="7464" max="7464" width="26.85546875" style="210" bestFit="1" customWidth="1"/>
    <col min="7465" max="7465" width="18.7109375" style="210" customWidth="1"/>
    <col min="7466" max="7466" width="14" style="210" customWidth="1"/>
    <col min="7467" max="7467" width="14.42578125" style="210" bestFit="1" customWidth="1"/>
    <col min="7468" max="7468" width="16.85546875" style="210" customWidth="1"/>
    <col min="7469" max="7469" width="11.42578125" style="210" customWidth="1"/>
    <col min="7470" max="7470" width="12.85546875" style="210" customWidth="1"/>
    <col min="7471" max="7471" width="10.7109375" style="210" customWidth="1"/>
    <col min="7472" max="7472" width="16.5703125" style="210" customWidth="1"/>
    <col min="7473" max="7473" width="16.42578125" style="210" customWidth="1"/>
    <col min="7474" max="7474" width="11.7109375" style="210" customWidth="1"/>
    <col min="7475" max="7475" width="14.42578125" style="210" customWidth="1"/>
    <col min="7476" max="7678" width="9.140625" style="210"/>
    <col min="7679" max="7679" width="56.85546875" style="210" customWidth="1"/>
    <col min="7680" max="7680" width="15.7109375" style="210" customWidth="1"/>
    <col min="7681" max="7681" width="10.5703125" style="210" customWidth="1"/>
    <col min="7682" max="7684" width="16.28515625" style="210" customWidth="1"/>
    <col min="7685" max="7685" width="12.7109375" style="210" customWidth="1"/>
    <col min="7686" max="7687" width="9.140625" style="210"/>
    <col min="7688" max="7688" width="25.85546875" style="210" customWidth="1"/>
    <col min="7689" max="7689" width="13.140625" style="210" customWidth="1"/>
    <col min="7690" max="7691" width="13.42578125" style="210" bestFit="1" customWidth="1"/>
    <col min="7692" max="7692" width="13.85546875" style="210" bestFit="1" customWidth="1"/>
    <col min="7693" max="7693" width="11.42578125" style="210" customWidth="1"/>
    <col min="7694" max="7694" width="14.5703125" style="210" customWidth="1"/>
    <col min="7695" max="7695" width="10.7109375" style="210" customWidth="1"/>
    <col min="7696" max="7696" width="12.28515625" style="210" customWidth="1"/>
    <col min="7697" max="7697" width="13.28515625" style="210" customWidth="1"/>
    <col min="7698" max="7698" width="10.5703125" style="210" customWidth="1"/>
    <col min="7699" max="7699" width="14.42578125" style="210" customWidth="1"/>
    <col min="7700" max="7700" width="9.140625" style="210"/>
    <col min="7701" max="7701" width="29.5703125" style="210" customWidth="1"/>
    <col min="7702" max="7706" width="15.5703125" style="210" customWidth="1"/>
    <col min="7707" max="7707" width="11.42578125" style="210" customWidth="1"/>
    <col min="7708" max="7708" width="15.42578125" style="210" customWidth="1"/>
    <col min="7709" max="7710" width="9.140625" style="210"/>
    <col min="7711" max="7711" width="48.28515625" style="210" customWidth="1"/>
    <col min="7712" max="7718" width="17.7109375" style="210" customWidth="1"/>
    <col min="7719" max="7719" width="9.140625" style="210"/>
    <col min="7720" max="7720" width="26.85546875" style="210" bestFit="1" customWidth="1"/>
    <col min="7721" max="7721" width="18.7109375" style="210" customWidth="1"/>
    <col min="7722" max="7722" width="14" style="210" customWidth="1"/>
    <col min="7723" max="7723" width="14.42578125" style="210" bestFit="1" customWidth="1"/>
    <col min="7724" max="7724" width="16.85546875" style="210" customWidth="1"/>
    <col min="7725" max="7725" width="11.42578125" style="210" customWidth="1"/>
    <col min="7726" max="7726" width="12.85546875" style="210" customWidth="1"/>
    <col min="7727" max="7727" width="10.7109375" style="210" customWidth="1"/>
    <col min="7728" max="7728" width="16.5703125" style="210" customWidth="1"/>
    <col min="7729" max="7729" width="16.42578125" style="210" customWidth="1"/>
    <col min="7730" max="7730" width="11.7109375" style="210" customWidth="1"/>
    <col min="7731" max="7731" width="14.42578125" style="210" customWidth="1"/>
    <col min="7732" max="7934" width="9.140625" style="210"/>
    <col min="7935" max="7935" width="56.85546875" style="210" customWidth="1"/>
    <col min="7936" max="7936" width="15.7109375" style="210" customWidth="1"/>
    <col min="7937" max="7937" width="10.5703125" style="210" customWidth="1"/>
    <col min="7938" max="7940" width="16.28515625" style="210" customWidth="1"/>
    <col min="7941" max="7941" width="12.7109375" style="210" customWidth="1"/>
    <col min="7942" max="7943" width="9.140625" style="210"/>
    <col min="7944" max="7944" width="25.85546875" style="210" customWidth="1"/>
    <col min="7945" max="7945" width="13.140625" style="210" customWidth="1"/>
    <col min="7946" max="7947" width="13.42578125" style="210" bestFit="1" customWidth="1"/>
    <col min="7948" max="7948" width="13.85546875" style="210" bestFit="1" customWidth="1"/>
    <col min="7949" max="7949" width="11.42578125" style="210" customWidth="1"/>
    <col min="7950" max="7950" width="14.5703125" style="210" customWidth="1"/>
    <col min="7951" max="7951" width="10.7109375" style="210" customWidth="1"/>
    <col min="7952" max="7952" width="12.28515625" style="210" customWidth="1"/>
    <col min="7953" max="7953" width="13.28515625" style="210" customWidth="1"/>
    <col min="7954" max="7954" width="10.5703125" style="210" customWidth="1"/>
    <col min="7955" max="7955" width="14.42578125" style="210" customWidth="1"/>
    <col min="7956" max="7956" width="9.140625" style="210"/>
    <col min="7957" max="7957" width="29.5703125" style="210" customWidth="1"/>
    <col min="7958" max="7962" width="15.5703125" style="210" customWidth="1"/>
    <col min="7963" max="7963" width="11.42578125" style="210" customWidth="1"/>
    <col min="7964" max="7964" width="15.42578125" style="210" customWidth="1"/>
    <col min="7965" max="7966" width="9.140625" style="210"/>
    <col min="7967" max="7967" width="48.28515625" style="210" customWidth="1"/>
    <col min="7968" max="7974" width="17.7109375" style="210" customWidth="1"/>
    <col min="7975" max="7975" width="9.140625" style="210"/>
    <col min="7976" max="7976" width="26.85546875" style="210" bestFit="1" customWidth="1"/>
    <col min="7977" max="7977" width="18.7109375" style="210" customWidth="1"/>
    <col min="7978" max="7978" width="14" style="210" customWidth="1"/>
    <col min="7979" max="7979" width="14.42578125" style="210" bestFit="1" customWidth="1"/>
    <col min="7980" max="7980" width="16.85546875" style="210" customWidth="1"/>
    <col min="7981" max="7981" width="11.42578125" style="210" customWidth="1"/>
    <col min="7982" max="7982" width="12.85546875" style="210" customWidth="1"/>
    <col min="7983" max="7983" width="10.7109375" style="210" customWidth="1"/>
    <col min="7984" max="7984" width="16.5703125" style="210" customWidth="1"/>
    <col min="7985" max="7985" width="16.42578125" style="210" customWidth="1"/>
    <col min="7986" max="7986" width="11.7109375" style="210" customWidth="1"/>
    <col min="7987" max="7987" width="14.42578125" style="210" customWidth="1"/>
    <col min="7988" max="8190" width="9.140625" style="210"/>
    <col min="8191" max="8191" width="56.85546875" style="210" customWidth="1"/>
    <col min="8192" max="8192" width="15.7109375" style="210" customWidth="1"/>
    <col min="8193" max="8193" width="10.5703125" style="210" customWidth="1"/>
    <col min="8194" max="8196" width="16.28515625" style="210" customWidth="1"/>
    <col min="8197" max="8197" width="12.7109375" style="210" customWidth="1"/>
    <col min="8198" max="8199" width="9.140625" style="210"/>
    <col min="8200" max="8200" width="25.85546875" style="210" customWidth="1"/>
    <col min="8201" max="8201" width="13.140625" style="210" customWidth="1"/>
    <col min="8202" max="8203" width="13.42578125" style="210" bestFit="1" customWidth="1"/>
    <col min="8204" max="8204" width="13.85546875" style="210" bestFit="1" customWidth="1"/>
    <col min="8205" max="8205" width="11.42578125" style="210" customWidth="1"/>
    <col min="8206" max="8206" width="14.5703125" style="210" customWidth="1"/>
    <col min="8207" max="8207" width="10.7109375" style="210" customWidth="1"/>
    <col min="8208" max="8208" width="12.28515625" style="210" customWidth="1"/>
    <col min="8209" max="8209" width="13.28515625" style="210" customWidth="1"/>
    <col min="8210" max="8210" width="10.5703125" style="210" customWidth="1"/>
    <col min="8211" max="8211" width="14.42578125" style="210" customWidth="1"/>
    <col min="8212" max="8212" width="9.140625" style="210"/>
    <col min="8213" max="8213" width="29.5703125" style="210" customWidth="1"/>
    <col min="8214" max="8218" width="15.5703125" style="210" customWidth="1"/>
    <col min="8219" max="8219" width="11.42578125" style="210" customWidth="1"/>
    <col min="8220" max="8220" width="15.42578125" style="210" customWidth="1"/>
    <col min="8221" max="8222" width="9.140625" style="210"/>
    <col min="8223" max="8223" width="48.28515625" style="210" customWidth="1"/>
    <col min="8224" max="8230" width="17.7109375" style="210" customWidth="1"/>
    <col min="8231" max="8231" width="9.140625" style="210"/>
    <col min="8232" max="8232" width="26.85546875" style="210" bestFit="1" customWidth="1"/>
    <col min="8233" max="8233" width="18.7109375" style="210" customWidth="1"/>
    <col min="8234" max="8234" width="14" style="210" customWidth="1"/>
    <col min="8235" max="8235" width="14.42578125" style="210" bestFit="1" customWidth="1"/>
    <col min="8236" max="8236" width="16.85546875" style="210" customWidth="1"/>
    <col min="8237" max="8237" width="11.42578125" style="210" customWidth="1"/>
    <col min="8238" max="8238" width="12.85546875" style="210" customWidth="1"/>
    <col min="8239" max="8239" width="10.7109375" style="210" customWidth="1"/>
    <col min="8240" max="8240" width="16.5703125" style="210" customWidth="1"/>
    <col min="8241" max="8241" width="16.42578125" style="210" customWidth="1"/>
    <col min="8242" max="8242" width="11.7109375" style="210" customWidth="1"/>
    <col min="8243" max="8243" width="14.42578125" style="210" customWidth="1"/>
    <col min="8244" max="8446" width="9.140625" style="210"/>
    <col min="8447" max="8447" width="56.85546875" style="210" customWidth="1"/>
    <col min="8448" max="8448" width="15.7109375" style="210" customWidth="1"/>
    <col min="8449" max="8449" width="10.5703125" style="210" customWidth="1"/>
    <col min="8450" max="8452" width="16.28515625" style="210" customWidth="1"/>
    <col min="8453" max="8453" width="12.7109375" style="210" customWidth="1"/>
    <col min="8454" max="8455" width="9.140625" style="210"/>
    <col min="8456" max="8456" width="25.85546875" style="210" customWidth="1"/>
    <col min="8457" max="8457" width="13.140625" style="210" customWidth="1"/>
    <col min="8458" max="8459" width="13.42578125" style="210" bestFit="1" customWidth="1"/>
    <col min="8460" max="8460" width="13.85546875" style="210" bestFit="1" customWidth="1"/>
    <col min="8461" max="8461" width="11.42578125" style="210" customWidth="1"/>
    <col min="8462" max="8462" width="14.5703125" style="210" customWidth="1"/>
    <col min="8463" max="8463" width="10.7109375" style="210" customWidth="1"/>
    <col min="8464" max="8464" width="12.28515625" style="210" customWidth="1"/>
    <col min="8465" max="8465" width="13.28515625" style="210" customWidth="1"/>
    <col min="8466" max="8466" width="10.5703125" style="210" customWidth="1"/>
    <col min="8467" max="8467" width="14.42578125" style="210" customWidth="1"/>
    <col min="8468" max="8468" width="9.140625" style="210"/>
    <col min="8469" max="8469" width="29.5703125" style="210" customWidth="1"/>
    <col min="8470" max="8474" width="15.5703125" style="210" customWidth="1"/>
    <col min="8475" max="8475" width="11.42578125" style="210" customWidth="1"/>
    <col min="8476" max="8476" width="15.42578125" style="210" customWidth="1"/>
    <col min="8477" max="8478" width="9.140625" style="210"/>
    <col min="8479" max="8479" width="48.28515625" style="210" customWidth="1"/>
    <col min="8480" max="8486" width="17.7109375" style="210" customWidth="1"/>
    <col min="8487" max="8487" width="9.140625" style="210"/>
    <col min="8488" max="8488" width="26.85546875" style="210" bestFit="1" customWidth="1"/>
    <col min="8489" max="8489" width="18.7109375" style="210" customWidth="1"/>
    <col min="8490" max="8490" width="14" style="210" customWidth="1"/>
    <col min="8491" max="8491" width="14.42578125" style="210" bestFit="1" customWidth="1"/>
    <col min="8492" max="8492" width="16.85546875" style="210" customWidth="1"/>
    <col min="8493" max="8493" width="11.42578125" style="210" customWidth="1"/>
    <col min="8494" max="8494" width="12.85546875" style="210" customWidth="1"/>
    <col min="8495" max="8495" width="10.7109375" style="210" customWidth="1"/>
    <col min="8496" max="8496" width="16.5703125" style="210" customWidth="1"/>
    <col min="8497" max="8497" width="16.42578125" style="210" customWidth="1"/>
    <col min="8498" max="8498" width="11.7109375" style="210" customWidth="1"/>
    <col min="8499" max="8499" width="14.42578125" style="210" customWidth="1"/>
    <col min="8500" max="8702" width="9.140625" style="210"/>
    <col min="8703" max="8703" width="56.85546875" style="210" customWidth="1"/>
    <col min="8704" max="8704" width="15.7109375" style="210" customWidth="1"/>
    <col min="8705" max="8705" width="10.5703125" style="210" customWidth="1"/>
    <col min="8706" max="8708" width="16.28515625" style="210" customWidth="1"/>
    <col min="8709" max="8709" width="12.7109375" style="210" customWidth="1"/>
    <col min="8710" max="8711" width="9.140625" style="210"/>
    <col min="8712" max="8712" width="25.85546875" style="210" customWidth="1"/>
    <col min="8713" max="8713" width="13.140625" style="210" customWidth="1"/>
    <col min="8714" max="8715" width="13.42578125" style="210" bestFit="1" customWidth="1"/>
    <col min="8716" max="8716" width="13.85546875" style="210" bestFit="1" customWidth="1"/>
    <col min="8717" max="8717" width="11.42578125" style="210" customWidth="1"/>
    <col min="8718" max="8718" width="14.5703125" style="210" customWidth="1"/>
    <col min="8719" max="8719" width="10.7109375" style="210" customWidth="1"/>
    <col min="8720" max="8720" width="12.28515625" style="210" customWidth="1"/>
    <col min="8721" max="8721" width="13.28515625" style="210" customWidth="1"/>
    <col min="8722" max="8722" width="10.5703125" style="210" customWidth="1"/>
    <col min="8723" max="8723" width="14.42578125" style="210" customWidth="1"/>
    <col min="8724" max="8724" width="9.140625" style="210"/>
    <col min="8725" max="8725" width="29.5703125" style="210" customWidth="1"/>
    <col min="8726" max="8730" width="15.5703125" style="210" customWidth="1"/>
    <col min="8731" max="8731" width="11.42578125" style="210" customWidth="1"/>
    <col min="8732" max="8732" width="15.42578125" style="210" customWidth="1"/>
    <col min="8733" max="8734" width="9.140625" style="210"/>
    <col min="8735" max="8735" width="48.28515625" style="210" customWidth="1"/>
    <col min="8736" max="8742" width="17.7109375" style="210" customWidth="1"/>
    <col min="8743" max="8743" width="9.140625" style="210"/>
    <col min="8744" max="8744" width="26.85546875" style="210" bestFit="1" customWidth="1"/>
    <col min="8745" max="8745" width="18.7109375" style="210" customWidth="1"/>
    <col min="8746" max="8746" width="14" style="210" customWidth="1"/>
    <col min="8747" max="8747" width="14.42578125" style="210" bestFit="1" customWidth="1"/>
    <col min="8748" max="8748" width="16.85546875" style="210" customWidth="1"/>
    <col min="8749" max="8749" width="11.42578125" style="210" customWidth="1"/>
    <col min="8750" max="8750" width="12.85546875" style="210" customWidth="1"/>
    <col min="8751" max="8751" width="10.7109375" style="210" customWidth="1"/>
    <col min="8752" max="8752" width="16.5703125" style="210" customWidth="1"/>
    <col min="8753" max="8753" width="16.42578125" style="210" customWidth="1"/>
    <col min="8754" max="8754" width="11.7109375" style="210" customWidth="1"/>
    <col min="8755" max="8755" width="14.42578125" style="210" customWidth="1"/>
    <col min="8756" max="8958" width="9.140625" style="210"/>
    <col min="8959" max="8959" width="56.85546875" style="210" customWidth="1"/>
    <col min="8960" max="8960" width="15.7109375" style="210" customWidth="1"/>
    <col min="8961" max="8961" width="10.5703125" style="210" customWidth="1"/>
    <col min="8962" max="8964" width="16.28515625" style="210" customWidth="1"/>
    <col min="8965" max="8965" width="12.7109375" style="210" customWidth="1"/>
    <col min="8966" max="8967" width="9.140625" style="210"/>
    <col min="8968" max="8968" width="25.85546875" style="210" customWidth="1"/>
    <col min="8969" max="8969" width="13.140625" style="210" customWidth="1"/>
    <col min="8970" max="8971" width="13.42578125" style="210" bestFit="1" customWidth="1"/>
    <col min="8972" max="8972" width="13.85546875" style="210" bestFit="1" customWidth="1"/>
    <col min="8973" max="8973" width="11.42578125" style="210" customWidth="1"/>
    <col min="8974" max="8974" width="14.5703125" style="210" customWidth="1"/>
    <col min="8975" max="8975" width="10.7109375" style="210" customWidth="1"/>
    <col min="8976" max="8976" width="12.28515625" style="210" customWidth="1"/>
    <col min="8977" max="8977" width="13.28515625" style="210" customWidth="1"/>
    <col min="8978" max="8978" width="10.5703125" style="210" customWidth="1"/>
    <col min="8979" max="8979" width="14.42578125" style="210" customWidth="1"/>
    <col min="8980" max="8980" width="9.140625" style="210"/>
    <col min="8981" max="8981" width="29.5703125" style="210" customWidth="1"/>
    <col min="8982" max="8986" width="15.5703125" style="210" customWidth="1"/>
    <col min="8987" max="8987" width="11.42578125" style="210" customWidth="1"/>
    <col min="8988" max="8988" width="15.42578125" style="210" customWidth="1"/>
    <col min="8989" max="8990" width="9.140625" style="210"/>
    <col min="8991" max="8991" width="48.28515625" style="210" customWidth="1"/>
    <col min="8992" max="8998" width="17.7109375" style="210" customWidth="1"/>
    <col min="8999" max="8999" width="9.140625" style="210"/>
    <col min="9000" max="9000" width="26.85546875" style="210" bestFit="1" customWidth="1"/>
    <col min="9001" max="9001" width="18.7109375" style="210" customWidth="1"/>
    <col min="9002" max="9002" width="14" style="210" customWidth="1"/>
    <col min="9003" max="9003" width="14.42578125" style="210" bestFit="1" customWidth="1"/>
    <col min="9004" max="9004" width="16.85546875" style="210" customWidth="1"/>
    <col min="9005" max="9005" width="11.42578125" style="210" customWidth="1"/>
    <col min="9006" max="9006" width="12.85546875" style="210" customWidth="1"/>
    <col min="9007" max="9007" width="10.7109375" style="210" customWidth="1"/>
    <col min="9008" max="9008" width="16.5703125" style="210" customWidth="1"/>
    <col min="9009" max="9009" width="16.42578125" style="210" customWidth="1"/>
    <col min="9010" max="9010" width="11.7109375" style="210" customWidth="1"/>
    <col min="9011" max="9011" width="14.42578125" style="210" customWidth="1"/>
    <col min="9012" max="9214" width="9.140625" style="210"/>
    <col min="9215" max="9215" width="56.85546875" style="210" customWidth="1"/>
    <col min="9216" max="9216" width="15.7109375" style="210" customWidth="1"/>
    <col min="9217" max="9217" width="10.5703125" style="210" customWidth="1"/>
    <col min="9218" max="9220" width="16.28515625" style="210" customWidth="1"/>
    <col min="9221" max="9221" width="12.7109375" style="210" customWidth="1"/>
    <col min="9222" max="9223" width="9.140625" style="210"/>
    <col min="9224" max="9224" width="25.85546875" style="210" customWidth="1"/>
    <col min="9225" max="9225" width="13.140625" style="210" customWidth="1"/>
    <col min="9226" max="9227" width="13.42578125" style="210" bestFit="1" customWidth="1"/>
    <col min="9228" max="9228" width="13.85546875" style="210" bestFit="1" customWidth="1"/>
    <col min="9229" max="9229" width="11.42578125" style="210" customWidth="1"/>
    <col min="9230" max="9230" width="14.5703125" style="210" customWidth="1"/>
    <col min="9231" max="9231" width="10.7109375" style="210" customWidth="1"/>
    <col min="9232" max="9232" width="12.28515625" style="210" customWidth="1"/>
    <col min="9233" max="9233" width="13.28515625" style="210" customWidth="1"/>
    <col min="9234" max="9234" width="10.5703125" style="210" customWidth="1"/>
    <col min="9235" max="9235" width="14.42578125" style="210" customWidth="1"/>
    <col min="9236" max="9236" width="9.140625" style="210"/>
    <col min="9237" max="9237" width="29.5703125" style="210" customWidth="1"/>
    <col min="9238" max="9242" width="15.5703125" style="210" customWidth="1"/>
    <col min="9243" max="9243" width="11.42578125" style="210" customWidth="1"/>
    <col min="9244" max="9244" width="15.42578125" style="210" customWidth="1"/>
    <col min="9245" max="9246" width="9.140625" style="210"/>
    <col min="9247" max="9247" width="48.28515625" style="210" customWidth="1"/>
    <col min="9248" max="9254" width="17.7109375" style="210" customWidth="1"/>
    <col min="9255" max="9255" width="9.140625" style="210"/>
    <col min="9256" max="9256" width="26.85546875" style="210" bestFit="1" customWidth="1"/>
    <col min="9257" max="9257" width="18.7109375" style="210" customWidth="1"/>
    <col min="9258" max="9258" width="14" style="210" customWidth="1"/>
    <col min="9259" max="9259" width="14.42578125" style="210" bestFit="1" customWidth="1"/>
    <col min="9260" max="9260" width="16.85546875" style="210" customWidth="1"/>
    <col min="9261" max="9261" width="11.42578125" style="210" customWidth="1"/>
    <col min="9262" max="9262" width="12.85546875" style="210" customWidth="1"/>
    <col min="9263" max="9263" width="10.7109375" style="210" customWidth="1"/>
    <col min="9264" max="9264" width="16.5703125" style="210" customWidth="1"/>
    <col min="9265" max="9265" width="16.42578125" style="210" customWidth="1"/>
    <col min="9266" max="9266" width="11.7109375" style="210" customWidth="1"/>
    <col min="9267" max="9267" width="14.42578125" style="210" customWidth="1"/>
    <col min="9268" max="9470" width="9.140625" style="210"/>
    <col min="9471" max="9471" width="56.85546875" style="210" customWidth="1"/>
    <col min="9472" max="9472" width="15.7109375" style="210" customWidth="1"/>
    <col min="9473" max="9473" width="10.5703125" style="210" customWidth="1"/>
    <col min="9474" max="9476" width="16.28515625" style="210" customWidth="1"/>
    <col min="9477" max="9477" width="12.7109375" style="210" customWidth="1"/>
    <col min="9478" max="9479" width="9.140625" style="210"/>
    <col min="9480" max="9480" width="25.85546875" style="210" customWidth="1"/>
    <col min="9481" max="9481" width="13.140625" style="210" customWidth="1"/>
    <col min="9482" max="9483" width="13.42578125" style="210" bestFit="1" customWidth="1"/>
    <col min="9484" max="9484" width="13.85546875" style="210" bestFit="1" customWidth="1"/>
    <col min="9485" max="9485" width="11.42578125" style="210" customWidth="1"/>
    <col min="9486" max="9486" width="14.5703125" style="210" customWidth="1"/>
    <col min="9487" max="9487" width="10.7109375" style="210" customWidth="1"/>
    <col min="9488" max="9488" width="12.28515625" style="210" customWidth="1"/>
    <col min="9489" max="9489" width="13.28515625" style="210" customWidth="1"/>
    <col min="9490" max="9490" width="10.5703125" style="210" customWidth="1"/>
    <col min="9491" max="9491" width="14.42578125" style="210" customWidth="1"/>
    <col min="9492" max="9492" width="9.140625" style="210"/>
    <col min="9493" max="9493" width="29.5703125" style="210" customWidth="1"/>
    <col min="9494" max="9498" width="15.5703125" style="210" customWidth="1"/>
    <col min="9499" max="9499" width="11.42578125" style="210" customWidth="1"/>
    <col min="9500" max="9500" width="15.42578125" style="210" customWidth="1"/>
    <col min="9501" max="9502" width="9.140625" style="210"/>
    <col min="9503" max="9503" width="48.28515625" style="210" customWidth="1"/>
    <col min="9504" max="9510" width="17.7109375" style="210" customWidth="1"/>
    <col min="9511" max="9511" width="9.140625" style="210"/>
    <col min="9512" max="9512" width="26.85546875" style="210" bestFit="1" customWidth="1"/>
    <col min="9513" max="9513" width="18.7109375" style="210" customWidth="1"/>
    <col min="9514" max="9514" width="14" style="210" customWidth="1"/>
    <col min="9515" max="9515" width="14.42578125" style="210" bestFit="1" customWidth="1"/>
    <col min="9516" max="9516" width="16.85546875" style="210" customWidth="1"/>
    <col min="9517" max="9517" width="11.42578125" style="210" customWidth="1"/>
    <col min="9518" max="9518" width="12.85546875" style="210" customWidth="1"/>
    <col min="9519" max="9519" width="10.7109375" style="210" customWidth="1"/>
    <col min="9520" max="9520" width="16.5703125" style="210" customWidth="1"/>
    <col min="9521" max="9521" width="16.42578125" style="210" customWidth="1"/>
    <col min="9522" max="9522" width="11.7109375" style="210" customWidth="1"/>
    <col min="9523" max="9523" width="14.42578125" style="210" customWidth="1"/>
    <col min="9524" max="9726" width="9.140625" style="210"/>
    <col min="9727" max="9727" width="56.85546875" style="210" customWidth="1"/>
    <col min="9728" max="9728" width="15.7109375" style="210" customWidth="1"/>
    <col min="9729" max="9729" width="10.5703125" style="210" customWidth="1"/>
    <col min="9730" max="9732" width="16.28515625" style="210" customWidth="1"/>
    <col min="9733" max="9733" width="12.7109375" style="210" customWidth="1"/>
    <col min="9734" max="9735" width="9.140625" style="210"/>
    <col min="9736" max="9736" width="25.85546875" style="210" customWidth="1"/>
    <col min="9737" max="9737" width="13.140625" style="210" customWidth="1"/>
    <col min="9738" max="9739" width="13.42578125" style="210" bestFit="1" customWidth="1"/>
    <col min="9740" max="9740" width="13.85546875" style="210" bestFit="1" customWidth="1"/>
    <col min="9741" max="9741" width="11.42578125" style="210" customWidth="1"/>
    <col min="9742" max="9742" width="14.5703125" style="210" customWidth="1"/>
    <col min="9743" max="9743" width="10.7109375" style="210" customWidth="1"/>
    <col min="9744" max="9744" width="12.28515625" style="210" customWidth="1"/>
    <col min="9745" max="9745" width="13.28515625" style="210" customWidth="1"/>
    <col min="9746" max="9746" width="10.5703125" style="210" customWidth="1"/>
    <col min="9747" max="9747" width="14.42578125" style="210" customWidth="1"/>
    <col min="9748" max="9748" width="9.140625" style="210"/>
    <col min="9749" max="9749" width="29.5703125" style="210" customWidth="1"/>
    <col min="9750" max="9754" width="15.5703125" style="210" customWidth="1"/>
    <col min="9755" max="9755" width="11.42578125" style="210" customWidth="1"/>
    <col min="9756" max="9756" width="15.42578125" style="210" customWidth="1"/>
    <col min="9757" max="9758" width="9.140625" style="210"/>
    <col min="9759" max="9759" width="48.28515625" style="210" customWidth="1"/>
    <col min="9760" max="9766" width="17.7109375" style="210" customWidth="1"/>
    <col min="9767" max="9767" width="9.140625" style="210"/>
    <col min="9768" max="9768" width="26.85546875" style="210" bestFit="1" customWidth="1"/>
    <col min="9769" max="9769" width="18.7109375" style="210" customWidth="1"/>
    <col min="9770" max="9770" width="14" style="210" customWidth="1"/>
    <col min="9771" max="9771" width="14.42578125" style="210" bestFit="1" customWidth="1"/>
    <col min="9772" max="9772" width="16.85546875" style="210" customWidth="1"/>
    <col min="9773" max="9773" width="11.42578125" style="210" customWidth="1"/>
    <col min="9774" max="9774" width="12.85546875" style="210" customWidth="1"/>
    <col min="9775" max="9775" width="10.7109375" style="210" customWidth="1"/>
    <col min="9776" max="9776" width="16.5703125" style="210" customWidth="1"/>
    <col min="9777" max="9777" width="16.42578125" style="210" customWidth="1"/>
    <col min="9778" max="9778" width="11.7109375" style="210" customWidth="1"/>
    <col min="9779" max="9779" width="14.42578125" style="210" customWidth="1"/>
    <col min="9780" max="9982" width="9.140625" style="210"/>
    <col min="9983" max="9983" width="56.85546875" style="210" customWidth="1"/>
    <col min="9984" max="9984" width="15.7109375" style="210" customWidth="1"/>
    <col min="9985" max="9985" width="10.5703125" style="210" customWidth="1"/>
    <col min="9986" max="9988" width="16.28515625" style="210" customWidth="1"/>
    <col min="9989" max="9989" width="12.7109375" style="210" customWidth="1"/>
    <col min="9990" max="9991" width="9.140625" style="210"/>
    <col min="9992" max="9992" width="25.85546875" style="210" customWidth="1"/>
    <col min="9993" max="9993" width="13.140625" style="210" customWidth="1"/>
    <col min="9994" max="9995" width="13.42578125" style="210" bestFit="1" customWidth="1"/>
    <col min="9996" max="9996" width="13.85546875" style="210" bestFit="1" customWidth="1"/>
    <col min="9997" max="9997" width="11.42578125" style="210" customWidth="1"/>
    <col min="9998" max="9998" width="14.5703125" style="210" customWidth="1"/>
    <col min="9999" max="9999" width="10.7109375" style="210" customWidth="1"/>
    <col min="10000" max="10000" width="12.28515625" style="210" customWidth="1"/>
    <col min="10001" max="10001" width="13.28515625" style="210" customWidth="1"/>
    <col min="10002" max="10002" width="10.5703125" style="210" customWidth="1"/>
    <col min="10003" max="10003" width="14.42578125" style="210" customWidth="1"/>
    <col min="10004" max="10004" width="9.140625" style="210"/>
    <col min="10005" max="10005" width="29.5703125" style="210" customWidth="1"/>
    <col min="10006" max="10010" width="15.5703125" style="210" customWidth="1"/>
    <col min="10011" max="10011" width="11.42578125" style="210" customWidth="1"/>
    <col min="10012" max="10012" width="15.42578125" style="210" customWidth="1"/>
    <col min="10013" max="10014" width="9.140625" style="210"/>
    <col min="10015" max="10015" width="48.28515625" style="210" customWidth="1"/>
    <col min="10016" max="10022" width="17.7109375" style="210" customWidth="1"/>
    <col min="10023" max="10023" width="9.140625" style="210"/>
    <col min="10024" max="10024" width="26.85546875" style="210" bestFit="1" customWidth="1"/>
    <col min="10025" max="10025" width="18.7109375" style="210" customWidth="1"/>
    <col min="10026" max="10026" width="14" style="210" customWidth="1"/>
    <col min="10027" max="10027" width="14.42578125" style="210" bestFit="1" customWidth="1"/>
    <col min="10028" max="10028" width="16.85546875" style="210" customWidth="1"/>
    <col min="10029" max="10029" width="11.42578125" style="210" customWidth="1"/>
    <col min="10030" max="10030" width="12.85546875" style="210" customWidth="1"/>
    <col min="10031" max="10031" width="10.7109375" style="210" customWidth="1"/>
    <col min="10032" max="10032" width="16.5703125" style="210" customWidth="1"/>
    <col min="10033" max="10033" width="16.42578125" style="210" customWidth="1"/>
    <col min="10034" max="10034" width="11.7109375" style="210" customWidth="1"/>
    <col min="10035" max="10035" width="14.42578125" style="210" customWidth="1"/>
    <col min="10036" max="10238" width="9.140625" style="210"/>
    <col min="10239" max="10239" width="56.85546875" style="210" customWidth="1"/>
    <col min="10240" max="10240" width="15.7109375" style="210" customWidth="1"/>
    <col min="10241" max="10241" width="10.5703125" style="210" customWidth="1"/>
    <col min="10242" max="10244" width="16.28515625" style="210" customWidth="1"/>
    <col min="10245" max="10245" width="12.7109375" style="210" customWidth="1"/>
    <col min="10246" max="10247" width="9.140625" style="210"/>
    <col min="10248" max="10248" width="25.85546875" style="210" customWidth="1"/>
    <col min="10249" max="10249" width="13.140625" style="210" customWidth="1"/>
    <col min="10250" max="10251" width="13.42578125" style="210" bestFit="1" customWidth="1"/>
    <col min="10252" max="10252" width="13.85546875" style="210" bestFit="1" customWidth="1"/>
    <col min="10253" max="10253" width="11.42578125" style="210" customWidth="1"/>
    <col min="10254" max="10254" width="14.5703125" style="210" customWidth="1"/>
    <col min="10255" max="10255" width="10.7109375" style="210" customWidth="1"/>
    <col min="10256" max="10256" width="12.28515625" style="210" customWidth="1"/>
    <col min="10257" max="10257" width="13.28515625" style="210" customWidth="1"/>
    <col min="10258" max="10258" width="10.5703125" style="210" customWidth="1"/>
    <col min="10259" max="10259" width="14.42578125" style="210" customWidth="1"/>
    <col min="10260" max="10260" width="9.140625" style="210"/>
    <col min="10261" max="10261" width="29.5703125" style="210" customWidth="1"/>
    <col min="10262" max="10266" width="15.5703125" style="210" customWidth="1"/>
    <col min="10267" max="10267" width="11.42578125" style="210" customWidth="1"/>
    <col min="10268" max="10268" width="15.42578125" style="210" customWidth="1"/>
    <col min="10269" max="10270" width="9.140625" style="210"/>
    <col min="10271" max="10271" width="48.28515625" style="210" customWidth="1"/>
    <col min="10272" max="10278" width="17.7109375" style="210" customWidth="1"/>
    <col min="10279" max="10279" width="9.140625" style="210"/>
    <col min="10280" max="10280" width="26.85546875" style="210" bestFit="1" customWidth="1"/>
    <col min="10281" max="10281" width="18.7109375" style="210" customWidth="1"/>
    <col min="10282" max="10282" width="14" style="210" customWidth="1"/>
    <col min="10283" max="10283" width="14.42578125" style="210" bestFit="1" customWidth="1"/>
    <col min="10284" max="10284" width="16.85546875" style="210" customWidth="1"/>
    <col min="10285" max="10285" width="11.42578125" style="210" customWidth="1"/>
    <col min="10286" max="10286" width="12.85546875" style="210" customWidth="1"/>
    <col min="10287" max="10287" width="10.7109375" style="210" customWidth="1"/>
    <col min="10288" max="10288" width="16.5703125" style="210" customWidth="1"/>
    <col min="10289" max="10289" width="16.42578125" style="210" customWidth="1"/>
    <col min="10290" max="10290" width="11.7109375" style="210" customWidth="1"/>
    <col min="10291" max="10291" width="14.42578125" style="210" customWidth="1"/>
    <col min="10292" max="10494" width="9.140625" style="210"/>
    <col min="10495" max="10495" width="56.85546875" style="210" customWidth="1"/>
    <col min="10496" max="10496" width="15.7109375" style="210" customWidth="1"/>
    <col min="10497" max="10497" width="10.5703125" style="210" customWidth="1"/>
    <col min="10498" max="10500" width="16.28515625" style="210" customWidth="1"/>
    <col min="10501" max="10501" width="12.7109375" style="210" customWidth="1"/>
    <col min="10502" max="10503" width="9.140625" style="210"/>
    <col min="10504" max="10504" width="25.85546875" style="210" customWidth="1"/>
    <col min="10505" max="10505" width="13.140625" style="210" customWidth="1"/>
    <col min="10506" max="10507" width="13.42578125" style="210" bestFit="1" customWidth="1"/>
    <col min="10508" max="10508" width="13.85546875" style="210" bestFit="1" customWidth="1"/>
    <col min="10509" max="10509" width="11.42578125" style="210" customWidth="1"/>
    <col min="10510" max="10510" width="14.5703125" style="210" customWidth="1"/>
    <col min="10511" max="10511" width="10.7109375" style="210" customWidth="1"/>
    <col min="10512" max="10512" width="12.28515625" style="210" customWidth="1"/>
    <col min="10513" max="10513" width="13.28515625" style="210" customWidth="1"/>
    <col min="10514" max="10514" width="10.5703125" style="210" customWidth="1"/>
    <col min="10515" max="10515" width="14.42578125" style="210" customWidth="1"/>
    <col min="10516" max="10516" width="9.140625" style="210"/>
    <col min="10517" max="10517" width="29.5703125" style="210" customWidth="1"/>
    <col min="10518" max="10522" width="15.5703125" style="210" customWidth="1"/>
    <col min="10523" max="10523" width="11.42578125" style="210" customWidth="1"/>
    <col min="10524" max="10524" width="15.42578125" style="210" customWidth="1"/>
    <col min="10525" max="10526" width="9.140625" style="210"/>
    <col min="10527" max="10527" width="48.28515625" style="210" customWidth="1"/>
    <col min="10528" max="10534" width="17.7109375" style="210" customWidth="1"/>
    <col min="10535" max="10535" width="9.140625" style="210"/>
    <col min="10536" max="10536" width="26.85546875" style="210" bestFit="1" customWidth="1"/>
    <col min="10537" max="10537" width="18.7109375" style="210" customWidth="1"/>
    <col min="10538" max="10538" width="14" style="210" customWidth="1"/>
    <col min="10539" max="10539" width="14.42578125" style="210" bestFit="1" customWidth="1"/>
    <col min="10540" max="10540" width="16.85546875" style="210" customWidth="1"/>
    <col min="10541" max="10541" width="11.42578125" style="210" customWidth="1"/>
    <col min="10542" max="10542" width="12.85546875" style="210" customWidth="1"/>
    <col min="10543" max="10543" width="10.7109375" style="210" customWidth="1"/>
    <col min="10544" max="10544" width="16.5703125" style="210" customWidth="1"/>
    <col min="10545" max="10545" width="16.42578125" style="210" customWidth="1"/>
    <col min="10546" max="10546" width="11.7109375" style="210" customWidth="1"/>
    <col min="10547" max="10547" width="14.42578125" style="210" customWidth="1"/>
    <col min="10548" max="10750" width="9.140625" style="210"/>
    <col min="10751" max="10751" width="56.85546875" style="210" customWidth="1"/>
    <col min="10752" max="10752" width="15.7109375" style="210" customWidth="1"/>
    <col min="10753" max="10753" width="10.5703125" style="210" customWidth="1"/>
    <col min="10754" max="10756" width="16.28515625" style="210" customWidth="1"/>
    <col min="10757" max="10757" width="12.7109375" style="210" customWidth="1"/>
    <col min="10758" max="10759" width="9.140625" style="210"/>
    <col min="10760" max="10760" width="25.85546875" style="210" customWidth="1"/>
    <col min="10761" max="10761" width="13.140625" style="210" customWidth="1"/>
    <col min="10762" max="10763" width="13.42578125" style="210" bestFit="1" customWidth="1"/>
    <col min="10764" max="10764" width="13.85546875" style="210" bestFit="1" customWidth="1"/>
    <col min="10765" max="10765" width="11.42578125" style="210" customWidth="1"/>
    <col min="10766" max="10766" width="14.5703125" style="210" customWidth="1"/>
    <col min="10767" max="10767" width="10.7109375" style="210" customWidth="1"/>
    <col min="10768" max="10768" width="12.28515625" style="210" customWidth="1"/>
    <col min="10769" max="10769" width="13.28515625" style="210" customWidth="1"/>
    <col min="10770" max="10770" width="10.5703125" style="210" customWidth="1"/>
    <col min="10771" max="10771" width="14.42578125" style="210" customWidth="1"/>
    <col min="10772" max="10772" width="9.140625" style="210"/>
    <col min="10773" max="10773" width="29.5703125" style="210" customWidth="1"/>
    <col min="10774" max="10778" width="15.5703125" style="210" customWidth="1"/>
    <col min="10779" max="10779" width="11.42578125" style="210" customWidth="1"/>
    <col min="10780" max="10780" width="15.42578125" style="210" customWidth="1"/>
    <col min="10781" max="10782" width="9.140625" style="210"/>
    <col min="10783" max="10783" width="48.28515625" style="210" customWidth="1"/>
    <col min="10784" max="10790" width="17.7109375" style="210" customWidth="1"/>
    <col min="10791" max="10791" width="9.140625" style="210"/>
    <col min="10792" max="10792" width="26.85546875" style="210" bestFit="1" customWidth="1"/>
    <col min="10793" max="10793" width="18.7109375" style="210" customWidth="1"/>
    <col min="10794" max="10794" width="14" style="210" customWidth="1"/>
    <col min="10795" max="10795" width="14.42578125" style="210" bestFit="1" customWidth="1"/>
    <col min="10796" max="10796" width="16.85546875" style="210" customWidth="1"/>
    <col min="10797" max="10797" width="11.42578125" style="210" customWidth="1"/>
    <col min="10798" max="10798" width="12.85546875" style="210" customWidth="1"/>
    <col min="10799" max="10799" width="10.7109375" style="210" customWidth="1"/>
    <col min="10800" max="10800" width="16.5703125" style="210" customWidth="1"/>
    <col min="10801" max="10801" width="16.42578125" style="210" customWidth="1"/>
    <col min="10802" max="10802" width="11.7109375" style="210" customWidth="1"/>
    <col min="10803" max="10803" width="14.42578125" style="210" customWidth="1"/>
    <col min="10804" max="11006" width="9.140625" style="210"/>
    <col min="11007" max="11007" width="56.85546875" style="210" customWidth="1"/>
    <col min="11008" max="11008" width="15.7109375" style="210" customWidth="1"/>
    <col min="11009" max="11009" width="10.5703125" style="210" customWidth="1"/>
    <col min="11010" max="11012" width="16.28515625" style="210" customWidth="1"/>
    <col min="11013" max="11013" width="12.7109375" style="210" customWidth="1"/>
    <col min="11014" max="11015" width="9.140625" style="210"/>
    <col min="11016" max="11016" width="25.85546875" style="210" customWidth="1"/>
    <col min="11017" max="11017" width="13.140625" style="210" customWidth="1"/>
    <col min="11018" max="11019" width="13.42578125" style="210" bestFit="1" customWidth="1"/>
    <col min="11020" max="11020" width="13.85546875" style="210" bestFit="1" customWidth="1"/>
    <col min="11021" max="11021" width="11.42578125" style="210" customWidth="1"/>
    <col min="11022" max="11022" width="14.5703125" style="210" customWidth="1"/>
    <col min="11023" max="11023" width="10.7109375" style="210" customWidth="1"/>
    <col min="11024" max="11024" width="12.28515625" style="210" customWidth="1"/>
    <col min="11025" max="11025" width="13.28515625" style="210" customWidth="1"/>
    <col min="11026" max="11026" width="10.5703125" style="210" customWidth="1"/>
    <col min="11027" max="11027" width="14.42578125" style="210" customWidth="1"/>
    <col min="11028" max="11028" width="9.140625" style="210"/>
    <col min="11029" max="11029" width="29.5703125" style="210" customWidth="1"/>
    <col min="11030" max="11034" width="15.5703125" style="210" customWidth="1"/>
    <col min="11035" max="11035" width="11.42578125" style="210" customWidth="1"/>
    <col min="11036" max="11036" width="15.42578125" style="210" customWidth="1"/>
    <col min="11037" max="11038" width="9.140625" style="210"/>
    <col min="11039" max="11039" width="48.28515625" style="210" customWidth="1"/>
    <col min="11040" max="11046" width="17.7109375" style="210" customWidth="1"/>
    <col min="11047" max="11047" width="9.140625" style="210"/>
    <col min="11048" max="11048" width="26.85546875" style="210" bestFit="1" customWidth="1"/>
    <col min="11049" max="11049" width="18.7109375" style="210" customWidth="1"/>
    <col min="11050" max="11050" width="14" style="210" customWidth="1"/>
    <col min="11051" max="11051" width="14.42578125" style="210" bestFit="1" customWidth="1"/>
    <col min="11052" max="11052" width="16.85546875" style="210" customWidth="1"/>
    <col min="11053" max="11053" width="11.42578125" style="210" customWidth="1"/>
    <col min="11054" max="11054" width="12.85546875" style="210" customWidth="1"/>
    <col min="11055" max="11055" width="10.7109375" style="210" customWidth="1"/>
    <col min="11056" max="11056" width="16.5703125" style="210" customWidth="1"/>
    <col min="11057" max="11057" width="16.42578125" style="210" customWidth="1"/>
    <col min="11058" max="11058" width="11.7109375" style="210" customWidth="1"/>
    <col min="11059" max="11059" width="14.42578125" style="210" customWidth="1"/>
    <col min="11060" max="11262" width="9.140625" style="210"/>
    <col min="11263" max="11263" width="56.85546875" style="210" customWidth="1"/>
    <col min="11264" max="11264" width="15.7109375" style="210" customWidth="1"/>
    <col min="11265" max="11265" width="10.5703125" style="210" customWidth="1"/>
    <col min="11266" max="11268" width="16.28515625" style="210" customWidth="1"/>
    <col min="11269" max="11269" width="12.7109375" style="210" customWidth="1"/>
    <col min="11270" max="11271" width="9.140625" style="210"/>
    <col min="11272" max="11272" width="25.85546875" style="210" customWidth="1"/>
    <col min="11273" max="11273" width="13.140625" style="210" customWidth="1"/>
    <col min="11274" max="11275" width="13.42578125" style="210" bestFit="1" customWidth="1"/>
    <col min="11276" max="11276" width="13.85546875" style="210" bestFit="1" customWidth="1"/>
    <col min="11277" max="11277" width="11.42578125" style="210" customWidth="1"/>
    <col min="11278" max="11278" width="14.5703125" style="210" customWidth="1"/>
    <col min="11279" max="11279" width="10.7109375" style="210" customWidth="1"/>
    <col min="11280" max="11280" width="12.28515625" style="210" customWidth="1"/>
    <col min="11281" max="11281" width="13.28515625" style="210" customWidth="1"/>
    <col min="11282" max="11282" width="10.5703125" style="210" customWidth="1"/>
    <col min="11283" max="11283" width="14.42578125" style="210" customWidth="1"/>
    <col min="11284" max="11284" width="9.140625" style="210"/>
    <col min="11285" max="11285" width="29.5703125" style="210" customWidth="1"/>
    <col min="11286" max="11290" width="15.5703125" style="210" customWidth="1"/>
    <col min="11291" max="11291" width="11.42578125" style="210" customWidth="1"/>
    <col min="11292" max="11292" width="15.42578125" style="210" customWidth="1"/>
    <col min="11293" max="11294" width="9.140625" style="210"/>
    <col min="11295" max="11295" width="48.28515625" style="210" customWidth="1"/>
    <col min="11296" max="11302" width="17.7109375" style="210" customWidth="1"/>
    <col min="11303" max="11303" width="9.140625" style="210"/>
    <col min="11304" max="11304" width="26.85546875" style="210" bestFit="1" customWidth="1"/>
    <col min="11305" max="11305" width="18.7109375" style="210" customWidth="1"/>
    <col min="11306" max="11306" width="14" style="210" customWidth="1"/>
    <col min="11307" max="11307" width="14.42578125" style="210" bestFit="1" customWidth="1"/>
    <col min="11308" max="11308" width="16.85546875" style="210" customWidth="1"/>
    <col min="11309" max="11309" width="11.42578125" style="210" customWidth="1"/>
    <col min="11310" max="11310" width="12.85546875" style="210" customWidth="1"/>
    <col min="11311" max="11311" width="10.7109375" style="210" customWidth="1"/>
    <col min="11312" max="11312" width="16.5703125" style="210" customWidth="1"/>
    <col min="11313" max="11313" width="16.42578125" style="210" customWidth="1"/>
    <col min="11314" max="11314" width="11.7109375" style="210" customWidth="1"/>
    <col min="11315" max="11315" width="14.42578125" style="210" customWidth="1"/>
    <col min="11316" max="11518" width="9.140625" style="210"/>
    <col min="11519" max="11519" width="56.85546875" style="210" customWidth="1"/>
    <col min="11520" max="11520" width="15.7109375" style="210" customWidth="1"/>
    <col min="11521" max="11521" width="10.5703125" style="210" customWidth="1"/>
    <col min="11522" max="11524" width="16.28515625" style="210" customWidth="1"/>
    <col min="11525" max="11525" width="12.7109375" style="210" customWidth="1"/>
    <col min="11526" max="11527" width="9.140625" style="210"/>
    <col min="11528" max="11528" width="25.85546875" style="210" customWidth="1"/>
    <col min="11529" max="11529" width="13.140625" style="210" customWidth="1"/>
    <col min="11530" max="11531" width="13.42578125" style="210" bestFit="1" customWidth="1"/>
    <col min="11532" max="11532" width="13.85546875" style="210" bestFit="1" customWidth="1"/>
    <col min="11533" max="11533" width="11.42578125" style="210" customWidth="1"/>
    <col min="11534" max="11534" width="14.5703125" style="210" customWidth="1"/>
    <col min="11535" max="11535" width="10.7109375" style="210" customWidth="1"/>
    <col min="11536" max="11536" width="12.28515625" style="210" customWidth="1"/>
    <col min="11537" max="11537" width="13.28515625" style="210" customWidth="1"/>
    <col min="11538" max="11538" width="10.5703125" style="210" customWidth="1"/>
    <col min="11539" max="11539" width="14.42578125" style="210" customWidth="1"/>
    <col min="11540" max="11540" width="9.140625" style="210"/>
    <col min="11541" max="11541" width="29.5703125" style="210" customWidth="1"/>
    <col min="11542" max="11546" width="15.5703125" style="210" customWidth="1"/>
    <col min="11547" max="11547" width="11.42578125" style="210" customWidth="1"/>
    <col min="11548" max="11548" width="15.42578125" style="210" customWidth="1"/>
    <col min="11549" max="11550" width="9.140625" style="210"/>
    <col min="11551" max="11551" width="48.28515625" style="210" customWidth="1"/>
    <col min="11552" max="11558" width="17.7109375" style="210" customWidth="1"/>
    <col min="11559" max="11559" width="9.140625" style="210"/>
    <col min="11560" max="11560" width="26.85546875" style="210" bestFit="1" customWidth="1"/>
    <col min="11561" max="11561" width="18.7109375" style="210" customWidth="1"/>
    <col min="11562" max="11562" width="14" style="210" customWidth="1"/>
    <col min="11563" max="11563" width="14.42578125" style="210" bestFit="1" customWidth="1"/>
    <col min="11564" max="11564" width="16.85546875" style="210" customWidth="1"/>
    <col min="11565" max="11565" width="11.42578125" style="210" customWidth="1"/>
    <col min="11566" max="11566" width="12.85546875" style="210" customWidth="1"/>
    <col min="11567" max="11567" width="10.7109375" style="210" customWidth="1"/>
    <col min="11568" max="11568" width="16.5703125" style="210" customWidth="1"/>
    <col min="11569" max="11569" width="16.42578125" style="210" customWidth="1"/>
    <col min="11570" max="11570" width="11.7109375" style="210" customWidth="1"/>
    <col min="11571" max="11571" width="14.42578125" style="210" customWidth="1"/>
    <col min="11572" max="11774" width="9.140625" style="210"/>
    <col min="11775" max="11775" width="56.85546875" style="210" customWidth="1"/>
    <col min="11776" max="11776" width="15.7109375" style="210" customWidth="1"/>
    <col min="11777" max="11777" width="10.5703125" style="210" customWidth="1"/>
    <col min="11778" max="11780" width="16.28515625" style="210" customWidth="1"/>
    <col min="11781" max="11781" width="12.7109375" style="210" customWidth="1"/>
    <col min="11782" max="11783" width="9.140625" style="210"/>
    <col min="11784" max="11784" width="25.85546875" style="210" customWidth="1"/>
    <col min="11785" max="11785" width="13.140625" style="210" customWidth="1"/>
    <col min="11786" max="11787" width="13.42578125" style="210" bestFit="1" customWidth="1"/>
    <col min="11788" max="11788" width="13.85546875" style="210" bestFit="1" customWidth="1"/>
    <col min="11789" max="11789" width="11.42578125" style="210" customWidth="1"/>
    <col min="11790" max="11790" width="14.5703125" style="210" customWidth="1"/>
    <col min="11791" max="11791" width="10.7109375" style="210" customWidth="1"/>
    <col min="11792" max="11792" width="12.28515625" style="210" customWidth="1"/>
    <col min="11793" max="11793" width="13.28515625" style="210" customWidth="1"/>
    <col min="11794" max="11794" width="10.5703125" style="210" customWidth="1"/>
    <col min="11795" max="11795" width="14.42578125" style="210" customWidth="1"/>
    <col min="11796" max="11796" width="9.140625" style="210"/>
    <col min="11797" max="11797" width="29.5703125" style="210" customWidth="1"/>
    <col min="11798" max="11802" width="15.5703125" style="210" customWidth="1"/>
    <col min="11803" max="11803" width="11.42578125" style="210" customWidth="1"/>
    <col min="11804" max="11804" width="15.42578125" style="210" customWidth="1"/>
    <col min="11805" max="11806" width="9.140625" style="210"/>
    <col min="11807" max="11807" width="48.28515625" style="210" customWidth="1"/>
    <col min="11808" max="11814" width="17.7109375" style="210" customWidth="1"/>
    <col min="11815" max="11815" width="9.140625" style="210"/>
    <col min="11816" max="11816" width="26.85546875" style="210" bestFit="1" customWidth="1"/>
    <col min="11817" max="11817" width="18.7109375" style="210" customWidth="1"/>
    <col min="11818" max="11818" width="14" style="210" customWidth="1"/>
    <col min="11819" max="11819" width="14.42578125" style="210" bestFit="1" customWidth="1"/>
    <col min="11820" max="11820" width="16.85546875" style="210" customWidth="1"/>
    <col min="11821" max="11821" width="11.42578125" style="210" customWidth="1"/>
    <col min="11822" max="11822" width="12.85546875" style="210" customWidth="1"/>
    <col min="11823" max="11823" width="10.7109375" style="210" customWidth="1"/>
    <col min="11824" max="11824" width="16.5703125" style="210" customWidth="1"/>
    <col min="11825" max="11825" width="16.42578125" style="210" customWidth="1"/>
    <col min="11826" max="11826" width="11.7109375" style="210" customWidth="1"/>
    <col min="11827" max="11827" width="14.42578125" style="210" customWidth="1"/>
    <col min="11828" max="12030" width="9.140625" style="210"/>
    <col min="12031" max="12031" width="56.85546875" style="210" customWidth="1"/>
    <col min="12032" max="12032" width="15.7109375" style="210" customWidth="1"/>
    <col min="12033" max="12033" width="10.5703125" style="210" customWidth="1"/>
    <col min="12034" max="12036" width="16.28515625" style="210" customWidth="1"/>
    <col min="12037" max="12037" width="12.7109375" style="210" customWidth="1"/>
    <col min="12038" max="12039" width="9.140625" style="210"/>
    <col min="12040" max="12040" width="25.85546875" style="210" customWidth="1"/>
    <col min="12041" max="12041" width="13.140625" style="210" customWidth="1"/>
    <col min="12042" max="12043" width="13.42578125" style="210" bestFit="1" customWidth="1"/>
    <col min="12044" max="12044" width="13.85546875" style="210" bestFit="1" customWidth="1"/>
    <col min="12045" max="12045" width="11.42578125" style="210" customWidth="1"/>
    <col min="12046" max="12046" width="14.5703125" style="210" customWidth="1"/>
    <col min="12047" max="12047" width="10.7109375" style="210" customWidth="1"/>
    <col min="12048" max="12048" width="12.28515625" style="210" customWidth="1"/>
    <col min="12049" max="12049" width="13.28515625" style="210" customWidth="1"/>
    <col min="12050" max="12050" width="10.5703125" style="210" customWidth="1"/>
    <col min="12051" max="12051" width="14.42578125" style="210" customWidth="1"/>
    <col min="12052" max="12052" width="9.140625" style="210"/>
    <col min="12053" max="12053" width="29.5703125" style="210" customWidth="1"/>
    <col min="12054" max="12058" width="15.5703125" style="210" customWidth="1"/>
    <col min="12059" max="12059" width="11.42578125" style="210" customWidth="1"/>
    <col min="12060" max="12060" width="15.42578125" style="210" customWidth="1"/>
    <col min="12061" max="12062" width="9.140625" style="210"/>
    <col min="12063" max="12063" width="48.28515625" style="210" customWidth="1"/>
    <col min="12064" max="12070" width="17.7109375" style="210" customWidth="1"/>
    <col min="12071" max="12071" width="9.140625" style="210"/>
    <col min="12072" max="12072" width="26.85546875" style="210" bestFit="1" customWidth="1"/>
    <col min="12073" max="12073" width="18.7109375" style="210" customWidth="1"/>
    <col min="12074" max="12074" width="14" style="210" customWidth="1"/>
    <col min="12075" max="12075" width="14.42578125" style="210" bestFit="1" customWidth="1"/>
    <col min="12076" max="12076" width="16.85546875" style="210" customWidth="1"/>
    <col min="12077" max="12077" width="11.42578125" style="210" customWidth="1"/>
    <col min="12078" max="12078" width="12.85546875" style="210" customWidth="1"/>
    <col min="12079" max="12079" width="10.7109375" style="210" customWidth="1"/>
    <col min="12080" max="12080" width="16.5703125" style="210" customWidth="1"/>
    <col min="12081" max="12081" width="16.42578125" style="210" customWidth="1"/>
    <col min="12082" max="12082" width="11.7109375" style="210" customWidth="1"/>
    <col min="12083" max="12083" width="14.42578125" style="210" customWidth="1"/>
    <col min="12084" max="12286" width="9.140625" style="210"/>
    <col min="12287" max="12287" width="56.85546875" style="210" customWidth="1"/>
    <col min="12288" max="12288" width="15.7109375" style="210" customWidth="1"/>
    <col min="12289" max="12289" width="10.5703125" style="210" customWidth="1"/>
    <col min="12290" max="12292" width="16.28515625" style="210" customWidth="1"/>
    <col min="12293" max="12293" width="12.7109375" style="210" customWidth="1"/>
    <col min="12294" max="12295" width="9.140625" style="210"/>
    <col min="12296" max="12296" width="25.85546875" style="210" customWidth="1"/>
    <col min="12297" max="12297" width="13.140625" style="210" customWidth="1"/>
    <col min="12298" max="12299" width="13.42578125" style="210" bestFit="1" customWidth="1"/>
    <col min="12300" max="12300" width="13.85546875" style="210" bestFit="1" customWidth="1"/>
    <col min="12301" max="12301" width="11.42578125" style="210" customWidth="1"/>
    <col min="12302" max="12302" width="14.5703125" style="210" customWidth="1"/>
    <col min="12303" max="12303" width="10.7109375" style="210" customWidth="1"/>
    <col min="12304" max="12304" width="12.28515625" style="210" customWidth="1"/>
    <col min="12305" max="12305" width="13.28515625" style="210" customWidth="1"/>
    <col min="12306" max="12306" width="10.5703125" style="210" customWidth="1"/>
    <col min="12307" max="12307" width="14.42578125" style="210" customWidth="1"/>
    <col min="12308" max="12308" width="9.140625" style="210"/>
    <col min="12309" max="12309" width="29.5703125" style="210" customWidth="1"/>
    <col min="12310" max="12314" width="15.5703125" style="210" customWidth="1"/>
    <col min="12315" max="12315" width="11.42578125" style="210" customWidth="1"/>
    <col min="12316" max="12316" width="15.42578125" style="210" customWidth="1"/>
    <col min="12317" max="12318" width="9.140625" style="210"/>
    <col min="12319" max="12319" width="48.28515625" style="210" customWidth="1"/>
    <col min="12320" max="12326" width="17.7109375" style="210" customWidth="1"/>
    <col min="12327" max="12327" width="9.140625" style="210"/>
    <col min="12328" max="12328" width="26.85546875" style="210" bestFit="1" customWidth="1"/>
    <col min="12329" max="12329" width="18.7109375" style="210" customWidth="1"/>
    <col min="12330" max="12330" width="14" style="210" customWidth="1"/>
    <col min="12331" max="12331" width="14.42578125" style="210" bestFit="1" customWidth="1"/>
    <col min="12332" max="12332" width="16.85546875" style="210" customWidth="1"/>
    <col min="12333" max="12333" width="11.42578125" style="210" customWidth="1"/>
    <col min="12334" max="12334" width="12.85546875" style="210" customWidth="1"/>
    <col min="12335" max="12335" width="10.7109375" style="210" customWidth="1"/>
    <col min="12336" max="12336" width="16.5703125" style="210" customWidth="1"/>
    <col min="12337" max="12337" width="16.42578125" style="210" customWidth="1"/>
    <col min="12338" max="12338" width="11.7109375" style="210" customWidth="1"/>
    <col min="12339" max="12339" width="14.42578125" style="210" customWidth="1"/>
    <col min="12340" max="12542" width="9.140625" style="210"/>
    <col min="12543" max="12543" width="56.85546875" style="210" customWidth="1"/>
    <col min="12544" max="12544" width="15.7109375" style="210" customWidth="1"/>
    <col min="12545" max="12545" width="10.5703125" style="210" customWidth="1"/>
    <col min="12546" max="12548" width="16.28515625" style="210" customWidth="1"/>
    <col min="12549" max="12549" width="12.7109375" style="210" customWidth="1"/>
    <col min="12550" max="12551" width="9.140625" style="210"/>
    <col min="12552" max="12552" width="25.85546875" style="210" customWidth="1"/>
    <col min="12553" max="12553" width="13.140625" style="210" customWidth="1"/>
    <col min="12554" max="12555" width="13.42578125" style="210" bestFit="1" customWidth="1"/>
    <col min="12556" max="12556" width="13.85546875" style="210" bestFit="1" customWidth="1"/>
    <col min="12557" max="12557" width="11.42578125" style="210" customWidth="1"/>
    <col min="12558" max="12558" width="14.5703125" style="210" customWidth="1"/>
    <col min="12559" max="12559" width="10.7109375" style="210" customWidth="1"/>
    <col min="12560" max="12560" width="12.28515625" style="210" customWidth="1"/>
    <col min="12561" max="12561" width="13.28515625" style="210" customWidth="1"/>
    <col min="12562" max="12562" width="10.5703125" style="210" customWidth="1"/>
    <col min="12563" max="12563" width="14.42578125" style="210" customWidth="1"/>
    <col min="12564" max="12564" width="9.140625" style="210"/>
    <col min="12565" max="12565" width="29.5703125" style="210" customWidth="1"/>
    <col min="12566" max="12570" width="15.5703125" style="210" customWidth="1"/>
    <col min="12571" max="12571" width="11.42578125" style="210" customWidth="1"/>
    <col min="12572" max="12572" width="15.42578125" style="210" customWidth="1"/>
    <col min="12573" max="12574" width="9.140625" style="210"/>
    <col min="12575" max="12575" width="48.28515625" style="210" customWidth="1"/>
    <col min="12576" max="12582" width="17.7109375" style="210" customWidth="1"/>
    <col min="12583" max="12583" width="9.140625" style="210"/>
    <col min="12584" max="12584" width="26.85546875" style="210" bestFit="1" customWidth="1"/>
    <col min="12585" max="12585" width="18.7109375" style="210" customWidth="1"/>
    <col min="12586" max="12586" width="14" style="210" customWidth="1"/>
    <col min="12587" max="12587" width="14.42578125" style="210" bestFit="1" customWidth="1"/>
    <col min="12588" max="12588" width="16.85546875" style="210" customWidth="1"/>
    <col min="12589" max="12589" width="11.42578125" style="210" customWidth="1"/>
    <col min="12590" max="12590" width="12.85546875" style="210" customWidth="1"/>
    <col min="12591" max="12591" width="10.7109375" style="210" customWidth="1"/>
    <col min="12592" max="12592" width="16.5703125" style="210" customWidth="1"/>
    <col min="12593" max="12593" width="16.42578125" style="210" customWidth="1"/>
    <col min="12594" max="12594" width="11.7109375" style="210" customWidth="1"/>
    <col min="12595" max="12595" width="14.42578125" style="210" customWidth="1"/>
    <col min="12596" max="12798" width="9.140625" style="210"/>
    <col min="12799" max="12799" width="56.85546875" style="210" customWidth="1"/>
    <col min="12800" max="12800" width="15.7109375" style="210" customWidth="1"/>
    <col min="12801" max="12801" width="10.5703125" style="210" customWidth="1"/>
    <col min="12802" max="12804" width="16.28515625" style="210" customWidth="1"/>
    <col min="12805" max="12805" width="12.7109375" style="210" customWidth="1"/>
    <col min="12806" max="12807" width="9.140625" style="210"/>
    <col min="12808" max="12808" width="25.85546875" style="210" customWidth="1"/>
    <col min="12809" max="12809" width="13.140625" style="210" customWidth="1"/>
    <col min="12810" max="12811" width="13.42578125" style="210" bestFit="1" customWidth="1"/>
    <col min="12812" max="12812" width="13.85546875" style="210" bestFit="1" customWidth="1"/>
    <col min="12813" max="12813" width="11.42578125" style="210" customWidth="1"/>
    <col min="12814" max="12814" width="14.5703125" style="210" customWidth="1"/>
    <col min="12815" max="12815" width="10.7109375" style="210" customWidth="1"/>
    <col min="12816" max="12816" width="12.28515625" style="210" customWidth="1"/>
    <col min="12817" max="12817" width="13.28515625" style="210" customWidth="1"/>
    <col min="12818" max="12818" width="10.5703125" style="210" customWidth="1"/>
    <col min="12819" max="12819" width="14.42578125" style="210" customWidth="1"/>
    <col min="12820" max="12820" width="9.140625" style="210"/>
    <col min="12821" max="12821" width="29.5703125" style="210" customWidth="1"/>
    <col min="12822" max="12826" width="15.5703125" style="210" customWidth="1"/>
    <col min="12827" max="12827" width="11.42578125" style="210" customWidth="1"/>
    <col min="12828" max="12828" width="15.42578125" style="210" customWidth="1"/>
    <col min="12829" max="12830" width="9.140625" style="210"/>
    <col min="12831" max="12831" width="48.28515625" style="210" customWidth="1"/>
    <col min="12832" max="12838" width="17.7109375" style="210" customWidth="1"/>
    <col min="12839" max="12839" width="9.140625" style="210"/>
    <col min="12840" max="12840" width="26.85546875" style="210" bestFit="1" customWidth="1"/>
    <col min="12841" max="12841" width="18.7109375" style="210" customWidth="1"/>
    <col min="12842" max="12842" width="14" style="210" customWidth="1"/>
    <col min="12843" max="12843" width="14.42578125" style="210" bestFit="1" customWidth="1"/>
    <col min="12844" max="12844" width="16.85546875" style="210" customWidth="1"/>
    <col min="12845" max="12845" width="11.42578125" style="210" customWidth="1"/>
    <col min="12846" max="12846" width="12.85546875" style="210" customWidth="1"/>
    <col min="12847" max="12847" width="10.7109375" style="210" customWidth="1"/>
    <col min="12848" max="12848" width="16.5703125" style="210" customWidth="1"/>
    <col min="12849" max="12849" width="16.42578125" style="210" customWidth="1"/>
    <col min="12850" max="12850" width="11.7109375" style="210" customWidth="1"/>
    <col min="12851" max="12851" width="14.42578125" style="210" customWidth="1"/>
    <col min="12852" max="13054" width="9.140625" style="210"/>
    <col min="13055" max="13055" width="56.85546875" style="210" customWidth="1"/>
    <col min="13056" max="13056" width="15.7109375" style="210" customWidth="1"/>
    <col min="13057" max="13057" width="10.5703125" style="210" customWidth="1"/>
    <col min="13058" max="13060" width="16.28515625" style="210" customWidth="1"/>
    <col min="13061" max="13061" width="12.7109375" style="210" customWidth="1"/>
    <col min="13062" max="13063" width="9.140625" style="210"/>
    <col min="13064" max="13064" width="25.85546875" style="210" customWidth="1"/>
    <col min="13065" max="13065" width="13.140625" style="210" customWidth="1"/>
    <col min="13066" max="13067" width="13.42578125" style="210" bestFit="1" customWidth="1"/>
    <col min="13068" max="13068" width="13.85546875" style="210" bestFit="1" customWidth="1"/>
    <col min="13069" max="13069" width="11.42578125" style="210" customWidth="1"/>
    <col min="13070" max="13070" width="14.5703125" style="210" customWidth="1"/>
    <col min="13071" max="13071" width="10.7109375" style="210" customWidth="1"/>
    <col min="13072" max="13072" width="12.28515625" style="210" customWidth="1"/>
    <col min="13073" max="13073" width="13.28515625" style="210" customWidth="1"/>
    <col min="13074" max="13074" width="10.5703125" style="210" customWidth="1"/>
    <col min="13075" max="13075" width="14.42578125" style="210" customWidth="1"/>
    <col min="13076" max="13076" width="9.140625" style="210"/>
    <col min="13077" max="13077" width="29.5703125" style="210" customWidth="1"/>
    <col min="13078" max="13082" width="15.5703125" style="210" customWidth="1"/>
    <col min="13083" max="13083" width="11.42578125" style="210" customWidth="1"/>
    <col min="13084" max="13084" width="15.42578125" style="210" customWidth="1"/>
    <col min="13085" max="13086" width="9.140625" style="210"/>
    <col min="13087" max="13087" width="48.28515625" style="210" customWidth="1"/>
    <col min="13088" max="13094" width="17.7109375" style="210" customWidth="1"/>
    <col min="13095" max="13095" width="9.140625" style="210"/>
    <col min="13096" max="13096" width="26.85546875" style="210" bestFit="1" customWidth="1"/>
    <col min="13097" max="13097" width="18.7109375" style="210" customWidth="1"/>
    <col min="13098" max="13098" width="14" style="210" customWidth="1"/>
    <col min="13099" max="13099" width="14.42578125" style="210" bestFit="1" customWidth="1"/>
    <col min="13100" max="13100" width="16.85546875" style="210" customWidth="1"/>
    <col min="13101" max="13101" width="11.42578125" style="210" customWidth="1"/>
    <col min="13102" max="13102" width="12.85546875" style="210" customWidth="1"/>
    <col min="13103" max="13103" width="10.7109375" style="210" customWidth="1"/>
    <col min="13104" max="13104" width="16.5703125" style="210" customWidth="1"/>
    <col min="13105" max="13105" width="16.42578125" style="210" customWidth="1"/>
    <col min="13106" max="13106" width="11.7109375" style="210" customWidth="1"/>
    <col min="13107" max="13107" width="14.42578125" style="210" customWidth="1"/>
    <col min="13108" max="13310" width="9.140625" style="210"/>
    <col min="13311" max="13311" width="56.85546875" style="210" customWidth="1"/>
    <col min="13312" max="13312" width="15.7109375" style="210" customWidth="1"/>
    <col min="13313" max="13313" width="10.5703125" style="210" customWidth="1"/>
    <col min="13314" max="13316" width="16.28515625" style="210" customWidth="1"/>
    <col min="13317" max="13317" width="12.7109375" style="210" customWidth="1"/>
    <col min="13318" max="13319" width="9.140625" style="210"/>
    <col min="13320" max="13320" width="25.85546875" style="210" customWidth="1"/>
    <col min="13321" max="13321" width="13.140625" style="210" customWidth="1"/>
    <col min="13322" max="13323" width="13.42578125" style="210" bestFit="1" customWidth="1"/>
    <col min="13324" max="13324" width="13.85546875" style="210" bestFit="1" customWidth="1"/>
    <col min="13325" max="13325" width="11.42578125" style="210" customWidth="1"/>
    <col min="13326" max="13326" width="14.5703125" style="210" customWidth="1"/>
    <col min="13327" max="13327" width="10.7109375" style="210" customWidth="1"/>
    <col min="13328" max="13328" width="12.28515625" style="210" customWidth="1"/>
    <col min="13329" max="13329" width="13.28515625" style="210" customWidth="1"/>
    <col min="13330" max="13330" width="10.5703125" style="210" customWidth="1"/>
    <col min="13331" max="13331" width="14.42578125" style="210" customWidth="1"/>
    <col min="13332" max="13332" width="9.140625" style="210"/>
    <col min="13333" max="13333" width="29.5703125" style="210" customWidth="1"/>
    <col min="13334" max="13338" width="15.5703125" style="210" customWidth="1"/>
    <col min="13339" max="13339" width="11.42578125" style="210" customWidth="1"/>
    <col min="13340" max="13340" width="15.42578125" style="210" customWidth="1"/>
    <col min="13341" max="13342" width="9.140625" style="210"/>
    <col min="13343" max="13343" width="48.28515625" style="210" customWidth="1"/>
    <col min="13344" max="13350" width="17.7109375" style="210" customWidth="1"/>
    <col min="13351" max="13351" width="9.140625" style="210"/>
    <col min="13352" max="13352" width="26.85546875" style="210" bestFit="1" customWidth="1"/>
    <col min="13353" max="13353" width="18.7109375" style="210" customWidth="1"/>
    <col min="13354" max="13354" width="14" style="210" customWidth="1"/>
    <col min="13355" max="13355" width="14.42578125" style="210" bestFit="1" customWidth="1"/>
    <col min="13356" max="13356" width="16.85546875" style="210" customWidth="1"/>
    <col min="13357" max="13357" width="11.42578125" style="210" customWidth="1"/>
    <col min="13358" max="13358" width="12.85546875" style="210" customWidth="1"/>
    <col min="13359" max="13359" width="10.7109375" style="210" customWidth="1"/>
    <col min="13360" max="13360" width="16.5703125" style="210" customWidth="1"/>
    <col min="13361" max="13361" width="16.42578125" style="210" customWidth="1"/>
    <col min="13362" max="13362" width="11.7109375" style="210" customWidth="1"/>
    <col min="13363" max="13363" width="14.42578125" style="210" customWidth="1"/>
    <col min="13364" max="13566" width="9.140625" style="210"/>
    <col min="13567" max="13567" width="56.85546875" style="210" customWidth="1"/>
    <col min="13568" max="13568" width="15.7109375" style="210" customWidth="1"/>
    <col min="13569" max="13569" width="10.5703125" style="210" customWidth="1"/>
    <col min="13570" max="13572" width="16.28515625" style="210" customWidth="1"/>
    <col min="13573" max="13573" width="12.7109375" style="210" customWidth="1"/>
    <col min="13574" max="13575" width="9.140625" style="210"/>
    <col min="13576" max="13576" width="25.85546875" style="210" customWidth="1"/>
    <col min="13577" max="13577" width="13.140625" style="210" customWidth="1"/>
    <col min="13578" max="13579" width="13.42578125" style="210" bestFit="1" customWidth="1"/>
    <col min="13580" max="13580" width="13.85546875" style="210" bestFit="1" customWidth="1"/>
    <col min="13581" max="13581" width="11.42578125" style="210" customWidth="1"/>
    <col min="13582" max="13582" width="14.5703125" style="210" customWidth="1"/>
    <col min="13583" max="13583" width="10.7109375" style="210" customWidth="1"/>
    <col min="13584" max="13584" width="12.28515625" style="210" customWidth="1"/>
    <col min="13585" max="13585" width="13.28515625" style="210" customWidth="1"/>
    <col min="13586" max="13586" width="10.5703125" style="210" customWidth="1"/>
    <col min="13587" max="13587" width="14.42578125" style="210" customWidth="1"/>
    <col min="13588" max="13588" width="9.140625" style="210"/>
    <col min="13589" max="13589" width="29.5703125" style="210" customWidth="1"/>
    <col min="13590" max="13594" width="15.5703125" style="210" customWidth="1"/>
    <col min="13595" max="13595" width="11.42578125" style="210" customWidth="1"/>
    <col min="13596" max="13596" width="15.42578125" style="210" customWidth="1"/>
    <col min="13597" max="13598" width="9.140625" style="210"/>
    <col min="13599" max="13599" width="48.28515625" style="210" customWidth="1"/>
    <col min="13600" max="13606" width="17.7109375" style="210" customWidth="1"/>
    <col min="13607" max="13607" width="9.140625" style="210"/>
    <col min="13608" max="13608" width="26.85546875" style="210" bestFit="1" customWidth="1"/>
    <col min="13609" max="13609" width="18.7109375" style="210" customWidth="1"/>
    <col min="13610" max="13610" width="14" style="210" customWidth="1"/>
    <col min="13611" max="13611" width="14.42578125" style="210" bestFit="1" customWidth="1"/>
    <col min="13612" max="13612" width="16.85546875" style="210" customWidth="1"/>
    <col min="13613" max="13613" width="11.42578125" style="210" customWidth="1"/>
    <col min="13614" max="13614" width="12.85546875" style="210" customWidth="1"/>
    <col min="13615" max="13615" width="10.7109375" style="210" customWidth="1"/>
    <col min="13616" max="13616" width="16.5703125" style="210" customWidth="1"/>
    <col min="13617" max="13617" width="16.42578125" style="210" customWidth="1"/>
    <col min="13618" max="13618" width="11.7109375" style="210" customWidth="1"/>
    <col min="13619" max="13619" width="14.42578125" style="210" customWidth="1"/>
    <col min="13620" max="13822" width="9.140625" style="210"/>
    <col min="13823" max="13823" width="56.85546875" style="210" customWidth="1"/>
    <col min="13824" max="13824" width="15.7109375" style="210" customWidth="1"/>
    <col min="13825" max="13825" width="10.5703125" style="210" customWidth="1"/>
    <col min="13826" max="13828" width="16.28515625" style="210" customWidth="1"/>
    <col min="13829" max="13829" width="12.7109375" style="210" customWidth="1"/>
    <col min="13830" max="13831" width="9.140625" style="210"/>
    <col min="13832" max="13832" width="25.85546875" style="210" customWidth="1"/>
    <col min="13833" max="13833" width="13.140625" style="210" customWidth="1"/>
    <col min="13834" max="13835" width="13.42578125" style="210" bestFit="1" customWidth="1"/>
    <col min="13836" max="13836" width="13.85546875" style="210" bestFit="1" customWidth="1"/>
    <col min="13837" max="13837" width="11.42578125" style="210" customWidth="1"/>
    <col min="13838" max="13838" width="14.5703125" style="210" customWidth="1"/>
    <col min="13839" max="13839" width="10.7109375" style="210" customWidth="1"/>
    <col min="13840" max="13840" width="12.28515625" style="210" customWidth="1"/>
    <col min="13841" max="13841" width="13.28515625" style="210" customWidth="1"/>
    <col min="13842" max="13842" width="10.5703125" style="210" customWidth="1"/>
    <col min="13843" max="13843" width="14.42578125" style="210" customWidth="1"/>
    <col min="13844" max="13844" width="9.140625" style="210"/>
    <col min="13845" max="13845" width="29.5703125" style="210" customWidth="1"/>
    <col min="13846" max="13850" width="15.5703125" style="210" customWidth="1"/>
    <col min="13851" max="13851" width="11.42578125" style="210" customWidth="1"/>
    <col min="13852" max="13852" width="15.42578125" style="210" customWidth="1"/>
    <col min="13853" max="13854" width="9.140625" style="210"/>
    <col min="13855" max="13855" width="48.28515625" style="210" customWidth="1"/>
    <col min="13856" max="13862" width="17.7109375" style="210" customWidth="1"/>
    <col min="13863" max="13863" width="9.140625" style="210"/>
    <col min="13864" max="13864" width="26.85546875" style="210" bestFit="1" customWidth="1"/>
    <col min="13865" max="13865" width="18.7109375" style="210" customWidth="1"/>
    <col min="13866" max="13866" width="14" style="210" customWidth="1"/>
    <col min="13867" max="13867" width="14.42578125" style="210" bestFit="1" customWidth="1"/>
    <col min="13868" max="13868" width="16.85546875" style="210" customWidth="1"/>
    <col min="13869" max="13869" width="11.42578125" style="210" customWidth="1"/>
    <col min="13870" max="13870" width="12.85546875" style="210" customWidth="1"/>
    <col min="13871" max="13871" width="10.7109375" style="210" customWidth="1"/>
    <col min="13872" max="13872" width="16.5703125" style="210" customWidth="1"/>
    <col min="13873" max="13873" width="16.42578125" style="210" customWidth="1"/>
    <col min="13874" max="13874" width="11.7109375" style="210" customWidth="1"/>
    <col min="13875" max="13875" width="14.42578125" style="210" customWidth="1"/>
    <col min="13876" max="14078" width="9.140625" style="210"/>
    <col min="14079" max="14079" width="56.85546875" style="210" customWidth="1"/>
    <col min="14080" max="14080" width="15.7109375" style="210" customWidth="1"/>
    <col min="14081" max="14081" width="10.5703125" style="210" customWidth="1"/>
    <col min="14082" max="14084" width="16.28515625" style="210" customWidth="1"/>
    <col min="14085" max="14085" width="12.7109375" style="210" customWidth="1"/>
    <col min="14086" max="14087" width="9.140625" style="210"/>
    <col min="14088" max="14088" width="25.85546875" style="210" customWidth="1"/>
    <col min="14089" max="14089" width="13.140625" style="210" customWidth="1"/>
    <col min="14090" max="14091" width="13.42578125" style="210" bestFit="1" customWidth="1"/>
    <col min="14092" max="14092" width="13.85546875" style="210" bestFit="1" customWidth="1"/>
    <col min="14093" max="14093" width="11.42578125" style="210" customWidth="1"/>
    <col min="14094" max="14094" width="14.5703125" style="210" customWidth="1"/>
    <col min="14095" max="14095" width="10.7109375" style="210" customWidth="1"/>
    <col min="14096" max="14096" width="12.28515625" style="210" customWidth="1"/>
    <col min="14097" max="14097" width="13.28515625" style="210" customWidth="1"/>
    <col min="14098" max="14098" width="10.5703125" style="210" customWidth="1"/>
    <col min="14099" max="14099" width="14.42578125" style="210" customWidth="1"/>
    <col min="14100" max="14100" width="9.140625" style="210"/>
    <col min="14101" max="14101" width="29.5703125" style="210" customWidth="1"/>
    <col min="14102" max="14106" width="15.5703125" style="210" customWidth="1"/>
    <col min="14107" max="14107" width="11.42578125" style="210" customWidth="1"/>
    <col min="14108" max="14108" width="15.42578125" style="210" customWidth="1"/>
    <col min="14109" max="14110" width="9.140625" style="210"/>
    <col min="14111" max="14111" width="48.28515625" style="210" customWidth="1"/>
    <col min="14112" max="14118" width="17.7109375" style="210" customWidth="1"/>
    <col min="14119" max="14119" width="9.140625" style="210"/>
    <col min="14120" max="14120" width="26.85546875" style="210" bestFit="1" customWidth="1"/>
    <col min="14121" max="14121" width="18.7109375" style="210" customWidth="1"/>
    <col min="14122" max="14122" width="14" style="210" customWidth="1"/>
    <col min="14123" max="14123" width="14.42578125" style="210" bestFit="1" customWidth="1"/>
    <col min="14124" max="14124" width="16.85546875" style="210" customWidth="1"/>
    <col min="14125" max="14125" width="11.42578125" style="210" customWidth="1"/>
    <col min="14126" max="14126" width="12.85546875" style="210" customWidth="1"/>
    <col min="14127" max="14127" width="10.7109375" style="210" customWidth="1"/>
    <col min="14128" max="14128" width="16.5703125" style="210" customWidth="1"/>
    <col min="14129" max="14129" width="16.42578125" style="210" customWidth="1"/>
    <col min="14130" max="14130" width="11.7109375" style="210" customWidth="1"/>
    <col min="14131" max="14131" width="14.42578125" style="210" customWidth="1"/>
    <col min="14132" max="14334" width="9.140625" style="210"/>
    <col min="14335" max="14335" width="56.85546875" style="210" customWidth="1"/>
    <col min="14336" max="14336" width="15.7109375" style="210" customWidth="1"/>
    <col min="14337" max="14337" width="10.5703125" style="210" customWidth="1"/>
    <col min="14338" max="14340" width="16.28515625" style="210" customWidth="1"/>
    <col min="14341" max="14341" width="12.7109375" style="210" customWidth="1"/>
    <col min="14342" max="14343" width="9.140625" style="210"/>
    <col min="14344" max="14344" width="25.85546875" style="210" customWidth="1"/>
    <col min="14345" max="14345" width="13.140625" style="210" customWidth="1"/>
    <col min="14346" max="14347" width="13.42578125" style="210" bestFit="1" customWidth="1"/>
    <col min="14348" max="14348" width="13.85546875" style="210" bestFit="1" customWidth="1"/>
    <col min="14349" max="14349" width="11.42578125" style="210" customWidth="1"/>
    <col min="14350" max="14350" width="14.5703125" style="210" customWidth="1"/>
    <col min="14351" max="14351" width="10.7109375" style="210" customWidth="1"/>
    <col min="14352" max="14352" width="12.28515625" style="210" customWidth="1"/>
    <col min="14353" max="14353" width="13.28515625" style="210" customWidth="1"/>
    <col min="14354" max="14354" width="10.5703125" style="210" customWidth="1"/>
    <col min="14355" max="14355" width="14.42578125" style="210" customWidth="1"/>
    <col min="14356" max="14356" width="9.140625" style="210"/>
    <col min="14357" max="14357" width="29.5703125" style="210" customWidth="1"/>
    <col min="14358" max="14362" width="15.5703125" style="210" customWidth="1"/>
    <col min="14363" max="14363" width="11.42578125" style="210" customWidth="1"/>
    <col min="14364" max="14364" width="15.42578125" style="210" customWidth="1"/>
    <col min="14365" max="14366" width="9.140625" style="210"/>
    <col min="14367" max="14367" width="48.28515625" style="210" customWidth="1"/>
    <col min="14368" max="14374" width="17.7109375" style="210" customWidth="1"/>
    <col min="14375" max="14375" width="9.140625" style="210"/>
    <col min="14376" max="14376" width="26.85546875" style="210" bestFit="1" customWidth="1"/>
    <col min="14377" max="14377" width="18.7109375" style="210" customWidth="1"/>
    <col min="14378" max="14378" width="14" style="210" customWidth="1"/>
    <col min="14379" max="14379" width="14.42578125" style="210" bestFit="1" customWidth="1"/>
    <col min="14380" max="14380" width="16.85546875" style="210" customWidth="1"/>
    <col min="14381" max="14381" width="11.42578125" style="210" customWidth="1"/>
    <col min="14382" max="14382" width="12.85546875" style="210" customWidth="1"/>
    <col min="14383" max="14383" width="10.7109375" style="210" customWidth="1"/>
    <col min="14384" max="14384" width="16.5703125" style="210" customWidth="1"/>
    <col min="14385" max="14385" width="16.42578125" style="210" customWidth="1"/>
    <col min="14386" max="14386" width="11.7109375" style="210" customWidth="1"/>
    <col min="14387" max="14387" width="14.42578125" style="210" customWidth="1"/>
    <col min="14388" max="14590" width="9.140625" style="210"/>
    <col min="14591" max="14591" width="56.85546875" style="210" customWidth="1"/>
    <col min="14592" max="14592" width="15.7109375" style="210" customWidth="1"/>
    <col min="14593" max="14593" width="10.5703125" style="210" customWidth="1"/>
    <col min="14594" max="14596" width="16.28515625" style="210" customWidth="1"/>
    <col min="14597" max="14597" width="12.7109375" style="210" customWidth="1"/>
    <col min="14598" max="14599" width="9.140625" style="210"/>
    <col min="14600" max="14600" width="25.85546875" style="210" customWidth="1"/>
    <col min="14601" max="14601" width="13.140625" style="210" customWidth="1"/>
    <col min="14602" max="14603" width="13.42578125" style="210" bestFit="1" customWidth="1"/>
    <col min="14604" max="14604" width="13.85546875" style="210" bestFit="1" customWidth="1"/>
    <col min="14605" max="14605" width="11.42578125" style="210" customWidth="1"/>
    <col min="14606" max="14606" width="14.5703125" style="210" customWidth="1"/>
    <col min="14607" max="14607" width="10.7109375" style="210" customWidth="1"/>
    <col min="14608" max="14608" width="12.28515625" style="210" customWidth="1"/>
    <col min="14609" max="14609" width="13.28515625" style="210" customWidth="1"/>
    <col min="14610" max="14610" width="10.5703125" style="210" customWidth="1"/>
    <col min="14611" max="14611" width="14.42578125" style="210" customWidth="1"/>
    <col min="14612" max="14612" width="9.140625" style="210"/>
    <col min="14613" max="14613" width="29.5703125" style="210" customWidth="1"/>
    <col min="14614" max="14618" width="15.5703125" style="210" customWidth="1"/>
    <col min="14619" max="14619" width="11.42578125" style="210" customWidth="1"/>
    <col min="14620" max="14620" width="15.42578125" style="210" customWidth="1"/>
    <col min="14621" max="14622" width="9.140625" style="210"/>
    <col min="14623" max="14623" width="48.28515625" style="210" customWidth="1"/>
    <col min="14624" max="14630" width="17.7109375" style="210" customWidth="1"/>
    <col min="14631" max="14631" width="9.140625" style="210"/>
    <col min="14632" max="14632" width="26.85546875" style="210" bestFit="1" customWidth="1"/>
    <col min="14633" max="14633" width="18.7109375" style="210" customWidth="1"/>
    <col min="14634" max="14634" width="14" style="210" customWidth="1"/>
    <col min="14635" max="14635" width="14.42578125" style="210" bestFit="1" customWidth="1"/>
    <col min="14636" max="14636" width="16.85546875" style="210" customWidth="1"/>
    <col min="14637" max="14637" width="11.42578125" style="210" customWidth="1"/>
    <col min="14638" max="14638" width="12.85546875" style="210" customWidth="1"/>
    <col min="14639" max="14639" width="10.7109375" style="210" customWidth="1"/>
    <col min="14640" max="14640" width="16.5703125" style="210" customWidth="1"/>
    <col min="14641" max="14641" width="16.42578125" style="210" customWidth="1"/>
    <col min="14642" max="14642" width="11.7109375" style="210" customWidth="1"/>
    <col min="14643" max="14643" width="14.42578125" style="210" customWidth="1"/>
    <col min="14644" max="14846" width="9.140625" style="210"/>
    <col min="14847" max="14847" width="56.85546875" style="210" customWidth="1"/>
    <col min="14848" max="14848" width="15.7109375" style="210" customWidth="1"/>
    <col min="14849" max="14849" width="10.5703125" style="210" customWidth="1"/>
    <col min="14850" max="14852" width="16.28515625" style="210" customWidth="1"/>
    <col min="14853" max="14853" width="12.7109375" style="210" customWidth="1"/>
    <col min="14854" max="14855" width="9.140625" style="210"/>
    <col min="14856" max="14856" width="25.85546875" style="210" customWidth="1"/>
    <col min="14857" max="14857" width="13.140625" style="210" customWidth="1"/>
    <col min="14858" max="14859" width="13.42578125" style="210" bestFit="1" customWidth="1"/>
    <col min="14860" max="14860" width="13.85546875" style="210" bestFit="1" customWidth="1"/>
    <col min="14861" max="14861" width="11.42578125" style="210" customWidth="1"/>
    <col min="14862" max="14862" width="14.5703125" style="210" customWidth="1"/>
    <col min="14863" max="14863" width="10.7109375" style="210" customWidth="1"/>
    <col min="14864" max="14864" width="12.28515625" style="210" customWidth="1"/>
    <col min="14865" max="14865" width="13.28515625" style="210" customWidth="1"/>
    <col min="14866" max="14866" width="10.5703125" style="210" customWidth="1"/>
    <col min="14867" max="14867" width="14.42578125" style="210" customWidth="1"/>
    <col min="14868" max="14868" width="9.140625" style="210"/>
    <col min="14869" max="14869" width="29.5703125" style="210" customWidth="1"/>
    <col min="14870" max="14874" width="15.5703125" style="210" customWidth="1"/>
    <col min="14875" max="14875" width="11.42578125" style="210" customWidth="1"/>
    <col min="14876" max="14876" width="15.42578125" style="210" customWidth="1"/>
    <col min="14877" max="14878" width="9.140625" style="210"/>
    <col min="14879" max="14879" width="48.28515625" style="210" customWidth="1"/>
    <col min="14880" max="14886" width="17.7109375" style="210" customWidth="1"/>
    <col min="14887" max="14887" width="9.140625" style="210"/>
    <col min="14888" max="14888" width="26.85546875" style="210" bestFit="1" customWidth="1"/>
    <col min="14889" max="14889" width="18.7109375" style="210" customWidth="1"/>
    <col min="14890" max="14890" width="14" style="210" customWidth="1"/>
    <col min="14891" max="14891" width="14.42578125" style="210" bestFit="1" customWidth="1"/>
    <col min="14892" max="14892" width="16.85546875" style="210" customWidth="1"/>
    <col min="14893" max="14893" width="11.42578125" style="210" customWidth="1"/>
    <col min="14894" max="14894" width="12.85546875" style="210" customWidth="1"/>
    <col min="14895" max="14895" width="10.7109375" style="210" customWidth="1"/>
    <col min="14896" max="14896" width="16.5703125" style="210" customWidth="1"/>
    <col min="14897" max="14897" width="16.42578125" style="210" customWidth="1"/>
    <col min="14898" max="14898" width="11.7109375" style="210" customWidth="1"/>
    <col min="14899" max="14899" width="14.42578125" style="210" customWidth="1"/>
    <col min="14900" max="15102" width="9.140625" style="210"/>
    <col min="15103" max="15103" width="56.85546875" style="210" customWidth="1"/>
    <col min="15104" max="15104" width="15.7109375" style="210" customWidth="1"/>
    <col min="15105" max="15105" width="10.5703125" style="210" customWidth="1"/>
    <col min="15106" max="15108" width="16.28515625" style="210" customWidth="1"/>
    <col min="15109" max="15109" width="12.7109375" style="210" customWidth="1"/>
    <col min="15110" max="15111" width="9.140625" style="210"/>
    <col min="15112" max="15112" width="25.85546875" style="210" customWidth="1"/>
    <col min="15113" max="15113" width="13.140625" style="210" customWidth="1"/>
    <col min="15114" max="15115" width="13.42578125" style="210" bestFit="1" customWidth="1"/>
    <col min="15116" max="15116" width="13.85546875" style="210" bestFit="1" customWidth="1"/>
    <col min="15117" max="15117" width="11.42578125" style="210" customWidth="1"/>
    <col min="15118" max="15118" width="14.5703125" style="210" customWidth="1"/>
    <col min="15119" max="15119" width="10.7109375" style="210" customWidth="1"/>
    <col min="15120" max="15120" width="12.28515625" style="210" customWidth="1"/>
    <col min="15121" max="15121" width="13.28515625" style="210" customWidth="1"/>
    <col min="15122" max="15122" width="10.5703125" style="210" customWidth="1"/>
    <col min="15123" max="15123" width="14.42578125" style="210" customWidth="1"/>
    <col min="15124" max="15124" width="9.140625" style="210"/>
    <col min="15125" max="15125" width="29.5703125" style="210" customWidth="1"/>
    <col min="15126" max="15130" width="15.5703125" style="210" customWidth="1"/>
    <col min="15131" max="15131" width="11.42578125" style="210" customWidth="1"/>
    <col min="15132" max="15132" width="15.42578125" style="210" customWidth="1"/>
    <col min="15133" max="15134" width="9.140625" style="210"/>
    <col min="15135" max="15135" width="48.28515625" style="210" customWidth="1"/>
    <col min="15136" max="15142" width="17.7109375" style="210" customWidth="1"/>
    <col min="15143" max="15143" width="9.140625" style="210"/>
    <col min="15144" max="15144" width="26.85546875" style="210" bestFit="1" customWidth="1"/>
    <col min="15145" max="15145" width="18.7109375" style="210" customWidth="1"/>
    <col min="15146" max="15146" width="14" style="210" customWidth="1"/>
    <col min="15147" max="15147" width="14.42578125" style="210" bestFit="1" customWidth="1"/>
    <col min="15148" max="15148" width="16.85546875" style="210" customWidth="1"/>
    <col min="15149" max="15149" width="11.42578125" style="210" customWidth="1"/>
    <col min="15150" max="15150" width="12.85546875" style="210" customWidth="1"/>
    <col min="15151" max="15151" width="10.7109375" style="210" customWidth="1"/>
    <col min="15152" max="15152" width="16.5703125" style="210" customWidth="1"/>
    <col min="15153" max="15153" width="16.42578125" style="210" customWidth="1"/>
    <col min="15154" max="15154" width="11.7109375" style="210" customWidth="1"/>
    <col min="15155" max="15155" width="14.42578125" style="210" customWidth="1"/>
    <col min="15156" max="15358" width="9.140625" style="210"/>
    <col min="15359" max="15359" width="56.85546875" style="210" customWidth="1"/>
    <col min="15360" max="15360" width="15.7109375" style="210" customWidth="1"/>
    <col min="15361" max="15361" width="10.5703125" style="210" customWidth="1"/>
    <col min="15362" max="15364" width="16.28515625" style="210" customWidth="1"/>
    <col min="15365" max="15365" width="12.7109375" style="210" customWidth="1"/>
    <col min="15366" max="15367" width="9.140625" style="210"/>
    <col min="15368" max="15368" width="25.85546875" style="210" customWidth="1"/>
    <col min="15369" max="15369" width="13.140625" style="210" customWidth="1"/>
    <col min="15370" max="15371" width="13.42578125" style="210" bestFit="1" customWidth="1"/>
    <col min="15372" max="15372" width="13.85546875" style="210" bestFit="1" customWidth="1"/>
    <col min="15373" max="15373" width="11.42578125" style="210" customWidth="1"/>
    <col min="15374" max="15374" width="14.5703125" style="210" customWidth="1"/>
    <col min="15375" max="15375" width="10.7109375" style="210" customWidth="1"/>
    <col min="15376" max="15376" width="12.28515625" style="210" customWidth="1"/>
    <col min="15377" max="15377" width="13.28515625" style="210" customWidth="1"/>
    <col min="15378" max="15378" width="10.5703125" style="210" customWidth="1"/>
    <col min="15379" max="15379" width="14.42578125" style="210" customWidth="1"/>
    <col min="15380" max="15380" width="9.140625" style="210"/>
    <col min="15381" max="15381" width="29.5703125" style="210" customWidth="1"/>
    <col min="15382" max="15386" width="15.5703125" style="210" customWidth="1"/>
    <col min="15387" max="15387" width="11.42578125" style="210" customWidth="1"/>
    <col min="15388" max="15388" width="15.42578125" style="210" customWidth="1"/>
    <col min="15389" max="15390" width="9.140625" style="210"/>
    <col min="15391" max="15391" width="48.28515625" style="210" customWidth="1"/>
    <col min="15392" max="15398" width="17.7109375" style="210" customWidth="1"/>
    <col min="15399" max="15399" width="9.140625" style="210"/>
    <col min="15400" max="15400" width="26.85546875" style="210" bestFit="1" customWidth="1"/>
    <col min="15401" max="15401" width="18.7109375" style="210" customWidth="1"/>
    <col min="15402" max="15402" width="14" style="210" customWidth="1"/>
    <col min="15403" max="15403" width="14.42578125" style="210" bestFit="1" customWidth="1"/>
    <col min="15404" max="15404" width="16.85546875" style="210" customWidth="1"/>
    <col min="15405" max="15405" width="11.42578125" style="210" customWidth="1"/>
    <col min="15406" max="15406" width="12.85546875" style="210" customWidth="1"/>
    <col min="15407" max="15407" width="10.7109375" style="210" customWidth="1"/>
    <col min="15408" max="15408" width="16.5703125" style="210" customWidth="1"/>
    <col min="15409" max="15409" width="16.42578125" style="210" customWidth="1"/>
    <col min="15410" max="15410" width="11.7109375" style="210" customWidth="1"/>
    <col min="15411" max="15411" width="14.42578125" style="210" customWidth="1"/>
    <col min="15412" max="15614" width="9.140625" style="210"/>
    <col min="15615" max="15615" width="56.85546875" style="210" customWidth="1"/>
    <col min="15616" max="15616" width="15.7109375" style="210" customWidth="1"/>
    <col min="15617" max="15617" width="10.5703125" style="210" customWidth="1"/>
    <col min="15618" max="15620" width="16.28515625" style="210" customWidth="1"/>
    <col min="15621" max="15621" width="12.7109375" style="210" customWidth="1"/>
    <col min="15622" max="15623" width="9.140625" style="210"/>
    <col min="15624" max="15624" width="25.85546875" style="210" customWidth="1"/>
    <col min="15625" max="15625" width="13.140625" style="210" customWidth="1"/>
    <col min="15626" max="15627" width="13.42578125" style="210" bestFit="1" customWidth="1"/>
    <col min="15628" max="15628" width="13.85546875" style="210" bestFit="1" customWidth="1"/>
    <col min="15629" max="15629" width="11.42578125" style="210" customWidth="1"/>
    <col min="15630" max="15630" width="14.5703125" style="210" customWidth="1"/>
    <col min="15631" max="15631" width="10.7109375" style="210" customWidth="1"/>
    <col min="15632" max="15632" width="12.28515625" style="210" customWidth="1"/>
    <col min="15633" max="15633" width="13.28515625" style="210" customWidth="1"/>
    <col min="15634" max="15634" width="10.5703125" style="210" customWidth="1"/>
    <col min="15635" max="15635" width="14.42578125" style="210" customWidth="1"/>
    <col min="15636" max="15636" width="9.140625" style="210"/>
    <col min="15637" max="15637" width="29.5703125" style="210" customWidth="1"/>
    <col min="15638" max="15642" width="15.5703125" style="210" customWidth="1"/>
    <col min="15643" max="15643" width="11.42578125" style="210" customWidth="1"/>
    <col min="15644" max="15644" width="15.42578125" style="210" customWidth="1"/>
    <col min="15645" max="15646" width="9.140625" style="210"/>
    <col min="15647" max="15647" width="48.28515625" style="210" customWidth="1"/>
    <col min="15648" max="15654" width="17.7109375" style="210" customWidth="1"/>
    <col min="15655" max="15655" width="9.140625" style="210"/>
    <col min="15656" max="15656" width="26.85546875" style="210" bestFit="1" customWidth="1"/>
    <col min="15657" max="15657" width="18.7109375" style="210" customWidth="1"/>
    <col min="15658" max="15658" width="14" style="210" customWidth="1"/>
    <col min="15659" max="15659" width="14.42578125" style="210" bestFit="1" customWidth="1"/>
    <col min="15660" max="15660" width="16.85546875" style="210" customWidth="1"/>
    <col min="15661" max="15661" width="11.42578125" style="210" customWidth="1"/>
    <col min="15662" max="15662" width="12.85546875" style="210" customWidth="1"/>
    <col min="15663" max="15663" width="10.7109375" style="210" customWidth="1"/>
    <col min="15664" max="15664" width="16.5703125" style="210" customWidth="1"/>
    <col min="15665" max="15665" width="16.42578125" style="210" customWidth="1"/>
    <col min="15666" max="15666" width="11.7109375" style="210" customWidth="1"/>
    <col min="15667" max="15667" width="14.42578125" style="210" customWidth="1"/>
    <col min="15668" max="15870" width="9.140625" style="210"/>
    <col min="15871" max="15871" width="56.85546875" style="210" customWidth="1"/>
    <col min="15872" max="15872" width="15.7109375" style="210" customWidth="1"/>
    <col min="15873" max="15873" width="10.5703125" style="210" customWidth="1"/>
    <col min="15874" max="15876" width="16.28515625" style="210" customWidth="1"/>
    <col min="15877" max="15877" width="12.7109375" style="210" customWidth="1"/>
    <col min="15878" max="15879" width="9.140625" style="210"/>
    <col min="15880" max="15880" width="25.85546875" style="210" customWidth="1"/>
    <col min="15881" max="15881" width="13.140625" style="210" customWidth="1"/>
    <col min="15882" max="15883" width="13.42578125" style="210" bestFit="1" customWidth="1"/>
    <col min="15884" max="15884" width="13.85546875" style="210" bestFit="1" customWidth="1"/>
    <col min="15885" max="15885" width="11.42578125" style="210" customWidth="1"/>
    <col min="15886" max="15886" width="14.5703125" style="210" customWidth="1"/>
    <col min="15887" max="15887" width="10.7109375" style="210" customWidth="1"/>
    <col min="15888" max="15888" width="12.28515625" style="210" customWidth="1"/>
    <col min="15889" max="15889" width="13.28515625" style="210" customWidth="1"/>
    <col min="15890" max="15890" width="10.5703125" style="210" customWidth="1"/>
    <col min="15891" max="15891" width="14.42578125" style="210" customWidth="1"/>
    <col min="15892" max="15892" width="9.140625" style="210"/>
    <col min="15893" max="15893" width="29.5703125" style="210" customWidth="1"/>
    <col min="15894" max="15898" width="15.5703125" style="210" customWidth="1"/>
    <col min="15899" max="15899" width="11.42578125" style="210" customWidth="1"/>
    <col min="15900" max="15900" width="15.42578125" style="210" customWidth="1"/>
    <col min="15901" max="15902" width="9.140625" style="210"/>
    <col min="15903" max="15903" width="48.28515625" style="210" customWidth="1"/>
    <col min="15904" max="15910" width="17.7109375" style="210" customWidth="1"/>
    <col min="15911" max="15911" width="9.140625" style="210"/>
    <col min="15912" max="15912" width="26.85546875" style="210" bestFit="1" customWidth="1"/>
    <col min="15913" max="15913" width="18.7109375" style="210" customWidth="1"/>
    <col min="15914" max="15914" width="14" style="210" customWidth="1"/>
    <col min="15915" max="15915" width="14.42578125" style="210" bestFit="1" customWidth="1"/>
    <col min="15916" max="15916" width="16.85546875" style="210" customWidth="1"/>
    <col min="15917" max="15917" width="11.42578125" style="210" customWidth="1"/>
    <col min="15918" max="15918" width="12.85546875" style="210" customWidth="1"/>
    <col min="15919" max="15919" width="10.7109375" style="210" customWidth="1"/>
    <col min="15920" max="15920" width="16.5703125" style="210" customWidth="1"/>
    <col min="15921" max="15921" width="16.42578125" style="210" customWidth="1"/>
    <col min="15922" max="15922" width="11.7109375" style="210" customWidth="1"/>
    <col min="15923" max="15923" width="14.42578125" style="210" customWidth="1"/>
    <col min="15924" max="16126" width="9.140625" style="210"/>
    <col min="16127" max="16127" width="56.85546875" style="210" customWidth="1"/>
    <col min="16128" max="16128" width="15.7109375" style="210" customWidth="1"/>
    <col min="16129" max="16129" width="10.5703125" style="210" customWidth="1"/>
    <col min="16130" max="16132" width="16.28515625" style="210" customWidth="1"/>
    <col min="16133" max="16133" width="12.7109375" style="210" customWidth="1"/>
    <col min="16134" max="16135" width="9.140625" style="210"/>
    <col min="16136" max="16136" width="25.85546875" style="210" customWidth="1"/>
    <col min="16137" max="16137" width="13.140625" style="210" customWidth="1"/>
    <col min="16138" max="16139" width="13.42578125" style="210" bestFit="1" customWidth="1"/>
    <col min="16140" max="16140" width="13.85546875" style="210" bestFit="1" customWidth="1"/>
    <col min="16141" max="16141" width="11.42578125" style="210" customWidth="1"/>
    <col min="16142" max="16142" width="14.5703125" style="210" customWidth="1"/>
    <col min="16143" max="16143" width="10.7109375" style="210" customWidth="1"/>
    <col min="16144" max="16144" width="12.28515625" style="210" customWidth="1"/>
    <col min="16145" max="16145" width="13.28515625" style="210" customWidth="1"/>
    <col min="16146" max="16146" width="10.5703125" style="210" customWidth="1"/>
    <col min="16147" max="16147" width="14.42578125" style="210" customWidth="1"/>
    <col min="16148" max="16148" width="9.140625" style="210"/>
    <col min="16149" max="16149" width="29.5703125" style="210" customWidth="1"/>
    <col min="16150" max="16154" width="15.5703125" style="210" customWidth="1"/>
    <col min="16155" max="16155" width="11.42578125" style="210" customWidth="1"/>
    <col min="16156" max="16156" width="15.42578125" style="210" customWidth="1"/>
    <col min="16157" max="16158" width="9.140625" style="210"/>
    <col min="16159" max="16159" width="48.28515625" style="210" customWidth="1"/>
    <col min="16160" max="16166" width="17.7109375" style="210" customWidth="1"/>
    <col min="16167" max="16167" width="9.140625" style="210"/>
    <col min="16168" max="16168" width="26.85546875" style="210" bestFit="1" customWidth="1"/>
    <col min="16169" max="16169" width="18.7109375" style="210" customWidth="1"/>
    <col min="16170" max="16170" width="14" style="210" customWidth="1"/>
    <col min="16171" max="16171" width="14.42578125" style="210" bestFit="1" customWidth="1"/>
    <col min="16172" max="16172" width="16.85546875" style="210" customWidth="1"/>
    <col min="16173" max="16173" width="11.42578125" style="210" customWidth="1"/>
    <col min="16174" max="16174" width="12.85546875" style="210" customWidth="1"/>
    <col min="16175" max="16175" width="10.7109375" style="210" customWidth="1"/>
    <col min="16176" max="16176" width="16.5703125" style="210" customWidth="1"/>
    <col min="16177" max="16177" width="16.42578125" style="210" customWidth="1"/>
    <col min="16178" max="16178" width="11.7109375" style="210" customWidth="1"/>
    <col min="16179" max="16179" width="14.42578125" style="210" customWidth="1"/>
    <col min="16180" max="16384" width="9.140625" style="210"/>
  </cols>
  <sheetData>
    <row r="1" spans="1:51" ht="19.5" thickBot="1" x14ac:dyDescent="0.35">
      <c r="A1" s="1147" t="s">
        <v>307</v>
      </c>
      <c r="B1" s="1148"/>
      <c r="C1" s="1148"/>
      <c r="D1" s="1148"/>
      <c r="E1" s="1148"/>
      <c r="F1" s="1149"/>
      <c r="H1" s="1147" t="s">
        <v>308</v>
      </c>
      <c r="I1" s="1148"/>
      <c r="J1" s="1148"/>
      <c r="K1" s="1148"/>
      <c r="L1" s="1148"/>
      <c r="M1" s="1148"/>
      <c r="N1" s="1148"/>
      <c r="O1" s="1148"/>
      <c r="P1" s="1148"/>
      <c r="Q1" s="1148"/>
      <c r="R1" s="1148"/>
      <c r="S1" s="1149"/>
      <c r="U1" s="1147" t="s">
        <v>309</v>
      </c>
      <c r="V1" s="1148"/>
      <c r="W1" s="1148"/>
      <c r="X1" s="1148"/>
      <c r="Y1" s="1148"/>
      <c r="Z1" s="1148"/>
      <c r="AA1" s="1148"/>
      <c r="AB1" s="1149"/>
      <c r="AE1" s="1147" t="s">
        <v>310</v>
      </c>
      <c r="AF1" s="1148"/>
      <c r="AG1" s="1148"/>
      <c r="AH1" s="1148"/>
      <c r="AI1" s="1148"/>
      <c r="AJ1" s="1148"/>
      <c r="AK1" s="1148"/>
      <c r="AL1" s="1149"/>
      <c r="AN1"/>
      <c r="AO1"/>
      <c r="AP1"/>
      <c r="AQ1"/>
      <c r="AR1"/>
      <c r="AS1"/>
      <c r="AT1"/>
      <c r="AU1"/>
      <c r="AV1"/>
      <c r="AW1"/>
      <c r="AX1"/>
      <c r="AY1"/>
    </row>
    <row r="2" spans="1:51" x14ac:dyDescent="0.25">
      <c r="A2" s="219"/>
      <c r="L2" s="220"/>
      <c r="M2" s="220"/>
      <c r="N2" s="220" t="s">
        <v>777</v>
      </c>
      <c r="Y2" s="1150"/>
      <c r="Z2" s="1150"/>
      <c r="AA2" s="221"/>
      <c r="AF2" s="222"/>
      <c r="AG2" s="222"/>
      <c r="AH2" s="222"/>
      <c r="AI2" s="222"/>
      <c r="AJ2" s="222"/>
      <c r="AK2" s="222"/>
      <c r="AL2" s="222"/>
      <c r="AN2"/>
      <c r="AO2"/>
      <c r="AP2"/>
      <c r="AQ2"/>
      <c r="AR2"/>
      <c r="AS2"/>
      <c r="AT2"/>
      <c r="AU2"/>
      <c r="AV2"/>
      <c r="AW2"/>
      <c r="AX2"/>
      <c r="AY2"/>
    </row>
    <row r="3" spans="1:51" ht="20.25" x14ac:dyDescent="0.3">
      <c r="A3" s="223"/>
      <c r="L3" s="220" t="s">
        <v>311</v>
      </c>
      <c r="M3" s="220" t="s">
        <v>312</v>
      </c>
      <c r="N3" s="220" t="s">
        <v>313</v>
      </c>
      <c r="AA3" s="221"/>
      <c r="AE3" s="224"/>
      <c r="AF3" s="222"/>
      <c r="AG3" s="222"/>
      <c r="AH3" s="222"/>
      <c r="AI3" s="222"/>
      <c r="AJ3" s="222"/>
      <c r="AK3" s="222"/>
      <c r="AL3" s="222"/>
      <c r="AN3"/>
      <c r="AO3"/>
      <c r="AP3"/>
      <c r="AQ3"/>
      <c r="AR3"/>
      <c r="AS3"/>
      <c r="AT3"/>
      <c r="AU3"/>
      <c r="AV3"/>
      <c r="AW3"/>
      <c r="AX3"/>
      <c r="AY3"/>
    </row>
    <row r="4" spans="1:51" x14ac:dyDescent="0.25">
      <c r="A4" s="210" t="s">
        <v>315</v>
      </c>
      <c r="E4" s="220" t="s">
        <v>316</v>
      </c>
      <c r="H4" s="219"/>
      <c r="I4" s="210" t="s">
        <v>317</v>
      </c>
      <c r="L4" s="225">
        <f>+W8</f>
        <v>3246</v>
      </c>
      <c r="M4" s="226">
        <f>X8</f>
        <v>4055</v>
      </c>
      <c r="N4" s="505">
        <f>(M4-L4)</f>
        <v>809</v>
      </c>
      <c r="W4" s="1152"/>
      <c r="X4" s="1152"/>
      <c r="Y4" s="1151" t="s">
        <v>314</v>
      </c>
      <c r="Z4" s="1152"/>
      <c r="AA4" s="227"/>
      <c r="AE4" s="228"/>
      <c r="AF4" s="483"/>
      <c r="AG4" s="210"/>
      <c r="AH4" s="210"/>
      <c r="AI4" s="210"/>
      <c r="AJ4" s="229"/>
      <c r="AK4" s="210"/>
      <c r="AL4" s="210"/>
      <c r="AN4"/>
      <c r="AO4"/>
      <c r="AP4"/>
      <c r="AQ4"/>
      <c r="AR4"/>
      <c r="AS4"/>
      <c r="AT4"/>
      <c r="AU4"/>
      <c r="AV4"/>
      <c r="AW4"/>
      <c r="AX4"/>
      <c r="AY4"/>
    </row>
    <row r="5" spans="1:51" x14ac:dyDescent="0.25">
      <c r="E5" s="220" t="s">
        <v>163</v>
      </c>
      <c r="H5" s="219"/>
      <c r="I5" s="210" t="s">
        <v>318</v>
      </c>
      <c r="L5" s="230">
        <v>3251</v>
      </c>
      <c r="M5" s="1142">
        <v>4057</v>
      </c>
      <c r="N5" s="506">
        <f>(M5-L5)</f>
        <v>806</v>
      </c>
      <c r="W5" s="231" t="s">
        <v>311</v>
      </c>
      <c r="X5" s="231" t="s">
        <v>312</v>
      </c>
      <c r="Y5" s="231" t="s">
        <v>779</v>
      </c>
      <c r="Z5" s="231" t="s">
        <v>319</v>
      </c>
      <c r="AA5" s="227"/>
      <c r="AF5" s="232"/>
      <c r="AG5" s="232"/>
      <c r="AH5" s="232"/>
      <c r="AI5" s="232"/>
      <c r="AJ5" s="232"/>
      <c r="AK5" s="232"/>
      <c r="AL5" s="232"/>
      <c r="AN5"/>
      <c r="AO5"/>
      <c r="AP5"/>
      <c r="AQ5"/>
      <c r="AR5"/>
      <c r="AS5"/>
      <c r="AT5"/>
      <c r="AU5"/>
      <c r="AV5"/>
      <c r="AW5"/>
      <c r="AX5"/>
      <c r="AY5"/>
    </row>
    <row r="6" spans="1:51" x14ac:dyDescent="0.25">
      <c r="E6" s="220" t="s">
        <v>320</v>
      </c>
      <c r="W6" s="227"/>
      <c r="X6" s="227"/>
      <c r="Y6" s="227"/>
      <c r="Z6" s="227"/>
      <c r="AA6" s="227"/>
      <c r="AB6" s="234"/>
      <c r="AF6" s="543" t="s">
        <v>1010</v>
      </c>
      <c r="AG6" s="543" t="s">
        <v>1011</v>
      </c>
      <c r="AH6" s="1128" t="s">
        <v>240</v>
      </c>
      <c r="AJ6" s="73"/>
      <c r="AK6" s="73"/>
      <c r="AN6"/>
      <c r="AO6"/>
      <c r="AP6"/>
      <c r="AQ6"/>
      <c r="AR6"/>
      <c r="AS6"/>
      <c r="AT6"/>
      <c r="AU6"/>
      <c r="AV6"/>
      <c r="AW6"/>
      <c r="AX6"/>
      <c r="AY6"/>
    </row>
    <row r="7" spans="1:51" x14ac:dyDescent="0.25">
      <c r="E7" s="220" t="s">
        <v>299</v>
      </c>
      <c r="F7" s="220" t="s">
        <v>321</v>
      </c>
      <c r="U7" s="220" t="s">
        <v>322</v>
      </c>
      <c r="V7" s="220"/>
      <c r="W7" s="235"/>
      <c r="X7" s="235"/>
      <c r="Z7" s="235"/>
      <c r="AA7" s="236"/>
      <c r="AB7" s="73"/>
      <c r="AJ7" s="73"/>
      <c r="AK7" s="73"/>
      <c r="AN7"/>
      <c r="AO7"/>
      <c r="AP7"/>
      <c r="AQ7"/>
      <c r="AR7"/>
      <c r="AS7"/>
      <c r="AT7"/>
      <c r="AU7"/>
      <c r="AV7"/>
      <c r="AW7"/>
      <c r="AX7"/>
      <c r="AY7"/>
    </row>
    <row r="8" spans="1:51" x14ac:dyDescent="0.25">
      <c r="B8" s="1129"/>
      <c r="C8" s="1129"/>
      <c r="D8" s="220" t="s">
        <v>323</v>
      </c>
      <c r="E8" s="220" t="s">
        <v>324</v>
      </c>
      <c r="F8" s="220" t="s">
        <v>298</v>
      </c>
      <c r="I8" s="237" t="s">
        <v>325</v>
      </c>
      <c r="J8" s="237" t="s">
        <v>326</v>
      </c>
      <c r="K8" s="237" t="s">
        <v>327</v>
      </c>
      <c r="L8" s="237" t="s">
        <v>328</v>
      </c>
      <c r="M8" s="237" t="s">
        <v>329</v>
      </c>
      <c r="N8" s="237" t="s">
        <v>330</v>
      </c>
      <c r="O8" s="237" t="s">
        <v>331</v>
      </c>
      <c r="P8" s="237" t="s">
        <v>332</v>
      </c>
      <c r="Q8" s="237" t="s">
        <v>333</v>
      </c>
      <c r="R8" s="237" t="s">
        <v>334</v>
      </c>
      <c r="S8" s="237" t="s">
        <v>335</v>
      </c>
      <c r="V8" s="238" t="s">
        <v>1188</v>
      </c>
      <c r="W8" s="225">
        <v>3246</v>
      </c>
      <c r="X8" s="239">
        <v>4055</v>
      </c>
      <c r="Y8" s="240"/>
      <c r="Z8" s="239">
        <f>X8-W8</f>
        <v>809</v>
      </c>
      <c r="AA8" s="236"/>
      <c r="AE8" s="241" t="s">
        <v>336</v>
      </c>
      <c r="AJ8" s="73"/>
      <c r="AK8" s="73"/>
      <c r="AN8"/>
      <c r="AO8"/>
      <c r="AP8"/>
      <c r="AQ8"/>
      <c r="AR8"/>
      <c r="AS8"/>
      <c r="AT8"/>
      <c r="AU8"/>
      <c r="AV8"/>
      <c r="AW8"/>
      <c r="AX8"/>
      <c r="AY8"/>
    </row>
    <row r="9" spans="1:51" ht="16.5" thickBot="1" x14ac:dyDescent="0.3">
      <c r="B9" s="242" t="s">
        <v>337</v>
      </c>
      <c r="D9" s="242" t="s">
        <v>163</v>
      </c>
      <c r="E9" s="242" t="s">
        <v>205</v>
      </c>
      <c r="F9" s="242" t="s">
        <v>338</v>
      </c>
      <c r="J9" s="220" t="s">
        <v>339</v>
      </c>
      <c r="K9" s="220" t="s">
        <v>339</v>
      </c>
      <c r="L9" s="220" t="s">
        <v>340</v>
      </c>
      <c r="R9" s="220" t="s">
        <v>341</v>
      </c>
      <c r="V9" s="238" t="s">
        <v>1189</v>
      </c>
      <c r="W9" s="230">
        <v>767</v>
      </c>
      <c r="X9" s="243">
        <v>1019</v>
      </c>
      <c r="Y9" s="244">
        <f>X9-W9</f>
        <v>252</v>
      </c>
      <c r="Z9" s="243"/>
      <c r="AA9" s="236"/>
      <c r="AE9" s="219" t="s">
        <v>622</v>
      </c>
      <c r="AF9" s="245">
        <v>1299519</v>
      </c>
      <c r="AG9" s="245">
        <v>967475</v>
      </c>
      <c r="AH9" s="245">
        <f>SUM(AF9:AG9)</f>
        <v>2266994</v>
      </c>
      <c r="AJ9" s="73"/>
      <c r="AK9" s="73"/>
      <c r="AN9"/>
      <c r="AO9"/>
      <c r="AP9"/>
      <c r="AQ9"/>
      <c r="AR9"/>
      <c r="AS9"/>
      <c r="AT9"/>
      <c r="AU9"/>
      <c r="AV9"/>
      <c r="AW9"/>
      <c r="AX9"/>
      <c r="AY9"/>
    </row>
    <row r="10" spans="1:51" x14ac:dyDescent="0.25">
      <c r="I10" s="220" t="s">
        <v>240</v>
      </c>
      <c r="J10" s="220" t="s">
        <v>342</v>
      </c>
      <c r="K10" s="220" t="s">
        <v>342</v>
      </c>
      <c r="L10" s="220" t="s">
        <v>343</v>
      </c>
      <c r="M10" s="220" t="s">
        <v>311</v>
      </c>
      <c r="N10" s="220" t="s">
        <v>300</v>
      </c>
      <c r="O10" s="220" t="s">
        <v>312</v>
      </c>
      <c r="P10" s="220" t="s">
        <v>344</v>
      </c>
      <c r="Q10" s="220" t="s">
        <v>312</v>
      </c>
      <c r="R10" s="220" t="s">
        <v>163</v>
      </c>
      <c r="S10" s="220" t="s">
        <v>345</v>
      </c>
      <c r="V10" s="220"/>
      <c r="W10" s="235"/>
      <c r="X10" s="246"/>
      <c r="Y10" s="234"/>
      <c r="Z10" s="234"/>
      <c r="AA10" s="236"/>
      <c r="AF10" s="247"/>
      <c r="AG10" s="247"/>
      <c r="AH10" s="247"/>
      <c r="AJ10" s="73"/>
      <c r="AK10" s="73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51" x14ac:dyDescent="0.25">
      <c r="A11" s="219" t="s">
        <v>623</v>
      </c>
      <c r="B11" s="248">
        <f>Z23</f>
        <v>2536479.5</v>
      </c>
      <c r="D11" s="202">
        <f>AB23</f>
        <v>7277921</v>
      </c>
      <c r="E11" s="202">
        <f>AB19</f>
        <v>2266994</v>
      </c>
      <c r="F11" s="249">
        <f>D11-E11</f>
        <v>5010927</v>
      </c>
      <c r="I11" s="220" t="s">
        <v>346</v>
      </c>
      <c r="J11" s="220" t="s">
        <v>347</v>
      </c>
      <c r="K11" s="220" t="s">
        <v>347</v>
      </c>
      <c r="L11" s="220" t="s">
        <v>348</v>
      </c>
      <c r="M11" s="220" t="s">
        <v>349</v>
      </c>
      <c r="N11" s="220" t="s">
        <v>349</v>
      </c>
      <c r="O11" s="220" t="s">
        <v>349</v>
      </c>
      <c r="P11" s="220" t="s">
        <v>350</v>
      </c>
      <c r="Q11" s="220" t="s">
        <v>340</v>
      </c>
      <c r="R11" s="220" t="s">
        <v>351</v>
      </c>
      <c r="S11" s="220" t="s">
        <v>163</v>
      </c>
      <c r="V11" s="220"/>
      <c r="W11" s="235"/>
      <c r="X11" s="235"/>
      <c r="Y11" s="250" t="s">
        <v>780</v>
      </c>
      <c r="Z11" s="251">
        <f>Z8/Y9</f>
        <v>3.2103174603174605</v>
      </c>
      <c r="AA11" s="236"/>
      <c r="AE11" s="219" t="s">
        <v>624</v>
      </c>
      <c r="AF11" s="245">
        <v>440506</v>
      </c>
      <c r="AG11" s="236">
        <v>345128</v>
      </c>
      <c r="AH11" s="245">
        <f>SUM(AF11:AG11)</f>
        <v>785634</v>
      </c>
      <c r="AJ11" s="73"/>
      <c r="AK11" s="73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51" x14ac:dyDescent="0.25">
      <c r="I12" s="231" t="s">
        <v>352</v>
      </c>
      <c r="J12" s="231" t="s">
        <v>353</v>
      </c>
      <c r="K12" s="231" t="s">
        <v>354</v>
      </c>
      <c r="L12" s="231" t="s">
        <v>347</v>
      </c>
      <c r="M12" s="231" t="s">
        <v>355</v>
      </c>
      <c r="N12" s="231" t="s">
        <v>356</v>
      </c>
      <c r="O12" s="231" t="s">
        <v>355</v>
      </c>
      <c r="P12" s="231" t="s">
        <v>312</v>
      </c>
      <c r="Q12" s="231" t="s">
        <v>298</v>
      </c>
      <c r="R12" s="231" t="s">
        <v>357</v>
      </c>
      <c r="S12" s="231" t="s">
        <v>298</v>
      </c>
      <c r="V12" s="227"/>
      <c r="W12" s="236"/>
      <c r="X12" s="236"/>
      <c r="Y12" s="252"/>
      <c r="Z12" s="236"/>
      <c r="AA12" s="236"/>
      <c r="AF12" s="210"/>
      <c r="AG12" s="210"/>
      <c r="AH12" s="210"/>
      <c r="AI12" s="210"/>
      <c r="AJ12" s="73"/>
      <c r="AK12" s="73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51" ht="16.5" thickBot="1" x14ac:dyDescent="0.3">
      <c r="A13" s="219" t="s">
        <v>625</v>
      </c>
      <c r="B13" s="248">
        <f>Z35</f>
        <v>1172650</v>
      </c>
      <c r="D13" s="235">
        <f>AB35</f>
        <v>2521667</v>
      </c>
      <c r="E13" s="235">
        <f>AB31</f>
        <v>785634</v>
      </c>
      <c r="F13" s="235">
        <f>D13-E13</f>
        <v>1736033</v>
      </c>
      <c r="K13" s="238" t="s">
        <v>358</v>
      </c>
      <c r="L13" s="238" t="s">
        <v>359</v>
      </c>
      <c r="N13" s="220" t="s">
        <v>360</v>
      </c>
      <c r="P13" s="220" t="s">
        <v>361</v>
      </c>
      <c r="Q13" s="220" t="s">
        <v>362</v>
      </c>
      <c r="S13" s="220" t="s">
        <v>363</v>
      </c>
      <c r="V13" s="227"/>
      <c r="W13" s="236"/>
      <c r="X13" s="236"/>
      <c r="Y13" s="252"/>
      <c r="Z13" s="236"/>
      <c r="AA13" s="236"/>
      <c r="AE13" s="219" t="s">
        <v>364</v>
      </c>
      <c r="AF13" s="253">
        <f>AF9+AF11</f>
        <v>1740025</v>
      </c>
      <c r="AG13" s="253">
        <f>AG9+AG11</f>
        <v>1312603</v>
      </c>
      <c r="AH13" s="253">
        <f>AH9+AH11</f>
        <v>3052628</v>
      </c>
      <c r="AJ13" s="73"/>
      <c r="AK13" s="7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 ht="16.5" thickTop="1" x14ac:dyDescent="0.25">
      <c r="V14" s="227"/>
      <c r="W14" s="236"/>
      <c r="X14" s="236"/>
      <c r="Y14" s="252"/>
      <c r="Z14" s="236"/>
      <c r="AA14" s="236"/>
      <c r="AF14" s="236"/>
      <c r="AG14" s="236"/>
      <c r="AH14" s="236"/>
      <c r="AI14" s="236"/>
      <c r="AJ14" s="73"/>
      <c r="AK14" s="73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x14ac:dyDescent="0.25">
      <c r="A15" s="219" t="s">
        <v>626</v>
      </c>
      <c r="B15" s="248">
        <f>Q15</f>
        <v>130459.07658376815</v>
      </c>
      <c r="D15" s="235">
        <f>S15</f>
        <v>297172.73055016546</v>
      </c>
      <c r="F15" s="235">
        <f>D15-E15</f>
        <v>297172.73055016546</v>
      </c>
      <c r="H15" s="210" t="s">
        <v>304</v>
      </c>
      <c r="I15" s="248">
        <f>+'Summary SBR-Transport'!C16</f>
        <v>1888051.1030790007</v>
      </c>
      <c r="J15" s="248">
        <f>+'Summary SBR-Transport'!W16+'Summary SBR-Transport'!X16</f>
        <v>227433.7</v>
      </c>
      <c r="K15" s="248">
        <f>(J15*6)</f>
        <v>1364602.2000000002</v>
      </c>
      <c r="L15" s="509">
        <f>(I15-K15)</f>
        <v>523448.90307900053</v>
      </c>
      <c r="M15" s="235">
        <f>L4</f>
        <v>3246</v>
      </c>
      <c r="N15" s="248">
        <f>(L15/M15)</f>
        <v>161.25967439279128</v>
      </c>
      <c r="O15" s="235">
        <f>M4</f>
        <v>4055</v>
      </c>
      <c r="P15" s="234">
        <f>(O15-M15)</f>
        <v>809</v>
      </c>
      <c r="Q15" s="248">
        <f>(N15*P15)</f>
        <v>130459.07658376815</v>
      </c>
      <c r="R15" s="210">
        <f>+'Retail Rates'!H26*10</f>
        <v>2.2778999999999998</v>
      </c>
      <c r="S15" s="202">
        <f>(Q15*R15)</f>
        <v>297172.73055016546</v>
      </c>
      <c r="V15" s="227"/>
      <c r="W15" s="236"/>
      <c r="X15" s="236"/>
      <c r="Y15" s="254"/>
      <c r="Z15" s="236"/>
      <c r="AA15" s="236"/>
      <c r="AF15" s="236"/>
      <c r="AG15" s="236"/>
      <c r="AH15" s="236"/>
      <c r="AI15" s="236"/>
      <c r="AJ15" s="73"/>
      <c r="AK15" s="73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 x14ac:dyDescent="0.25">
      <c r="I16" s="509"/>
      <c r="J16" s="509"/>
      <c r="K16" s="509"/>
      <c r="L16" s="509"/>
      <c r="N16" s="509"/>
      <c r="Q16" s="509"/>
      <c r="S16" s="235"/>
      <c r="U16" s="220"/>
      <c r="V16" s="235"/>
      <c r="W16" s="235"/>
      <c r="X16" s="235"/>
      <c r="Z16" s="235"/>
      <c r="AA16" s="544" t="s">
        <v>365</v>
      </c>
      <c r="AE16" s="241" t="s">
        <v>366</v>
      </c>
      <c r="AF16" s="236"/>
      <c r="AG16" s="236"/>
      <c r="AH16" s="236"/>
      <c r="AI16" s="236"/>
      <c r="AJ16" s="73"/>
      <c r="AK16" s="73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x14ac:dyDescent="0.25">
      <c r="A17" s="219" t="s">
        <v>632</v>
      </c>
      <c r="B17" s="248">
        <f>Q20</f>
        <v>23604.4903937128</v>
      </c>
      <c r="C17" s="248"/>
      <c r="D17" s="235">
        <f>S20</f>
        <v>16545.3873169533</v>
      </c>
      <c r="F17" s="235">
        <f>D17-E17</f>
        <v>16545.3873169533</v>
      </c>
      <c r="H17" s="229" t="s">
        <v>367</v>
      </c>
      <c r="I17" s="509"/>
      <c r="J17" s="509"/>
      <c r="K17" s="509"/>
      <c r="L17" s="509"/>
      <c r="N17" s="509"/>
      <c r="Q17" s="509"/>
      <c r="S17" s="235"/>
      <c r="Z17" s="231" t="s">
        <v>368</v>
      </c>
      <c r="AA17" s="1130" t="s">
        <v>369</v>
      </c>
      <c r="AB17" s="231" t="s">
        <v>163</v>
      </c>
      <c r="AE17" s="219" t="s">
        <v>622</v>
      </c>
      <c r="AF17" s="255">
        <v>452913.8</v>
      </c>
      <c r="AG17" s="255">
        <v>337188.6</v>
      </c>
      <c r="AH17" s="255">
        <f>SUM(AF17:AG17)</f>
        <v>790102.39999999991</v>
      </c>
      <c r="AJ17" s="73"/>
      <c r="AK17" s="73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x14ac:dyDescent="0.25">
      <c r="H18" s="210" t="s">
        <v>203</v>
      </c>
      <c r="I18" s="248">
        <f>+'Summary SBR-Transport'!C20</f>
        <v>100502.04992384731</v>
      </c>
      <c r="J18" s="248">
        <f>+'Summary SBR-Transport'!W20+'Summary SBR-Transport'!X20</f>
        <v>5313.9</v>
      </c>
      <c r="K18" s="248">
        <f>(J18*6)</f>
        <v>31883.399999999998</v>
      </c>
      <c r="L18" s="509">
        <f>(I18-K18)</f>
        <v>68618.649923847319</v>
      </c>
      <c r="M18" s="235">
        <f>L$5</f>
        <v>3251</v>
      </c>
      <c r="N18" s="248">
        <f>(L18/M18)</f>
        <v>21.106936303859527</v>
      </c>
      <c r="O18" s="235">
        <f>M$5</f>
        <v>4057</v>
      </c>
      <c r="P18" s="234">
        <f>(O18-M18)</f>
        <v>806</v>
      </c>
      <c r="Q18" s="248">
        <f>(N18*P18)</f>
        <v>17012.190660910779</v>
      </c>
      <c r="R18" s="256">
        <f>'Retail Rates'!H7*10</f>
        <v>0.70089999999999997</v>
      </c>
      <c r="S18" s="235">
        <f>(Q18*R18)</f>
        <v>11923.844434232364</v>
      </c>
      <c r="U18" s="241" t="s">
        <v>302</v>
      </c>
      <c r="AF18" s="507"/>
      <c r="AG18" s="236"/>
      <c r="AH18" s="236"/>
      <c r="AJ18" s="73"/>
      <c r="AK18" s="73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x14ac:dyDescent="0.25">
      <c r="A19" s="219" t="s">
        <v>627</v>
      </c>
      <c r="B19" s="248">
        <f>Q22</f>
        <v>1052525.9007179779</v>
      </c>
      <c r="D19" s="235">
        <f>S22</f>
        <v>452796.64248887415</v>
      </c>
      <c r="F19" s="235">
        <f>D19-E19</f>
        <v>452796.64248887415</v>
      </c>
      <c r="H19" s="210" t="s">
        <v>370</v>
      </c>
      <c r="I19" s="258">
        <f>+'Summary SBR-Transport'!C21+'Summary SBR-Transport'!C22</f>
        <v>298688.23279322498</v>
      </c>
      <c r="J19" s="258">
        <f>+'Summary SBR-Transport'!W21+'Summary SBR-Transport'!X21+'Summary SBR-Transport'!W22+'Summary SBR-Transport'!X22</f>
        <v>45349.7</v>
      </c>
      <c r="K19" s="258">
        <f>(J19*6)</f>
        <v>272098.19999999995</v>
      </c>
      <c r="L19" s="510">
        <f>(I19-K19)</f>
        <v>26590.032793225022</v>
      </c>
      <c r="M19" s="257">
        <f>L$5</f>
        <v>3251</v>
      </c>
      <c r="N19" s="258">
        <f>(L19/M19)</f>
        <v>8.1790319265533746</v>
      </c>
      <c r="O19" s="257">
        <f>M$5</f>
        <v>4057</v>
      </c>
      <c r="P19" s="233">
        <f>(O19-M19)</f>
        <v>806</v>
      </c>
      <c r="Q19" s="258">
        <f>(N19*P19)</f>
        <v>6592.2997328020201</v>
      </c>
      <c r="R19" s="503">
        <f>'Retail Rates'!H10*10</f>
        <v>0.70089999999999997</v>
      </c>
      <c r="S19" s="257">
        <f>(Q19*R19)</f>
        <v>4620.5428827209353</v>
      </c>
      <c r="U19" s="208" t="s">
        <v>371</v>
      </c>
      <c r="Z19" s="248">
        <f>+AH17</f>
        <v>790102.39999999991</v>
      </c>
      <c r="AA19" s="255"/>
      <c r="AB19" s="202">
        <f>AH9</f>
        <v>2266994</v>
      </c>
      <c r="AE19" s="219" t="s">
        <v>624</v>
      </c>
      <c r="AF19" s="255">
        <v>204787.20000000001</v>
      </c>
      <c r="AG19" s="255">
        <v>160488.20000000001</v>
      </c>
      <c r="AH19" s="255">
        <f>SUM(AF19:AG19)</f>
        <v>365275.4</v>
      </c>
      <c r="AJ19" s="73"/>
      <c r="AK19" s="73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x14ac:dyDescent="0.25">
      <c r="H20" s="210" t="s">
        <v>372</v>
      </c>
      <c r="I20" s="509">
        <f>I18+I19</f>
        <v>399190.28271707229</v>
      </c>
      <c r="J20" s="509">
        <f>J18+J19</f>
        <v>50663.6</v>
      </c>
      <c r="K20" s="509">
        <f>K18+K19</f>
        <v>303981.59999999998</v>
      </c>
      <c r="L20" s="509">
        <f>L18+L19</f>
        <v>95208.682717072341</v>
      </c>
      <c r="M20" s="235">
        <f>M19</f>
        <v>3251</v>
      </c>
      <c r="N20" s="248">
        <f>(L20/M20)</f>
        <v>29.285968230412902</v>
      </c>
      <c r="Q20" s="509">
        <f>Q18+Q19</f>
        <v>23604.4903937128</v>
      </c>
      <c r="S20" s="235">
        <f>S18+S19+1</f>
        <v>16545.3873169533</v>
      </c>
      <c r="U20" s="208"/>
      <c r="Z20" s="248"/>
      <c r="AA20" s="255"/>
      <c r="AB20" s="202"/>
      <c r="AE20" s="219"/>
      <c r="AF20" s="236"/>
      <c r="AG20" s="236"/>
      <c r="AH20" s="236"/>
      <c r="AJ20" s="73"/>
      <c r="AK20" s="73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ht="16.5" thickBot="1" x14ac:dyDescent="0.3">
      <c r="A21" s="219" t="s">
        <v>1190</v>
      </c>
      <c r="B21" s="258">
        <f>Q24</f>
        <v>-0.22430683918669139</v>
      </c>
      <c r="C21" s="259"/>
      <c r="D21" s="257">
        <f>S24</f>
        <v>-7.4671746765249555E-2</v>
      </c>
      <c r="E21" s="259"/>
      <c r="F21" s="257">
        <f>D21-E21</f>
        <v>-7.4671746765249555E-2</v>
      </c>
      <c r="I21" s="509"/>
      <c r="J21" s="509"/>
      <c r="K21" s="509"/>
      <c r="L21" s="509"/>
      <c r="N21" s="509"/>
      <c r="Q21" s="509"/>
      <c r="U21" s="260" t="s">
        <v>776</v>
      </c>
      <c r="Z21" s="251">
        <f>Z11</f>
        <v>3.2103174603174605</v>
      </c>
      <c r="AA21" s="261"/>
      <c r="AB21" s="262"/>
      <c r="AE21" s="219" t="s">
        <v>374</v>
      </c>
      <c r="AF21" s="508">
        <f>AF17+AF19</f>
        <v>657701</v>
      </c>
      <c r="AG21" s="508">
        <f>AG17+AG19</f>
        <v>497676.79999999999</v>
      </c>
      <c r="AH21" s="508">
        <f>AH17+AH19</f>
        <v>1155377.7999999998</v>
      </c>
      <c r="AJ21" s="73"/>
      <c r="AK21" s="73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ht="16.5" thickTop="1" x14ac:dyDescent="0.25">
      <c r="B22" s="254"/>
      <c r="H22" s="210" t="s">
        <v>306</v>
      </c>
      <c r="I22" s="248">
        <f>+'Summary SBR-Transport'!C29</f>
        <v>12832103.514682565</v>
      </c>
      <c r="J22" s="248">
        <f>+'Summary SBR-Transport'!W29+'Summary SBR-Transport'!X29</f>
        <v>1431123.6</v>
      </c>
      <c r="K22" s="248">
        <f>(J22*6)</f>
        <v>8586741.6000000015</v>
      </c>
      <c r="L22" s="509">
        <f>(I22-K22)</f>
        <v>4245361.9146825634</v>
      </c>
      <c r="M22" s="235">
        <f>L$5</f>
        <v>3251</v>
      </c>
      <c r="N22" s="248">
        <f>(L22/M22)</f>
        <v>1305.8634003945135</v>
      </c>
      <c r="O22" s="235">
        <f>M$5</f>
        <v>4057</v>
      </c>
      <c r="P22" s="234">
        <f>(O22-M22)</f>
        <v>806</v>
      </c>
      <c r="Q22" s="248">
        <f>(N22*P22)</f>
        <v>1052525.9007179779</v>
      </c>
      <c r="R22" s="256">
        <f>'Retail Rates'!H47</f>
        <v>0.43020000000000003</v>
      </c>
      <c r="S22" s="235">
        <f>(Q22*R22)</f>
        <v>452796.64248887415</v>
      </c>
      <c r="U22" s="260"/>
      <c r="Z22" s="262"/>
      <c r="AA22" s="261"/>
      <c r="AB22" s="262"/>
      <c r="AF22" s="236"/>
      <c r="AG22" s="236"/>
      <c r="AH22" s="236"/>
      <c r="AI22" s="236"/>
      <c r="AJ22" s="73"/>
      <c r="AK22" s="73"/>
      <c r="AL22" s="236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ht="16.5" thickBot="1" x14ac:dyDescent="0.3">
      <c r="A23" s="210" t="s">
        <v>628</v>
      </c>
      <c r="B23" s="263">
        <f>SUM(B11:B21)</f>
        <v>4915718.7433886193</v>
      </c>
      <c r="D23" s="264">
        <f>SUM(D11:D21)</f>
        <v>10566102.685684247</v>
      </c>
      <c r="E23" s="264">
        <f>SUM(E11:E21)</f>
        <v>3052628</v>
      </c>
      <c r="F23" s="264">
        <f>SUM(F11:F21)</f>
        <v>7513474.685684246</v>
      </c>
      <c r="I23" s="248"/>
      <c r="J23" s="248"/>
      <c r="K23" s="248"/>
      <c r="L23" s="509"/>
      <c r="N23" s="509"/>
      <c r="Q23" s="509"/>
      <c r="S23" s="235"/>
      <c r="U23" s="208" t="s">
        <v>375</v>
      </c>
      <c r="V23" s="235"/>
      <c r="W23" s="235"/>
      <c r="X23" s="235"/>
      <c r="Z23" s="255">
        <f>ROUND(Z21*Z19,1)</f>
        <v>2536479.5</v>
      </c>
      <c r="AA23" s="265">
        <f>+'Retail Rates'!H31*10</f>
        <v>2.8693</v>
      </c>
      <c r="AB23" s="245">
        <f>ROUND(Z23*AA23,0)</f>
        <v>7277921</v>
      </c>
      <c r="AE23" s="224"/>
      <c r="AF23" s="245"/>
      <c r="AG23" s="245"/>
      <c r="AH23" s="245"/>
      <c r="AI23" s="245"/>
      <c r="AJ23" s="245"/>
      <c r="AK23" s="245"/>
      <c r="AL23" s="245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ht="16.5" thickTop="1" x14ac:dyDescent="0.25">
      <c r="H24" s="210" t="s">
        <v>630</v>
      </c>
      <c r="I24" s="509">
        <f>'Summary SBR-Transport'!C18</f>
        <v>7.5</v>
      </c>
      <c r="J24" s="509">
        <f>'Summary SBR-Transport'!W18+'Summary SBR-Transport'!X18</f>
        <v>1.4000000000000001</v>
      </c>
      <c r="K24" s="248">
        <f>(J24*6)</f>
        <v>8.4</v>
      </c>
      <c r="L24" s="509">
        <f>(I24-K24)</f>
        <v>-0.90000000000000036</v>
      </c>
      <c r="M24" s="235">
        <f>L4</f>
        <v>3246</v>
      </c>
      <c r="N24" s="248">
        <f>(L24/M24)</f>
        <v>-2.7726432532347513E-4</v>
      </c>
      <c r="O24" s="235">
        <f>M4</f>
        <v>4055</v>
      </c>
      <c r="P24" s="234">
        <f>(O24-M24)</f>
        <v>809</v>
      </c>
      <c r="Q24" s="248">
        <f>(N24*P24)</f>
        <v>-0.22430683918669139</v>
      </c>
      <c r="R24" s="256">
        <f>'Retail Rates'!H20*10</f>
        <v>0.33289999999999997</v>
      </c>
      <c r="S24" s="235">
        <f>(Q24*R24)</f>
        <v>-7.4671746765249555E-2</v>
      </c>
      <c r="AF24" s="247"/>
      <c r="AG24" s="247"/>
      <c r="AH24" s="247"/>
      <c r="AI24" s="247"/>
      <c r="AJ24" s="255"/>
      <c r="AK24" s="247"/>
      <c r="AL24" s="247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x14ac:dyDescent="0.25">
      <c r="U25" s="210" t="s">
        <v>376</v>
      </c>
      <c r="AB25" s="249">
        <f>AB23-AB19</f>
        <v>5010927</v>
      </c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x14ac:dyDescent="0.25">
      <c r="U26" s="208"/>
      <c r="V26" s="235"/>
      <c r="W26" s="235"/>
      <c r="X26" s="235"/>
      <c r="Z26" s="254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ht="16.5" thickBot="1" x14ac:dyDescent="0.3">
      <c r="A27" s="483"/>
      <c r="H27" s="210" t="s">
        <v>377</v>
      </c>
      <c r="I27" s="220"/>
      <c r="J27" s="220"/>
      <c r="S27" s="253">
        <f>S15+S20+S22+S24</f>
        <v>766514.68568424613</v>
      </c>
      <c r="U27" s="266"/>
      <c r="V27" s="236"/>
      <c r="W27" s="236"/>
      <c r="X27" s="236"/>
      <c r="Y27" s="254"/>
      <c r="Z27" s="255"/>
      <c r="AA27" s="255"/>
      <c r="AB27" s="245"/>
      <c r="AF27" s="247"/>
      <c r="AG27" s="24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ht="16.5" thickTop="1" x14ac:dyDescent="0.25">
      <c r="A28" s="219"/>
      <c r="Z28" s="75"/>
      <c r="AE28" s="229" t="s">
        <v>629</v>
      </c>
      <c r="AF28" s="267"/>
      <c r="AG28" s="267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x14ac:dyDescent="0.25">
      <c r="S29" s="234"/>
      <c r="AE29" s="268"/>
      <c r="AF29" s="267"/>
      <c r="AG29" s="267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x14ac:dyDescent="0.25">
      <c r="U30" s="241" t="s">
        <v>303</v>
      </c>
      <c r="AE30" s="269"/>
      <c r="AF30" s="267"/>
      <c r="AG30" s="267"/>
      <c r="AH30" s="267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x14ac:dyDescent="0.25">
      <c r="J31" s="220"/>
      <c r="U31" s="208" t="s">
        <v>378</v>
      </c>
      <c r="Z31" s="248">
        <f>AH19</f>
        <v>365275.4</v>
      </c>
      <c r="AB31" s="202">
        <f>AH11</f>
        <v>785634</v>
      </c>
      <c r="AE31" s="270"/>
      <c r="AF31" s="267"/>
      <c r="AG31" s="267"/>
      <c r="AH31" s="267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x14ac:dyDescent="0.25">
      <c r="H32" s="271" t="s">
        <v>379</v>
      </c>
      <c r="J32" s="220"/>
      <c r="U32" s="208"/>
      <c r="Z32" s="248"/>
      <c r="AB32" s="202"/>
      <c r="AN32"/>
      <c r="AO32"/>
      <c r="AP32"/>
      <c r="AQ32"/>
      <c r="AR32"/>
      <c r="AS32"/>
      <c r="AT32"/>
      <c r="AU32"/>
      <c r="AV32"/>
      <c r="AW32"/>
      <c r="AX32"/>
      <c r="AY32"/>
    </row>
    <row r="33" spans="7:51" x14ac:dyDescent="0.25">
      <c r="H33" s="229" t="s">
        <v>380</v>
      </c>
      <c r="U33" s="260" t="s">
        <v>373</v>
      </c>
      <c r="Z33" s="251">
        <f>Z11</f>
        <v>3.2103174603174605</v>
      </c>
      <c r="AA33" s="261"/>
      <c r="AB33" s="262"/>
      <c r="AE33" s="208"/>
      <c r="AN33"/>
      <c r="AO33"/>
      <c r="AP33"/>
      <c r="AQ33"/>
      <c r="AR33"/>
      <c r="AS33"/>
      <c r="AT33"/>
      <c r="AU33"/>
      <c r="AV33"/>
      <c r="AW33"/>
      <c r="AX33"/>
      <c r="AY33"/>
    </row>
    <row r="34" spans="7:51" x14ac:dyDescent="0.25">
      <c r="H34" s="272"/>
      <c r="I34" s="271"/>
      <c r="U34" s="260"/>
      <c r="Z34" s="262"/>
      <c r="AA34" s="261"/>
      <c r="AB34" s="262"/>
      <c r="AE34" s="1129"/>
      <c r="AN34"/>
      <c r="AO34"/>
      <c r="AP34"/>
      <c r="AQ34"/>
      <c r="AR34"/>
      <c r="AS34"/>
      <c r="AT34"/>
      <c r="AU34"/>
      <c r="AV34"/>
      <c r="AW34"/>
      <c r="AX34"/>
      <c r="AY34"/>
    </row>
    <row r="35" spans="7:51" x14ac:dyDescent="0.25">
      <c r="I35" s="229"/>
      <c r="U35" s="208" t="s">
        <v>375</v>
      </c>
      <c r="Z35" s="255">
        <f>ROUND(Z33*Z31,1)</f>
        <v>1172650</v>
      </c>
      <c r="AA35" s="265">
        <f>+'Retail Rates'!H15*10</f>
        <v>2.1504000000000003</v>
      </c>
      <c r="AB35" s="245">
        <f>ROUND(Z35*AA35,0)</f>
        <v>2521667</v>
      </c>
      <c r="AE35" s="1129"/>
      <c r="AN35"/>
      <c r="AO35"/>
      <c r="AP35"/>
      <c r="AQ35"/>
      <c r="AR35"/>
      <c r="AS35"/>
      <c r="AT35"/>
      <c r="AU35"/>
      <c r="AV35"/>
      <c r="AW35"/>
      <c r="AX35"/>
      <c r="AY35"/>
    </row>
    <row r="36" spans="7:51" x14ac:dyDescent="0.25">
      <c r="H36" s="219"/>
      <c r="AN36"/>
      <c r="AO36"/>
      <c r="AP36"/>
      <c r="AQ36"/>
      <c r="AR36"/>
      <c r="AS36"/>
      <c r="AT36"/>
      <c r="AU36"/>
      <c r="AV36"/>
      <c r="AW36"/>
      <c r="AX36"/>
      <c r="AY36"/>
    </row>
    <row r="37" spans="7:51" x14ac:dyDescent="0.25">
      <c r="U37" s="210" t="s">
        <v>381</v>
      </c>
      <c r="AB37" s="249">
        <f>AB35-AB31</f>
        <v>1736033</v>
      </c>
      <c r="AE37" s="273"/>
      <c r="AN37"/>
      <c r="AO37"/>
      <c r="AP37"/>
      <c r="AQ37"/>
      <c r="AR37"/>
      <c r="AS37"/>
      <c r="AT37"/>
      <c r="AU37"/>
      <c r="AV37"/>
      <c r="AW37"/>
      <c r="AX37"/>
      <c r="AY37"/>
    </row>
    <row r="38" spans="7:51" x14ac:dyDescent="0.25">
      <c r="Z38" s="75"/>
      <c r="AE38" s="274"/>
      <c r="AN38"/>
      <c r="AO38"/>
      <c r="AP38"/>
      <c r="AQ38"/>
      <c r="AR38"/>
      <c r="AS38"/>
      <c r="AT38"/>
      <c r="AU38"/>
      <c r="AV38"/>
      <c r="AW38"/>
      <c r="AX38"/>
      <c r="AY38"/>
    </row>
    <row r="39" spans="7:51" ht="16.5" thickBot="1" x14ac:dyDescent="0.3">
      <c r="U39" s="210" t="s">
        <v>382</v>
      </c>
      <c r="AB39" s="275">
        <f>AB25+AB37</f>
        <v>6746960</v>
      </c>
      <c r="AE39" s="273"/>
    </row>
    <row r="40" spans="7:51" ht="16.5" thickTop="1" x14ac:dyDescent="0.25">
      <c r="U40" s="266"/>
      <c r="V40" s="236"/>
      <c r="W40" s="236"/>
      <c r="X40" s="236"/>
      <c r="Y40" s="254"/>
      <c r="Z40" s="255"/>
      <c r="AA40" s="255"/>
      <c r="AB40" s="245"/>
      <c r="AE40" s="273"/>
    </row>
    <row r="41" spans="7:51" x14ac:dyDescent="0.25">
      <c r="U41" s="208"/>
      <c r="Z41" s="276"/>
      <c r="AA41" s="277"/>
      <c r="AB41" s="236"/>
    </row>
    <row r="42" spans="7:51" x14ac:dyDescent="0.25">
      <c r="U42" s="208"/>
      <c r="V42" s="234"/>
      <c r="W42" s="234"/>
      <c r="X42" s="234"/>
      <c r="Z42" s="234"/>
      <c r="AA42" s="252"/>
      <c r="AB42" s="245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</row>
    <row r="43" spans="7:51" x14ac:dyDescent="0.25"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</row>
    <row r="44" spans="7:51" x14ac:dyDescent="0.25"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</row>
    <row r="45" spans="7:51" x14ac:dyDescent="0.25"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</row>
    <row r="46" spans="7:51" x14ac:dyDescent="0.25">
      <c r="J46" s="279"/>
      <c r="N46" s="278"/>
      <c r="Q46" s="280"/>
      <c r="R46" s="281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</row>
    <row r="47" spans="7:51" x14ac:dyDescent="0.25">
      <c r="G47" s="279"/>
      <c r="J47" s="279"/>
      <c r="N47" s="278"/>
      <c r="Q47" s="280"/>
      <c r="R47" s="281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</row>
    <row r="48" spans="7:51" x14ac:dyDescent="0.25">
      <c r="G48" s="279"/>
      <c r="H48" s="229"/>
      <c r="Q48" s="280"/>
      <c r="R48" s="281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</row>
    <row r="49" spans="8:49 16384:16384" x14ac:dyDescent="0.25">
      <c r="J49" s="279"/>
      <c r="Q49" s="280"/>
      <c r="R49" s="281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</row>
    <row r="50" spans="8:49 16384:16384" x14ac:dyDescent="0.25">
      <c r="J50" s="279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</row>
    <row r="51" spans="8:49 16384:16384" x14ac:dyDescent="0.25"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</row>
    <row r="52" spans="8:49 16384:16384" x14ac:dyDescent="0.25"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</row>
    <row r="53" spans="8:49 16384:16384" x14ac:dyDescent="0.25"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</row>
    <row r="54" spans="8:49 16384:16384" x14ac:dyDescent="0.25"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XFD54" s="235">
        <f>XFD43+XFD44</f>
        <v>0</v>
      </c>
    </row>
    <row r="55" spans="8:49 16384:16384" x14ac:dyDescent="0.25"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</row>
    <row r="56" spans="8:49 16384:16384" x14ac:dyDescent="0.25"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</row>
    <row r="57" spans="8:49 16384:16384" x14ac:dyDescent="0.25"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</row>
    <row r="58" spans="8:49 16384:16384" x14ac:dyDescent="0.25"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</row>
    <row r="59" spans="8:49 16384:16384" x14ac:dyDescent="0.25"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</row>
    <row r="60" spans="8:49 16384:16384" x14ac:dyDescent="0.25"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</row>
    <row r="61" spans="8:49 16384:16384" x14ac:dyDescent="0.25"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</row>
    <row r="62" spans="8:49 16384:16384" x14ac:dyDescent="0.25"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</row>
    <row r="63" spans="8:49 16384:16384" x14ac:dyDescent="0.25"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</row>
    <row r="64" spans="8:49 16384:16384" x14ac:dyDescent="0.25"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</row>
    <row r="65" spans="8:49" x14ac:dyDescent="0.25"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</row>
    <row r="66" spans="8:49" x14ac:dyDescent="0.25"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</row>
    <row r="67" spans="8:49" x14ac:dyDescent="0.25"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</row>
    <row r="68" spans="8:49" x14ac:dyDescent="0.25"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</row>
    <row r="69" spans="8:49" x14ac:dyDescent="0.25"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</row>
    <row r="70" spans="8:49" x14ac:dyDescent="0.25"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</row>
    <row r="71" spans="8:49" x14ac:dyDescent="0.25"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</row>
    <row r="72" spans="8:49" x14ac:dyDescent="0.25"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</row>
    <row r="73" spans="8:49" x14ac:dyDescent="0.25"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</row>
    <row r="74" spans="8:49" x14ac:dyDescent="0.25"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</row>
    <row r="75" spans="8:49" x14ac:dyDescent="0.25"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</row>
    <row r="76" spans="8:49" x14ac:dyDescent="0.25"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</row>
    <row r="77" spans="8:49" x14ac:dyDescent="0.25"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</row>
    <row r="78" spans="8:49" x14ac:dyDescent="0.25"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</row>
    <row r="79" spans="8:49" x14ac:dyDescent="0.25"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</row>
    <row r="80" spans="8:49" x14ac:dyDescent="0.25"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</row>
  </sheetData>
  <mergeCells count="7">
    <mergeCell ref="AE1:AL1"/>
    <mergeCell ref="Y2:Z2"/>
    <mergeCell ref="Y4:Z4"/>
    <mergeCell ref="W4:X4"/>
    <mergeCell ref="A1:F1"/>
    <mergeCell ref="H1:S1"/>
    <mergeCell ref="U1:AB1"/>
  </mergeCells>
  <printOptions horizontalCentered="1"/>
  <pageMargins left="0.7" right="0.7" top="1.75" bottom="0.75" header="1" footer="0.55000000000000004"/>
  <pageSetup scale="63" orientation="landscape" r:id="rId1"/>
  <headerFooter>
    <oddHeader>&amp;C&amp;"Times New Roman,Bold"&amp;14Louisville Gas and Electric Company
Temperature Normalization Adjustment
For the 12-months Ended June 30, 2014</oddHeader>
    <oddFooter>&amp;R&amp;"Times New Roman,Bold"&amp;14Conroy Exhibit P12
Page &amp;P of &amp;N</oddFooter>
  </headerFooter>
  <colBreaks count="4" manualBreakCount="4">
    <brk id="7" max="39" man="1"/>
    <brk id="19" max="39" man="1"/>
    <brk id="30" max="39" man="1"/>
    <brk id="38" max="4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10</vt:i4>
      </vt:variant>
    </vt:vector>
  </HeadingPairs>
  <TitlesOfParts>
    <vt:vector size="40" baseType="lpstr">
      <vt:lpstr>Exhibit &amp; Schedules===&gt;</vt:lpstr>
      <vt:lpstr>Index</vt:lpstr>
      <vt:lpstr>Sch M-1.1-G</vt:lpstr>
      <vt:lpstr>Sch M-1.2-G</vt:lpstr>
      <vt:lpstr>Sch M-1.3 Pg.1</vt:lpstr>
      <vt:lpstr>Sch M-1.3 Pg. 2-8</vt:lpstr>
      <vt:lpstr>Revenue Summary B</vt:lpstr>
      <vt:lpstr>Exh P11-Gas Supply Exp</vt:lpstr>
      <vt:lpstr>Exh P12-Temp Adj</vt:lpstr>
      <vt:lpstr>12-MO Billed Summary RETAIL</vt:lpstr>
      <vt:lpstr>Summary SBR-Transport</vt:lpstr>
      <vt:lpstr>SBR</vt:lpstr>
      <vt:lpstr>Mar16-Aug16 Billed-RETAIL</vt:lpstr>
      <vt:lpstr>Sept16-Feb17 Transport</vt:lpstr>
      <vt:lpstr>Mar16-Aug16 FT-TS-Cashout-LG&amp;E</vt:lpstr>
      <vt:lpstr>Forecasted Customer Cts</vt:lpstr>
      <vt:lpstr>Forecasted Calendar Month Usage</vt:lpstr>
      <vt:lpstr>Fin Forecast</vt:lpstr>
      <vt:lpstr>Data-Retail</vt:lpstr>
      <vt:lpstr>Adjustments</vt:lpstr>
      <vt:lpstr>Data FT-TS-Cashout-P</vt:lpstr>
      <vt:lpstr>Data-Cashout</vt:lpstr>
      <vt:lpstr>Data LGE SC MC</vt:lpstr>
      <vt:lpstr>Retail Rates</vt:lpstr>
      <vt:lpstr>Rate Categories</vt:lpstr>
      <vt:lpstr>GSC-DSM-GLT Factors</vt:lpstr>
      <vt:lpstr>Sales by Rates===&gt;</vt:lpstr>
      <vt:lpstr>SBR Mar16 - Aug16</vt:lpstr>
      <vt:lpstr>Bruise Report-Tariff</vt:lpstr>
      <vt:lpstr>Bruise Report-Cashouts</vt:lpstr>
      <vt:lpstr>'Bruise Report-Cashouts'!Print_Area</vt:lpstr>
      <vt:lpstr>'Bruise Report-Tariff'!Print_Area</vt:lpstr>
      <vt:lpstr>'Data FT-TS-Cashout-P'!Print_Area</vt:lpstr>
      <vt:lpstr>'Data-Retail'!Print_Area</vt:lpstr>
      <vt:lpstr>'Revenue Summary B'!Print_Area</vt:lpstr>
      <vt:lpstr>SBR!Print_Area</vt:lpstr>
      <vt:lpstr>'Sch M-1.2-G'!Print_Area</vt:lpstr>
      <vt:lpstr>'Sch M-1.3 Pg. 2-8'!Print_Area</vt:lpstr>
      <vt:lpstr>'Sch M-1.3 Pg.1'!Print_Area</vt:lpstr>
      <vt:lpstr>'Revenue Summary B'!Print_Titles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2014-11-26T16:25:59Z</dcterms:created>
  <dcterms:modified xsi:type="dcterms:W3CDTF">2016-11-22T17:56:12Z</dcterms:modified>
</cp:coreProperties>
</file>